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6.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tables/table1.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CHECKS" sheetId="2" state="visible" r:id="rId4"/>
    <sheet name="FUNDER REPORT" sheetId="3" state="visible" r:id="rId5"/>
    <sheet name="SESSION LOG" sheetId="4" state="visible" r:id="rId6"/>
    <sheet name="SITE ROLLUP" sheetId="5" state="visible" r:id="rId7"/>
    <sheet name="MONTH TRENDS" sheetId="6" state="visible" r:id="rId8"/>
    <sheet name="FACILITATOR ROLLUP" sheetId="7" state="visible" r:id="rId9"/>
    <sheet name="SITES" sheetId="8" state="visible" r:id="rId10"/>
    <sheet name="SETTINGS" sheetId="9" state="visible" r:id="rId11"/>
  </sheets>
  <definedNames>
    <definedName function="false" hidden="false" localSheetId="2" name="_xlnm.Print_Area" vbProcedure="false">'FUNDER REPORT'!$A$1:$H$51</definedName>
    <definedName function="false" hidden="true" localSheetId="3" name="_xlnm._FilterDatabase" vbProcedure="false">'SESSION LOG'!$A$1:$R$1501</definedName>
    <definedName function="false" hidden="false" name="AsOf" vbProcedure="false">SETTINGS!$C$8</definedName>
    <definedName function="false" hidden="false" name="AttGoal" vbProcedure="false">SETTINGS!$C$10</definedName>
    <definedName function="false" hidden="false" name="FacList" vbProcedure="false">SETTINGS!$J$20:$J$31</definedName>
    <definedName function="false" hidden="false" name="FacNames" vbProcedure="false">SETTINGS!$J$20:$J$27</definedName>
    <definedName function="false" hidden="false" name="fr_ProgSessions" vbProcedure="false">'FUNDER REPORT'!$C$24</definedName>
    <definedName function="false" hidden="false" name="fr_QHours" vbProcedure="false">'FUNDER REPORT'!$E$10</definedName>
    <definedName function="false" hidden="false" name="fr_QSessions" vbProcedure="false">'FUNDER REPORT'!$B$7</definedName>
    <definedName function="false" hidden="false" name="fr_Sessions" vbProcedure="false">'FACILITATOR ROLLUP'!$D$13</definedName>
    <definedName function="false" hidden="false" name="FYStart" vbProcedure="false">SETTINGS!$C$6</definedName>
    <definedName function="false" hidden="false" name="GapDays" vbProcedure="false">SETTINGS!$C$9</definedName>
    <definedName function="false" hidden="false" name="lg_Date" vbProcedure="false">'SESSION LOG'!$E$2:$E$1501</definedName>
    <definedName function="false" hidden="false" name="lg_Enrolled" vbProcedure="false">'SESSION LOG'!$F$2:$F$1501</definedName>
    <definedName function="false" hidden="false" name="lg_Fac" vbProcedure="false">'SESSION LOG'!$B$2:$B$1501</definedName>
    <definedName function="false" hidden="false" name="lg_Flag" vbProcedure="false">'SESSION LOG'!$R$2:$R$1501</definedName>
    <definedName function="false" hidden="false" name="lg_Hours" vbProcedure="false">'SESSION LOG'!$P$2:$P$1501</definedName>
    <definedName function="false" hidden="false" name="lg_Include" vbProcedure="false">'SESSION LOG'!$Q$2:$Q$1501</definedName>
    <definedName function="false" hidden="false" name="lg_Minutes" vbProcedure="false">'SESSION LOG'!$H$2:$H$1501</definedName>
    <definedName function="false" hidden="false" name="lg_Month" vbProcedure="false">'SESSION LOG'!$M$2:$M$1501</definedName>
    <definedName function="false" hidden="false" name="lg_Present" vbProcedure="false">'SESSION LOG'!$G$2:$G$1501</definedName>
    <definedName function="false" hidden="false" name="lg_Program" vbProcedure="false">'SESSION LOG'!$D$2:$D$1501</definedName>
    <definedName function="false" hidden="false" name="lg_Quarter" vbProcedure="false">'SESSION LOG'!$N$2:$N$1501</definedName>
    <definedName function="false" hidden="false" name="lg_Score" vbProcedure="false">'SESSION LOG'!$I$2:$I$1501</definedName>
    <definedName function="false" hidden="false" name="lg_Site" vbProcedure="false">'SESSION LOG'!$C$2:$C$1501</definedName>
    <definedName function="false" hidden="false" name="lg_SiteID" vbProcedure="false">'SESSION LOG'!$L$2:$L$1501</definedName>
    <definedName function="false" hidden="false" name="MonthList" vbProcedure="false">SETTINGS!$F$5:$F$16</definedName>
    <definedName function="false" hidden="false" name="MonthQuarter" vbProcedure="false">SETTINGS!$H$5:$H$16</definedName>
    <definedName function="false" hidden="false" name="mt_Present" vbProcedure="false">'MONTH TRENDS'!$F$17</definedName>
    <definedName function="false" hidden="false" name="mt_QCol" vbProcedure="false">'MONTH TRENDS'!$C$5:$C$16</definedName>
    <definedName function="false" hidden="false" name="mt_SessCol" vbProcedure="false">'MONTH TRENDS'!$D$5:$D$16</definedName>
    <definedName function="false" hidden="false" name="mt_Sessions" vbProcedure="false">'MONTH TRENDS'!$D$17</definedName>
    <definedName function="false" hidden="false" name="OrgName" vbProcedure="false">SETTINGS!$C$5</definedName>
    <definedName function="false" hidden="false" name="ProgMonth" vbProcedure="false">SETTINGS!$G$5:$G$16</definedName>
    <definedName function="false" hidden="false" name="ProgramList" vbProcedure="false">SETTINGS!$J$12:$J$16</definedName>
    <definedName function="false" hidden="false" name="QuarterList" vbProcedure="false">SETTINGS!$J$5:$J$8</definedName>
    <definedName function="false" hidden="false" name="ReportMonth" vbProcedure="false">SETTINGS!$C$7</definedName>
    <definedName function="false" hidden="false" name="RptMonths" vbProcedure="false">SETTINGS!$F$5:$F$16</definedName>
    <definedName function="false" hidden="false" name="RptQ" vbProcedure="false">'FUNDER REPORT'!$J$3</definedName>
    <definedName function="false" hidden="false" name="SiteNames" vbProcedure="false">SITES!$C$5:$C$24</definedName>
    <definedName function="false" hidden="false" name="site_Fac" vbProcedure="false">SITES!$F$5:$F$34</definedName>
    <definedName function="false" hidden="false" name="site_Goal" vbProcedure="false">SITES!$I$5:$I$34</definedName>
    <definedName function="false" hidden="false" name="site_ID" vbProcedure="false">SITES!$B$5:$B$34</definedName>
    <definedName function="false" hidden="false" name="site_Name" vbProcedure="false">SITES!$C$5:$C$34</definedName>
    <definedName function="false" hidden="false" name="site_Planned" vbProcedure="false">SITES!$H$5:$H$34</definedName>
    <definedName function="false" hidden="false" name="site_Program" vbProcedure="false">SITES!$E$5:$E$34</definedName>
    <definedName function="false" hidden="false" name="sr_Sessions" vbProcedure="false">'SITE ROLLUP'!$F$25</definedName>
    <definedName function="false" hidden="false" name="sr_Status" vbProcedure="false">'SITE ROLLUP'!$O$5:$O$24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<sst xmlns="http://schemas.openxmlformats.org/spreadsheetml/2006/main" count="3489" uniqueCount="246">
  <si>
    <t xml:space="preserve">Program reporting tracker</t>
  </si>
  <si>
    <t xml:space="preserve">Lanternworks Youth Arts runs after-school arts programs at 20 school sites and tracks every session here.</t>
  </si>
  <si>
    <t xml:space="preserve">What this workbook does</t>
  </si>
  <si>
    <t xml:space="preserve">Facilitators submit a short form after each session, and the responses land on SESSION LOG. The workbook rolls those responses up by site, by month, and by facilitator, tracks attendance and student reflection scores over the school year, flags sites that have not reported this month, and fills in a quarterly funder report for whichever quarter you choose. The CHECKS sheet confirms that every rollup agrees with the log.</t>
  </si>
  <si>
    <t xml:space="preserve">Each month</t>
  </si>
  <si>
    <t xml:space="preserve">Bring in new responses</t>
  </si>
  <si>
    <t xml:space="preserve">Paste new form responses below the last row on SESSION LOG, or link the form to this sheet. Keep the column order in row 1.</t>
  </si>
  <si>
    <t xml:space="preserve">Set the reporting month</t>
  </si>
  <si>
    <t xml:space="preserve">On SETTINGS, change the reporting month and the as-of date.</t>
  </si>
  <si>
    <t xml:space="preserve">Follow up on missing reports</t>
  </si>
  <si>
    <t xml:space="preserve">On SITE ROLLUP, any site marked Missing reports or Behind needs a call to the facilitator.</t>
  </si>
  <si>
    <t xml:space="preserve">Fix flagged responses</t>
  </si>
  <si>
    <t xml:space="preserve">On SESSION LOG, filter the Data flag column. Correct typing errors and delete true duplicates.</t>
  </si>
  <si>
    <t xml:space="preserve">Clear the checks</t>
  </si>
  <si>
    <t xml:space="preserve">Open CHECKS. Every row should read OK before numbers leave the office.</t>
  </si>
  <si>
    <t xml:space="preserve">Send the funder report</t>
  </si>
  <si>
    <t xml:space="preserve">On FUNDER REPORT, pick the quarter, review the summary paragraph, and print or save as PDF.</t>
  </si>
  <si>
    <t xml:space="preserve">Colors used in this workbook</t>
  </si>
  <si>
    <t xml:space="preserve">Yellow cell</t>
  </si>
  <si>
    <t xml:space="preserve">You type, paste, or pick here. These are the only unlocked cells.</t>
  </si>
  <si>
    <t xml:space="preserve">White or gray cell</t>
  </si>
  <si>
    <t xml:space="preserve">A formula fills this cell, and the cell is locked.</t>
  </si>
  <si>
    <t xml:space="preserve">OK</t>
  </si>
  <si>
    <t xml:space="preserve">Totals tie, or a site is up to date.</t>
  </si>
  <si>
    <t xml:space="preserve">Review</t>
  </si>
  <si>
    <t xml:space="preserve">Totals do not tie, a response is flagged, or a site has not reported.</t>
  </si>
  <si>
    <t xml:space="preserve">Watch</t>
  </si>
  <si>
    <t xml:space="preserve">A site is behind, or attendance is below the goal.</t>
  </si>
  <si>
    <t xml:space="preserve">Sheet guide</t>
  </si>
  <si>
    <t xml:space="preserve">CHECKS</t>
  </si>
  <si>
    <t xml:space="preserve">This sheet ties the log to the rollups and the funder report and counts flagged responses.</t>
  </si>
  <si>
    <t xml:space="preserve">FUNDER REPORT</t>
  </si>
  <si>
    <t xml:space="preserve">This one-page quarterly report includes a summary paragraph that writes itself.</t>
  </si>
  <si>
    <t xml:space="preserve">SESSION LOG</t>
  </si>
  <si>
    <t xml:space="preserve">Form responses land here, one row per session. Gray columns on the right calculate.</t>
  </si>
  <si>
    <t xml:space="preserve">SITE ROLLUP</t>
  </si>
  <si>
    <t xml:space="preserve">This sheet totals each school site and flags missing reports for the reporting month.</t>
  </si>
  <si>
    <t xml:space="preserve">MONTH TRENDS</t>
  </si>
  <si>
    <t xml:space="preserve">This sheet totals each month and charts attendance and reflection scores.</t>
  </si>
  <si>
    <t xml:space="preserve">FACILITATOR ROLLUP</t>
  </si>
  <si>
    <t xml:space="preserve">This sheet totals each facilitator's sessions and counts flagged responses.</t>
  </si>
  <si>
    <t xml:space="preserve">SITES</t>
  </si>
  <si>
    <t xml:space="preserve">School sites are listed with program area, lead facilitator, and planned sessions.</t>
  </si>
  <si>
    <t xml:space="preserve">SETTINGS</t>
  </si>
  <si>
    <t xml:space="preserve">The organization name, fiscal year, reporting month, goals, and lists live here.</t>
  </si>
  <si>
    <t xml:space="preserve">Sheets are protected without a password so formulas are not overwritten by accident. To change a formula, use Review, then Unprotect Sheet.</t>
  </si>
  <si>
    <t xml:space="preserve">Sample data. All names, organizations, and figures are fictional.</t>
  </si>
  <si>
    <t xml:space="preserve">Checks</t>
  </si>
  <si>
    <t xml:space="preserve">#</t>
  </si>
  <si>
    <t xml:space="preserve">Check</t>
  </si>
  <si>
    <t xml:space="preserve">This side</t>
  </si>
  <si>
    <t xml:space="preserve">Other side</t>
  </si>
  <si>
    <t xml:space="preserve">Difference</t>
  </si>
  <si>
    <t xml:space="preserve">Status</t>
  </si>
  <si>
    <t xml:space="preserve">Sessions counted on SESSION LOG compared with SITE ROLLUP</t>
  </si>
  <si>
    <t xml:space="preserve">Sessions counted on SESSION LOG compared with MONTH TRENDS</t>
  </si>
  <si>
    <t xml:space="preserve">Sessions counted on SESSION LOG compared with FACILITATOR ROLLUP</t>
  </si>
  <si>
    <t xml:space="preserve">Students present on SESSION LOG compared with MONTH TRENDS</t>
  </si>
  <si>
    <t xml:space="preserve">Funder report sessions compared with MONTH TRENDS for the same quarter</t>
  </si>
  <si>
    <t xml:space="preserve">Funder report sessions compared with its own program area table</t>
  </si>
  <si>
    <t xml:space="preserve">Duplicate responses, left out of every total (should be zero)</t>
  </si>
  <si>
    <t xml:space="preserve">Responses where students present is more than students enrolled (should be zero)</t>
  </si>
  <si>
    <t xml:space="preserve">Reflection scores outside 1 to 5, left out of averages (should be zero)</t>
  </si>
  <si>
    <t xml:space="preserve">Sites with no reports in the reporting month (should be zero)</t>
  </si>
  <si>
    <t xml:space="preserve">Responses for a school that is not on SITES (should be zero)</t>
  </si>
  <si>
    <t xml:space="preserve">Where to look</t>
  </si>
  <si>
    <t xml:space="preserve">Filter the Data flag column on SESSION LOG to see each flagged response and fix the typed value.</t>
  </si>
  <si>
    <t xml:space="preserve">Duplicate responses usually come from a form submitted twice. Delete the later copy once you confirm it.</t>
  </si>
  <si>
    <t xml:space="preserve">For a site with missing reports, check with the facilitator before the funder report goes out, because the session may have happened without a form.</t>
  </si>
  <si>
    <t xml:space="preserve">Choose quarter</t>
  </si>
  <si>
    <t xml:space="preserve">FY2026 Q3</t>
  </si>
  <si>
    <t xml:space="preserve">Pick a quarter. The report fills itself and prints on one page.</t>
  </si>
  <si>
    <t xml:space="preserve">Sessions delivered</t>
  </si>
  <si>
    <t xml:space="preserve">Sessions planned</t>
  </si>
  <si>
    <t xml:space="preserve">Delivery rate</t>
  </si>
  <si>
    <t xml:space="preserve">Sites active</t>
  </si>
  <si>
    <t xml:space="preserve">Student attendances</t>
  </si>
  <si>
    <t xml:space="preserve">Attendance rate</t>
  </si>
  <si>
    <t xml:space="preserve">Contact hours</t>
  </si>
  <si>
    <t xml:space="preserve">Avg reflection score</t>
  </si>
  <si>
    <t xml:space="preserve">By program area</t>
  </si>
  <si>
    <t xml:space="preserve">Program area</t>
  </si>
  <si>
    <t xml:space="preserve">Sessions</t>
  </si>
  <si>
    <t xml:space="preserve">Attendances</t>
  </si>
  <si>
    <t xml:space="preserve">Avg reflection</t>
  </si>
  <si>
    <t xml:space="preserve">All programs</t>
  </si>
  <si>
    <t xml:space="preserve">By school site</t>
  </si>
  <si>
    <t xml:space="preserve">School</t>
  </si>
  <si>
    <t xml:space="preserve">Planned</t>
  </si>
  <si>
    <t xml:space="preserve">Attendance rate is students present divided by students enrolled across all sessions. Reflection scores come from a five-point exit question students answer at the end of each session.</t>
  </si>
  <si>
    <t xml:space="preserve">Timestamp</t>
  </si>
  <si>
    <t xml:space="preserve">Facilitator name</t>
  </si>
  <si>
    <t xml:space="preserve">School site</t>
  </si>
  <si>
    <t xml:space="preserve">Session date</t>
  </si>
  <si>
    <t xml:space="preserve">Students enrolled</t>
  </si>
  <si>
    <t xml:space="preserve">Students present</t>
  </si>
  <si>
    <t xml:space="preserve">Session length (minutes)</t>
  </si>
  <si>
    <t xml:space="preserve">Average student reflection score (1 to 5)</t>
  </si>
  <si>
    <t xml:space="preserve">What did students work on?</t>
  </si>
  <si>
    <t xml:space="preserve">Anything the program office should know?</t>
  </si>
  <si>
    <t xml:space="preserve">Site ID</t>
  </si>
  <si>
    <t xml:space="preserve">Month</t>
  </si>
  <si>
    <t xml:space="preserve">Quarter</t>
  </si>
  <si>
    <t xml:space="preserve">Count this response</t>
  </si>
  <si>
    <t xml:space="preserve">Data flag</t>
  </si>
  <si>
    <t xml:space="preserve">Dana Whitcomb</t>
  </si>
  <si>
    <t xml:space="preserve">Carver Hill Elementary</t>
  </si>
  <si>
    <t xml:space="preserve">Music</t>
  </si>
  <si>
    <t xml:space="preserve">Listening journal and discussion</t>
  </si>
  <si>
    <t xml:space="preserve">Talia Moreno</t>
  </si>
  <si>
    <t xml:space="preserve">Maple Crossing Elementary</t>
  </si>
  <si>
    <t xml:space="preserve">Jun Park</t>
  </si>
  <si>
    <t xml:space="preserve">Twin Oaks Elementary</t>
  </si>
  <si>
    <t xml:space="preserve">Theater</t>
  </si>
  <si>
    <t xml:space="preserve">Scene work in pairs</t>
  </si>
  <si>
    <t xml:space="preserve">Sable Creek Middle</t>
  </si>
  <si>
    <t xml:space="preserve">Dance and Movement</t>
  </si>
  <si>
    <t xml:space="preserve">Cultural dance unit</t>
  </si>
  <si>
    <t xml:space="preserve">Kessler Elementary</t>
  </si>
  <si>
    <t xml:space="preserve">Visual Arts</t>
  </si>
  <si>
    <t xml:space="preserve">Contour drawing from still life</t>
  </si>
  <si>
    <t xml:space="preserve">Owen Prewitt</t>
  </si>
  <si>
    <t xml:space="preserve">Pinewood Community School</t>
  </si>
  <si>
    <t xml:space="preserve">Across-the-floor combinations</t>
  </si>
  <si>
    <t xml:space="preserve">Theo Banfield</t>
  </si>
  <si>
    <t xml:space="preserve">Fairmont Park Middle</t>
  </si>
  <si>
    <t xml:space="preserve">Clay pinch pots</t>
  </si>
  <si>
    <t xml:space="preserve">Harbor View K-8</t>
  </si>
  <si>
    <t xml:space="preserve">Ensemble rehearsal</t>
  </si>
  <si>
    <t xml:space="preserve">Simone Lacy</t>
  </si>
  <si>
    <t xml:space="preserve">Glenwood Elementary</t>
  </si>
  <si>
    <t xml:space="preserve">Writing short monologues</t>
  </si>
  <si>
    <t xml:space="preserve">Amara Boateng</t>
  </si>
  <si>
    <t xml:space="preserve">Ironbridge Elementary</t>
  </si>
  <si>
    <t xml:space="preserve">Choreography in small groups</t>
  </si>
  <si>
    <t xml:space="preserve">Classroom teacher joined the session.</t>
  </si>
  <si>
    <t xml:space="preserve">Character voice exercises</t>
  </si>
  <si>
    <t xml:space="preserve">Oakhurst Elementary</t>
  </si>
  <si>
    <t xml:space="preserve">Digital Media</t>
  </si>
  <si>
    <t xml:space="preserve">Podcast interview recording</t>
  </si>
  <si>
    <t xml:space="preserve">Lucas Ferreira</t>
  </si>
  <si>
    <t xml:space="preserve">Riverside Arts Magnet</t>
  </si>
  <si>
    <t xml:space="preserve">Brookhaven Middle</t>
  </si>
  <si>
    <t xml:space="preserve">Blocking for the showcase</t>
  </si>
  <si>
    <t xml:space="preserve">Group mural planning</t>
  </si>
  <si>
    <t xml:space="preserve">Alder Street Elementary</t>
  </si>
  <si>
    <t xml:space="preserve">East Fork Elementary</t>
  </si>
  <si>
    <t xml:space="preserve">Editing practice</t>
  </si>
  <si>
    <t xml:space="preserve">Dunmore Academy</t>
  </si>
  <si>
    <t xml:space="preserve">Lakeside Prep</t>
  </si>
  <si>
    <t xml:space="preserve">Quarry Road Elementary</t>
  </si>
  <si>
    <t xml:space="preserve">Juniper Ridge Middle</t>
  </si>
  <si>
    <t xml:space="preserve">Photo composition walk</t>
  </si>
  <si>
    <t xml:space="preserve">Showcase run-through</t>
  </si>
  <si>
    <t xml:space="preserve">North Shoals Middle</t>
  </si>
  <si>
    <t xml:space="preserve">Ukulele chords G, C, and D</t>
  </si>
  <si>
    <t xml:space="preserve">Rhythm circle and call and response</t>
  </si>
  <si>
    <t xml:space="preserve">Printmaking with foam plates</t>
  </si>
  <si>
    <t xml:space="preserve">Need more drawing paper.</t>
  </si>
  <si>
    <t xml:space="preserve">Color mixing and value scales</t>
  </si>
  <si>
    <t xml:space="preserve">Stretch and alignment</t>
  </si>
  <si>
    <t xml:space="preserve">Room change to the library.</t>
  </si>
  <si>
    <t xml:space="preserve">Collage self-portraits</t>
  </si>
  <si>
    <t xml:space="preserve">Storyboarding a short video</t>
  </si>
  <si>
    <t xml:space="preserve">Stop-motion animation</t>
  </si>
  <si>
    <t xml:space="preserve">Improv warm-ups and status games</t>
  </si>
  <si>
    <t xml:space="preserve">Songwriting in small groups</t>
  </si>
  <si>
    <t xml:space="preserve">Shortened for a school assembly.</t>
  </si>
  <si>
    <t xml:space="preserve">Two students new this week.</t>
  </si>
  <si>
    <t xml:space="preserve">Rollup by site</t>
  </si>
  <si>
    <t xml:space="preserve">Lead facilitator</t>
  </si>
  <si>
    <t xml:space="preserve">Last report</t>
  </si>
  <si>
    <t xml:space="preserve">Days since report</t>
  </si>
  <si>
    <t xml:space="preserve">Sessions this month</t>
  </si>
  <si>
    <t xml:space="preserve">Planned this month</t>
  </si>
  <si>
    <t xml:space="preserve">Report status</t>
  </si>
  <si>
    <t xml:space="preserve">Total</t>
  </si>
  <si>
    <t xml:space="preserve">Report status compares sessions logged in the reporting month with sessions planned. Behind means fewer than three quarters of planned sessions were logged.</t>
  </si>
  <si>
    <t xml:space="preserve">Trends by month</t>
  </si>
  <si>
    <t xml:space="preserve">Attendance and student reflection scores across the school year.</t>
  </si>
  <si>
    <t xml:space="preserve">Year</t>
  </si>
  <si>
    <t xml:space="preserve">July, August, and June are outside the program calendar, so they show no sessions.</t>
  </si>
  <si>
    <t xml:space="preserve">Rollup by facilitator</t>
  </si>
  <si>
    <t xml:space="preserve">Sessions led, including substitute sessions at other sites.</t>
  </si>
  <si>
    <t xml:space="preserve">Facilitator</t>
  </si>
  <si>
    <t xml:space="preserve">Sites</t>
  </si>
  <si>
    <t xml:space="preserve">Responses flagged</t>
  </si>
  <si>
    <t xml:space="preserve">School sites</t>
  </si>
  <si>
    <t xml:space="preserve">One row per site. Planned sessions per month drive the missing-report flag and the funder report.</t>
  </si>
  <si>
    <t xml:space="preserve">Area</t>
  </si>
  <si>
    <t xml:space="preserve">Sessions per week</t>
  </si>
  <si>
    <t xml:space="preserve">Planned per month</t>
  </si>
  <si>
    <t xml:space="preserve">Enrollment goal</t>
  </si>
  <si>
    <t xml:space="preserve">LW-101</t>
  </si>
  <si>
    <t xml:space="preserve">North</t>
  </si>
  <si>
    <t xml:space="preserve">LW-102</t>
  </si>
  <si>
    <t xml:space="preserve">LW-103</t>
  </si>
  <si>
    <t xml:space="preserve">Central</t>
  </si>
  <si>
    <t xml:space="preserve">LW-104</t>
  </si>
  <si>
    <t xml:space="preserve">LW-105</t>
  </si>
  <si>
    <t xml:space="preserve">East</t>
  </si>
  <si>
    <t xml:space="preserve">LW-106</t>
  </si>
  <si>
    <t xml:space="preserve">LW-107</t>
  </si>
  <si>
    <t xml:space="preserve">South</t>
  </si>
  <si>
    <t xml:space="preserve">LW-108</t>
  </si>
  <si>
    <t xml:space="preserve">LW-109</t>
  </si>
  <si>
    <t xml:space="preserve">West</t>
  </si>
  <si>
    <t xml:space="preserve">LW-110</t>
  </si>
  <si>
    <t xml:space="preserve">LW-111</t>
  </si>
  <si>
    <t xml:space="preserve">LW-112</t>
  </si>
  <si>
    <t xml:space="preserve">LW-113</t>
  </si>
  <si>
    <t xml:space="preserve">LW-114</t>
  </si>
  <si>
    <t xml:space="preserve">LW-115</t>
  </si>
  <si>
    <t xml:space="preserve">LW-116</t>
  </si>
  <si>
    <t xml:space="preserve">LW-117</t>
  </si>
  <si>
    <t xml:space="preserve">LW-118</t>
  </si>
  <si>
    <t xml:space="preserve">LW-119</t>
  </si>
  <si>
    <t xml:space="preserve">LW-120</t>
  </si>
  <si>
    <t xml:space="preserve">Settings</t>
  </si>
  <si>
    <t xml:space="preserve">Values that change each month or each year. Formulas throughout the workbook read from these cells.</t>
  </si>
  <si>
    <t xml:space="preserve">Setting</t>
  </si>
  <si>
    <t xml:space="preserve">Value</t>
  </si>
  <si>
    <t xml:space="preserve">What it controls</t>
  </si>
  <si>
    <t xml:space="preserve">Program month</t>
  </si>
  <si>
    <t xml:space="preserve">Quarters</t>
  </si>
  <si>
    <t xml:space="preserve">Organization name</t>
  </si>
  <si>
    <t xml:space="preserve">Lanternworks Youth Arts</t>
  </si>
  <si>
    <t xml:space="preserve">The name appears on the funder report.</t>
  </si>
  <si>
    <t xml:space="preserve">No</t>
  </si>
  <si>
    <t xml:space="preserve">FY2026 Q1</t>
  </si>
  <si>
    <t xml:space="preserve">First month of the fiscal year</t>
  </si>
  <si>
    <t xml:space="preserve">7 means the fiscal year runs July to June and is named for the year it ends.</t>
  </si>
  <si>
    <t xml:space="preserve">FY2026 Q2</t>
  </si>
  <si>
    <t xml:space="preserve">Reporting month</t>
  </si>
  <si>
    <t xml:space="preserve">Sites are checked for missing session reports in this month.</t>
  </si>
  <si>
    <t xml:space="preserve">Yes</t>
  </si>
  <si>
    <t xml:space="preserve">Data current as of</t>
  </si>
  <si>
    <t xml:space="preserve">Days since each site's last report are counted from this date.</t>
  </si>
  <si>
    <t xml:space="preserve">FY2026 Q4</t>
  </si>
  <si>
    <t xml:space="preserve">Days without a report before a flag</t>
  </si>
  <si>
    <t xml:space="preserve">A site with no report for longer than this is flagged.</t>
  </si>
  <si>
    <t xml:space="preserve">Attendance rate goal</t>
  </si>
  <si>
    <t xml:space="preserve">Sites and months below this show amber.</t>
  </si>
  <si>
    <t xml:space="preserve">Program areas</t>
  </si>
  <si>
    <t xml:space="preserve">Program month = Yes marks months when sessions are planned. Planned session counts use only those months.</t>
  </si>
  <si>
    <t xml:space="preserve">Facilitators</t>
  </si>
</sst>
</file>

<file path=xl/styles.xml><?xml version="1.0" encoding="utf-8"?>
<styleSheet xmlns="http://schemas.openxmlformats.org/spreadsheetml/2006/main">
  <numFmts count="13">
    <numFmt numFmtId="164" formatCode="General"/>
    <numFmt numFmtId="165" formatCode="#,##0"/>
    <numFmt numFmtId="166" formatCode="0%"/>
    <numFmt numFmtId="167" formatCode="0"/>
    <numFmt numFmtId="168" formatCode="0.00"/>
    <numFmt numFmtId="169" formatCode="m/d/yyyy\ h:mm:ss"/>
    <numFmt numFmtId="170" formatCode="m/d/yyyy"/>
    <numFmt numFmtId="171" formatCode="0.0"/>
    <numFmt numFmtId="172" formatCode="mmm\ yyyy"/>
    <numFmt numFmtId="173" formatCode="General"/>
    <numFmt numFmtId="174" formatCode="#,##0;\-#,##0;\-"/>
    <numFmt numFmtId="175" formatCode="0;\-0;\-"/>
    <numFmt numFmtId="176" formatCode="mmmm\ yyyy"/>
  </numFmts>
  <fonts count="26">
    <font>
      <sz val="11"/>
      <color theme="1"/>
      <name val="Calibri"/>
      <family val="2"/>
      <charset val="1"/>
    </font>
    <font>
      <sz val="10"/>
      <name val="Arial"/>
      <family val="0"/>
    </font>
    <font>
      <sz val="10"/>
      <name val="Arial"/>
      <family val="0"/>
    </font>
    <font>
      <sz val="10"/>
      <name val="Arial"/>
      <family val="0"/>
    </font>
    <font>
      <b val="true"/>
      <sz val="18"/>
      <color rgb="FF1F2766"/>
      <name val="Cambria"/>
      <family val="0"/>
      <charset val="1"/>
    </font>
    <font>
      <sz val="11"/>
      <color rgb="FF6B7280"/>
      <name val="Calibri"/>
      <family val="0"/>
      <charset val="1"/>
    </font>
    <font>
      <b val="true"/>
      <sz val="12"/>
      <color rgb="FF1F2766"/>
      <name val="Cambria"/>
      <family val="0"/>
      <charset val="1"/>
    </font>
    <font>
      <sz val="11"/>
      <color rgb="FF1F2933"/>
      <name val="Calibri"/>
      <family val="0"/>
      <charset val="1"/>
    </font>
    <font>
      <b val="true"/>
      <sz val="12"/>
      <color rgb="FFC98A00"/>
      <name val="Cambria"/>
      <family val="0"/>
      <charset val="1"/>
    </font>
    <font>
      <b val="true"/>
      <sz val="11"/>
      <color rgb="FF1F2933"/>
      <name val="Calibri"/>
      <family val="0"/>
      <charset val="1"/>
    </font>
    <font>
      <b val="true"/>
      <sz val="11"/>
      <color rgb="FF1A3E8C"/>
      <name val="Calibri"/>
      <family val="0"/>
      <charset val="1"/>
    </font>
    <font>
      <b val="true"/>
      <sz val="11"/>
      <color rgb="FF1D6B3A"/>
      <name val="Calibri"/>
      <family val="0"/>
      <charset val="1"/>
    </font>
    <font>
      <b val="true"/>
      <sz val="11"/>
      <color rgb="FFA3241A"/>
      <name val="Calibri"/>
      <family val="0"/>
      <charset val="1"/>
    </font>
    <font>
      <b val="true"/>
      <sz val="11"/>
      <color rgb="FF8A4A06"/>
      <name val="Calibri"/>
      <family val="0"/>
      <charset val="1"/>
    </font>
    <font>
      <b val="true"/>
      <sz val="11"/>
      <color rgb="FF2E3A87"/>
      <name val="Calibri"/>
      <family val="0"/>
      <charset val="1"/>
    </font>
    <font>
      <i val="true"/>
      <sz val="11"/>
      <color rgb="FF6B7280"/>
      <name val="Calibri"/>
      <family val="0"/>
      <charset val="1"/>
    </font>
    <font>
      <b val="true"/>
      <sz val="14"/>
      <name val="Calibri"/>
      <family val="0"/>
      <charset val="1"/>
    </font>
    <font>
      <b val="true"/>
      <sz val="11"/>
      <color rgb="FFFFFFFF"/>
      <name val="Calibri"/>
      <family val="0"/>
      <charset val="1"/>
    </font>
    <font>
      <b val="true"/>
      <sz val="20"/>
      <color rgb="FF2E3A87"/>
      <name val="Cambria"/>
      <family val="0"/>
      <charset val="1"/>
    </font>
    <font>
      <sz val="12"/>
      <color rgb="FF6B7280"/>
      <name val="Calibri"/>
      <family val="0"/>
      <charset val="1"/>
    </font>
    <font>
      <sz val="11"/>
      <color rgb="FF1A3E8C"/>
      <name val="Calibri"/>
      <family val="0"/>
      <charset val="1"/>
    </font>
    <font>
      <sz val="10"/>
      <color rgb="FF6B7280"/>
      <name val="Calibri"/>
      <family val="0"/>
      <charset val="1"/>
    </font>
    <font>
      <b val="true"/>
      <sz val="20"/>
      <color rgb="FF1F2766"/>
      <name val="Cambria"/>
      <family val="0"/>
      <charset val="1"/>
    </font>
    <font>
      <i val="true"/>
      <sz val="9"/>
      <color rgb="FF6B7280"/>
      <name val="Calibri"/>
      <family val="0"/>
      <charset val="1"/>
    </font>
    <font>
      <b val="true"/>
      <sz val="12"/>
      <color rgb="FF222222"/>
      <name val="Calibri"/>
      <family val="2"/>
    </font>
    <font>
      <sz val="10"/>
      <color rgb="FF000000"/>
      <name val="Calibri"/>
      <family val="2"/>
    </font>
  </fonts>
  <fills count="13">
    <fill>
      <patternFill patternType="none"/>
    </fill>
    <fill>
      <patternFill patternType="gray125"/>
    </fill>
    <fill>
      <patternFill patternType="solid">
        <fgColor rgb="FFFFF4CC"/>
        <bgColor rgb="FFFDE6CC"/>
      </patternFill>
    </fill>
    <fill>
      <patternFill patternType="solid">
        <fgColor rgb="FFFFFFFF"/>
        <bgColor rgb="FFF4F5F9"/>
      </patternFill>
    </fill>
    <fill>
      <patternFill patternType="solid">
        <fgColor rgb="FFDDF2E3"/>
        <bgColor rgb="FFE6E9EE"/>
      </patternFill>
    </fill>
    <fill>
      <patternFill patternType="solid">
        <fgColor rgb="FFFBE1DE"/>
        <bgColor rgb="FFFDE6CC"/>
      </patternFill>
    </fill>
    <fill>
      <patternFill patternType="solid">
        <fgColor rgb="FFFDE6CC"/>
        <bgColor rgb="FFFBE1DE"/>
      </patternFill>
    </fill>
    <fill>
      <patternFill patternType="solid">
        <fgColor rgb="FF1F2766"/>
        <bgColor rgb="FF1F2933"/>
      </patternFill>
    </fill>
    <fill>
      <patternFill patternType="solid">
        <fgColor rgb="FF2E3A87"/>
        <bgColor rgb="FF1A3E8C"/>
      </patternFill>
    </fill>
    <fill>
      <patternFill patternType="solid">
        <fgColor rgb="FFEEF0FA"/>
        <bgColor rgb="FFF4F5F9"/>
      </patternFill>
    </fill>
    <fill>
      <patternFill patternType="solid">
        <fgColor rgb="FFE8EAF3"/>
        <bgColor rgb="FFE6E9EE"/>
      </patternFill>
    </fill>
    <fill>
      <patternFill patternType="solid">
        <fgColor rgb="FF5B6072"/>
        <bgColor rgb="FF6B7280"/>
      </patternFill>
    </fill>
    <fill>
      <patternFill patternType="solid">
        <fgColor rgb="FFF4F5F9"/>
        <bgColor rgb="FFEEF0FA"/>
      </patternFill>
    </fill>
  </fills>
  <borders count="8">
    <border diagonalUp="false" diagonalDown="false">
      <left/>
      <right/>
      <top/>
      <bottom/>
      <diagonal/>
    </border>
    <border diagonalUp="false" diagonalDown="false">
      <left style="thin">
        <color rgb="FFD9DDE3"/>
      </left>
      <right style="thin">
        <color rgb="FFD9DDE3"/>
      </right>
      <top style="thin">
        <color rgb="FFD9DDE3"/>
      </top>
      <bottom style="thin">
        <color rgb="FFD9DDE3"/>
      </bottom>
      <diagonal/>
    </border>
    <border diagonalUp="false" diagonalDown="false">
      <left/>
      <right/>
      <top/>
      <bottom style="thin">
        <color rgb="FFE6E9EE"/>
      </bottom>
      <diagonal/>
    </border>
    <border diagonalUp="false" diagonalDown="false">
      <left/>
      <right/>
      <top/>
      <bottom style="thin">
        <color rgb="FF1F2766"/>
      </bottom>
      <diagonal/>
    </border>
    <border diagonalUp="false" diagonalDown="false">
      <left/>
      <right style="thin">
        <color rgb="FFFFFFFF"/>
      </right>
      <top/>
      <bottom style="thin">
        <color rgb="FFE8D9A0"/>
      </bottom>
      <diagonal/>
    </border>
    <border diagonalUp="false" diagonalDown="false">
      <left/>
      <right/>
      <top/>
      <bottom style="thin">
        <color rgb="FFD5D9E6"/>
      </bottom>
      <diagonal/>
    </border>
    <border diagonalUp="false" diagonalDown="false">
      <left/>
      <right/>
      <top/>
      <bottom style="thin">
        <color rgb="FF2E3A87"/>
      </bottom>
      <diagonal/>
    </border>
    <border diagonalUp="false" diagonalDown="false">
      <left/>
      <right/>
      <top style="thin">
        <color rgb="FF2E3A87"/>
      </top>
      <bottom style="thin">
        <color rgb="FF2E3A8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center"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0" fillId="2" borderId="1"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1" shrinkToFit="false"/>
      <protection locked="true" hidden="false"/>
    </xf>
    <xf numFmtId="164" fontId="9" fillId="3" borderId="1" xfId="0" applyFont="true" applyBorder="true" applyAlignment="true" applyProtection="false">
      <alignment horizontal="center" vertical="center" textRotation="0" wrapText="false" indent="0" shrinkToFit="false"/>
      <protection locked="true" hidden="false"/>
    </xf>
    <xf numFmtId="164" fontId="11" fillId="4" borderId="1" xfId="0" applyFont="true" applyBorder="true" applyAlignment="true" applyProtection="false">
      <alignment horizontal="center" vertical="center" textRotation="0" wrapText="false" indent="0" shrinkToFit="false"/>
      <protection locked="true" hidden="false"/>
    </xf>
    <xf numFmtId="164" fontId="12" fillId="5" borderId="1" xfId="0" applyFont="true" applyBorder="true" applyAlignment="true" applyProtection="false">
      <alignment horizontal="center" vertical="center" textRotation="0" wrapText="false" indent="0" shrinkToFit="false"/>
      <protection locked="true" hidden="false"/>
    </xf>
    <xf numFmtId="164" fontId="13" fillId="6" borderId="1" xfId="0" applyFont="true" applyBorder="true" applyAlignment="true" applyProtection="false">
      <alignment horizontal="center" vertical="center" textRotation="0" wrapText="false" indent="0" shrinkToFit="false"/>
      <protection locked="true" hidden="false"/>
    </xf>
    <xf numFmtId="164" fontId="14" fillId="0" borderId="2" xfId="0" applyFont="true" applyBorder="true" applyAlignment="false" applyProtection="false">
      <alignment horizontal="general" vertical="bottom" textRotation="0" wrapText="fals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true" applyAlignment="true" applyProtection="false">
      <alignment horizontal="general" vertical="center" textRotation="0" wrapText="false" indent="1" shrinkToFit="false"/>
      <protection locked="true" hidden="false"/>
    </xf>
    <xf numFmtId="164" fontId="17" fillId="7" borderId="3" xfId="0" applyFont="true" applyBorder="true" applyAlignment="true" applyProtection="false">
      <alignment horizontal="center" vertical="center" textRotation="0" wrapText="true" indent="0" shrinkToFit="false"/>
      <protection locked="true" hidden="false"/>
    </xf>
    <xf numFmtId="164" fontId="17" fillId="7" borderId="3" xfId="0" applyFont="true" applyBorder="true" applyAlignment="true" applyProtection="false">
      <alignment horizontal="left" vertical="center" textRotation="0" wrapText="fals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4" fontId="7" fillId="0" borderId="2" xfId="0" applyFont="true" applyBorder="true" applyAlignment="true" applyProtection="false">
      <alignment horizontal="general" vertical="center" textRotation="0" wrapText="true" indent="0" shrinkToFit="false"/>
      <protection locked="true" hidden="false"/>
    </xf>
    <xf numFmtId="165" fontId="7" fillId="0" borderId="2" xfId="0" applyFont="true" applyBorder="true" applyAlignment="true" applyProtection="false">
      <alignment horizontal="general" vertical="center" textRotation="0" wrapText="false" indent="0" shrinkToFit="false"/>
      <protection locked="true" hidden="false"/>
    </xf>
    <xf numFmtId="164" fontId="9" fillId="0" borderId="2"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true" applyProtection="false">
      <alignment horizontal="general" vertical="top"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20" fillId="2" borderId="4" xfId="0" applyFont="true" applyBorder="true" applyAlignment="true" applyProtection="true">
      <alignment horizontal="center" vertical="center" textRotation="0" wrapText="false" indent="0" shrinkToFit="false"/>
      <protection locked="fals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5" fontId="22" fillId="0" borderId="0" xfId="0" applyFont="true" applyBorder="false" applyAlignment="true" applyProtection="false">
      <alignment horizontal="left" vertical="bottom" textRotation="0" wrapText="false" indent="0" shrinkToFit="false"/>
      <protection locked="true" hidden="false"/>
    </xf>
    <xf numFmtId="165" fontId="22" fillId="0" borderId="0" xfId="0" applyFont="true" applyBorder="true" applyAlignment="true" applyProtection="false">
      <alignment horizontal="left" vertical="bottom" textRotation="0" wrapText="false" indent="0" shrinkToFit="false"/>
      <protection locked="true" hidden="false"/>
    </xf>
    <xf numFmtId="166" fontId="22" fillId="0" borderId="0" xfId="0" applyFont="true" applyBorder="false" applyAlignment="true" applyProtection="false">
      <alignment horizontal="left" vertical="bottom" textRotation="0" wrapText="false" indent="0" shrinkToFit="false"/>
      <protection locked="true" hidden="false"/>
    </xf>
    <xf numFmtId="167" fontId="22" fillId="0" borderId="0" xfId="0" applyFont="true" applyBorder="true" applyAlignment="true" applyProtection="false">
      <alignment horizontal="left" vertical="bottom" textRotation="0" wrapText="false" indent="0" shrinkToFit="false"/>
      <protection locked="true" hidden="false"/>
    </xf>
    <xf numFmtId="166" fontId="22" fillId="0" borderId="0" xfId="0" applyFont="true" applyBorder="true" applyAlignment="true" applyProtection="false">
      <alignment horizontal="left" vertical="bottom" textRotation="0" wrapText="false" indent="0" shrinkToFit="false"/>
      <protection locked="true" hidden="false"/>
    </xf>
    <xf numFmtId="168" fontId="22" fillId="0" borderId="0" xfId="0" applyFont="true" applyBorder="true" applyAlignment="true" applyProtection="false">
      <alignment horizontal="left" vertical="bottom" textRotation="0" wrapText="false" indent="0" shrinkToFit="false"/>
      <protection locked="tru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64" fontId="17" fillId="8" borderId="6" xfId="0" applyFont="true" applyBorder="true" applyAlignment="true" applyProtection="false">
      <alignment horizontal="center" vertical="center" textRotation="0" wrapText="true" indent="0" shrinkToFit="false"/>
      <protection locked="true" hidden="false"/>
    </xf>
    <xf numFmtId="164" fontId="7" fillId="0" borderId="2" xfId="0" applyFont="true" applyBorder="true" applyAlignment="true" applyProtection="false">
      <alignment horizontal="general" vertical="center" textRotation="0" wrapText="false" indent="0" shrinkToFit="false"/>
      <protection locked="true" hidden="false"/>
    </xf>
    <xf numFmtId="166" fontId="7" fillId="0" borderId="2" xfId="0" applyFont="true" applyBorder="true" applyAlignment="true" applyProtection="false">
      <alignment horizontal="center" vertical="center" textRotation="0" wrapText="false" indent="0" shrinkToFit="false"/>
      <protection locked="true" hidden="false"/>
    </xf>
    <xf numFmtId="168" fontId="7" fillId="0" borderId="2" xfId="0" applyFont="true" applyBorder="true" applyAlignment="true" applyProtection="false">
      <alignment horizontal="center" vertical="center" textRotation="0" wrapText="false" indent="0" shrinkToFit="false"/>
      <protection locked="true" hidden="false"/>
    </xf>
    <xf numFmtId="164" fontId="9" fillId="9" borderId="7" xfId="0" applyFont="true" applyBorder="true" applyAlignment="false" applyProtection="false">
      <alignment horizontal="general" vertical="bottom" textRotation="0" wrapText="false" indent="0" shrinkToFit="false"/>
      <protection locked="true" hidden="false"/>
    </xf>
    <xf numFmtId="165" fontId="9" fillId="9" borderId="7" xfId="0" applyFont="true" applyBorder="true" applyAlignment="false" applyProtection="false">
      <alignment horizontal="general" vertical="bottom" textRotation="0" wrapText="false" indent="0" shrinkToFit="false"/>
      <protection locked="true" hidden="false"/>
    </xf>
    <xf numFmtId="166" fontId="9" fillId="9" borderId="7" xfId="0" applyFont="true" applyBorder="true" applyAlignment="true" applyProtection="false">
      <alignment horizontal="center" vertical="bottom" textRotation="0" wrapText="false" indent="0" shrinkToFit="false"/>
      <protection locked="true" hidden="false"/>
    </xf>
    <xf numFmtId="168" fontId="9" fillId="9" borderId="7" xfId="0" applyFont="true" applyBorder="true" applyAlignment="true" applyProtection="false">
      <alignment horizontal="center" vertical="bottom" textRotation="0" wrapText="false" indent="0" shrinkToFit="false"/>
      <protection locked="true" hidden="false"/>
    </xf>
    <xf numFmtId="164" fontId="21" fillId="0" borderId="2" xfId="0" applyFont="true" applyBorder="true" applyAlignment="true" applyProtection="false">
      <alignment horizontal="general" vertical="center" textRotation="0" wrapText="false" indent="0" shrinkToFit="false"/>
      <protection locked="true" hidden="false"/>
    </xf>
    <xf numFmtId="165" fontId="7" fillId="0" borderId="2" xfId="0" applyFont="true" applyBorder="true" applyAlignment="true" applyProtection="false">
      <alignment horizontal="center" vertical="center" textRotation="0" wrapText="false" indent="0" shrinkToFit="false"/>
      <protection locked="true" hidden="false"/>
    </xf>
    <xf numFmtId="164" fontId="21" fillId="0" borderId="0" xfId="0" applyFont="true" applyBorder="true" applyAlignment="true" applyProtection="false">
      <alignment horizontal="general" vertical="top" textRotation="0" wrapText="tru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9" fillId="10" borderId="0" xfId="0" applyFont="true" applyBorder="false" applyAlignment="true" applyProtection="false">
      <alignment horizontal="general" vertical="center" textRotation="0" wrapText="true" indent="0" shrinkToFit="false"/>
      <protection locked="true" hidden="false"/>
    </xf>
    <xf numFmtId="164" fontId="17" fillId="11" borderId="0" xfId="0" applyFont="true" applyBorder="false" applyAlignment="true" applyProtection="false">
      <alignment horizontal="center" vertical="center" textRotation="0" wrapText="true" indent="0" shrinkToFit="false"/>
      <protection locked="true" hidden="false"/>
    </xf>
    <xf numFmtId="169" fontId="20" fillId="2" borderId="0" xfId="0" applyFont="true" applyBorder="true" applyAlignment="true" applyProtection="true">
      <alignment horizontal="general" vertical="center" textRotation="0" wrapText="false" indent="0" shrinkToFit="false"/>
      <protection locked="false" hidden="false"/>
    </xf>
    <xf numFmtId="164" fontId="20" fillId="2" borderId="0" xfId="0" applyFont="true" applyBorder="true" applyAlignment="true" applyProtection="true">
      <alignment horizontal="general" vertical="center" textRotation="0" wrapText="false" indent="0" shrinkToFit="false"/>
      <protection locked="false" hidden="false"/>
    </xf>
    <xf numFmtId="170" fontId="20" fillId="2" borderId="0" xfId="0" applyFont="true" applyBorder="true" applyAlignment="true" applyProtection="true">
      <alignment horizontal="center" vertical="center" textRotation="0" wrapText="false" indent="0" shrinkToFit="false"/>
      <protection locked="false" hidden="false"/>
    </xf>
    <xf numFmtId="164" fontId="20" fillId="2" borderId="0" xfId="0" applyFont="true" applyBorder="true" applyAlignment="true" applyProtection="true">
      <alignment horizontal="center" vertical="center" textRotation="0" wrapText="false" indent="0" shrinkToFit="false"/>
      <protection locked="false" hidden="false"/>
    </xf>
    <xf numFmtId="171" fontId="20" fillId="2" borderId="0" xfId="0" applyFont="true" applyBorder="true" applyAlignment="true" applyProtection="true">
      <alignment horizontal="center" vertical="center" textRotation="0" wrapText="false" indent="0" shrinkToFit="false"/>
      <protection locked="false" hidden="false"/>
    </xf>
    <xf numFmtId="164" fontId="7" fillId="12" borderId="0" xfId="0" applyFont="true" applyBorder="false" applyAlignment="true" applyProtection="false">
      <alignment horizontal="center" vertical="center" textRotation="0" wrapText="false" indent="0" shrinkToFit="false"/>
      <protection locked="true" hidden="false"/>
    </xf>
    <xf numFmtId="172" fontId="7" fillId="12" borderId="0" xfId="0" applyFont="true" applyBorder="false" applyAlignment="true" applyProtection="false">
      <alignment horizontal="center" vertical="center" textRotation="0" wrapText="false" indent="0" shrinkToFit="false"/>
      <protection locked="true" hidden="false"/>
    </xf>
    <xf numFmtId="166" fontId="7" fillId="12" borderId="0" xfId="0" applyFont="true" applyBorder="false" applyAlignment="true" applyProtection="false">
      <alignment horizontal="center" vertical="center" textRotation="0" wrapText="false" indent="0" shrinkToFit="false"/>
      <protection locked="true" hidden="false"/>
    </xf>
    <xf numFmtId="171" fontId="7" fillId="12" borderId="0" xfId="0" applyFont="true" applyBorder="false" applyAlignment="true" applyProtection="false">
      <alignment horizontal="center" vertical="center" textRotation="0" wrapText="false" indent="0" shrinkToFit="false"/>
      <protection locked="true" hidden="false"/>
    </xf>
    <xf numFmtId="164" fontId="7" fillId="12" borderId="0" xfId="0" applyFont="true" applyBorder="false" applyAlignment="true" applyProtection="false">
      <alignment horizontal="general" vertical="center" textRotation="0" wrapText="false" indent="0" shrinkToFit="false"/>
      <protection locked="true" hidden="false"/>
    </xf>
    <xf numFmtId="164" fontId="7" fillId="0" borderId="2" xfId="0" applyFont="true" applyBorder="true" applyAlignment="true" applyProtection="false">
      <alignment horizontal="center" vertical="center" textRotation="0" wrapText="false" indent="0" shrinkToFit="false"/>
      <protection locked="true" hidden="false"/>
    </xf>
    <xf numFmtId="170" fontId="7" fillId="0" borderId="2" xfId="0" applyFont="true" applyBorder="true" applyAlignment="true" applyProtection="false">
      <alignment horizontal="center" vertical="center" textRotation="0" wrapText="false" indent="0" shrinkToFit="false"/>
      <protection locked="true" hidden="false"/>
    </xf>
    <xf numFmtId="167" fontId="7" fillId="0" borderId="2" xfId="0" applyFont="true" applyBorder="true" applyAlignment="true" applyProtection="false">
      <alignment horizontal="center" vertical="center" textRotation="0" wrapText="false" indent="0" shrinkToFit="false"/>
      <protection locked="true" hidden="false"/>
    </xf>
    <xf numFmtId="173" fontId="9" fillId="9" borderId="7"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72" fontId="7" fillId="0" borderId="2" xfId="0" applyFont="true" applyBorder="true" applyAlignment="true" applyProtection="false">
      <alignment horizontal="center" vertical="center" textRotation="0" wrapText="false" indent="0" shrinkToFit="false"/>
      <protection locked="true" hidden="false"/>
    </xf>
    <xf numFmtId="174" fontId="7" fillId="0" borderId="2" xfId="0" applyFont="true" applyBorder="true" applyAlignment="true" applyProtection="false">
      <alignment horizontal="general" vertical="center" textRotation="0" wrapText="false" indent="0" shrinkToFit="false"/>
      <protection locked="true" hidden="false"/>
    </xf>
    <xf numFmtId="175" fontId="7" fillId="0" borderId="2" xfId="0" applyFont="true" applyBorder="true" applyAlignment="true" applyProtection="false">
      <alignment horizontal="center" vertical="center" textRotation="0" wrapText="false" indent="0" shrinkToFit="false"/>
      <protection locked="true" hidden="false"/>
    </xf>
    <xf numFmtId="164" fontId="20" fillId="2" borderId="4" xfId="0" applyFont="true" applyBorder="true" applyAlignment="true" applyProtection="true">
      <alignment horizontal="general" vertical="center" textRotation="0" wrapText="false" indent="0" shrinkToFit="false"/>
      <protection locked="false" hidden="false"/>
    </xf>
    <xf numFmtId="167" fontId="20" fillId="2" borderId="4" xfId="0" applyFont="true" applyBorder="true" applyAlignment="true" applyProtection="true">
      <alignment horizontal="center" vertical="center" textRotation="0" wrapText="false" indent="0" shrinkToFit="false"/>
      <protection locked="false" hidden="false"/>
    </xf>
    <xf numFmtId="164" fontId="17" fillId="8" borderId="6" xfId="0" applyFont="true" applyBorder="true" applyAlignment="true" applyProtection="false">
      <alignment horizontal="left"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20" fillId="2" borderId="4" xfId="0" applyFont="true" applyBorder="true" applyAlignment="true" applyProtection="true">
      <alignment horizontal="left" vertical="center" textRotation="0" wrapText="false" indent="0" shrinkToFit="false"/>
      <protection locked="false" hidden="false"/>
    </xf>
    <xf numFmtId="164" fontId="5" fillId="0" borderId="0" xfId="0" applyFont="true" applyBorder="false" applyAlignment="true" applyProtection="false">
      <alignment horizontal="general" vertical="center" textRotation="0" wrapText="true" indent="1" shrinkToFit="false"/>
      <protection locked="true" hidden="false"/>
    </xf>
    <xf numFmtId="172" fontId="20" fillId="2" borderId="4" xfId="0" applyFont="true" applyBorder="true" applyAlignment="true" applyProtection="true">
      <alignment horizontal="left" vertical="center" textRotation="0" wrapText="false" indent="0" shrinkToFit="false"/>
      <protection locked="false" hidden="false"/>
    </xf>
    <xf numFmtId="167" fontId="20" fillId="2" borderId="4" xfId="0" applyFont="true" applyBorder="true" applyAlignment="true" applyProtection="true">
      <alignment horizontal="left" vertical="center" textRotation="0" wrapText="false" indent="0" shrinkToFit="false"/>
      <protection locked="false" hidden="false"/>
    </xf>
    <xf numFmtId="176" fontId="20" fillId="2" borderId="4" xfId="0" applyFont="true" applyBorder="true" applyAlignment="true" applyProtection="true">
      <alignment horizontal="left" vertical="center" textRotation="0" wrapText="false" indent="0" shrinkToFit="false"/>
      <protection locked="false" hidden="false"/>
    </xf>
    <xf numFmtId="170" fontId="20" fillId="2" borderId="4" xfId="0" applyFont="true" applyBorder="true" applyAlignment="true" applyProtection="true">
      <alignment horizontal="left" vertical="center" textRotation="0" wrapText="false" indent="0" shrinkToFit="false"/>
      <protection locked="false" hidden="false"/>
    </xf>
    <xf numFmtId="166" fontId="20" fillId="2" borderId="4" xfId="0" applyFont="true" applyBorder="true" applyAlignment="true" applyProtection="true">
      <alignment horizontal="left" vertical="center" textRotation="0" wrapText="fals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7">
    <dxf>
      <font>
        <b val="1"/>
        <color rgb="FF1D6B3A"/>
      </font>
      <fill>
        <patternFill>
          <bgColor rgb="FFDDF2E3"/>
        </patternFill>
      </fill>
    </dxf>
    <dxf>
      <font>
        <b val="1"/>
        <color rgb="FFA3241A"/>
      </font>
      <fill>
        <patternFill>
          <bgColor rgb="FFFBE1DE"/>
        </patternFill>
      </fill>
    </dxf>
    <dxf>
      <font>
        <b val="1"/>
        <color rgb="FF8A4A06"/>
      </font>
    </dxf>
    <dxf>
      <font>
        <b val="1"/>
        <color rgb="FFA3241A"/>
      </font>
    </dxf>
    <dxf>
      <fill>
        <patternFill patternType="solid">
          <fgColor rgb="FFE8EAF3"/>
          <bgColor rgb="FF000000"/>
        </patternFill>
      </fill>
    </dxf>
    <dxf>
      <fill>
        <patternFill patternType="solid">
          <fgColor rgb="FFFFF4CC"/>
          <bgColor rgb="FF000000"/>
        </patternFill>
      </fill>
    </dxf>
    <dxf>
      <fill>
        <patternFill patternType="solid">
          <fgColor rgb="FF1A3E8C"/>
          <bgColor rgb="FF000000"/>
        </patternFill>
      </fill>
    </dxf>
    <dxf>
      <fill>
        <patternFill patternType="solid">
          <fgColor rgb="FF1F2933"/>
          <bgColor rgb="FF000000"/>
        </patternFill>
      </fill>
    </dxf>
    <dxf>
      <fill>
        <patternFill patternType="solid">
          <fgColor rgb="FFFBE1DE"/>
          <bgColor rgb="FF000000"/>
        </patternFill>
      </fill>
    </dxf>
    <dxf>
      <fill>
        <patternFill patternType="solid">
          <fgColor rgb="FFA3241A"/>
          <bgColor rgb="FF000000"/>
        </patternFill>
      </fill>
    </dxf>
    <dxf>
      <fill>
        <patternFill patternType="solid">
          <fgColor rgb="FF5B6072"/>
          <bgColor rgb="FF000000"/>
        </patternFill>
      </fill>
    </dxf>
    <dxf>
      <fill>
        <patternFill patternType="solid">
          <fgColor rgb="FFF4F5F9"/>
          <bgColor rgb="FF000000"/>
        </patternFill>
      </fill>
    </dxf>
    <dxf>
      <fill>
        <patternFill patternType="solid">
          <fgColor rgb="FFFFFFFF"/>
          <bgColor rgb="FF000000"/>
        </patternFill>
      </fill>
    </dxf>
    <dxf>
      <font>
        <color rgb="FF1D6B3A"/>
      </font>
      <fill>
        <patternFill>
          <bgColor rgb="FFDDF2E3"/>
        </patternFill>
      </fill>
    </dxf>
    <dxf>
      <font>
        <b val="1"/>
        <color rgb="FF8A4A06"/>
      </font>
      <fill>
        <patternFill>
          <bgColor rgb="FFFDE6CC"/>
        </patternFill>
      </fill>
    </dxf>
    <dxf>
      <fill>
        <patternFill patternType="solid">
          <fgColor rgb="FF2E3A87"/>
          <bgColor rgb="FF000000"/>
        </patternFill>
      </fill>
    </dxf>
    <dxf>
      <fill>
        <patternFill patternType="solid">
          <bgColor rgb="FF000000"/>
        </patternFill>
      </fill>
    </dxf>
  </dxfs>
  <colors>
    <indexedColors>
      <rgbColor rgb="FF000000"/>
      <rgbColor rgb="FFFFFFFF"/>
      <rgbColor rgb="FFFF0000"/>
      <rgbColor rgb="FF00FF00"/>
      <rgbColor rgb="FF0000FF"/>
      <rgbColor rgb="FFF4F5F9"/>
      <rgbColor rgb="FFFF00FF"/>
      <rgbColor rgb="FF00FFFF"/>
      <rgbColor rgb="FF800000"/>
      <rgbColor rgb="FF1D6B3A"/>
      <rgbColor rgb="FF000080"/>
      <rgbColor rgb="FF808000"/>
      <rgbColor rgb="FF800080"/>
      <rgbColor rgb="FF008080"/>
      <rgbColor rgb="FFD9D9D9"/>
      <rgbColor rgb="FF878787"/>
      <rgbColor rgb="FFE6E9EE"/>
      <rgbColor rgb="FF8A4A06"/>
      <rgbColor rgb="FFFFF4CC"/>
      <rgbColor rgb="FFEEF0FA"/>
      <rgbColor rgb="FF660066"/>
      <rgbColor rgb="FFFF8080"/>
      <rgbColor rgb="FF1A3E8C"/>
      <rgbColor rgb="FFD5D9E6"/>
      <rgbColor rgb="FF000080"/>
      <rgbColor rgb="FFFF00FF"/>
      <rgbColor rgb="FFFFFF00"/>
      <rgbColor rgb="FF00FFFF"/>
      <rgbColor rgb="FF800080"/>
      <rgbColor rgb="FF800000"/>
      <rgbColor rgb="FF008080"/>
      <rgbColor rgb="FF0000FF"/>
      <rgbColor rgb="FF00CCFF"/>
      <rgbColor rgb="FFE8EAF3"/>
      <rgbColor rgb="FFDDF2E3"/>
      <rgbColor rgb="FFFDE6CC"/>
      <rgbColor rgb="FFD9DDE3"/>
      <rgbColor rgb="FFFBE1DE"/>
      <rgbColor rgb="FFE3E5E8"/>
      <rgbColor rgb="FFE8D9A0"/>
      <rgbColor rgb="FF4453B8"/>
      <rgbColor rgb="FF33CCCC"/>
      <rgbColor rgb="FF99CC00"/>
      <rgbColor rgb="FFFFCC00"/>
      <rgbColor rgb="FFC98A00"/>
      <rgbColor rgb="FFFF6600"/>
      <rgbColor rgb="FF6B7280"/>
      <rgbColor rgb="FF969696"/>
      <rgbColor rgb="FF1F2766"/>
      <rgbColor rgb="FF339966"/>
      <rgbColor rgb="FF003300"/>
      <rgbColor rgb="FF222222"/>
      <rgbColor rgb="FFA3241A"/>
      <rgbColor rgb="FF5B6072"/>
      <rgbColor rgb="FF2E3A87"/>
      <rgbColor rgb="FF1F29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200" spc="-1" strike="noStrike">
                <a:solidFill>
                  <a:srgbClr val="222222"/>
                </a:solidFill>
                <a:latin typeface="Calibri"/>
              </a:defRPr>
            </a:pPr>
            <a:r>
              <a:rPr b="1" sz="1200" spc="-1" strike="noStrike">
                <a:solidFill>
                  <a:srgbClr val="222222"/>
                </a:solidFill>
                <a:latin typeface="Calibri"/>
              </a:rPr>
              <a:t>Student contact hours by program area</a:t>
            </a:r>
          </a:p>
        </c:rich>
      </c:tx>
      <c:overlay val="0"/>
      <c:spPr>
        <a:noFill/>
        <a:ln w="0">
          <a:noFill/>
        </a:ln>
      </c:spPr>
    </c:title>
    <c:autoTitleDeleted val="0"/>
    <c:plotArea>
      <c:barChart>
        <c:barDir val="bar"/>
        <c:grouping val="clustered"/>
        <c:varyColors val="0"/>
        <c:ser>
          <c:idx val="0"/>
          <c:order val="0"/>
          <c:spPr>
            <a:solidFill>
              <a:srgbClr val="4453b8"/>
            </a:solidFill>
            <a:ln w="0">
              <a:solidFill>
                <a:srgbClr val="4453b8"/>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'FUNDER REPORT'!$B$19:$B$23</c:f>
              <c:strCache>
                <c:ptCount val="5"/>
                <c:pt idx="0">
                  <c:v>Visual Arts</c:v>
                </c:pt>
                <c:pt idx="1">
                  <c:v>Theater</c:v>
                </c:pt>
                <c:pt idx="2">
                  <c:v>Music</c:v>
                </c:pt>
                <c:pt idx="3">
                  <c:v>Dance and Movement</c:v>
                </c:pt>
                <c:pt idx="4">
                  <c:v>Digital Media</c:v>
                </c:pt>
              </c:strCache>
            </c:strRef>
          </c:cat>
          <c:val>
            <c:numRef>
              <c:f>'FUNDER REPORT'!$G$19:$G$23</c:f>
              <c:numCache>
                <c:formatCode>#,##0</c:formatCode>
                <c:ptCount val="5"/>
                <c:pt idx="0">
                  <c:v>857.4</c:v>
                </c:pt>
                <c:pt idx="1">
                  <c:v>1032.1</c:v>
                </c:pt>
                <c:pt idx="2">
                  <c:v>554</c:v>
                </c:pt>
                <c:pt idx="3">
                  <c:v>1349.5</c:v>
                </c:pt>
                <c:pt idx="4">
                  <c:v>1173</c:v>
                </c:pt>
              </c:numCache>
            </c:numRef>
          </c:val>
        </c:ser>
        <c:gapWidth val="60"/>
        <c:overlap val="0"/>
        <c:axId val="23287657"/>
        <c:axId val="74363843"/>
      </c:barChart>
      <c:catAx>
        <c:axId val="23287657"/>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4363843"/>
        <c:crosses val="autoZero"/>
        <c:auto val="1"/>
        <c:lblAlgn val="ctr"/>
        <c:lblOffset val="100"/>
        <c:noMultiLvlLbl val="0"/>
      </c:catAx>
      <c:valAx>
        <c:axId val="74363843"/>
        <c:scaling>
          <c:orientation val="minMax"/>
        </c:scaling>
        <c:delete val="0"/>
        <c:axPos val="l"/>
        <c:majorGridlines>
          <c:spPr>
            <a:ln w="9360">
              <a:solidFill>
                <a:srgbClr val="e3e5e8"/>
              </a:solidFill>
              <a:round/>
            </a:ln>
          </c:spPr>
        </c:majorGridlines>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3287657"/>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200" spc="-1" strike="noStrike">
                <a:solidFill>
                  <a:srgbClr val="222222"/>
                </a:solidFill>
                <a:latin typeface="Calibri"/>
              </a:defRPr>
            </a:pPr>
            <a:r>
              <a:rPr b="1" sz="1200" spc="-1" strike="noStrike">
                <a:solidFill>
                  <a:srgbClr val="222222"/>
                </a:solidFill>
                <a:latin typeface="Calibri"/>
              </a:rPr>
              <a:t>Attendance rate by month</a:t>
            </a:r>
          </a:p>
        </c:rich>
      </c:tx>
      <c:overlay val="0"/>
      <c:spPr>
        <a:noFill/>
        <a:ln w="0">
          <a:noFill/>
        </a:ln>
      </c:spPr>
    </c:title>
    <c:autoTitleDeleted val="0"/>
    <c:plotArea>
      <c:lineChart>
        <c:grouping val="standard"/>
        <c:varyColors val="0"/>
        <c:ser>
          <c:idx val="0"/>
          <c:order val="0"/>
          <c:spPr>
            <a:solidFill>
              <a:srgbClr val="4453b8"/>
            </a:solidFill>
            <a:ln w="28080">
              <a:solidFill>
                <a:srgbClr val="4453b8"/>
              </a:solidFill>
              <a:round/>
            </a:ln>
          </c:spPr>
          <c:marker>
            <c:symbol val="circle"/>
            <c:size val="6"/>
            <c:spPr>
              <a:solidFill>
                <a:srgbClr val="4453b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 TRENDS'!$B$7:$B$15</c:f>
              <c:strCache>
                <c:ptCount val="9"/>
                <c:pt idx="0">
                  <c:v>Sep 2025</c:v>
                </c:pt>
                <c:pt idx="1">
                  <c:v>Oct 2025</c:v>
                </c:pt>
                <c:pt idx="2">
                  <c:v>Nov 2025</c:v>
                </c:pt>
                <c:pt idx="3">
                  <c:v>Dec 2025</c:v>
                </c:pt>
                <c:pt idx="4">
                  <c:v>Jan 2026</c:v>
                </c:pt>
                <c:pt idx="5">
                  <c:v>Feb 2026</c:v>
                </c:pt>
                <c:pt idx="6">
                  <c:v>Mar 2026</c:v>
                </c:pt>
                <c:pt idx="7">
                  <c:v>Apr 2026</c:v>
                </c:pt>
                <c:pt idx="8">
                  <c:v>May 2026</c:v>
                </c:pt>
              </c:strCache>
            </c:strRef>
          </c:cat>
          <c:val>
            <c:numRef>
              <c:f>'MONTH TRENDS'!$G$7:$G$15</c:f>
              <c:numCache>
                <c:formatCode>0%</c:formatCode>
                <c:ptCount val="9"/>
                <c:pt idx="0">
                  <c:v>0.851114649681529</c:v>
                </c:pt>
                <c:pt idx="1">
                  <c:v>0.854663774403471</c:v>
                </c:pt>
                <c:pt idx="2">
                  <c:v>0.828593996840442</c:v>
                </c:pt>
                <c:pt idx="3">
                  <c:v>0.750771604938272</c:v>
                </c:pt>
                <c:pt idx="4">
                  <c:v>0.809692671394799</c:v>
                </c:pt>
                <c:pt idx="5">
                  <c:v>0.762753534111862</c:v>
                </c:pt>
                <c:pt idx="6">
                  <c:v>0.841375150784077</c:v>
                </c:pt>
                <c:pt idx="7">
                  <c:v>0.858262573481385</c:v>
                </c:pt>
                <c:pt idx="8">
                  <c:v>0.801732435033686</c:v>
                </c:pt>
              </c:numCache>
            </c:numRef>
          </c:val>
          <c:smooth val="1"/>
        </c:ser>
        <c:hiLowLines>
          <c:spPr>
            <a:ln w="0">
              <a:noFill/>
            </a:ln>
          </c:spPr>
        </c:hiLowLines>
        <c:marker val="1"/>
        <c:axId val="59993139"/>
        <c:axId val="35621623"/>
      </c:lineChart>
      <c:catAx>
        <c:axId val="59993139"/>
        <c:scaling>
          <c:orientation val="minMax"/>
        </c:scaling>
        <c:delete val="0"/>
        <c:axPos val="b"/>
        <c:numFmt formatCode="mmm"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621623"/>
        <c:crosses val="autoZero"/>
        <c:auto val="1"/>
        <c:lblAlgn val="ctr"/>
        <c:lblOffset val="100"/>
        <c:noMultiLvlLbl val="0"/>
      </c:catAx>
      <c:valAx>
        <c:axId val="35621623"/>
        <c:scaling>
          <c:orientation val="minMax"/>
          <c:max val="1"/>
          <c:min val="0.6"/>
        </c:scaling>
        <c:delete val="0"/>
        <c:axPos val="l"/>
        <c:majorGridlines>
          <c:spPr>
            <a:ln w="9360">
              <a:solidFill>
                <a:srgbClr val="e3e5e8"/>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999313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200" spc="-1" strike="noStrike">
                <a:solidFill>
                  <a:srgbClr val="222222"/>
                </a:solidFill>
                <a:latin typeface="Calibri"/>
              </a:defRPr>
            </a:pPr>
            <a:r>
              <a:rPr b="1" sz="1200" spc="-1" strike="noStrike">
                <a:solidFill>
                  <a:srgbClr val="222222"/>
                </a:solidFill>
                <a:latin typeface="Calibri"/>
              </a:rPr>
              <a:t>Average student reflection score by month (1 to 5)</a:t>
            </a:r>
          </a:p>
        </c:rich>
      </c:tx>
      <c:overlay val="0"/>
      <c:spPr>
        <a:noFill/>
        <a:ln w="0">
          <a:noFill/>
        </a:ln>
      </c:spPr>
    </c:title>
    <c:autoTitleDeleted val="0"/>
    <c:plotArea>
      <c:lineChart>
        <c:grouping val="standard"/>
        <c:varyColors val="0"/>
        <c:ser>
          <c:idx val="0"/>
          <c:order val="0"/>
          <c:spPr>
            <a:solidFill>
              <a:srgbClr val="c98a00"/>
            </a:solidFill>
            <a:ln w="28080">
              <a:solidFill>
                <a:srgbClr val="c98a00"/>
              </a:solidFill>
              <a:round/>
            </a:ln>
          </c:spPr>
          <c:marker>
            <c:symbol val="circle"/>
            <c:size val="6"/>
            <c:spPr>
              <a:solidFill>
                <a:srgbClr val="c98a0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 TRENDS'!$B$7:$B$15</c:f>
              <c:strCache>
                <c:ptCount val="9"/>
                <c:pt idx="0">
                  <c:v>Sep 2025</c:v>
                </c:pt>
                <c:pt idx="1">
                  <c:v>Oct 2025</c:v>
                </c:pt>
                <c:pt idx="2">
                  <c:v>Nov 2025</c:v>
                </c:pt>
                <c:pt idx="3">
                  <c:v>Dec 2025</c:v>
                </c:pt>
                <c:pt idx="4">
                  <c:v>Jan 2026</c:v>
                </c:pt>
                <c:pt idx="5">
                  <c:v>Feb 2026</c:v>
                </c:pt>
                <c:pt idx="6">
                  <c:v>Mar 2026</c:v>
                </c:pt>
                <c:pt idx="7">
                  <c:v>Apr 2026</c:v>
                </c:pt>
                <c:pt idx="8">
                  <c:v>May 2026</c:v>
                </c:pt>
              </c:strCache>
            </c:strRef>
          </c:cat>
          <c:val>
            <c:numRef>
              <c:f>'MONTH TRENDS'!$H$7:$H$15</c:f>
              <c:numCache>
                <c:formatCode>0.00</c:formatCode>
                <c:ptCount val="9"/>
                <c:pt idx="0">
                  <c:v>3.14197530864198</c:v>
                </c:pt>
                <c:pt idx="1">
                  <c:v>3.28073394495413</c:v>
                </c:pt>
                <c:pt idx="2">
                  <c:v>3.39305555555556</c:v>
                </c:pt>
                <c:pt idx="3">
                  <c:v>3.52837837837838</c:v>
                </c:pt>
                <c:pt idx="4">
                  <c:v>3.61734693877551</c:v>
                </c:pt>
                <c:pt idx="5">
                  <c:v>3.71354166666667</c:v>
                </c:pt>
                <c:pt idx="6">
                  <c:v>3.84285714285714</c:v>
                </c:pt>
                <c:pt idx="7">
                  <c:v>3.89550561797753</c:v>
                </c:pt>
                <c:pt idx="8">
                  <c:v>4.01612903225807</c:v>
                </c:pt>
              </c:numCache>
            </c:numRef>
          </c:val>
          <c:smooth val="1"/>
        </c:ser>
        <c:hiLowLines>
          <c:spPr>
            <a:ln w="0">
              <a:noFill/>
            </a:ln>
          </c:spPr>
        </c:hiLowLines>
        <c:marker val="1"/>
        <c:axId val="78799128"/>
        <c:axId val="50313811"/>
      </c:lineChart>
      <c:catAx>
        <c:axId val="78799128"/>
        <c:scaling>
          <c:orientation val="minMax"/>
        </c:scaling>
        <c:delete val="0"/>
        <c:axPos val="b"/>
        <c:numFmt formatCode="mmm"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0313811"/>
        <c:crosses val="autoZero"/>
        <c:auto val="1"/>
        <c:lblAlgn val="ctr"/>
        <c:lblOffset val="100"/>
        <c:noMultiLvlLbl val="0"/>
      </c:catAx>
      <c:valAx>
        <c:axId val="50313811"/>
        <c:scaling>
          <c:orientation val="minMax"/>
          <c:max val="5"/>
          <c:min val="2.5"/>
        </c:scaling>
        <c:delete val="0"/>
        <c:axPos val="l"/>
        <c:majorGridlines>
          <c:spPr>
            <a:ln w="9360">
              <a:solidFill>
                <a:srgbClr val="e3e5e8"/>
              </a:solidFill>
              <a:round/>
            </a:ln>
          </c:spPr>
        </c:majorGridlines>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879912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3.xml.rels><?xml version="1.0" encoding="UTF-8"?>
<Relationships xmlns="http://schemas.openxmlformats.org/package/2006/relationships"><Relationship Id="rId1" Type="http://schemas.openxmlformats.org/officeDocument/2006/relationships/chart" Target="../charts/chart2.xml"/><Relationship Id="rId2"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0</xdr:colOff>
      <xdr:row>16</xdr:row>
      <xdr:rowOff>0</xdr:rowOff>
    </xdr:from>
    <xdr:to>
      <xdr:col>13</xdr:col>
      <xdr:colOff>409320</xdr:colOff>
      <xdr:row>26</xdr:row>
      <xdr:rowOff>53640</xdr:rowOff>
    </xdr:to>
    <xdr:graphicFrame>
      <xdr:nvGraphicFramePr>
        <xdr:cNvPr id="0" name="Chart 1"/>
        <xdr:cNvGraphicFramePr/>
      </xdr:nvGraphicFramePr>
      <xdr:xfrm>
        <a:off x="7330320" y="3809880"/>
        <a:ext cx="4499640" cy="23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0</xdr:colOff>
      <xdr:row>3</xdr:row>
      <xdr:rowOff>0</xdr:rowOff>
    </xdr:from>
    <xdr:to>
      <xdr:col>18</xdr:col>
      <xdr:colOff>507600</xdr:colOff>
      <xdr:row>13</xdr:row>
      <xdr:rowOff>33840</xdr:rowOff>
    </xdr:to>
    <xdr:graphicFrame>
      <xdr:nvGraphicFramePr>
        <xdr:cNvPr id="1" name="Chart 1"/>
        <xdr:cNvGraphicFramePr/>
      </xdr:nvGraphicFramePr>
      <xdr:xfrm>
        <a:off x="6766560" y="847800"/>
        <a:ext cx="539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0</xdr:colOff>
      <xdr:row>15</xdr:row>
      <xdr:rowOff>0</xdr:rowOff>
    </xdr:from>
    <xdr:to>
      <xdr:col>18</xdr:col>
      <xdr:colOff>507600</xdr:colOff>
      <xdr:row>28</xdr:row>
      <xdr:rowOff>5040</xdr:rowOff>
    </xdr:to>
    <xdr:graphicFrame>
      <xdr:nvGraphicFramePr>
        <xdr:cNvPr id="2" name="Chart 2"/>
        <xdr:cNvGraphicFramePr/>
      </xdr:nvGraphicFramePr>
      <xdr:xfrm>
        <a:off x="6766560" y="3790800"/>
        <a:ext cx="5399640" cy="251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Sites" displayName="tblSites" ref="B4:I34" headerRowCount="1" totalsRowCount="0" totalsRowShown="0">
  <autoFilter ref="B4:I34"/>
  <tableColumns count="8">
    <tableColumn id="1" name="Site ID"/>
    <tableColumn id="2" name="School"/>
    <tableColumn id="3" name="Area"/>
    <tableColumn id="4" name="Program area"/>
    <tableColumn id="5" name="Lead facilitator"/>
    <tableColumn id="6" name="Sessions per week"/>
    <tableColumn id="7" name="Planned per month"/>
    <tableColumn id="8" name="Enrollment goal"/>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6.xml.rels><?xml version="1.0" encoding="UTF-8"?>
<Relationships xmlns="http://schemas.openxmlformats.org/package/2006/relationships"><Relationship Id="rId1" Type="http://schemas.openxmlformats.org/officeDocument/2006/relationships/drawing" Target="../drawings/drawing3.xml"/>
</Relationships>
</file>

<file path=xl/worksheets/_rels/sheet8.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2766"/>
    <pageSetUpPr fitToPage="true"/>
  </sheetPr>
  <dimension ref="B1:D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
    <col collapsed="false" customWidth="true" hidden="false" outlineLevel="0" max="3" min="3" style="0" width="26"/>
    <col collapsed="false" customWidth="true" hidden="false" outlineLevel="0" max="4" min="4" style="0" width="86"/>
  </cols>
  <sheetData>
    <row r="1" customFormat="false" ht="33.75" hidden="false" customHeight="true" outlineLevel="0" collapsed="false">
      <c r="B1" s="1" t="s">
        <v>0</v>
      </c>
    </row>
    <row r="2" customFormat="false" ht="15" hidden="false" customHeight="false" outlineLevel="0" collapsed="false">
      <c r="B2" s="2" t="s">
        <v>1</v>
      </c>
    </row>
    <row r="4" customFormat="false" ht="15" hidden="false" customHeight="false" outlineLevel="0" collapsed="false">
      <c r="B4" s="3" t="s">
        <v>2</v>
      </c>
    </row>
    <row r="5" customFormat="false" ht="66" hidden="false" customHeight="true" outlineLevel="0" collapsed="false">
      <c r="B5" s="4" t="s">
        <v>3</v>
      </c>
      <c r="C5" s="4"/>
      <c r="D5" s="4"/>
    </row>
    <row r="7" customFormat="false" ht="15" hidden="false" customHeight="false" outlineLevel="0" collapsed="false">
      <c r="B7" s="3" t="s">
        <v>4</v>
      </c>
    </row>
    <row r="8" customFormat="false" ht="31.5" hidden="false" customHeight="true" outlineLevel="0" collapsed="false">
      <c r="B8" s="5" t="n">
        <v>1</v>
      </c>
      <c r="C8" s="6" t="s">
        <v>5</v>
      </c>
      <c r="D8" s="7" t="s">
        <v>6</v>
      </c>
    </row>
    <row r="9" customFormat="false" ht="31.5" hidden="false" customHeight="true" outlineLevel="0" collapsed="false">
      <c r="B9" s="5" t="n">
        <v>2</v>
      </c>
      <c r="C9" s="6" t="s">
        <v>7</v>
      </c>
      <c r="D9" s="7" t="s">
        <v>8</v>
      </c>
    </row>
    <row r="10" customFormat="false" ht="31.5" hidden="false" customHeight="true" outlineLevel="0" collapsed="false">
      <c r="B10" s="5" t="n">
        <v>3</v>
      </c>
      <c r="C10" s="6" t="s">
        <v>9</v>
      </c>
      <c r="D10" s="7" t="s">
        <v>10</v>
      </c>
    </row>
    <row r="11" customFormat="false" ht="31.5" hidden="false" customHeight="true" outlineLevel="0" collapsed="false">
      <c r="B11" s="5" t="n">
        <v>4</v>
      </c>
      <c r="C11" s="6" t="s">
        <v>11</v>
      </c>
      <c r="D11" s="7" t="s">
        <v>12</v>
      </c>
    </row>
    <row r="12" customFormat="false" ht="31.5" hidden="false" customHeight="true" outlineLevel="0" collapsed="false">
      <c r="B12" s="5" t="n">
        <v>5</v>
      </c>
      <c r="C12" s="6" t="s">
        <v>13</v>
      </c>
      <c r="D12" s="7" t="s">
        <v>14</v>
      </c>
    </row>
    <row r="13" customFormat="false" ht="31.5" hidden="false" customHeight="true" outlineLevel="0" collapsed="false">
      <c r="B13" s="5" t="n">
        <v>6</v>
      </c>
      <c r="C13" s="6" t="s">
        <v>15</v>
      </c>
      <c r="D13" s="7" t="s">
        <v>16</v>
      </c>
    </row>
    <row r="15" customFormat="false" ht="15" hidden="false" customHeight="false" outlineLevel="0" collapsed="false">
      <c r="B15" s="3" t="s">
        <v>17</v>
      </c>
    </row>
    <row r="16" customFormat="false" ht="19.5" hidden="false" customHeight="true" outlineLevel="0" collapsed="false">
      <c r="C16" s="8" t="s">
        <v>18</v>
      </c>
      <c r="D16" s="9" t="s">
        <v>19</v>
      </c>
    </row>
    <row r="17" customFormat="false" ht="19.5" hidden="false" customHeight="true" outlineLevel="0" collapsed="false">
      <c r="C17" s="10" t="s">
        <v>20</v>
      </c>
      <c r="D17" s="9" t="s">
        <v>21</v>
      </c>
    </row>
    <row r="18" customFormat="false" ht="19.5" hidden="false" customHeight="true" outlineLevel="0" collapsed="false">
      <c r="C18" s="11" t="s">
        <v>22</v>
      </c>
      <c r="D18" s="9" t="s">
        <v>23</v>
      </c>
    </row>
    <row r="19" customFormat="false" ht="19.5" hidden="false" customHeight="true" outlineLevel="0" collapsed="false">
      <c r="C19" s="12" t="s">
        <v>24</v>
      </c>
      <c r="D19" s="9" t="s">
        <v>25</v>
      </c>
    </row>
    <row r="20" customFormat="false" ht="19.5" hidden="false" customHeight="true" outlineLevel="0" collapsed="false">
      <c r="C20" s="13" t="s">
        <v>26</v>
      </c>
      <c r="D20" s="9" t="s">
        <v>27</v>
      </c>
    </row>
    <row r="22" customFormat="false" ht="15" hidden="false" customHeight="false" outlineLevel="0" collapsed="false">
      <c r="B22" s="3" t="s">
        <v>28</v>
      </c>
    </row>
    <row r="23" customFormat="false" ht="18.75" hidden="false" customHeight="true" outlineLevel="0" collapsed="false">
      <c r="C23" s="14" t="s">
        <v>29</v>
      </c>
      <c r="D23" s="15" t="s">
        <v>30</v>
      </c>
    </row>
    <row r="24" customFormat="false" ht="18.75" hidden="false" customHeight="true" outlineLevel="0" collapsed="false">
      <c r="C24" s="14" t="s">
        <v>31</v>
      </c>
      <c r="D24" s="15" t="s">
        <v>32</v>
      </c>
    </row>
    <row r="25" customFormat="false" ht="18.75" hidden="false" customHeight="true" outlineLevel="0" collapsed="false">
      <c r="C25" s="14" t="s">
        <v>33</v>
      </c>
      <c r="D25" s="15" t="s">
        <v>34</v>
      </c>
    </row>
    <row r="26" customFormat="false" ht="18.75" hidden="false" customHeight="true" outlineLevel="0" collapsed="false">
      <c r="C26" s="14" t="s">
        <v>35</v>
      </c>
      <c r="D26" s="15" t="s">
        <v>36</v>
      </c>
    </row>
    <row r="27" customFormat="false" ht="18.75" hidden="false" customHeight="true" outlineLevel="0" collapsed="false">
      <c r="C27" s="14" t="s">
        <v>37</v>
      </c>
      <c r="D27" s="15" t="s">
        <v>38</v>
      </c>
    </row>
    <row r="28" customFormat="false" ht="18.75" hidden="false" customHeight="true" outlineLevel="0" collapsed="false">
      <c r="C28" s="14" t="s">
        <v>39</v>
      </c>
      <c r="D28" s="15" t="s">
        <v>40</v>
      </c>
    </row>
    <row r="29" customFormat="false" ht="18.75" hidden="false" customHeight="true" outlineLevel="0" collapsed="false">
      <c r="C29" s="14" t="s">
        <v>41</v>
      </c>
      <c r="D29" s="15" t="s">
        <v>42</v>
      </c>
    </row>
    <row r="30" customFormat="false" ht="18.75" hidden="false" customHeight="true" outlineLevel="0" collapsed="false">
      <c r="C30" s="14" t="s">
        <v>43</v>
      </c>
      <c r="D30" s="15" t="s">
        <v>44</v>
      </c>
    </row>
    <row r="32" customFormat="false" ht="31.5" hidden="false" customHeight="true" outlineLevel="0" collapsed="false">
      <c r="B32" s="16" t="s">
        <v>45</v>
      </c>
      <c r="C32" s="16"/>
      <c r="D32" s="16"/>
    </row>
    <row r="33" customFormat="false" ht="15" hidden="false" customHeight="false" outlineLevel="0" collapsed="false">
      <c r="B33" s="17" t="s">
        <v>46</v>
      </c>
    </row>
  </sheetData>
  <sheetProtection sheet="true" formatColumns="false" formatRows="false" sort="false" autoFilter="false"/>
  <mergeCells count="2">
    <mergeCell ref="B5:D5"/>
    <mergeCell ref="B32:D32"/>
  </mergeCells>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7A4D"/>
    <pageSetUpPr fitToPage="true"/>
  </sheetPr>
  <dimension ref="B1:G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
    <col collapsed="false" customWidth="true" hidden="false" outlineLevel="0" max="3" min="3" style="0" width="64"/>
    <col collapsed="false" customWidth="true" hidden="false" outlineLevel="0" max="5" min="4" style="0" width="14"/>
    <col collapsed="false" customWidth="true" hidden="false" outlineLevel="0" max="7" min="6" style="0" width="12"/>
  </cols>
  <sheetData>
    <row r="1" customFormat="false" ht="33.75" hidden="false" customHeight="true" outlineLevel="0" collapsed="false">
      <c r="B1" s="1" t="s">
        <v>47</v>
      </c>
    </row>
    <row r="2" customFormat="false" ht="15" hidden="false" customHeight="false" outlineLevel="0" collapsed="false">
      <c r="B2" s="2" t="str">
        <f aca="false">"Rollups and the funder report should agree with the session log. Funder checks use "&amp;RptQ&amp;"."</f>
        <v>Rollups and the funder report should agree with the session log. Funder checks use FY2026 Q3.</v>
      </c>
    </row>
    <row r="4" customFormat="false" ht="36" hidden="false" customHeight="true" outlineLevel="0" collapsed="false">
      <c r="B4" s="18" t="str">
        <f aca="false">IF(COUNTIF(G7:G20,"Review")=0,"All checks pass. The funder report is ready to send.",COUNTIF(G7:G20,"Review")&amp;IF(COUNTIF(G7:G20,"Review")=1," check needs"," checks need")&amp;" review before the funder report goes out.")</f>
        <v>4 checks need review before the funder report goes out.</v>
      </c>
      <c r="C4" s="18"/>
      <c r="D4" s="18"/>
      <c r="E4" s="18"/>
      <c r="F4" s="18"/>
      <c r="G4" s="18"/>
    </row>
    <row r="6" customFormat="false" ht="24" hidden="false" customHeight="true" outlineLevel="0" collapsed="false">
      <c r="B6" s="19" t="s">
        <v>48</v>
      </c>
      <c r="C6" s="20" t="s">
        <v>49</v>
      </c>
      <c r="D6" s="19" t="s">
        <v>50</v>
      </c>
      <c r="E6" s="19" t="s">
        <v>51</v>
      </c>
      <c r="F6" s="19" t="s">
        <v>52</v>
      </c>
      <c r="G6" s="19" t="s">
        <v>53</v>
      </c>
    </row>
    <row r="7" customFormat="false" ht="25.5" hidden="false" customHeight="true" outlineLevel="0" collapsed="false">
      <c r="B7" s="21" t="n">
        <v>1</v>
      </c>
      <c r="C7" s="22" t="s">
        <v>54</v>
      </c>
      <c r="D7" s="23" t="n">
        <f aca="false">COUNTIFS(lg_Include,"Yes")</f>
        <v>780</v>
      </c>
      <c r="E7" s="23" t="n">
        <f aca="false">sr_Sessions</f>
        <v>780</v>
      </c>
      <c r="F7" s="23" t="n">
        <f aca="false">ROUND(D7-E7,2)</f>
        <v>0</v>
      </c>
      <c r="G7" s="24" t="str">
        <f aca="false">IF(F7=0,"OK","Review")</f>
        <v>OK</v>
      </c>
    </row>
    <row r="8" customFormat="false" ht="25.5" hidden="false" customHeight="true" outlineLevel="0" collapsed="false">
      <c r="B8" s="21" t="n">
        <v>2</v>
      </c>
      <c r="C8" s="22" t="s">
        <v>55</v>
      </c>
      <c r="D8" s="23" t="n">
        <f aca="false">COUNTIFS(lg_Include,"Yes")</f>
        <v>780</v>
      </c>
      <c r="E8" s="23" t="n">
        <f aca="false">mt_Sessions</f>
        <v>780</v>
      </c>
      <c r="F8" s="23" t="n">
        <f aca="false">ROUND(D8-E8,2)</f>
        <v>0</v>
      </c>
      <c r="G8" s="24" t="str">
        <f aca="false">IF(F8=0,"OK","Review")</f>
        <v>OK</v>
      </c>
    </row>
    <row r="9" customFormat="false" ht="25.5" hidden="false" customHeight="true" outlineLevel="0" collapsed="false">
      <c r="B9" s="21" t="n">
        <v>3</v>
      </c>
      <c r="C9" s="22" t="s">
        <v>56</v>
      </c>
      <c r="D9" s="23" t="n">
        <f aca="false">COUNTIFS(lg_Include,"Yes")</f>
        <v>780</v>
      </c>
      <c r="E9" s="23" t="n">
        <f aca="false">fr_Sessions</f>
        <v>780</v>
      </c>
      <c r="F9" s="23" t="n">
        <f aca="false">ROUND(D9-E9,2)</f>
        <v>0</v>
      </c>
      <c r="G9" s="24" t="str">
        <f aca="false">IF(F9=0,"OK","Review")</f>
        <v>OK</v>
      </c>
    </row>
    <row r="10" customFormat="false" ht="25.5" hidden="false" customHeight="true" outlineLevel="0" collapsed="false">
      <c r="B10" s="21" t="n">
        <v>4</v>
      </c>
      <c r="C10" s="22" t="s">
        <v>57</v>
      </c>
      <c r="D10" s="23" t="n">
        <f aca="false">SUMIFS(lg_Present,lg_Include,"Yes")</f>
        <v>10820</v>
      </c>
      <c r="E10" s="23" t="n">
        <f aca="false">mt_Present</f>
        <v>10820</v>
      </c>
      <c r="F10" s="23" t="n">
        <f aca="false">ROUND(D10-E10,2)</f>
        <v>0</v>
      </c>
      <c r="G10" s="24" t="str">
        <f aca="false">IF(F10=0,"OK","Review")</f>
        <v>OK</v>
      </c>
    </row>
    <row r="11" customFormat="false" ht="25.5" hidden="false" customHeight="true" outlineLevel="0" collapsed="false">
      <c r="B11" s="21" t="n">
        <v>5</v>
      </c>
      <c r="C11" s="22" t="s">
        <v>58</v>
      </c>
      <c r="D11" s="23" t="n">
        <f aca="false">fr_QSessions</f>
        <v>292</v>
      </c>
      <c r="E11" s="23" t="n">
        <f aca="false">SUMIF(mt_QCol,RptQ,mt_SessCol)</f>
        <v>292</v>
      </c>
      <c r="F11" s="23" t="n">
        <f aca="false">ROUND(D11-E11,2)</f>
        <v>0</v>
      </c>
      <c r="G11" s="24" t="str">
        <f aca="false">IF(F11=0,"OK","Review")</f>
        <v>OK</v>
      </c>
    </row>
    <row r="12" customFormat="false" ht="25.5" hidden="false" customHeight="true" outlineLevel="0" collapsed="false">
      <c r="B12" s="21" t="n">
        <v>6</v>
      </c>
      <c r="C12" s="22" t="s">
        <v>59</v>
      </c>
      <c r="D12" s="23" t="n">
        <f aca="false">fr_QSessions</f>
        <v>292</v>
      </c>
      <c r="E12" s="23" t="n">
        <f aca="false">fr_ProgSessions</f>
        <v>292</v>
      </c>
      <c r="F12" s="23" t="n">
        <f aca="false">ROUND(D12-E12,2)</f>
        <v>0</v>
      </c>
      <c r="G12" s="24" t="str">
        <f aca="false">IF(F12=0,"OK","Review")</f>
        <v>OK</v>
      </c>
    </row>
    <row r="13" customFormat="false" ht="25.5" hidden="false" customHeight="true" outlineLevel="0" collapsed="false">
      <c r="B13" s="21" t="n">
        <v>7</v>
      </c>
      <c r="C13" s="22" t="s">
        <v>60</v>
      </c>
      <c r="D13" s="23" t="n">
        <f aca="false">COUNTIF(lg_Flag,"Duplicate*")</f>
        <v>1</v>
      </c>
      <c r="E13" s="23" t="n">
        <f aca="false">0</f>
        <v>0</v>
      </c>
      <c r="F13" s="23" t="n">
        <f aca="false">ROUND(D13-E13,2)</f>
        <v>1</v>
      </c>
      <c r="G13" s="24" t="str">
        <f aca="false">IF(F13=0,"OK","Review")</f>
        <v>Review</v>
      </c>
    </row>
    <row r="14" customFormat="false" ht="25.5" hidden="false" customHeight="true" outlineLevel="0" collapsed="false">
      <c r="B14" s="21" t="n">
        <v>8</v>
      </c>
      <c r="C14" s="22" t="s">
        <v>61</v>
      </c>
      <c r="D14" s="23" t="n">
        <f aca="false">COUNTIF(lg_Flag,"Present is more*")</f>
        <v>1</v>
      </c>
      <c r="E14" s="23" t="n">
        <f aca="false">0</f>
        <v>0</v>
      </c>
      <c r="F14" s="23" t="n">
        <f aca="false">ROUND(D14-E14,2)</f>
        <v>1</v>
      </c>
      <c r="G14" s="24" t="str">
        <f aca="false">IF(F14=0,"OK","Review")</f>
        <v>Review</v>
      </c>
    </row>
    <row r="15" customFormat="false" ht="25.5" hidden="false" customHeight="true" outlineLevel="0" collapsed="false">
      <c r="B15" s="21" t="n">
        <v>9</v>
      </c>
      <c r="C15" s="22" t="s">
        <v>62</v>
      </c>
      <c r="D15" s="23" t="n">
        <f aca="false">COUNTIF(lg_Flag,"Score outside*")</f>
        <v>1</v>
      </c>
      <c r="E15" s="23" t="n">
        <f aca="false">0</f>
        <v>0</v>
      </c>
      <c r="F15" s="23" t="n">
        <f aca="false">ROUND(D15-E15,2)</f>
        <v>1</v>
      </c>
      <c r="G15" s="24" t="str">
        <f aca="false">IF(F15=0,"OK","Review")</f>
        <v>Review</v>
      </c>
    </row>
    <row r="16" customFormat="false" ht="25.5" hidden="false" customHeight="true" outlineLevel="0" collapsed="false">
      <c r="B16" s="21" t="n">
        <v>10</v>
      </c>
      <c r="C16" s="22" t="s">
        <v>63</v>
      </c>
      <c r="D16" s="23" t="n">
        <f aca="false">COUNTIF(sr_Status,"Missing reports")</f>
        <v>2</v>
      </c>
      <c r="E16" s="23" t="n">
        <f aca="false">0</f>
        <v>0</v>
      </c>
      <c r="F16" s="23" t="n">
        <f aca="false">ROUND(D16-E16,2)</f>
        <v>2</v>
      </c>
      <c r="G16" s="24" t="str">
        <f aca="false">IF(F16=0,"OK","Review")</f>
        <v>Review</v>
      </c>
    </row>
    <row r="17" customFormat="false" ht="25.5" hidden="false" customHeight="true" outlineLevel="0" collapsed="false">
      <c r="B17" s="21" t="n">
        <v>11</v>
      </c>
      <c r="C17" s="22" t="s">
        <v>64</v>
      </c>
      <c r="D17" s="23" t="n">
        <f aca="false">COUNTIF(lg_Flag,"Site not on SITES")</f>
        <v>0</v>
      </c>
      <c r="E17" s="23" t="n">
        <f aca="false">0</f>
        <v>0</v>
      </c>
      <c r="F17" s="23" t="n">
        <f aca="false">ROUND(D17-E17,2)</f>
        <v>0</v>
      </c>
      <c r="G17" s="24" t="str">
        <f aca="false">IF(F17=0,"OK","Review")</f>
        <v>OK</v>
      </c>
    </row>
    <row r="19" customFormat="false" ht="15" hidden="false" customHeight="false" outlineLevel="0" collapsed="false">
      <c r="B19" s="3" t="s">
        <v>65</v>
      </c>
    </row>
    <row r="20" customFormat="false" ht="19.5" hidden="false" customHeight="true" outlineLevel="0" collapsed="false">
      <c r="B20" s="4" t="s">
        <v>66</v>
      </c>
      <c r="C20" s="4"/>
      <c r="D20" s="4"/>
      <c r="E20" s="4"/>
      <c r="F20" s="4"/>
      <c r="G20" s="4"/>
    </row>
    <row r="21" customFormat="false" ht="19.5" hidden="false" customHeight="true" outlineLevel="0" collapsed="false">
      <c r="B21" s="4" t="s">
        <v>67</v>
      </c>
      <c r="C21" s="4"/>
      <c r="D21" s="4"/>
      <c r="E21" s="4"/>
      <c r="F21" s="4"/>
      <c r="G21" s="4"/>
    </row>
    <row r="22" customFormat="false" ht="19.5" hidden="false" customHeight="true" outlineLevel="0" collapsed="false">
      <c r="B22" s="4" t="s">
        <v>68</v>
      </c>
      <c r="C22" s="4"/>
      <c r="D22" s="4"/>
      <c r="E22" s="4"/>
      <c r="F22" s="4"/>
      <c r="G22" s="4"/>
    </row>
    <row r="24" customFormat="false" ht="15" hidden="false" customHeight="false" outlineLevel="0" collapsed="false">
      <c r="B24" s="25" t="s">
        <v>46</v>
      </c>
    </row>
  </sheetData>
  <sheetProtection sheet="true" formatColumns="false" formatRows="false" sort="false" autoFilter="false"/>
  <mergeCells count="4">
    <mergeCell ref="B4:G4"/>
    <mergeCell ref="B20:G20"/>
    <mergeCell ref="B21:G21"/>
    <mergeCell ref="B22:G22"/>
  </mergeCells>
  <conditionalFormatting sqref="B4:G4">
    <cfRule type="expression" priority="2" aboveAverage="0" equalAverage="0" bottom="0" percent="0" rank="0" text="" dxfId="0">
      <formula>COUNTIF($G$7:$G$20,"Review")=0</formula>
    </cfRule>
    <cfRule type="expression" priority="3" aboveAverage="0" equalAverage="0" bottom="0" percent="0" rank="0" text="" dxfId="1">
      <formula>COUNTIF($G$7:$G$20,"Review")&gt;0</formula>
    </cfRule>
  </conditionalFormatting>
  <conditionalFormatting sqref="G7:G17">
    <cfRule type="expression" priority="4" aboveAverage="0" equalAverage="0" bottom="0" percent="0" rank="0" text="" dxfId="0">
      <formula>$G7="OK"</formula>
    </cfRule>
    <cfRule type="expression" priority="5" aboveAverage="0" equalAverage="0" bottom="0" percent="0" rank="0" text="" dxfId="1">
      <formula>AND($G7&lt;&gt;"",$G7&lt;&gt;"OK")</formula>
    </cfRule>
  </conditionalFormatting>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453B8"/>
    <pageSetUpPr fitToPage="true"/>
  </sheetPr>
  <dimension ref="B2:J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18"/>
    <col collapsed="false" customWidth="true" hidden="false" outlineLevel="0" max="4" min="4" style="0" width="13"/>
    <col collapsed="false" customWidth="true" hidden="false" outlineLevel="0" max="7" min="5" style="0" width="14"/>
    <col collapsed="false" customWidth="true" hidden="false" outlineLevel="0" max="8" min="8" style="0" width="3"/>
    <col collapsed="false" customWidth="true" hidden="false" outlineLevel="0" max="10" min="9" style="0" width="16"/>
  </cols>
  <sheetData>
    <row r="2" customFormat="false" ht="31.5" hidden="false" customHeight="true" outlineLevel="0" collapsed="false">
      <c r="B2" s="26" t="str">
        <f aca="false">OrgName</f>
        <v>Lanternworks Youth Arts</v>
      </c>
    </row>
    <row r="3" customFormat="false" ht="15" hidden="false" customHeight="false" outlineLevel="0" collapsed="false">
      <c r="B3" s="27" t="str">
        <f aca="false">"Quarterly program report for "&amp;RptQ&amp;", "&amp;TEXT(INDEX(MonthList,MATCH(RptQ,MonthQuarter,0)),"mmmm yyyy")&amp;" through "&amp;TEXT(INDEX(MonthList,MATCH(RptQ,MonthQuarter,0)+2),"mmmm yyyy")</f>
        <v>Quarterly program report for FY2026 Q3, January 2026 through March 2026</v>
      </c>
      <c r="I3" s="28" t="s">
        <v>69</v>
      </c>
      <c r="J3" s="29" t="s">
        <v>70</v>
      </c>
    </row>
    <row r="5" customFormat="false" ht="15" hidden="false" customHeight="true" outlineLevel="0" collapsed="false">
      <c r="I5" s="16" t="s">
        <v>71</v>
      </c>
      <c r="J5" s="16"/>
    </row>
    <row r="6" customFormat="false" ht="15" hidden="false" customHeight="false" outlineLevel="0" collapsed="false">
      <c r="B6" s="30" t="s">
        <v>72</v>
      </c>
      <c r="C6" s="30" t="s">
        <v>73</v>
      </c>
      <c r="E6" s="30" t="s">
        <v>74</v>
      </c>
      <c r="F6" s="30" t="s">
        <v>75</v>
      </c>
      <c r="I6" s="16"/>
      <c r="J6" s="16"/>
    </row>
    <row r="7" customFormat="false" ht="30" hidden="false" customHeight="true" outlineLevel="0" collapsed="false">
      <c r="B7" s="31" t="n">
        <f aca="false">COUNTIFS(lg_Quarter,RptQ,lg_Include,"Yes")</f>
        <v>292</v>
      </c>
      <c r="C7" s="32" t="n">
        <f aca="false">SUM(site_Planned)*COUNTIFS(MonthQuarter,RptQ,ProgMonth,"Yes")</f>
        <v>300</v>
      </c>
      <c r="D7" s="32"/>
      <c r="E7" s="33" t="n">
        <f aca="false">IF(C7=0,0,B7/C7)</f>
        <v>0.973333333333333</v>
      </c>
      <c r="F7" s="34" t="n">
        <f aca="false">SUMPRODUCT((site_ID&lt;&gt;"")*(COUNTIFS(lg_SiteID,site_ID,lg_Quarter,RptQ,lg_Include,"Yes")&gt;0))</f>
        <v>20</v>
      </c>
      <c r="G7" s="34"/>
      <c r="I7" s="16"/>
      <c r="J7" s="16"/>
    </row>
    <row r="9" customFormat="false" ht="15" hidden="false" customHeight="false" outlineLevel="0" collapsed="false">
      <c r="B9" s="30" t="s">
        <v>76</v>
      </c>
      <c r="C9" s="30" t="s">
        <v>77</v>
      </c>
      <c r="E9" s="30" t="s">
        <v>78</v>
      </c>
      <c r="F9" s="30" t="s">
        <v>79</v>
      </c>
    </row>
    <row r="10" customFormat="false" ht="30" hidden="false" customHeight="true" outlineLevel="0" collapsed="false">
      <c r="B10" s="31" t="n">
        <f aca="false">SUMIFS(lg_Present,lg_Quarter,RptQ,lg_Include,"Yes")</f>
        <v>4006</v>
      </c>
      <c r="C10" s="35" t="n">
        <f aca="false">IFERROR(SUMIFS(lg_Present,lg_Quarter,RptQ,lg_Include,"Yes")/SUMIFS(lg_Enrolled,lg_Quarter,RptQ,lg_Include,"Yes"),0)</f>
        <v>0.804902551737995</v>
      </c>
      <c r="D10" s="35"/>
      <c r="E10" s="31" t="n">
        <f aca="false">SUMIFS(lg_Hours,lg_Quarter,RptQ,lg_Include,"Yes")</f>
        <v>4966</v>
      </c>
      <c r="F10" s="36" t="n">
        <f aca="false">IFERROR(AVERAGEIFS(lg_Score,lg_Quarter,RptQ,lg_Include,"Yes",lg_Score,"&gt;=1",lg_Score,"&lt;=5"),0)</f>
        <v>3.72465753424658</v>
      </c>
      <c r="G10" s="36"/>
    </row>
    <row r="11" customFormat="false" ht="15" hidden="false" customHeight="false" outlineLevel="0" collapsed="false">
      <c r="B11" s="37"/>
      <c r="C11" s="37"/>
      <c r="D11" s="37"/>
      <c r="E11" s="37"/>
      <c r="F11" s="37"/>
      <c r="G11" s="37"/>
    </row>
    <row r="13" customFormat="false" ht="19.5" hidden="false" customHeight="true" outlineLevel="0" collapsed="false">
      <c r="B13" s="4" t="str">
        <f aca="false">OrgName&amp;" delivered "&amp;TEXT(B7,"#,##0")&amp;" arts sessions at "&amp;F7&amp;" school sites this quarter, which is "&amp;TEXT(E7,"0%")&amp;" of the sessions planned. Students attended "&amp;TEXT(B10,"#,##0")&amp;" times, for an average attendance rate of "&amp;TEXT(C10,"0%")&amp;" and "&amp;TEXT(E10,"#,##0")&amp;" student contact hours. Students rated their own learning "&amp;TEXT(F10,"0.0")&amp;" out of 5 on average in end-of-session reflections."</f>
        <v>Lanternworks Youth Arts delivered 292 arts sessions at 20 school sites this quarter, which is 97% of the sessions planned. Students attended 4,006 times, for an average attendance rate of 80% and 4,966 student contact hours. Students rated their own learning 3.7 out of 5 on average in end-of-session reflections.</v>
      </c>
      <c r="C13" s="4"/>
      <c r="D13" s="4"/>
      <c r="E13" s="4"/>
      <c r="F13" s="4"/>
      <c r="G13" s="4"/>
    </row>
    <row r="14" customFormat="false" ht="19.5" hidden="false" customHeight="true" outlineLevel="0" collapsed="false">
      <c r="B14" s="4"/>
      <c r="C14" s="4"/>
      <c r="D14" s="4"/>
      <c r="E14" s="4"/>
      <c r="F14" s="4"/>
      <c r="G14" s="4"/>
    </row>
    <row r="15" customFormat="false" ht="19.5" hidden="false" customHeight="true" outlineLevel="0" collapsed="false">
      <c r="B15" s="4"/>
      <c r="C15" s="4"/>
      <c r="D15" s="4"/>
      <c r="E15" s="4"/>
      <c r="F15" s="4"/>
      <c r="G15" s="4"/>
    </row>
    <row r="17" customFormat="false" ht="15" hidden="false" customHeight="false" outlineLevel="0" collapsed="false">
      <c r="B17" s="3" t="s">
        <v>80</v>
      </c>
    </row>
    <row r="18" customFormat="false" ht="30" hidden="false" customHeight="true" outlineLevel="0" collapsed="false">
      <c r="B18" s="38" t="s">
        <v>81</v>
      </c>
      <c r="C18" s="38" t="s">
        <v>82</v>
      </c>
      <c r="D18" s="38" t="s">
        <v>83</v>
      </c>
      <c r="E18" s="38" t="s">
        <v>77</v>
      </c>
      <c r="F18" s="38" t="s">
        <v>84</v>
      </c>
      <c r="G18" s="38" t="s">
        <v>78</v>
      </c>
    </row>
    <row r="19" customFormat="false" ht="18" hidden="false" customHeight="true" outlineLevel="0" collapsed="false">
      <c r="B19" s="39" t="str">
        <f aca="false">INDEX(ProgramList,1)</f>
        <v>Visual Arts</v>
      </c>
      <c r="C19" s="23" t="n">
        <f aca="false">COUNTIFS(lg_Program,$B19,lg_Quarter,RptQ,lg_Include,"Yes")</f>
        <v>47</v>
      </c>
      <c r="D19" s="23" t="n">
        <f aca="false">SUMIFS(lg_Present,lg_Program,$B19,lg_Quarter,RptQ,lg_Include,"Yes")</f>
        <v>734</v>
      </c>
      <c r="E19" s="40" t="n">
        <f aca="false">IFERROR(D19/SUMIFS(lg_Enrolled,lg_Program,$B19,lg_Quarter,RptQ,lg_Include,"Yes"),0)</f>
        <v>0.770199370409234</v>
      </c>
      <c r="F19" s="41" t="n">
        <f aca="false">IFERROR(AVERAGEIFS(lg_Score,lg_Program,$B19,lg_Quarter,RptQ,lg_Include,"Yes",lg_Score,"&gt;=1",lg_Score,"&lt;=5"),0)</f>
        <v>3.64255319148936</v>
      </c>
      <c r="G19" s="23" t="n">
        <f aca="false">SUMIFS(lg_Hours,lg_Program,$B19,lg_Quarter,RptQ,lg_Include,"Yes")</f>
        <v>857.4</v>
      </c>
    </row>
    <row r="20" customFormat="false" ht="18" hidden="false" customHeight="true" outlineLevel="0" collapsed="false">
      <c r="B20" s="39" t="str">
        <f aca="false">INDEX(ProgramList,2)</f>
        <v>Theater</v>
      </c>
      <c r="C20" s="23" t="n">
        <f aca="false">COUNTIFS(lg_Program,$B20,lg_Quarter,RptQ,lg_Include,"Yes")</f>
        <v>60</v>
      </c>
      <c r="D20" s="23" t="n">
        <f aca="false">SUMIFS(lg_Present,lg_Program,$B20,lg_Quarter,RptQ,lg_Include,"Yes")</f>
        <v>884</v>
      </c>
      <c r="E20" s="40" t="n">
        <f aca="false">IFERROR(D20/SUMIFS(lg_Enrolled,lg_Program,$B20,lg_Quarter,RptQ,lg_Include,"Yes"),0)</f>
        <v>0.86328125</v>
      </c>
      <c r="F20" s="41" t="n">
        <f aca="false">IFERROR(AVERAGEIFS(lg_Score,lg_Program,$B20,lg_Quarter,RptQ,lg_Include,"Yes",lg_Score,"&gt;=1",lg_Score,"&lt;=5"),0)</f>
        <v>3.59333333333333</v>
      </c>
      <c r="G20" s="23" t="n">
        <f aca="false">SUMIFS(lg_Hours,lg_Program,$B20,lg_Quarter,RptQ,lg_Include,"Yes")</f>
        <v>1032.1</v>
      </c>
    </row>
    <row r="21" customFormat="false" ht="18" hidden="false" customHeight="true" outlineLevel="0" collapsed="false">
      <c r="B21" s="39" t="str">
        <f aca="false">INDEX(ProgramList,3)</f>
        <v>Music</v>
      </c>
      <c r="C21" s="23" t="n">
        <f aca="false">COUNTIFS(lg_Program,$B21,lg_Quarter,RptQ,lg_Include,"Yes")</f>
        <v>34</v>
      </c>
      <c r="D21" s="23" t="n">
        <f aca="false">SUMIFS(lg_Present,lg_Program,$B21,lg_Quarter,RptQ,lg_Include,"Yes")</f>
        <v>447</v>
      </c>
      <c r="E21" s="40" t="n">
        <f aca="false">IFERROR(D21/SUMIFS(lg_Enrolled,lg_Program,$B21,lg_Quarter,RptQ,lg_Include,"Yes"),0)</f>
        <v>0.751260504201681</v>
      </c>
      <c r="F21" s="41" t="n">
        <f aca="false">IFERROR(AVERAGEIFS(lg_Score,lg_Program,$B21,lg_Quarter,RptQ,lg_Include,"Yes",lg_Score,"&gt;=1",lg_Score,"&lt;=5"),0)</f>
        <v>3.94411764705882</v>
      </c>
      <c r="G21" s="23" t="n">
        <f aca="false">SUMIFS(lg_Hours,lg_Program,$B21,lg_Quarter,RptQ,lg_Include,"Yes")</f>
        <v>554</v>
      </c>
    </row>
    <row r="22" customFormat="false" ht="18" hidden="false" customHeight="true" outlineLevel="0" collapsed="false">
      <c r="B22" s="39" t="str">
        <f aca="false">INDEX(ProgramList,4)</f>
        <v>Dance and Movement</v>
      </c>
      <c r="C22" s="23" t="n">
        <f aca="false">COUNTIFS(lg_Program,$B22,lg_Quarter,RptQ,lg_Include,"Yes")</f>
        <v>93</v>
      </c>
      <c r="D22" s="23" t="n">
        <f aca="false">SUMIFS(lg_Present,lg_Program,$B22,lg_Quarter,RptQ,lg_Include,"Yes")</f>
        <v>1159</v>
      </c>
      <c r="E22" s="40" t="n">
        <f aca="false">IFERROR(D22/SUMIFS(lg_Enrolled,lg_Program,$B22,lg_Quarter,RptQ,lg_Include,"Yes"),0)</f>
        <v>0.798759476223294</v>
      </c>
      <c r="F22" s="41" t="n">
        <f aca="false">IFERROR(AVERAGEIFS(lg_Score,lg_Program,$B22,lg_Quarter,RptQ,lg_Include,"Yes",lg_Score,"&gt;=1",lg_Score,"&lt;=5"),0)</f>
        <v>3.74301075268817</v>
      </c>
      <c r="G22" s="23" t="n">
        <f aca="false">SUMIFS(lg_Hours,lg_Program,$B22,lg_Quarter,RptQ,lg_Include,"Yes")</f>
        <v>1349.5</v>
      </c>
    </row>
    <row r="23" customFormat="false" ht="18" hidden="false" customHeight="true" outlineLevel="0" collapsed="false">
      <c r="B23" s="39" t="str">
        <f aca="false">INDEX(ProgramList,5)</f>
        <v>Digital Media</v>
      </c>
      <c r="C23" s="23" t="n">
        <f aca="false">COUNTIFS(lg_Program,$B23,lg_Quarter,RptQ,lg_Include,"Yes")</f>
        <v>58</v>
      </c>
      <c r="D23" s="23" t="n">
        <f aca="false">SUMIFS(lg_Present,lg_Program,$B23,lg_Quarter,RptQ,lg_Include,"Yes")</f>
        <v>782</v>
      </c>
      <c r="E23" s="40" t="n">
        <f aca="false">IFERROR(D23/SUMIFS(lg_Enrolled,lg_Program,$B23,lg_Quarter,RptQ,lg_Include,"Yes"),0)</f>
        <v>0.819706498951782</v>
      </c>
      <c r="F23" s="41" t="n">
        <f aca="false">IFERROR(AVERAGEIFS(lg_Score,lg_Program,$B23,lg_Quarter,RptQ,lg_Include,"Yes",lg_Score,"&gt;=1",lg_Score,"&lt;=5"),0)</f>
        <v>3.76896551724138</v>
      </c>
      <c r="G23" s="23" t="n">
        <f aca="false">SUMIFS(lg_Hours,lg_Program,$B23,lg_Quarter,RptQ,lg_Include,"Yes")</f>
        <v>1173</v>
      </c>
    </row>
    <row r="24" customFormat="false" ht="15" hidden="false" customHeight="false" outlineLevel="0" collapsed="false">
      <c r="B24" s="42" t="s">
        <v>85</v>
      </c>
      <c r="C24" s="43" t="n">
        <f aca="false">SUM(C19:C23)</f>
        <v>292</v>
      </c>
      <c r="D24" s="43" t="n">
        <f aca="false">SUM(D19:D23)</f>
        <v>4006</v>
      </c>
      <c r="E24" s="44" t="n">
        <f aca="false">C10</f>
        <v>0.804902551737995</v>
      </c>
      <c r="F24" s="45" t="n">
        <f aca="false">F10</f>
        <v>3.72465753424658</v>
      </c>
      <c r="G24" s="43" t="n">
        <f aca="false">SUM(G19:G23)</f>
        <v>4966</v>
      </c>
    </row>
    <row r="26" customFormat="false" ht="15" hidden="false" customHeight="false" outlineLevel="0" collapsed="false">
      <c r="B26" s="3" t="s">
        <v>86</v>
      </c>
    </row>
    <row r="27" customFormat="false" ht="30" hidden="false" customHeight="true" outlineLevel="0" collapsed="false">
      <c r="B27" s="38" t="s">
        <v>87</v>
      </c>
      <c r="C27" s="38" t="s">
        <v>81</v>
      </c>
      <c r="D27" s="38" t="s">
        <v>82</v>
      </c>
      <c r="E27" s="38" t="s">
        <v>88</v>
      </c>
      <c r="F27" s="38" t="s">
        <v>77</v>
      </c>
      <c r="G27" s="38" t="s">
        <v>84</v>
      </c>
    </row>
    <row r="28" customFormat="false" ht="16.5" hidden="false" customHeight="true" outlineLevel="0" collapsed="false">
      <c r="B28" s="39" t="str">
        <f aca="false">INDEX(site_Name,1)</f>
        <v>Alder Street Elementary</v>
      </c>
      <c r="C28" s="46" t="str">
        <f aca="false">INDEX(site_Program,1)</f>
        <v>Visual Arts</v>
      </c>
      <c r="D28" s="47" t="n">
        <f aca="false">COUNTIFS(lg_SiteID,INDEX(site_ID,1),lg_Quarter,RptQ,lg_Include,"Yes")</f>
        <v>11</v>
      </c>
      <c r="E28" s="47" t="n">
        <f aca="false">INDEX(site_Planned,1)*COUNTIFS(MonthQuarter,RptQ,ProgMonth,"Yes")</f>
        <v>12</v>
      </c>
      <c r="F28" s="40" t="n">
        <f aca="false">IFERROR(SUMIFS(lg_Present,lg_SiteID,INDEX(site_ID,1),lg_Quarter,RptQ,lg_Include,"Yes")/SUMIFS(lg_Enrolled,lg_SiteID,INDEX(site_ID,1),lg_Quarter,RptQ,lg_Include,"Yes"),0)</f>
        <v>0.746411483253589</v>
      </c>
      <c r="G28" s="41" t="n">
        <f aca="false">IFERROR(AVERAGEIFS(lg_Score,lg_SiteID,INDEX(site_ID,1),lg_Quarter,RptQ,lg_Include,"Yes",lg_Score,"&gt;=1",lg_Score,"&lt;=5"),0)</f>
        <v>3.81818181818182</v>
      </c>
    </row>
    <row r="29" customFormat="false" ht="16.5" hidden="false" customHeight="true" outlineLevel="0" collapsed="false">
      <c r="B29" s="39" t="str">
        <f aca="false">INDEX(site_Name,2)</f>
        <v>Brookhaven Middle</v>
      </c>
      <c r="C29" s="46" t="str">
        <f aca="false">INDEX(site_Program,2)</f>
        <v>Theater</v>
      </c>
      <c r="D29" s="47" t="n">
        <f aca="false">COUNTIFS(lg_SiteID,INDEX(site_ID,2),lg_Quarter,RptQ,lg_Include,"Yes")</f>
        <v>12</v>
      </c>
      <c r="E29" s="47" t="n">
        <f aca="false">INDEX(site_Planned,2)*COUNTIFS(MonthQuarter,RptQ,ProgMonth,"Yes")</f>
        <v>12</v>
      </c>
      <c r="F29" s="40" t="n">
        <f aca="false">IFERROR(SUMIFS(lg_Present,lg_SiteID,INDEX(site_ID,2),lg_Quarter,RptQ,lg_Include,"Yes")/SUMIFS(lg_Enrolled,lg_SiteID,INDEX(site_ID,2),lg_Quarter,RptQ,lg_Include,"Yes"),0)</f>
        <v>0.912037037037037</v>
      </c>
      <c r="G29" s="41" t="n">
        <f aca="false">IFERROR(AVERAGEIFS(lg_Score,lg_SiteID,INDEX(site_ID,2),lg_Quarter,RptQ,lg_Include,"Yes",lg_Score,"&gt;=1",lg_Score,"&lt;=5"),0)</f>
        <v>3.44166666666667</v>
      </c>
    </row>
    <row r="30" customFormat="false" ht="16.5" hidden="false" customHeight="true" outlineLevel="0" collapsed="false">
      <c r="B30" s="39" t="str">
        <f aca="false">INDEX(site_Name,3)</f>
        <v>Carver Hill Elementary</v>
      </c>
      <c r="C30" s="46" t="str">
        <f aca="false">INDEX(site_Program,3)</f>
        <v>Music</v>
      </c>
      <c r="D30" s="47" t="n">
        <f aca="false">COUNTIFS(lg_SiteID,INDEX(site_ID,3),lg_Quarter,RptQ,lg_Include,"Yes")</f>
        <v>11</v>
      </c>
      <c r="E30" s="47" t="n">
        <f aca="false">INDEX(site_Planned,3)*COUNTIFS(MonthQuarter,RptQ,ProgMonth,"Yes")</f>
        <v>12</v>
      </c>
      <c r="F30" s="40" t="n">
        <f aca="false">IFERROR(SUMIFS(lg_Present,lg_SiteID,INDEX(site_ID,3),lg_Quarter,RptQ,lg_Include,"Yes")/SUMIFS(lg_Enrolled,lg_SiteID,INDEX(site_ID,3),lg_Quarter,RptQ,lg_Include,"Yes"),0)</f>
        <v>0.772727272727273</v>
      </c>
      <c r="G30" s="41" t="n">
        <f aca="false">IFERROR(AVERAGEIFS(lg_Score,lg_SiteID,INDEX(site_ID,3),lg_Quarter,RptQ,lg_Include,"Yes",lg_Score,"&gt;=1",lg_Score,"&lt;=5"),0)</f>
        <v>3.79090909090909</v>
      </c>
    </row>
    <row r="31" customFormat="false" ht="16.5" hidden="false" customHeight="true" outlineLevel="0" collapsed="false">
      <c r="B31" s="39" t="str">
        <f aca="false">INDEX(site_Name,4)</f>
        <v>Dunmore Academy</v>
      </c>
      <c r="C31" s="46" t="str">
        <f aca="false">INDEX(site_Program,4)</f>
        <v>Dance and Movement</v>
      </c>
      <c r="D31" s="47" t="n">
        <f aca="false">COUNTIFS(lg_SiteID,INDEX(site_ID,4),lg_Quarter,RptQ,lg_Include,"Yes")</f>
        <v>12</v>
      </c>
      <c r="E31" s="47" t="n">
        <f aca="false">INDEX(site_Planned,4)*COUNTIFS(MonthQuarter,RptQ,ProgMonth,"Yes")</f>
        <v>12</v>
      </c>
      <c r="F31" s="40" t="n">
        <f aca="false">IFERROR(SUMIFS(lg_Present,lg_SiteID,INDEX(site_ID,4),lg_Quarter,RptQ,lg_Include,"Yes")/SUMIFS(lg_Enrolled,lg_SiteID,INDEX(site_ID,4),lg_Quarter,RptQ,lg_Include,"Yes"),0)</f>
        <v>0.682291666666667</v>
      </c>
      <c r="G31" s="41" t="n">
        <f aca="false">IFERROR(AVERAGEIFS(lg_Score,lg_SiteID,INDEX(site_ID,4),lg_Quarter,RptQ,lg_Include,"Yes",lg_Score,"&gt;=1",lg_Score,"&lt;=5"),0)</f>
        <v>3.81666666666667</v>
      </c>
    </row>
    <row r="32" customFormat="false" ht="16.5" hidden="false" customHeight="true" outlineLevel="0" collapsed="false">
      <c r="B32" s="39" t="str">
        <f aca="false">INDEX(site_Name,5)</f>
        <v>East Fork Elementary</v>
      </c>
      <c r="C32" s="46" t="str">
        <f aca="false">INDEX(site_Program,5)</f>
        <v>Digital Media</v>
      </c>
      <c r="D32" s="47" t="n">
        <f aca="false">COUNTIFS(lg_SiteID,INDEX(site_ID,5),lg_Quarter,RptQ,lg_Include,"Yes")</f>
        <v>11</v>
      </c>
      <c r="E32" s="47" t="n">
        <f aca="false">INDEX(site_Planned,5)*COUNTIFS(MonthQuarter,RptQ,ProgMonth,"Yes")</f>
        <v>12</v>
      </c>
      <c r="F32" s="40" t="n">
        <f aca="false">IFERROR(SUMIFS(lg_Present,lg_SiteID,INDEX(site_ID,5),lg_Quarter,RptQ,lg_Include,"Yes")/SUMIFS(lg_Enrolled,lg_SiteID,INDEX(site_ID,5),lg_Quarter,RptQ,lg_Include,"Yes"),0)</f>
        <v>0.782051282051282</v>
      </c>
      <c r="G32" s="41" t="n">
        <f aca="false">IFERROR(AVERAGEIFS(lg_Score,lg_SiteID,INDEX(site_ID,5),lg_Quarter,RptQ,lg_Include,"Yes",lg_Score,"&gt;=1",lg_Score,"&lt;=5"),0)</f>
        <v>3.76363636363636</v>
      </c>
    </row>
    <row r="33" customFormat="false" ht="16.5" hidden="false" customHeight="true" outlineLevel="0" collapsed="false">
      <c r="B33" s="39" t="str">
        <f aca="false">INDEX(site_Name,6)</f>
        <v>Fairmont Park Middle</v>
      </c>
      <c r="C33" s="46" t="str">
        <f aca="false">INDEX(site_Program,6)</f>
        <v>Visual Arts</v>
      </c>
      <c r="D33" s="47" t="n">
        <f aca="false">COUNTIFS(lg_SiteID,INDEX(site_ID,6),lg_Quarter,RptQ,lg_Include,"Yes")</f>
        <v>12</v>
      </c>
      <c r="E33" s="47" t="n">
        <f aca="false">INDEX(site_Planned,6)*COUNTIFS(MonthQuarter,RptQ,ProgMonth,"Yes")</f>
        <v>12</v>
      </c>
      <c r="F33" s="40" t="n">
        <f aca="false">IFERROR(SUMIFS(lg_Present,lg_SiteID,INDEX(site_ID,6),lg_Quarter,RptQ,lg_Include,"Yes")/SUMIFS(lg_Enrolled,lg_SiteID,INDEX(site_ID,6),lg_Quarter,RptQ,lg_Include,"Yes"),0)</f>
        <v>0.787037037037037</v>
      </c>
      <c r="G33" s="41" t="n">
        <f aca="false">IFERROR(AVERAGEIFS(lg_Score,lg_SiteID,INDEX(site_ID,6),lg_Quarter,RptQ,lg_Include,"Yes",lg_Score,"&gt;=1",lg_Score,"&lt;=5"),0)</f>
        <v>3.49166666666667</v>
      </c>
    </row>
    <row r="34" customFormat="false" ht="16.5" hidden="false" customHeight="true" outlineLevel="0" collapsed="false">
      <c r="B34" s="39" t="str">
        <f aca="false">INDEX(site_Name,7)</f>
        <v>Glenwood Elementary</v>
      </c>
      <c r="C34" s="46" t="str">
        <f aca="false">INDEX(site_Program,7)</f>
        <v>Theater</v>
      </c>
      <c r="D34" s="47" t="n">
        <f aca="false">COUNTIFS(lg_SiteID,INDEX(site_ID,7),lg_Quarter,RptQ,lg_Include,"Yes")</f>
        <v>12</v>
      </c>
      <c r="E34" s="47" t="n">
        <f aca="false">INDEX(site_Planned,7)*COUNTIFS(MonthQuarter,RptQ,ProgMonth,"Yes")</f>
        <v>12</v>
      </c>
      <c r="F34" s="40" t="n">
        <f aca="false">IFERROR(SUMIFS(lg_Present,lg_SiteID,INDEX(site_ID,7),lg_Quarter,RptQ,lg_Include,"Yes")/SUMIFS(lg_Enrolled,lg_SiteID,INDEX(site_ID,7),lg_Quarter,RptQ,lg_Include,"Yes"),0)</f>
        <v>0.8125</v>
      </c>
      <c r="G34" s="41" t="n">
        <f aca="false">IFERROR(AVERAGEIFS(lg_Score,lg_SiteID,INDEX(site_ID,7),lg_Quarter,RptQ,lg_Include,"Yes",lg_Score,"&gt;=1",lg_Score,"&lt;=5"),0)</f>
        <v>3.44166666666667</v>
      </c>
    </row>
    <row r="35" customFormat="false" ht="16.5" hidden="false" customHeight="true" outlineLevel="0" collapsed="false">
      <c r="B35" s="39" t="str">
        <f aca="false">INDEX(site_Name,8)</f>
        <v>Harbor View K-8</v>
      </c>
      <c r="C35" s="46" t="str">
        <f aca="false">INDEX(site_Program,8)</f>
        <v>Music</v>
      </c>
      <c r="D35" s="47" t="n">
        <f aca="false">COUNTIFS(lg_SiteID,INDEX(site_ID,8),lg_Quarter,RptQ,lg_Include,"Yes")</f>
        <v>11</v>
      </c>
      <c r="E35" s="47" t="n">
        <f aca="false">INDEX(site_Planned,8)*COUNTIFS(MonthQuarter,RptQ,ProgMonth,"Yes")</f>
        <v>12</v>
      </c>
      <c r="F35" s="40" t="n">
        <f aca="false">IFERROR(SUMIFS(lg_Present,lg_SiteID,INDEX(site_ID,8),lg_Quarter,RptQ,lg_Include,"Yes")/SUMIFS(lg_Enrolled,lg_SiteID,INDEX(site_ID,8),lg_Quarter,RptQ,lg_Include,"Yes"),0)</f>
        <v>0.796407185628743</v>
      </c>
      <c r="G35" s="41" t="n">
        <f aca="false">IFERROR(AVERAGEIFS(lg_Score,lg_SiteID,INDEX(site_ID,8),lg_Quarter,RptQ,lg_Include,"Yes",lg_Score,"&gt;=1",lg_Score,"&lt;=5"),0)</f>
        <v>4.09090909090909</v>
      </c>
    </row>
    <row r="36" customFormat="false" ht="16.5" hidden="false" customHeight="true" outlineLevel="0" collapsed="false">
      <c r="B36" s="39" t="str">
        <f aca="false">INDEX(site_Name,9)</f>
        <v>Ironbridge Elementary</v>
      </c>
      <c r="C36" s="46" t="str">
        <f aca="false">INDEX(site_Program,9)</f>
        <v>Dance and Movement</v>
      </c>
      <c r="D36" s="47" t="n">
        <f aca="false">COUNTIFS(lg_SiteID,INDEX(site_ID,9),lg_Quarter,RptQ,lg_Include,"Yes")</f>
        <v>11</v>
      </c>
      <c r="E36" s="47" t="n">
        <f aca="false">INDEX(site_Planned,9)*COUNTIFS(MonthQuarter,RptQ,ProgMonth,"Yes")</f>
        <v>12</v>
      </c>
      <c r="F36" s="40" t="n">
        <f aca="false">IFERROR(SUMIFS(lg_Present,lg_SiteID,INDEX(site_ID,9),lg_Quarter,RptQ,lg_Include,"Yes")/SUMIFS(lg_Enrolled,lg_SiteID,INDEX(site_ID,9),lg_Quarter,RptQ,lg_Include,"Yes"),0)</f>
        <v>0.823529411764706</v>
      </c>
      <c r="G36" s="41" t="n">
        <f aca="false">IFERROR(AVERAGEIFS(lg_Score,lg_SiteID,INDEX(site_ID,9),lg_Quarter,RptQ,lg_Include,"Yes",lg_Score,"&gt;=1",lg_Score,"&lt;=5"),0)</f>
        <v>3.53636363636364</v>
      </c>
    </row>
    <row r="37" customFormat="false" ht="16.5" hidden="false" customHeight="true" outlineLevel="0" collapsed="false">
      <c r="B37" s="39" t="str">
        <f aca="false">INDEX(site_Name,10)</f>
        <v>Juniper Ridge Middle</v>
      </c>
      <c r="C37" s="46" t="str">
        <f aca="false">INDEX(site_Program,10)</f>
        <v>Digital Media</v>
      </c>
      <c r="D37" s="47" t="n">
        <f aca="false">COUNTIFS(lg_SiteID,INDEX(site_ID,10),lg_Quarter,RptQ,lg_Include,"Yes")</f>
        <v>11</v>
      </c>
      <c r="E37" s="47" t="n">
        <f aca="false">INDEX(site_Planned,10)*COUNTIFS(MonthQuarter,RptQ,ProgMonth,"Yes")</f>
        <v>12</v>
      </c>
      <c r="F37" s="40" t="n">
        <f aca="false">IFERROR(SUMIFS(lg_Present,lg_SiteID,INDEX(site_ID,10),lg_Quarter,RptQ,lg_Include,"Yes")/SUMIFS(lg_Enrolled,lg_SiteID,INDEX(site_ID,10),lg_Quarter,RptQ,lg_Include,"Yes"),0)</f>
        <v>0.793103448275862</v>
      </c>
      <c r="G37" s="41" t="n">
        <f aca="false">IFERROR(AVERAGEIFS(lg_Score,lg_SiteID,INDEX(site_ID,10),lg_Quarter,RptQ,lg_Include,"Yes",lg_Score,"&gt;=1",lg_Score,"&lt;=5"),0)</f>
        <v>3.76363636363636</v>
      </c>
    </row>
    <row r="38" customFormat="false" ht="16.5" hidden="false" customHeight="true" outlineLevel="0" collapsed="false">
      <c r="B38" s="39" t="str">
        <f aca="false">INDEX(site_Name,11)</f>
        <v>Kessler Elementary</v>
      </c>
      <c r="C38" s="46" t="str">
        <f aca="false">INDEX(site_Program,11)</f>
        <v>Visual Arts</v>
      </c>
      <c r="D38" s="47" t="n">
        <f aca="false">COUNTIFS(lg_SiteID,INDEX(site_ID,11),lg_Quarter,RptQ,lg_Include,"Yes")</f>
        <v>24</v>
      </c>
      <c r="E38" s="47" t="n">
        <f aca="false">INDEX(site_Planned,11)*COUNTIFS(MonthQuarter,RptQ,ProgMonth,"Yes")</f>
        <v>24</v>
      </c>
      <c r="F38" s="40" t="n">
        <f aca="false">IFERROR(SUMIFS(lg_Present,lg_SiteID,INDEX(site_ID,11),lg_Quarter,RptQ,lg_Include,"Yes")/SUMIFS(lg_Enrolled,lg_SiteID,INDEX(site_ID,11),lg_Quarter,RptQ,lg_Include,"Yes"),0)</f>
        <v>0.772727272727273</v>
      </c>
      <c r="G38" s="41" t="n">
        <f aca="false">IFERROR(AVERAGEIFS(lg_Score,lg_SiteID,INDEX(site_ID,11),lg_Quarter,RptQ,lg_Include,"Yes",lg_Score,"&gt;=1",lg_Score,"&lt;=5"),0)</f>
        <v>3.6375</v>
      </c>
    </row>
    <row r="39" customFormat="false" ht="16.5" hidden="false" customHeight="true" outlineLevel="0" collapsed="false">
      <c r="B39" s="39" t="str">
        <f aca="false">INDEX(site_Name,12)</f>
        <v>Lakeside Prep</v>
      </c>
      <c r="C39" s="46" t="str">
        <f aca="false">INDEX(site_Program,12)</f>
        <v>Theater</v>
      </c>
      <c r="D39" s="47" t="n">
        <f aca="false">COUNTIFS(lg_SiteID,INDEX(site_ID,12),lg_Quarter,RptQ,lg_Include,"Yes")</f>
        <v>12</v>
      </c>
      <c r="E39" s="47" t="n">
        <f aca="false">INDEX(site_Planned,12)*COUNTIFS(MonthQuarter,RptQ,ProgMonth,"Yes")</f>
        <v>12</v>
      </c>
      <c r="F39" s="40" t="n">
        <f aca="false">IFERROR(SUMIFS(lg_Present,lg_SiteID,INDEX(site_ID,12),lg_Quarter,RptQ,lg_Include,"Yes")/SUMIFS(lg_Enrolled,lg_SiteID,INDEX(site_ID,12),lg_Quarter,RptQ,lg_Include,"Yes"),0)</f>
        <v>0.880952380952381</v>
      </c>
      <c r="G39" s="41" t="n">
        <f aca="false">IFERROR(AVERAGEIFS(lg_Score,lg_SiteID,INDEX(site_ID,12),lg_Quarter,RptQ,lg_Include,"Yes",lg_Score,"&gt;=1",lg_Score,"&lt;=5"),0)</f>
        <v>3.85</v>
      </c>
    </row>
    <row r="40" customFormat="false" ht="16.5" hidden="false" customHeight="true" outlineLevel="0" collapsed="false">
      <c r="B40" s="39" t="str">
        <f aca="false">INDEX(site_Name,13)</f>
        <v>Maple Crossing Elementary</v>
      </c>
      <c r="C40" s="46" t="str">
        <f aca="false">INDEX(site_Program,13)</f>
        <v>Music</v>
      </c>
      <c r="D40" s="47" t="n">
        <f aca="false">COUNTIFS(lg_SiteID,INDEX(site_ID,13),lg_Quarter,RptQ,lg_Include,"Yes")</f>
        <v>12</v>
      </c>
      <c r="E40" s="47" t="n">
        <f aca="false">INDEX(site_Planned,13)*COUNTIFS(MonthQuarter,RptQ,ProgMonth,"Yes")</f>
        <v>12</v>
      </c>
      <c r="F40" s="40" t="n">
        <f aca="false">IFERROR(SUMIFS(lg_Present,lg_SiteID,INDEX(site_ID,13),lg_Quarter,RptQ,lg_Include,"Yes")/SUMIFS(lg_Enrolled,lg_SiteID,INDEX(site_ID,13),lg_Quarter,RptQ,lg_Include,"Yes"),0)</f>
        <v>0.706349206349206</v>
      </c>
      <c r="G40" s="41" t="n">
        <f aca="false">IFERROR(AVERAGEIFS(lg_Score,lg_SiteID,INDEX(site_ID,13),lg_Quarter,RptQ,lg_Include,"Yes",lg_Score,"&gt;=1",lg_Score,"&lt;=5"),0)</f>
        <v>3.95</v>
      </c>
    </row>
    <row r="41" customFormat="false" ht="16.5" hidden="false" customHeight="true" outlineLevel="0" collapsed="false">
      <c r="B41" s="39" t="str">
        <f aca="false">INDEX(site_Name,14)</f>
        <v>North Shoals Middle</v>
      </c>
      <c r="C41" s="46" t="str">
        <f aca="false">INDEX(site_Program,14)</f>
        <v>Dance and Movement</v>
      </c>
      <c r="D41" s="47" t="n">
        <f aca="false">COUNTIFS(lg_SiteID,INDEX(site_ID,14),lg_Quarter,RptQ,lg_Include,"Yes")</f>
        <v>12</v>
      </c>
      <c r="E41" s="47" t="n">
        <f aca="false">INDEX(site_Planned,14)*COUNTIFS(MonthQuarter,RptQ,ProgMonth,"Yes")</f>
        <v>12</v>
      </c>
      <c r="F41" s="40" t="n">
        <f aca="false">IFERROR(SUMIFS(lg_Present,lg_SiteID,INDEX(site_ID,14),lg_Quarter,RptQ,lg_Include,"Yes")/SUMIFS(lg_Enrolled,lg_SiteID,INDEX(site_ID,14),lg_Quarter,RptQ,lg_Include,"Yes"),0)</f>
        <v>0.842592592592593</v>
      </c>
      <c r="G41" s="41" t="n">
        <f aca="false">IFERROR(AVERAGEIFS(lg_Score,lg_SiteID,INDEX(site_ID,14),lg_Quarter,RptQ,lg_Include,"Yes",lg_Score,"&gt;=1",lg_Score,"&lt;=5"),0)</f>
        <v>3.88333333333333</v>
      </c>
    </row>
    <row r="42" customFormat="false" ht="16.5" hidden="false" customHeight="true" outlineLevel="0" collapsed="false">
      <c r="B42" s="39" t="str">
        <f aca="false">INDEX(site_Name,15)</f>
        <v>Oakhurst Elementary</v>
      </c>
      <c r="C42" s="46" t="str">
        <f aca="false">INDEX(site_Program,15)</f>
        <v>Digital Media</v>
      </c>
      <c r="D42" s="47" t="n">
        <f aca="false">COUNTIFS(lg_SiteID,INDEX(site_ID,15),lg_Quarter,RptQ,lg_Include,"Yes")</f>
        <v>24</v>
      </c>
      <c r="E42" s="47" t="n">
        <f aca="false">INDEX(site_Planned,15)*COUNTIFS(MonthQuarter,RptQ,ProgMonth,"Yes")</f>
        <v>24</v>
      </c>
      <c r="F42" s="40" t="n">
        <f aca="false">IFERROR(SUMIFS(lg_Present,lg_SiteID,INDEX(site_ID,15),lg_Quarter,RptQ,lg_Include,"Yes")/SUMIFS(lg_Enrolled,lg_SiteID,INDEX(site_ID,15),lg_Quarter,RptQ,lg_Include,"Yes"),0)</f>
        <v>0.855361596009975</v>
      </c>
      <c r="G42" s="41" t="n">
        <f aca="false">IFERROR(AVERAGEIFS(lg_Score,lg_SiteID,INDEX(site_ID,15),lg_Quarter,RptQ,lg_Include,"Yes",lg_Score,"&gt;=1",lg_Score,"&lt;=5"),0)</f>
        <v>3.77083333333333</v>
      </c>
    </row>
    <row r="43" customFormat="false" ht="16.5" hidden="false" customHeight="true" outlineLevel="0" collapsed="false">
      <c r="B43" s="39" t="str">
        <f aca="false">INDEX(site_Name,16)</f>
        <v>Pinewood Community School</v>
      </c>
      <c r="C43" s="46" t="str">
        <f aca="false">INDEX(site_Program,16)</f>
        <v>Dance and Movement</v>
      </c>
      <c r="D43" s="47" t="n">
        <f aca="false">COUNTIFS(lg_SiteID,INDEX(site_ID,16),lg_Quarter,RptQ,lg_Include,"Yes")</f>
        <v>23</v>
      </c>
      <c r="E43" s="47" t="n">
        <f aca="false">INDEX(site_Planned,16)*COUNTIFS(MonthQuarter,RptQ,ProgMonth,"Yes")</f>
        <v>24</v>
      </c>
      <c r="F43" s="40" t="n">
        <f aca="false">IFERROR(SUMIFS(lg_Present,lg_SiteID,INDEX(site_ID,16),lg_Quarter,RptQ,lg_Include,"Yes")/SUMIFS(lg_Enrolled,lg_SiteID,INDEX(site_ID,16),lg_Quarter,RptQ,lg_Include,"Yes"),0)</f>
        <v>0.760869565217391</v>
      </c>
      <c r="G43" s="41" t="n">
        <f aca="false">IFERROR(AVERAGEIFS(lg_Score,lg_SiteID,INDEX(site_ID,16),lg_Quarter,RptQ,lg_Include,"Yes",lg_Score,"&gt;=1",lg_Score,"&lt;=5"),0)</f>
        <v>3.61304347826087</v>
      </c>
    </row>
    <row r="44" customFormat="false" ht="16.5" hidden="false" customHeight="true" outlineLevel="0" collapsed="false">
      <c r="B44" s="39" t="str">
        <f aca="false">INDEX(site_Name,17)</f>
        <v>Quarry Road Elementary</v>
      </c>
      <c r="C44" s="46" t="str">
        <f aca="false">INDEX(site_Program,17)</f>
        <v>Digital Media</v>
      </c>
      <c r="D44" s="47" t="n">
        <f aca="false">COUNTIFS(lg_SiteID,INDEX(site_ID,17),lg_Quarter,RptQ,lg_Include,"Yes")</f>
        <v>12</v>
      </c>
      <c r="E44" s="47" t="n">
        <f aca="false">INDEX(site_Planned,17)*COUNTIFS(MonthQuarter,RptQ,ProgMonth,"Yes")</f>
        <v>12</v>
      </c>
      <c r="F44" s="40" t="n">
        <f aca="false">IFERROR(SUMIFS(lg_Present,lg_SiteID,INDEX(site_ID,17),lg_Quarter,RptQ,lg_Include,"Yes")/SUMIFS(lg_Enrolled,lg_SiteID,INDEX(site_ID,17),lg_Quarter,RptQ,lg_Include,"Yes"),0)</f>
        <v>0.801587301587302</v>
      </c>
      <c r="G44" s="41" t="n">
        <f aca="false">IFERROR(AVERAGEIFS(lg_Score,lg_SiteID,INDEX(site_ID,17),lg_Quarter,RptQ,lg_Include,"Yes",lg_Score,"&gt;=1",lg_Score,"&lt;=5"),0)</f>
        <v>3.775</v>
      </c>
    </row>
    <row r="45" customFormat="false" ht="16.5" hidden="false" customHeight="true" outlineLevel="0" collapsed="false">
      <c r="B45" s="39" t="str">
        <f aca="false">INDEX(site_Name,18)</f>
        <v>Riverside Arts Magnet</v>
      </c>
      <c r="C45" s="46" t="str">
        <f aca="false">INDEX(site_Program,18)</f>
        <v>Dance and Movement</v>
      </c>
      <c r="D45" s="47" t="n">
        <f aca="false">COUNTIFS(lg_SiteID,INDEX(site_ID,18),lg_Quarter,RptQ,lg_Include,"Yes")</f>
        <v>24</v>
      </c>
      <c r="E45" s="47" t="n">
        <f aca="false">INDEX(site_Planned,18)*COUNTIFS(MonthQuarter,RptQ,ProgMonth,"Yes")</f>
        <v>24</v>
      </c>
      <c r="F45" s="40" t="n">
        <f aca="false">IFERROR(SUMIFS(lg_Present,lg_SiteID,INDEX(site_ID,18),lg_Quarter,RptQ,lg_Include,"Yes")/SUMIFS(lg_Enrolled,lg_SiteID,INDEX(site_ID,18),lg_Quarter,RptQ,lg_Include,"Yes"),0)</f>
        <v>0.826923076923077</v>
      </c>
      <c r="G45" s="41" t="n">
        <f aca="false">IFERROR(AVERAGEIFS(lg_Score,lg_SiteID,INDEX(site_ID,18),lg_Quarter,RptQ,lg_Include,"Yes",lg_Score,"&gt;=1",lg_Score,"&lt;=5"),0)</f>
        <v>3.90833333333333</v>
      </c>
    </row>
    <row r="46" customFormat="false" ht="16.5" hidden="false" customHeight="true" outlineLevel="0" collapsed="false">
      <c r="B46" s="39" t="str">
        <f aca="false">INDEX(site_Name,19)</f>
        <v>Sable Creek Middle</v>
      </c>
      <c r="C46" s="46" t="str">
        <f aca="false">INDEX(site_Program,19)</f>
        <v>Dance and Movement</v>
      </c>
      <c r="D46" s="47" t="n">
        <f aca="false">COUNTIFS(lg_SiteID,INDEX(site_ID,19),lg_Quarter,RptQ,lg_Include,"Yes")</f>
        <v>11</v>
      </c>
      <c r="E46" s="47" t="n">
        <f aca="false">INDEX(site_Planned,19)*COUNTIFS(MonthQuarter,RptQ,ProgMonth,"Yes")</f>
        <v>12</v>
      </c>
      <c r="F46" s="40" t="n">
        <f aca="false">IFERROR(SUMIFS(lg_Present,lg_SiteID,INDEX(site_ID,19),lg_Quarter,RptQ,lg_Include,"Yes")/SUMIFS(lg_Enrolled,lg_SiteID,INDEX(site_ID,19),lg_Quarter,RptQ,lg_Include,"Yes"),0)</f>
        <v>0.875</v>
      </c>
      <c r="G46" s="41" t="n">
        <f aca="false">IFERROR(AVERAGEIFS(lg_Score,lg_SiteID,INDEX(site_ID,19),lg_Quarter,RptQ,lg_Include,"Yes",lg_Score,"&gt;=1",lg_Score,"&lt;=5"),0)</f>
        <v>3.62727272727273</v>
      </c>
    </row>
    <row r="47" customFormat="false" ht="16.5" hidden="false" customHeight="true" outlineLevel="0" collapsed="false">
      <c r="B47" s="39" t="str">
        <f aca="false">INDEX(site_Name,20)</f>
        <v>Twin Oaks Elementary</v>
      </c>
      <c r="C47" s="46" t="str">
        <f aca="false">INDEX(site_Program,20)</f>
        <v>Theater</v>
      </c>
      <c r="D47" s="47" t="n">
        <f aca="false">COUNTIFS(lg_SiteID,INDEX(site_ID,20),lg_Quarter,RptQ,lg_Include,"Yes")</f>
        <v>24</v>
      </c>
      <c r="E47" s="47" t="n">
        <f aca="false">INDEX(site_Planned,20)*COUNTIFS(MonthQuarter,RptQ,ProgMonth,"Yes")</f>
        <v>24</v>
      </c>
      <c r="F47" s="40" t="n">
        <f aca="false">IFERROR(SUMIFS(lg_Present,lg_SiteID,INDEX(site_ID,20),lg_Quarter,RptQ,lg_Include,"Yes")/SUMIFS(lg_Enrolled,lg_SiteID,INDEX(site_ID,20),lg_Quarter,RptQ,lg_Include,"Yes"),0)</f>
        <v>0.848901098901099</v>
      </c>
      <c r="G47" s="41" t="n">
        <f aca="false">IFERROR(AVERAGEIFS(lg_Score,lg_SiteID,INDEX(site_ID,20),lg_Quarter,RptQ,lg_Include,"Yes",lg_Score,"&gt;=1",lg_Score,"&lt;=5"),0)</f>
        <v>3.61666666666667</v>
      </c>
    </row>
    <row r="49" customFormat="false" ht="15" hidden="false" customHeight="true" outlineLevel="0" collapsed="false">
      <c r="B49" s="48" t="s">
        <v>89</v>
      </c>
      <c r="C49" s="48"/>
      <c r="D49" s="48"/>
      <c r="E49" s="48"/>
      <c r="F49" s="48"/>
      <c r="G49" s="48"/>
    </row>
    <row r="50" customFormat="false" ht="15" hidden="false" customHeight="false" outlineLevel="0" collapsed="false">
      <c r="B50" s="48"/>
      <c r="C50" s="48"/>
      <c r="D50" s="48"/>
      <c r="E50" s="48"/>
      <c r="F50" s="48"/>
      <c r="G50" s="48"/>
    </row>
    <row r="51" customFormat="false" ht="15" hidden="false" customHeight="false" outlineLevel="0" collapsed="false">
      <c r="B51" s="49" t="s">
        <v>46</v>
      </c>
    </row>
  </sheetData>
  <sheetProtection sheet="true" formatColumns="false" formatRows="false" sort="false" autoFilter="false"/>
  <mergeCells count="7">
    <mergeCell ref="I5:J7"/>
    <mergeCell ref="C7:D7"/>
    <mergeCell ref="F7:G7"/>
    <mergeCell ref="C10:D10"/>
    <mergeCell ref="F10:G10"/>
    <mergeCell ref="B13:G15"/>
    <mergeCell ref="B49:G50"/>
  </mergeCells>
  <conditionalFormatting sqref="F28:F47">
    <cfRule type="expression" priority="2" aboveAverage="0" equalAverage="0" bottom="0" percent="0" rank="0" text="" dxfId="2">
      <formula>$F28&lt;AttGoal</formula>
    </cfRule>
  </conditionalFormatting>
  <conditionalFormatting sqref="D28:D47">
    <cfRule type="expression" priority="3" aboveAverage="0" equalAverage="0" bottom="0" percent="0" rank="0" text="" dxfId="3">
      <formula>$D28&lt;0.75*$E28</formula>
    </cfRule>
  </conditionalFormatting>
  <dataValidations count="1">
    <dataValidation allowBlank="true" error="Pick a value from the list." errorStyle="stop" errorTitle="Not on the list" operator="between" showDropDown="false" showErrorMessage="true" showInputMessage="false" sqref="J3" type="list">
      <formula1>QuarterList</formula1>
      <formula2>0</formula2>
    </dataValidation>
  </dataValidations>
  <printOptions headings="false" gridLines="false" gridLinesSet="true" horizontalCentered="true" verticalCentered="false"/>
  <pageMargins left="0.5" right="0.5" top="0.55" bottom="0.5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8A00"/>
    <pageSetUpPr fitToPage="true"/>
  </sheetPr>
  <dimension ref="A1:R15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1"/>
    <col collapsed="false" customWidth="true" hidden="false" outlineLevel="0" max="2" min="2" style="0" width="16"/>
    <col collapsed="false" customWidth="true" hidden="false" outlineLevel="0" max="3" min="3" style="0" width="25"/>
    <col collapsed="false" customWidth="true" hidden="false" outlineLevel="0" max="4" min="4" style="0" width="17"/>
    <col collapsed="false" customWidth="true" hidden="false" outlineLevel="0" max="5" min="5" style="0" width="12"/>
    <col collapsed="false" customWidth="true" hidden="false" outlineLevel="0" max="8" min="6" style="0" width="10"/>
    <col collapsed="false" customWidth="true" hidden="false" outlineLevel="0" max="9" min="9" style="0" width="13"/>
    <col collapsed="false" customWidth="true" hidden="false" outlineLevel="0" max="10" min="10" style="0" width="30"/>
    <col collapsed="false" customWidth="true" hidden="false" outlineLevel="0" max="11" min="11" style="0" width="26"/>
    <col collapsed="false" customWidth="true" hidden="false" outlineLevel="0" max="12" min="12" style="0" width="9"/>
    <col collapsed="false" customWidth="true" hidden="false" outlineLevel="0" max="13" min="13" style="0" width="10"/>
    <col collapsed="false" customWidth="true" hidden="false" outlineLevel="0" max="14" min="14" style="0" width="12"/>
    <col collapsed="false" customWidth="true" hidden="false" outlineLevel="0" max="15" min="15" style="0" width="11"/>
    <col collapsed="false" customWidth="true" hidden="false" outlineLevel="0" max="16" min="16" style="0" width="10"/>
    <col collapsed="false" customWidth="true" hidden="false" outlineLevel="0" max="17" min="17" style="0" width="11"/>
    <col collapsed="false" customWidth="true" hidden="false" outlineLevel="0" max="18" min="18" style="0" width="30"/>
  </cols>
  <sheetData>
    <row r="1" customFormat="false" ht="61.5" hidden="false" customHeight="true" outlineLevel="0" collapsed="false">
      <c r="A1" s="50" t="s">
        <v>90</v>
      </c>
      <c r="B1" s="50" t="s">
        <v>91</v>
      </c>
      <c r="C1" s="50" t="s">
        <v>92</v>
      </c>
      <c r="D1" s="50" t="s">
        <v>81</v>
      </c>
      <c r="E1" s="50" t="s">
        <v>93</v>
      </c>
      <c r="F1" s="50" t="s">
        <v>94</v>
      </c>
      <c r="G1" s="50" t="s">
        <v>95</v>
      </c>
      <c r="H1" s="50" t="s">
        <v>96</v>
      </c>
      <c r="I1" s="50" t="s">
        <v>97</v>
      </c>
      <c r="J1" s="50" t="s">
        <v>98</v>
      </c>
      <c r="K1" s="50" t="s">
        <v>99</v>
      </c>
      <c r="L1" s="51" t="s">
        <v>100</v>
      </c>
      <c r="M1" s="51" t="s">
        <v>101</v>
      </c>
      <c r="N1" s="51" t="s">
        <v>102</v>
      </c>
      <c r="O1" s="51" t="s">
        <v>77</v>
      </c>
      <c r="P1" s="51" t="s">
        <v>78</v>
      </c>
      <c r="Q1" s="51" t="s">
        <v>103</v>
      </c>
      <c r="R1" s="51" t="s">
        <v>104</v>
      </c>
    </row>
    <row r="2" customFormat="false" ht="15" hidden="false" customHeight="false" outlineLevel="0" collapsed="false">
      <c r="A2" s="52" t="n">
        <v>45908.6438194444</v>
      </c>
      <c r="B2" s="53" t="s">
        <v>105</v>
      </c>
      <c r="C2" s="53" t="s">
        <v>106</v>
      </c>
      <c r="D2" s="53" t="s">
        <v>107</v>
      </c>
      <c r="E2" s="54" t="n">
        <v>45908</v>
      </c>
      <c r="F2" s="55" t="n">
        <v>14</v>
      </c>
      <c r="G2" s="55" t="n">
        <v>11</v>
      </c>
      <c r="H2" s="55" t="n">
        <v>60</v>
      </c>
      <c r="I2" s="56" t="n">
        <v>2.7</v>
      </c>
      <c r="J2" s="53" t="s">
        <v>108</v>
      </c>
      <c r="K2" s="53"/>
      <c r="L2" s="57" t="str">
        <f aca="false">IF(C2="","",IFERROR(INDEX(site_ID,MATCH(C2,site_Name,0)),"Not on SITES"))</f>
        <v>LW-103</v>
      </c>
      <c r="M2" s="58" t="n">
        <f aca="false">IF(E2="","",DATE(YEAR(E2),MONTH(E2),1))</f>
        <v>45901</v>
      </c>
      <c r="N2" s="57" t="str">
        <f aca="false">IF(E2="","","FY"&amp;(YEAR(E2)+IF(AND(FYStart&gt;1,MONTH(E2)&gt;=FYStart),1,0))&amp;" Q"&amp;(INT(MOD(MONTH(E2)-FYStart,12)/3)+1))</f>
        <v>FY2026 Q1</v>
      </c>
      <c r="O2" s="59" t="n">
        <f aca="false">IF(OR(E2="",N(F2)=0),"",G2/F2)</f>
        <v>0.785714285714286</v>
      </c>
      <c r="P2" s="60" t="n">
        <f aca="false">IF(E2="","",ROUND(N(G2)*N(H2)/60,1))</f>
        <v>11</v>
      </c>
      <c r="Q2" s="57" t="str">
        <f aca="false">IF(E2="","",IF(COUNTIFS($C$2:C2,C2,$E$2:E2,E2,$B$2:B2,B2)&gt;1,"No","Yes"))</f>
        <v>Yes</v>
      </c>
      <c r="R2" s="61" t="str">
        <f aca="false">IF(E2="","",IF(Q2="No","Duplicate of an earlier response",IF(L2="Not on SITES","Site not on SITES",IF(N(G2)&gt;N(F2),"Present is more than enrolled",IF(OR(I2&lt;1,I2&gt;5),"Score outside 1 to 5","")))))</f>
        <v/>
      </c>
    </row>
    <row r="3" customFormat="false" ht="15" hidden="false" customHeight="false" outlineLevel="0" collapsed="false">
      <c r="A3" s="52" t="n">
        <v>45908.6821759259</v>
      </c>
      <c r="B3" s="53" t="s">
        <v>109</v>
      </c>
      <c r="C3" s="53" t="s">
        <v>110</v>
      </c>
      <c r="D3" s="53" t="s">
        <v>107</v>
      </c>
      <c r="E3" s="54" t="n">
        <v>45908</v>
      </c>
      <c r="F3" s="55" t="n">
        <v>17</v>
      </c>
      <c r="G3" s="55" t="n">
        <v>12</v>
      </c>
      <c r="H3" s="55" t="n">
        <v>75</v>
      </c>
      <c r="I3" s="56" t="n">
        <v>3.4</v>
      </c>
      <c r="J3" s="53" t="s">
        <v>108</v>
      </c>
      <c r="K3" s="53"/>
      <c r="L3" s="57" t="str">
        <f aca="false">IF(C3="","",IFERROR(INDEX(site_ID,MATCH(C3,site_Name,0)),"Not on SITES"))</f>
        <v>LW-113</v>
      </c>
      <c r="M3" s="58" t="n">
        <f aca="false">IF(E3="","",DATE(YEAR(E3),MONTH(E3),1))</f>
        <v>45901</v>
      </c>
      <c r="N3" s="57" t="str">
        <f aca="false">IF(E3="","","FY"&amp;(YEAR(E3)+IF(AND(FYStart&gt;1,MONTH(E3)&gt;=FYStart),1,0))&amp;" Q"&amp;(INT(MOD(MONTH(E3)-FYStart,12)/3)+1))</f>
        <v>FY2026 Q1</v>
      </c>
      <c r="O3" s="59" t="n">
        <f aca="false">IF(OR(E3="",N(F3)=0),"",G3/F3)</f>
        <v>0.705882352941177</v>
      </c>
      <c r="P3" s="60" t="n">
        <f aca="false">IF(E3="","",ROUND(N(G3)*N(H3)/60,1))</f>
        <v>15</v>
      </c>
      <c r="Q3" s="57" t="str">
        <f aca="false">IF(E3="","",IF(COUNTIFS($C$2:C3,C3,$E$2:E3,E3,$B$2:B3,B3)&gt;1,"No","Yes"))</f>
        <v>Yes</v>
      </c>
      <c r="R3" s="61" t="str">
        <f aca="false">IF(E3="","",IF(Q3="No","Duplicate of an earlier response",IF(L3="Not on SITES","Site not on SITES",IF(N(G3)&gt;N(F3),"Present is more than enrolled",IF(OR(I3&lt;1,I3&gt;5),"Score outside 1 to 5","")))))</f>
        <v/>
      </c>
    </row>
    <row r="4" customFormat="false" ht="15" hidden="false" customHeight="false" outlineLevel="0" collapsed="false">
      <c r="A4" s="52" t="n">
        <v>45908.7065972222</v>
      </c>
      <c r="B4" s="53" t="s">
        <v>111</v>
      </c>
      <c r="C4" s="53" t="s">
        <v>112</v>
      </c>
      <c r="D4" s="53" t="s">
        <v>113</v>
      </c>
      <c r="E4" s="54" t="n">
        <v>45908</v>
      </c>
      <c r="F4" s="55" t="n">
        <v>12</v>
      </c>
      <c r="G4" s="55" t="n">
        <v>10</v>
      </c>
      <c r="H4" s="55" t="n">
        <v>60</v>
      </c>
      <c r="I4" s="56" t="n">
        <v>3.2</v>
      </c>
      <c r="J4" s="53" t="s">
        <v>114</v>
      </c>
      <c r="K4" s="53"/>
      <c r="L4" s="57" t="str">
        <f aca="false">IF(C4="","",IFERROR(INDEX(site_ID,MATCH(C4,site_Name,0)),"Not on SITES"))</f>
        <v>LW-120</v>
      </c>
      <c r="M4" s="58" t="n">
        <f aca="false">IF(E4="","",DATE(YEAR(E4),MONTH(E4),1))</f>
        <v>45901</v>
      </c>
      <c r="N4" s="57" t="str">
        <f aca="false">IF(E4="","","FY"&amp;(YEAR(E4)+IF(AND(FYStart&gt;1,MONTH(E4)&gt;=FYStart),1,0))&amp;" Q"&amp;(INT(MOD(MONTH(E4)-FYStart,12)/3)+1))</f>
        <v>FY2026 Q1</v>
      </c>
      <c r="O4" s="59" t="n">
        <f aca="false">IF(OR(E4="",N(F4)=0),"",G4/F4)</f>
        <v>0.833333333333333</v>
      </c>
      <c r="P4" s="60" t="n">
        <f aca="false">IF(E4="","",ROUND(N(G4)*N(H4)/60,1))</f>
        <v>10</v>
      </c>
      <c r="Q4" s="57" t="str">
        <f aca="false">IF(E4="","",IF(COUNTIFS($C$2:C4,C4,$E$2:E4,E4,$B$2:B4,B4)&gt;1,"No","Yes"))</f>
        <v>Yes</v>
      </c>
      <c r="R4" s="61" t="str">
        <f aca="false">IF(E4="","",IF(Q4="No","Duplicate of an earlier response",IF(L4="Not on SITES","Site not on SITES",IF(N(G4)&gt;N(F4),"Present is more than enrolled",IF(OR(I4&lt;1,I4&gt;5),"Score outside 1 to 5","")))))</f>
        <v/>
      </c>
    </row>
    <row r="5" customFormat="false" ht="15" hidden="false" customHeight="false" outlineLevel="0" collapsed="false">
      <c r="A5" s="52" t="n">
        <v>45908.7255787037</v>
      </c>
      <c r="B5" s="53" t="s">
        <v>105</v>
      </c>
      <c r="C5" s="53" t="s">
        <v>115</v>
      </c>
      <c r="D5" s="53" t="s">
        <v>116</v>
      </c>
      <c r="E5" s="54" t="n">
        <v>45908</v>
      </c>
      <c r="F5" s="55" t="n">
        <v>15</v>
      </c>
      <c r="G5" s="55" t="n">
        <v>12</v>
      </c>
      <c r="H5" s="55" t="n">
        <v>75</v>
      </c>
      <c r="I5" s="56" t="n">
        <v>3.1</v>
      </c>
      <c r="J5" s="53" t="s">
        <v>117</v>
      </c>
      <c r="K5" s="53"/>
      <c r="L5" s="57" t="str">
        <f aca="false">IF(C5="","",IFERROR(INDEX(site_ID,MATCH(C5,site_Name,0)),"Not on SITES"))</f>
        <v>LW-119</v>
      </c>
      <c r="M5" s="58" t="n">
        <f aca="false">IF(E5="","",DATE(YEAR(E5),MONTH(E5),1))</f>
        <v>45901</v>
      </c>
      <c r="N5" s="57" t="str">
        <f aca="false">IF(E5="","","FY"&amp;(YEAR(E5)+IF(AND(FYStart&gt;1,MONTH(E5)&gt;=FYStart),1,0))&amp;" Q"&amp;(INT(MOD(MONTH(E5)-FYStart,12)/3)+1))</f>
        <v>FY2026 Q1</v>
      </c>
      <c r="O5" s="59" t="n">
        <f aca="false">IF(OR(E5="",N(F5)=0),"",G5/F5)</f>
        <v>0.8</v>
      </c>
      <c r="P5" s="60" t="n">
        <f aca="false">IF(E5="","",ROUND(N(G5)*N(H5)/60,1))</f>
        <v>15</v>
      </c>
      <c r="Q5" s="57" t="str">
        <f aca="false">IF(E5="","",IF(COUNTIFS($C$2:C5,C5,$E$2:E5,E5,$B$2:B5,B5)&gt;1,"No","Yes"))</f>
        <v>Yes</v>
      </c>
      <c r="R5" s="61" t="str">
        <f aca="false">IF(E5="","",IF(Q5="No","Duplicate of an earlier response",IF(L5="Not on SITES","Site not on SITES",IF(N(G5)&gt;N(F5),"Present is more than enrolled",IF(OR(I5&lt;1,I5&gt;5),"Score outside 1 to 5","")))))</f>
        <v/>
      </c>
    </row>
    <row r="6" customFormat="false" ht="15" hidden="false" customHeight="false" outlineLevel="0" collapsed="false">
      <c r="A6" s="52" t="n">
        <v>45908.7671990741</v>
      </c>
      <c r="B6" s="53" t="s">
        <v>105</v>
      </c>
      <c r="C6" s="53" t="s">
        <v>118</v>
      </c>
      <c r="D6" s="53" t="s">
        <v>119</v>
      </c>
      <c r="E6" s="54" t="n">
        <v>45908</v>
      </c>
      <c r="F6" s="55" t="n">
        <v>17</v>
      </c>
      <c r="G6" s="55" t="n">
        <v>14</v>
      </c>
      <c r="H6" s="55" t="n">
        <v>60</v>
      </c>
      <c r="I6" s="56" t="n">
        <v>3.2</v>
      </c>
      <c r="J6" s="53" t="s">
        <v>120</v>
      </c>
      <c r="K6" s="53"/>
      <c r="L6" s="57" t="str">
        <f aca="false">IF(C6="","",IFERROR(INDEX(site_ID,MATCH(C6,site_Name,0)),"Not on SITES"))</f>
        <v>LW-111</v>
      </c>
      <c r="M6" s="58" t="n">
        <f aca="false">IF(E6="","",DATE(YEAR(E6),MONTH(E6),1))</f>
        <v>45901</v>
      </c>
      <c r="N6" s="57" t="str">
        <f aca="false">IF(E6="","","FY"&amp;(YEAR(E6)+IF(AND(FYStart&gt;1,MONTH(E6)&gt;=FYStart),1,0))&amp;" Q"&amp;(INT(MOD(MONTH(E6)-FYStart,12)/3)+1))</f>
        <v>FY2026 Q1</v>
      </c>
      <c r="O6" s="59" t="n">
        <f aca="false">IF(OR(E6="",N(F6)=0),"",G6/F6)</f>
        <v>0.823529411764706</v>
      </c>
      <c r="P6" s="60" t="n">
        <f aca="false">IF(E6="","",ROUND(N(G6)*N(H6)/60,1))</f>
        <v>14</v>
      </c>
      <c r="Q6" s="57" t="str">
        <f aca="false">IF(E6="","",IF(COUNTIFS($C$2:C6,C6,$E$2:E6,E6,$B$2:B6,B6)&gt;1,"No","Yes"))</f>
        <v>Yes</v>
      </c>
      <c r="R6" s="61" t="str">
        <f aca="false">IF(E6="","",IF(Q6="No","Duplicate of an earlier response",IF(L6="Not on SITES","Site not on SITES",IF(N(G6)&gt;N(F6),"Present is more than enrolled",IF(OR(I6&lt;1,I6&gt;5),"Score outside 1 to 5","")))))</f>
        <v/>
      </c>
    </row>
    <row r="7" customFormat="false" ht="15" hidden="false" customHeight="false" outlineLevel="0" collapsed="false">
      <c r="A7" s="52" t="n">
        <v>45909.6402662037</v>
      </c>
      <c r="B7" s="53" t="s">
        <v>121</v>
      </c>
      <c r="C7" s="53" t="s">
        <v>122</v>
      </c>
      <c r="D7" s="53" t="s">
        <v>116</v>
      </c>
      <c r="E7" s="54" t="n">
        <v>45909</v>
      </c>
      <c r="F7" s="55" t="n">
        <v>14</v>
      </c>
      <c r="G7" s="55" t="n">
        <v>12</v>
      </c>
      <c r="H7" s="55" t="n">
        <v>60</v>
      </c>
      <c r="I7" s="56" t="n">
        <v>3.1</v>
      </c>
      <c r="J7" s="53" t="s">
        <v>123</v>
      </c>
      <c r="K7" s="53"/>
      <c r="L7" s="57" t="str">
        <f aca="false">IF(C7="","",IFERROR(INDEX(site_ID,MATCH(C7,site_Name,0)),"Not on SITES"))</f>
        <v>LW-116</v>
      </c>
      <c r="M7" s="58" t="n">
        <f aca="false">IF(E7="","",DATE(YEAR(E7),MONTH(E7),1))</f>
        <v>45901</v>
      </c>
      <c r="N7" s="57" t="str">
        <f aca="false">IF(E7="","","FY"&amp;(YEAR(E7)+IF(AND(FYStart&gt;1,MONTH(E7)&gt;=FYStart),1,0))&amp;" Q"&amp;(INT(MOD(MONTH(E7)-FYStart,12)/3)+1))</f>
        <v>FY2026 Q1</v>
      </c>
      <c r="O7" s="59" t="n">
        <f aca="false">IF(OR(E7="",N(F7)=0),"",G7/F7)</f>
        <v>0.857142857142857</v>
      </c>
      <c r="P7" s="60" t="n">
        <f aca="false">IF(E7="","",ROUND(N(G7)*N(H7)/60,1))</f>
        <v>12</v>
      </c>
      <c r="Q7" s="57" t="str">
        <f aca="false">IF(E7="","",IF(COUNTIFS($C$2:C7,C7,$E$2:E7,E7,$B$2:B7,B7)&gt;1,"No","Yes"))</f>
        <v>Yes</v>
      </c>
      <c r="R7" s="61" t="str">
        <f aca="false">IF(E7="","",IF(Q7="No","Duplicate of an earlier response",IF(L7="Not on SITES","Site not on SITES",IF(N(G7)&gt;N(F7),"Present is more than enrolled",IF(OR(I7&lt;1,I7&gt;5),"Score outside 1 to 5","")))))</f>
        <v/>
      </c>
    </row>
    <row r="8" customFormat="false" ht="15" hidden="false" customHeight="false" outlineLevel="0" collapsed="false">
      <c r="A8" s="52" t="n">
        <v>45909.6437152778</v>
      </c>
      <c r="B8" s="53" t="s">
        <v>124</v>
      </c>
      <c r="C8" s="53" t="s">
        <v>125</v>
      </c>
      <c r="D8" s="53" t="s">
        <v>119</v>
      </c>
      <c r="E8" s="54" t="n">
        <v>45909</v>
      </c>
      <c r="F8" s="55" t="n">
        <v>16</v>
      </c>
      <c r="G8" s="55" t="n">
        <v>13</v>
      </c>
      <c r="H8" s="55" t="n">
        <v>75</v>
      </c>
      <c r="I8" s="56" t="n">
        <v>3.1</v>
      </c>
      <c r="J8" s="53" t="s">
        <v>126</v>
      </c>
      <c r="K8" s="53"/>
      <c r="L8" s="57" t="str">
        <f aca="false">IF(C8="","",IFERROR(INDEX(site_ID,MATCH(C8,site_Name,0)),"Not on SITES"))</f>
        <v>LW-106</v>
      </c>
      <c r="M8" s="58" t="n">
        <f aca="false">IF(E8="","",DATE(YEAR(E8),MONTH(E8),1))</f>
        <v>45901</v>
      </c>
      <c r="N8" s="57" t="str">
        <f aca="false">IF(E8="","","FY"&amp;(YEAR(E8)+IF(AND(FYStart&gt;1,MONTH(E8)&gt;=FYStart),1,0))&amp;" Q"&amp;(INT(MOD(MONTH(E8)-FYStart,12)/3)+1))</f>
        <v>FY2026 Q1</v>
      </c>
      <c r="O8" s="59" t="n">
        <f aca="false">IF(OR(E8="",N(F8)=0),"",G8/F8)</f>
        <v>0.8125</v>
      </c>
      <c r="P8" s="60" t="n">
        <f aca="false">IF(E8="","",ROUND(N(G8)*N(H8)/60,1))</f>
        <v>16.3</v>
      </c>
      <c r="Q8" s="57" t="str">
        <f aca="false">IF(E8="","",IF(COUNTIFS($C$2:C8,C8,$E$2:E8,E8,$B$2:B8,B8)&gt;1,"No","Yes"))</f>
        <v>Yes</v>
      </c>
      <c r="R8" s="61" t="str">
        <f aca="false">IF(E8="","",IF(Q8="No","Duplicate of an earlier response",IF(L8="Not on SITES","Site not on SITES",IF(N(G8)&gt;N(F8),"Present is more than enrolled",IF(OR(I8&lt;1,I8&gt;5),"Score outside 1 to 5","")))))</f>
        <v/>
      </c>
    </row>
    <row r="9" customFormat="false" ht="15" hidden="false" customHeight="false" outlineLevel="0" collapsed="false">
      <c r="A9" s="52" t="n">
        <v>45909.6949537037</v>
      </c>
      <c r="B9" s="53" t="s">
        <v>121</v>
      </c>
      <c r="C9" s="53" t="s">
        <v>127</v>
      </c>
      <c r="D9" s="53" t="s">
        <v>107</v>
      </c>
      <c r="E9" s="54" t="n">
        <v>45909</v>
      </c>
      <c r="F9" s="55" t="n">
        <v>13</v>
      </c>
      <c r="G9" s="55" t="n">
        <v>12</v>
      </c>
      <c r="H9" s="55" t="n">
        <v>60</v>
      </c>
      <c r="I9" s="56" t="n">
        <v>3.3</v>
      </c>
      <c r="J9" s="53" t="s">
        <v>128</v>
      </c>
      <c r="K9" s="53"/>
      <c r="L9" s="57" t="str">
        <f aca="false">IF(C9="","",IFERROR(INDEX(site_ID,MATCH(C9,site_Name,0)),"Not on SITES"))</f>
        <v>LW-108</v>
      </c>
      <c r="M9" s="58" t="n">
        <f aca="false">IF(E9="","",DATE(YEAR(E9),MONTH(E9),1))</f>
        <v>45901</v>
      </c>
      <c r="N9" s="57" t="str">
        <f aca="false">IF(E9="","","FY"&amp;(YEAR(E9)+IF(AND(FYStart&gt;1,MONTH(E9)&gt;=FYStart),1,0))&amp;" Q"&amp;(INT(MOD(MONTH(E9)-FYStart,12)/3)+1))</f>
        <v>FY2026 Q1</v>
      </c>
      <c r="O9" s="59" t="n">
        <f aca="false">IF(OR(E9="",N(F9)=0),"",G9/F9)</f>
        <v>0.923076923076923</v>
      </c>
      <c r="P9" s="60" t="n">
        <f aca="false">IF(E9="","",ROUND(N(G9)*N(H9)/60,1))</f>
        <v>12</v>
      </c>
      <c r="Q9" s="57" t="str">
        <f aca="false">IF(E9="","",IF(COUNTIFS($C$2:C9,C9,$E$2:E9,E9,$B$2:B9,B9)&gt;1,"No","Yes"))</f>
        <v>Yes</v>
      </c>
      <c r="R9" s="61" t="str">
        <f aca="false">IF(E9="","",IF(Q9="No","Duplicate of an earlier response",IF(L9="Not on SITES","Site not on SITES",IF(N(G9)&gt;N(F9),"Present is more than enrolled",IF(OR(I9&lt;1,I9&gt;5),"Score outside 1 to 5","")))))</f>
        <v/>
      </c>
    </row>
    <row r="10" customFormat="false" ht="15" hidden="false" customHeight="false" outlineLevel="0" collapsed="false">
      <c r="A10" s="52" t="n">
        <v>45909.7776736111</v>
      </c>
      <c r="B10" s="53" t="s">
        <v>129</v>
      </c>
      <c r="C10" s="53" t="s">
        <v>130</v>
      </c>
      <c r="D10" s="53" t="s">
        <v>113</v>
      </c>
      <c r="E10" s="54" t="n">
        <v>45909</v>
      </c>
      <c r="F10" s="55" t="n">
        <v>15</v>
      </c>
      <c r="G10" s="55" t="n">
        <v>12</v>
      </c>
      <c r="H10" s="55" t="n">
        <v>60</v>
      </c>
      <c r="I10" s="56" t="n">
        <v>3</v>
      </c>
      <c r="J10" s="53" t="s">
        <v>131</v>
      </c>
      <c r="K10" s="53"/>
      <c r="L10" s="57" t="str">
        <f aca="false">IF(C10="","",IFERROR(INDEX(site_ID,MATCH(C10,site_Name,0)),"Not on SITES"))</f>
        <v>LW-107</v>
      </c>
      <c r="M10" s="58" t="n">
        <f aca="false">IF(E10="","",DATE(YEAR(E10),MONTH(E10),1))</f>
        <v>45901</v>
      </c>
      <c r="N10" s="57" t="str">
        <f aca="false">IF(E10="","","FY"&amp;(YEAR(E10)+IF(AND(FYStart&gt;1,MONTH(E10)&gt;=FYStart),1,0))&amp;" Q"&amp;(INT(MOD(MONTH(E10)-FYStart,12)/3)+1))</f>
        <v>FY2026 Q1</v>
      </c>
      <c r="O10" s="59" t="n">
        <f aca="false">IF(OR(E10="",N(F10)=0),"",G10/F10)</f>
        <v>0.8</v>
      </c>
      <c r="P10" s="60" t="n">
        <f aca="false">IF(E10="","",ROUND(N(G10)*N(H10)/60,1))</f>
        <v>12</v>
      </c>
      <c r="Q10" s="57" t="str">
        <f aca="false">IF(E10="","",IF(COUNTIFS($C$2:C10,C10,$E$2:E10,E10,$B$2:B10,B10)&gt;1,"No","Yes"))</f>
        <v>Yes</v>
      </c>
      <c r="R10" s="61" t="str">
        <f aca="false">IF(E10="","",IF(Q10="No","Duplicate of an earlier response",IF(L10="Not on SITES","Site not on SITES",IF(N(G10)&gt;N(F10),"Present is more than enrolled",IF(OR(I10&lt;1,I10&gt;5),"Score outside 1 to 5","")))))</f>
        <v/>
      </c>
    </row>
    <row r="11" customFormat="false" ht="15" hidden="false" customHeight="false" outlineLevel="0" collapsed="false">
      <c r="A11" s="52" t="n">
        <v>45909.7860185185</v>
      </c>
      <c r="B11" s="53" t="s">
        <v>132</v>
      </c>
      <c r="C11" s="53" t="s">
        <v>133</v>
      </c>
      <c r="D11" s="53" t="s">
        <v>116</v>
      </c>
      <c r="E11" s="54" t="n">
        <v>45909</v>
      </c>
      <c r="F11" s="55" t="n">
        <v>16</v>
      </c>
      <c r="G11" s="55" t="n">
        <v>13</v>
      </c>
      <c r="H11" s="55" t="n">
        <v>90</v>
      </c>
      <c r="I11" s="56" t="n">
        <v>2.6</v>
      </c>
      <c r="J11" s="53" t="s">
        <v>134</v>
      </c>
      <c r="K11" s="53" t="s">
        <v>135</v>
      </c>
      <c r="L11" s="57" t="str">
        <f aca="false">IF(C11="","",IFERROR(INDEX(site_ID,MATCH(C11,site_Name,0)),"Not on SITES"))</f>
        <v>LW-109</v>
      </c>
      <c r="M11" s="58" t="n">
        <f aca="false">IF(E11="","",DATE(YEAR(E11),MONTH(E11),1))</f>
        <v>45901</v>
      </c>
      <c r="N11" s="57" t="str">
        <f aca="false">IF(E11="","","FY"&amp;(YEAR(E11)+IF(AND(FYStart&gt;1,MONTH(E11)&gt;=FYStart),1,0))&amp;" Q"&amp;(INT(MOD(MONTH(E11)-FYStart,12)/3)+1))</f>
        <v>FY2026 Q1</v>
      </c>
      <c r="O11" s="59" t="n">
        <f aca="false">IF(OR(E11="",N(F11)=0),"",G11/F11)</f>
        <v>0.8125</v>
      </c>
      <c r="P11" s="60" t="n">
        <f aca="false">IF(E11="","",ROUND(N(G11)*N(H11)/60,1))</f>
        <v>19.5</v>
      </c>
      <c r="Q11" s="57" t="str">
        <f aca="false">IF(E11="","",IF(COUNTIFS($C$2:C11,C11,$E$2:E11,E11,$B$2:B11,B11)&gt;1,"No","Yes"))</f>
        <v>Yes</v>
      </c>
      <c r="R11" s="61" t="str">
        <f aca="false">IF(E11="","",IF(Q11="No","Duplicate of an earlier response",IF(L11="Not on SITES","Site not on SITES",IF(N(G11)&gt;N(F11),"Present is more than enrolled",IF(OR(I11&lt;1,I11&gt;5),"Score outside 1 to 5","")))))</f>
        <v/>
      </c>
    </row>
    <row r="12" customFormat="false" ht="15" hidden="false" customHeight="false" outlineLevel="0" collapsed="false">
      <c r="A12" s="52" t="n">
        <v>45910.6455671296</v>
      </c>
      <c r="B12" s="53" t="s">
        <v>111</v>
      </c>
      <c r="C12" s="53" t="s">
        <v>112</v>
      </c>
      <c r="D12" s="53" t="s">
        <v>113</v>
      </c>
      <c r="E12" s="54" t="n">
        <v>45910</v>
      </c>
      <c r="F12" s="55" t="n">
        <v>12</v>
      </c>
      <c r="G12" s="55" t="n">
        <v>11</v>
      </c>
      <c r="H12" s="55" t="n">
        <v>60</v>
      </c>
      <c r="I12" s="56" t="n">
        <v>2.8</v>
      </c>
      <c r="J12" s="53" t="s">
        <v>136</v>
      </c>
      <c r="K12" s="53"/>
      <c r="L12" s="57" t="str">
        <f aca="false">IF(C12="","",IFERROR(INDEX(site_ID,MATCH(C12,site_Name,0)),"Not on SITES"))</f>
        <v>LW-120</v>
      </c>
      <c r="M12" s="58" t="n">
        <f aca="false">IF(E12="","",DATE(YEAR(E12),MONTH(E12),1))</f>
        <v>45901</v>
      </c>
      <c r="N12" s="57" t="str">
        <f aca="false">IF(E12="","","FY"&amp;(YEAR(E12)+IF(AND(FYStart&gt;1,MONTH(E12)&gt;=FYStart),1,0))&amp;" Q"&amp;(INT(MOD(MONTH(E12)-FYStart,12)/3)+1))</f>
        <v>FY2026 Q1</v>
      </c>
      <c r="O12" s="59" t="n">
        <f aca="false">IF(OR(E12="",N(F12)=0),"",G12/F12)</f>
        <v>0.916666666666667</v>
      </c>
      <c r="P12" s="60" t="n">
        <f aca="false">IF(E12="","",ROUND(N(G12)*N(H12)/60,1))</f>
        <v>11</v>
      </c>
      <c r="Q12" s="57" t="str">
        <f aca="false">IF(E12="","",IF(COUNTIFS($C$2:C12,C12,$E$2:E12,E12,$B$2:B12,B12)&gt;1,"No","Yes"))</f>
        <v>Yes</v>
      </c>
      <c r="R12" s="61" t="str">
        <f aca="false">IF(E12="","",IF(Q12="No","Duplicate of an earlier response",IF(L12="Not on SITES","Site not on SITES",IF(N(G12)&gt;N(F12),"Present is more than enrolled",IF(OR(I12&lt;1,I12&gt;5),"Score outside 1 to 5","")))))</f>
        <v/>
      </c>
    </row>
    <row r="13" customFormat="false" ht="15" hidden="false" customHeight="false" outlineLevel="0" collapsed="false">
      <c r="A13" s="52" t="n">
        <v>45910.7054398148</v>
      </c>
      <c r="B13" s="53" t="s">
        <v>129</v>
      </c>
      <c r="C13" s="53" t="s">
        <v>137</v>
      </c>
      <c r="D13" s="53" t="s">
        <v>138</v>
      </c>
      <c r="E13" s="54" t="n">
        <v>45910</v>
      </c>
      <c r="F13" s="55" t="n">
        <v>16</v>
      </c>
      <c r="G13" s="55" t="n">
        <v>13</v>
      </c>
      <c r="H13" s="55" t="n">
        <v>90</v>
      </c>
      <c r="I13" s="56" t="n">
        <v>3.5</v>
      </c>
      <c r="J13" s="53" t="s">
        <v>139</v>
      </c>
      <c r="K13" s="53"/>
      <c r="L13" s="57" t="str">
        <f aca="false">IF(C13="","",IFERROR(INDEX(site_ID,MATCH(C13,site_Name,0)),"Not on SITES"))</f>
        <v>LW-115</v>
      </c>
      <c r="M13" s="58" t="n">
        <f aca="false">IF(E13="","",DATE(YEAR(E13),MONTH(E13),1))</f>
        <v>45901</v>
      </c>
      <c r="N13" s="57" t="str">
        <f aca="false">IF(E13="","","FY"&amp;(YEAR(E13)+IF(AND(FYStart&gt;1,MONTH(E13)&gt;=FYStart),1,0))&amp;" Q"&amp;(INT(MOD(MONTH(E13)-FYStart,12)/3)+1))</f>
        <v>FY2026 Q1</v>
      </c>
      <c r="O13" s="59" t="n">
        <f aca="false">IF(OR(E13="",N(F13)=0),"",G13/F13)</f>
        <v>0.8125</v>
      </c>
      <c r="P13" s="60" t="n">
        <f aca="false">IF(E13="","",ROUND(N(G13)*N(H13)/60,1))</f>
        <v>19.5</v>
      </c>
      <c r="Q13" s="57" t="str">
        <f aca="false">IF(E13="","",IF(COUNTIFS($C$2:C13,C13,$E$2:E13,E13,$B$2:B13,B13)&gt;1,"No","Yes"))</f>
        <v>Yes</v>
      </c>
      <c r="R13" s="61" t="str">
        <f aca="false">IF(E13="","",IF(Q13="No","Duplicate of an earlier response",IF(L13="Not on SITES","Site not on SITES",IF(N(G13)&gt;N(F13),"Present is more than enrolled",IF(OR(I13&lt;1,I13&gt;5),"Score outside 1 to 5","")))))</f>
        <v/>
      </c>
    </row>
    <row r="14" customFormat="false" ht="15" hidden="false" customHeight="false" outlineLevel="0" collapsed="false">
      <c r="A14" s="52" t="n">
        <v>45910.7184953704</v>
      </c>
      <c r="B14" s="53" t="s">
        <v>140</v>
      </c>
      <c r="C14" s="53" t="s">
        <v>141</v>
      </c>
      <c r="D14" s="53" t="s">
        <v>116</v>
      </c>
      <c r="E14" s="54" t="n">
        <v>45910</v>
      </c>
      <c r="F14" s="55" t="n">
        <v>10</v>
      </c>
      <c r="G14" s="55" t="n">
        <v>8</v>
      </c>
      <c r="H14" s="55" t="n">
        <v>60</v>
      </c>
      <c r="I14" s="56" t="n">
        <v>3.5</v>
      </c>
      <c r="J14" s="53" t="s">
        <v>123</v>
      </c>
      <c r="K14" s="53"/>
      <c r="L14" s="57" t="str">
        <f aca="false">IF(C14="","",IFERROR(INDEX(site_ID,MATCH(C14,site_Name,0)),"Not on SITES"))</f>
        <v>LW-118</v>
      </c>
      <c r="M14" s="58" t="n">
        <f aca="false">IF(E14="","",DATE(YEAR(E14),MONTH(E14),1))</f>
        <v>45901</v>
      </c>
      <c r="N14" s="57" t="str">
        <f aca="false">IF(E14="","","FY"&amp;(YEAR(E14)+IF(AND(FYStart&gt;1,MONTH(E14)&gt;=FYStart),1,0))&amp;" Q"&amp;(INT(MOD(MONTH(E14)-FYStart,12)/3)+1))</f>
        <v>FY2026 Q1</v>
      </c>
      <c r="O14" s="59" t="n">
        <f aca="false">IF(OR(E14="",N(F14)=0),"",G14/F14)</f>
        <v>0.8</v>
      </c>
      <c r="P14" s="60" t="n">
        <f aca="false">IF(E14="","",ROUND(N(G14)*N(H14)/60,1))</f>
        <v>8</v>
      </c>
      <c r="Q14" s="57" t="str">
        <f aca="false">IF(E14="","",IF(COUNTIFS($C$2:C14,C14,$E$2:E14,E14,$B$2:B14,B14)&gt;1,"No","Yes"))</f>
        <v>Yes</v>
      </c>
      <c r="R14" s="61" t="str">
        <f aca="false">IF(E14="","",IF(Q14="No","Duplicate of an earlier response",IF(L14="Not on SITES","Site not on SITES",IF(N(G14)&gt;N(F14),"Present is more than enrolled",IF(OR(I14&lt;1,I14&gt;5),"Score outside 1 to 5","")))))</f>
        <v/>
      </c>
    </row>
    <row r="15" customFormat="false" ht="15" hidden="false" customHeight="false" outlineLevel="0" collapsed="false">
      <c r="A15" s="52" t="n">
        <v>45910.7885532407</v>
      </c>
      <c r="B15" s="53" t="s">
        <v>140</v>
      </c>
      <c r="C15" s="53" t="s">
        <v>142</v>
      </c>
      <c r="D15" s="53" t="s">
        <v>113</v>
      </c>
      <c r="E15" s="54" t="n">
        <v>45910</v>
      </c>
      <c r="F15" s="55" t="n">
        <v>15</v>
      </c>
      <c r="G15" s="55" t="n">
        <v>13</v>
      </c>
      <c r="H15" s="55" t="n">
        <v>60</v>
      </c>
      <c r="I15" s="56" t="n">
        <v>2.8</v>
      </c>
      <c r="J15" s="53" t="s">
        <v>143</v>
      </c>
      <c r="K15" s="53"/>
      <c r="L15" s="57" t="str">
        <f aca="false">IF(C15="","",IFERROR(INDEX(site_ID,MATCH(C15,site_Name,0)),"Not on SITES"))</f>
        <v>LW-102</v>
      </c>
      <c r="M15" s="58" t="n">
        <f aca="false">IF(E15="","",DATE(YEAR(E15),MONTH(E15),1))</f>
        <v>45901</v>
      </c>
      <c r="N15" s="57" t="str">
        <f aca="false">IF(E15="","","FY"&amp;(YEAR(E15)+IF(AND(FYStart&gt;1,MONTH(E15)&gt;=FYStart),1,0))&amp;" Q"&amp;(INT(MOD(MONTH(E15)-FYStart,12)/3)+1))</f>
        <v>FY2026 Q1</v>
      </c>
      <c r="O15" s="59" t="n">
        <f aca="false">IF(OR(E15="",N(F15)=0),"",G15/F15)</f>
        <v>0.866666666666667</v>
      </c>
      <c r="P15" s="60" t="n">
        <f aca="false">IF(E15="","",ROUND(N(G15)*N(H15)/60,1))</f>
        <v>13</v>
      </c>
      <c r="Q15" s="57" t="str">
        <f aca="false">IF(E15="","",IF(COUNTIFS($C$2:C15,C15,$E$2:E15,E15,$B$2:B15,B15)&gt;1,"No","Yes"))</f>
        <v>Yes</v>
      </c>
      <c r="R15" s="61" t="str">
        <f aca="false">IF(E15="","",IF(Q15="No","Duplicate of an earlier response",IF(L15="Not on SITES","Site not on SITES",IF(N(G15)&gt;N(F15),"Present is more than enrolled",IF(OR(I15&lt;1,I15&gt;5),"Score outside 1 to 5","")))))</f>
        <v/>
      </c>
    </row>
    <row r="16" customFormat="false" ht="15" hidden="false" customHeight="false" outlineLevel="0" collapsed="false">
      <c r="A16" s="52" t="n">
        <v>45910.8554513889</v>
      </c>
      <c r="B16" s="53" t="s">
        <v>105</v>
      </c>
      <c r="C16" s="53" t="s">
        <v>118</v>
      </c>
      <c r="D16" s="53" t="s">
        <v>119</v>
      </c>
      <c r="E16" s="54" t="n">
        <v>45910</v>
      </c>
      <c r="F16" s="55" t="n">
        <v>18</v>
      </c>
      <c r="G16" s="55" t="n">
        <v>15</v>
      </c>
      <c r="H16" s="55" t="n">
        <v>60</v>
      </c>
      <c r="I16" s="56" t="n">
        <v>3.2</v>
      </c>
      <c r="J16" s="53" t="s">
        <v>144</v>
      </c>
      <c r="K16" s="53"/>
      <c r="L16" s="57" t="str">
        <f aca="false">IF(C16="","",IFERROR(INDEX(site_ID,MATCH(C16,site_Name,0)),"Not on SITES"))</f>
        <v>LW-111</v>
      </c>
      <c r="M16" s="58" t="n">
        <f aca="false">IF(E16="","",DATE(YEAR(E16),MONTH(E16),1))</f>
        <v>45901</v>
      </c>
      <c r="N16" s="57" t="str">
        <f aca="false">IF(E16="","","FY"&amp;(YEAR(E16)+IF(AND(FYStart&gt;1,MONTH(E16)&gt;=FYStart),1,0))&amp;" Q"&amp;(INT(MOD(MONTH(E16)-FYStart,12)/3)+1))</f>
        <v>FY2026 Q1</v>
      </c>
      <c r="O16" s="59" t="n">
        <f aca="false">IF(OR(E16="",N(F16)=0),"",G16/F16)</f>
        <v>0.833333333333333</v>
      </c>
      <c r="P16" s="60" t="n">
        <f aca="false">IF(E16="","",ROUND(N(G16)*N(H16)/60,1))</f>
        <v>15</v>
      </c>
      <c r="Q16" s="57" t="str">
        <f aca="false">IF(E16="","",IF(COUNTIFS($C$2:C16,C16,$E$2:E16,E16,$B$2:B16,B16)&gt;1,"No","Yes"))</f>
        <v>Yes</v>
      </c>
      <c r="R16" s="61" t="str">
        <f aca="false">IF(E16="","",IF(Q16="No","Duplicate of an earlier response",IF(L16="Not on SITES","Site not on SITES",IF(N(G16)&gt;N(F16),"Present is more than enrolled",IF(OR(I16&lt;1,I16&gt;5),"Score outside 1 to 5","")))))</f>
        <v/>
      </c>
    </row>
    <row r="17" customFormat="false" ht="15" hidden="false" customHeight="false" outlineLevel="0" collapsed="false">
      <c r="A17" s="52" t="n">
        <v>45910.8698726852</v>
      </c>
      <c r="B17" s="53" t="s">
        <v>132</v>
      </c>
      <c r="C17" s="53" t="s">
        <v>145</v>
      </c>
      <c r="D17" s="53" t="s">
        <v>119</v>
      </c>
      <c r="E17" s="54" t="n">
        <v>45910</v>
      </c>
      <c r="F17" s="55" t="n">
        <v>17</v>
      </c>
      <c r="G17" s="55" t="n">
        <v>15</v>
      </c>
      <c r="H17" s="55" t="n">
        <v>75</v>
      </c>
      <c r="I17" s="56" t="n">
        <v>3</v>
      </c>
      <c r="J17" s="53" t="s">
        <v>126</v>
      </c>
      <c r="K17" s="53"/>
      <c r="L17" s="57" t="str">
        <f aca="false">IF(C17="","",IFERROR(INDEX(site_ID,MATCH(C17,site_Name,0)),"Not on SITES"))</f>
        <v>LW-101</v>
      </c>
      <c r="M17" s="58" t="n">
        <f aca="false">IF(E17="","",DATE(YEAR(E17),MONTH(E17),1))</f>
        <v>45901</v>
      </c>
      <c r="N17" s="57" t="str">
        <f aca="false">IF(E17="","","FY"&amp;(YEAR(E17)+IF(AND(FYStart&gt;1,MONTH(E17)&gt;=FYStart),1,0))&amp;" Q"&amp;(INT(MOD(MONTH(E17)-FYStart,12)/3)+1))</f>
        <v>FY2026 Q1</v>
      </c>
      <c r="O17" s="59" t="n">
        <f aca="false">IF(OR(E17="",N(F17)=0),"",G17/F17)</f>
        <v>0.882352941176471</v>
      </c>
      <c r="P17" s="60" t="n">
        <f aca="false">IF(E17="","",ROUND(N(G17)*N(H17)/60,1))</f>
        <v>18.8</v>
      </c>
      <c r="Q17" s="57" t="str">
        <f aca="false">IF(E17="","",IF(COUNTIFS($C$2:C17,C17,$E$2:E17,E17,$B$2:B17,B17)&gt;1,"No","Yes"))</f>
        <v>Yes</v>
      </c>
      <c r="R17" s="61" t="str">
        <f aca="false">IF(E17="","",IF(Q17="No","Duplicate of an earlier response",IF(L17="Not on SITES","Site not on SITES",IF(N(G17)&gt;N(F17),"Present is more than enrolled",IF(OR(I17&lt;1,I17&gt;5),"Score outside 1 to 5","")))))</f>
        <v/>
      </c>
    </row>
    <row r="18" customFormat="false" ht="15" hidden="false" customHeight="false" outlineLevel="0" collapsed="false">
      <c r="A18" s="52" t="n">
        <v>45911.658287037</v>
      </c>
      <c r="B18" s="53" t="s">
        <v>109</v>
      </c>
      <c r="C18" s="53" t="s">
        <v>146</v>
      </c>
      <c r="D18" s="53" t="s">
        <v>138</v>
      </c>
      <c r="E18" s="54" t="n">
        <v>45911</v>
      </c>
      <c r="F18" s="55" t="n">
        <v>13</v>
      </c>
      <c r="G18" s="55" t="n">
        <v>10</v>
      </c>
      <c r="H18" s="55" t="n">
        <v>90</v>
      </c>
      <c r="I18" s="56" t="n">
        <v>3</v>
      </c>
      <c r="J18" s="53" t="s">
        <v>147</v>
      </c>
      <c r="K18" s="53"/>
      <c r="L18" s="57" t="str">
        <f aca="false">IF(C18="","",IFERROR(INDEX(site_ID,MATCH(C18,site_Name,0)),"Not on SITES"))</f>
        <v>LW-105</v>
      </c>
      <c r="M18" s="58" t="n">
        <f aca="false">IF(E18="","",DATE(YEAR(E18),MONTH(E18),1))</f>
        <v>45901</v>
      </c>
      <c r="N18" s="57" t="str">
        <f aca="false">IF(E18="","","FY"&amp;(YEAR(E18)+IF(AND(FYStart&gt;1,MONTH(E18)&gt;=FYStart),1,0))&amp;" Q"&amp;(INT(MOD(MONTH(E18)-FYStart,12)/3)+1))</f>
        <v>FY2026 Q1</v>
      </c>
      <c r="O18" s="59" t="n">
        <f aca="false">IF(OR(E18="",N(F18)=0),"",G18/F18)</f>
        <v>0.769230769230769</v>
      </c>
      <c r="P18" s="60" t="n">
        <f aca="false">IF(E18="","",ROUND(N(G18)*N(H18)/60,1))</f>
        <v>15</v>
      </c>
      <c r="Q18" s="57" t="str">
        <f aca="false">IF(E18="","",IF(COUNTIFS($C$2:C18,C18,$E$2:E18,E18,$B$2:B18,B18)&gt;1,"No","Yes"))</f>
        <v>Yes</v>
      </c>
      <c r="R18" s="61" t="str">
        <f aca="false">IF(E18="","",IF(Q18="No","Duplicate of an earlier response",IF(L18="Not on SITES","Site not on SITES",IF(N(G18)&gt;N(F18),"Present is more than enrolled",IF(OR(I18&lt;1,I18&gt;5),"Score outside 1 to 5","")))))</f>
        <v/>
      </c>
    </row>
    <row r="19" customFormat="false" ht="15" hidden="false" customHeight="false" outlineLevel="0" collapsed="false">
      <c r="A19" s="52" t="n">
        <v>45911.6616435185</v>
      </c>
      <c r="B19" s="53" t="s">
        <v>111</v>
      </c>
      <c r="C19" s="53" t="s">
        <v>148</v>
      </c>
      <c r="D19" s="53" t="s">
        <v>116</v>
      </c>
      <c r="E19" s="54" t="n">
        <v>45911</v>
      </c>
      <c r="F19" s="55" t="n">
        <v>15</v>
      </c>
      <c r="G19" s="55" t="n">
        <v>12</v>
      </c>
      <c r="H19" s="55" t="n">
        <v>90</v>
      </c>
      <c r="I19" s="56" t="n">
        <v>3.2</v>
      </c>
      <c r="J19" s="53" t="s">
        <v>134</v>
      </c>
      <c r="K19" s="53"/>
      <c r="L19" s="57" t="str">
        <f aca="false">IF(C19="","",IFERROR(INDEX(site_ID,MATCH(C19,site_Name,0)),"Not on SITES"))</f>
        <v>LW-104</v>
      </c>
      <c r="M19" s="58" t="n">
        <f aca="false">IF(E19="","",DATE(YEAR(E19),MONTH(E19),1))</f>
        <v>45901</v>
      </c>
      <c r="N19" s="57" t="str">
        <f aca="false">IF(E19="","","FY"&amp;(YEAR(E19)+IF(AND(FYStart&gt;1,MONTH(E19)&gt;=FYStart),1,0))&amp;" Q"&amp;(INT(MOD(MONTH(E19)-FYStart,12)/3)+1))</f>
        <v>FY2026 Q1</v>
      </c>
      <c r="O19" s="59" t="n">
        <f aca="false">IF(OR(E19="",N(F19)=0),"",G19/F19)</f>
        <v>0.8</v>
      </c>
      <c r="P19" s="60" t="n">
        <f aca="false">IF(E19="","",ROUND(N(G19)*N(H19)/60,1))</f>
        <v>18</v>
      </c>
      <c r="Q19" s="57" t="str">
        <f aca="false">IF(E19="","",IF(COUNTIFS($C$2:C19,C19,$E$2:E19,E19,$B$2:B19,B19)&gt;1,"No","Yes"))</f>
        <v>Yes</v>
      </c>
      <c r="R19" s="61" t="str">
        <f aca="false">IF(E19="","",IF(Q19="No","Duplicate of an earlier response",IF(L19="Not on SITES","Site not on SITES",IF(N(G19)&gt;N(F19),"Present is more than enrolled",IF(OR(I19&lt;1,I19&gt;5),"Score outside 1 to 5","")))))</f>
        <v/>
      </c>
    </row>
    <row r="20" customFormat="false" ht="15" hidden="false" customHeight="false" outlineLevel="0" collapsed="false">
      <c r="A20" s="52" t="n">
        <v>45911.6675810185</v>
      </c>
      <c r="B20" s="53" t="s">
        <v>111</v>
      </c>
      <c r="C20" s="53" t="s">
        <v>149</v>
      </c>
      <c r="D20" s="53" t="s">
        <v>113</v>
      </c>
      <c r="E20" s="54" t="n">
        <v>45911</v>
      </c>
      <c r="F20" s="55" t="n">
        <v>21</v>
      </c>
      <c r="G20" s="55" t="n">
        <v>19</v>
      </c>
      <c r="H20" s="55" t="n">
        <v>90</v>
      </c>
      <c r="I20" s="56" t="n">
        <v>3</v>
      </c>
      <c r="J20" s="53" t="s">
        <v>136</v>
      </c>
      <c r="K20" s="53"/>
      <c r="L20" s="57" t="str">
        <f aca="false">IF(C20="","",IFERROR(INDEX(site_ID,MATCH(C20,site_Name,0)),"Not on SITES"))</f>
        <v>LW-112</v>
      </c>
      <c r="M20" s="58" t="n">
        <f aca="false">IF(E20="","",DATE(YEAR(E20),MONTH(E20),1))</f>
        <v>45901</v>
      </c>
      <c r="N20" s="57" t="str">
        <f aca="false">IF(E20="","","FY"&amp;(YEAR(E20)+IF(AND(FYStart&gt;1,MONTH(E20)&gt;=FYStart),1,0))&amp;" Q"&amp;(INT(MOD(MONTH(E20)-FYStart,12)/3)+1))</f>
        <v>FY2026 Q1</v>
      </c>
      <c r="O20" s="59" t="n">
        <f aca="false">IF(OR(E20="",N(F20)=0),"",G20/F20)</f>
        <v>0.904761904761905</v>
      </c>
      <c r="P20" s="60" t="n">
        <f aca="false">IF(E20="","",ROUND(N(G20)*N(H20)/60,1))</f>
        <v>28.5</v>
      </c>
      <c r="Q20" s="57" t="str">
        <f aca="false">IF(E20="","",IF(COUNTIFS($C$2:C20,C20,$E$2:E20,E20,$B$2:B20,B20)&gt;1,"No","Yes"))</f>
        <v>Yes</v>
      </c>
      <c r="R20" s="61" t="str">
        <f aca="false">IF(E20="","",IF(Q20="No","Duplicate of an earlier response",IF(L20="Not on SITES","Site not on SITES",IF(N(G20)&gt;N(F20),"Present is more than enrolled",IF(OR(I20&lt;1,I20&gt;5),"Score outside 1 to 5","")))))</f>
        <v/>
      </c>
    </row>
    <row r="21" customFormat="false" ht="15" hidden="false" customHeight="false" outlineLevel="0" collapsed="false">
      <c r="A21" s="52" t="n">
        <v>45911.797337963</v>
      </c>
      <c r="B21" s="53" t="s">
        <v>132</v>
      </c>
      <c r="C21" s="53" t="s">
        <v>150</v>
      </c>
      <c r="D21" s="53" t="s">
        <v>138</v>
      </c>
      <c r="E21" s="54" t="n">
        <v>45911</v>
      </c>
      <c r="F21" s="55" t="n">
        <v>18</v>
      </c>
      <c r="G21" s="55" t="n">
        <v>15</v>
      </c>
      <c r="H21" s="55" t="n">
        <v>90</v>
      </c>
      <c r="I21" s="56" t="n">
        <v>3.1</v>
      </c>
      <c r="J21" s="53" t="s">
        <v>147</v>
      </c>
      <c r="K21" s="53"/>
      <c r="L21" s="57" t="str">
        <f aca="false">IF(C21="","",IFERROR(INDEX(site_ID,MATCH(C21,site_Name,0)),"Not on SITES"))</f>
        <v>LW-117</v>
      </c>
      <c r="M21" s="58" t="n">
        <f aca="false">IF(E21="","",DATE(YEAR(E21),MONTH(E21),1))</f>
        <v>45901</v>
      </c>
      <c r="N21" s="57" t="str">
        <f aca="false">IF(E21="","","FY"&amp;(YEAR(E21)+IF(AND(FYStart&gt;1,MONTH(E21)&gt;=FYStart),1,0))&amp;" Q"&amp;(INT(MOD(MONTH(E21)-FYStart,12)/3)+1))</f>
        <v>FY2026 Q1</v>
      </c>
      <c r="O21" s="59" t="n">
        <f aca="false">IF(OR(E21="",N(F21)=0),"",G21/F21)</f>
        <v>0.833333333333333</v>
      </c>
      <c r="P21" s="60" t="n">
        <f aca="false">IF(E21="","",ROUND(N(G21)*N(H21)/60,1))</f>
        <v>22.5</v>
      </c>
      <c r="Q21" s="57" t="str">
        <f aca="false">IF(E21="","",IF(COUNTIFS($C$2:C21,C21,$E$2:E21,E21,$B$2:B21,B21)&gt;1,"No","Yes"))</f>
        <v>Yes</v>
      </c>
      <c r="R21" s="61" t="str">
        <f aca="false">IF(E21="","",IF(Q21="No","Duplicate of an earlier response",IF(L21="Not on SITES","Site not on SITES",IF(N(G21)&gt;N(F21),"Present is more than enrolled",IF(OR(I21&lt;1,I21&gt;5),"Score outside 1 to 5","")))))</f>
        <v/>
      </c>
    </row>
    <row r="22" customFormat="false" ht="15" hidden="false" customHeight="false" outlineLevel="0" collapsed="false">
      <c r="A22" s="52" t="n">
        <v>45911.8720717593</v>
      </c>
      <c r="B22" s="53" t="s">
        <v>140</v>
      </c>
      <c r="C22" s="53" t="s">
        <v>151</v>
      </c>
      <c r="D22" s="53" t="s">
        <v>138</v>
      </c>
      <c r="E22" s="54" t="n">
        <v>45911</v>
      </c>
      <c r="F22" s="55" t="n">
        <v>14</v>
      </c>
      <c r="G22" s="55" t="n">
        <v>10</v>
      </c>
      <c r="H22" s="55" t="n">
        <v>90</v>
      </c>
      <c r="I22" s="56" t="n">
        <v>3.2</v>
      </c>
      <c r="J22" s="53" t="s">
        <v>152</v>
      </c>
      <c r="K22" s="53"/>
      <c r="L22" s="57" t="str">
        <f aca="false">IF(C22="","",IFERROR(INDEX(site_ID,MATCH(C22,site_Name,0)),"Not on SITES"))</f>
        <v>LW-110</v>
      </c>
      <c r="M22" s="58" t="n">
        <f aca="false">IF(E22="","",DATE(YEAR(E22),MONTH(E22),1))</f>
        <v>45901</v>
      </c>
      <c r="N22" s="57" t="str">
        <f aca="false">IF(E22="","","FY"&amp;(YEAR(E22)+IF(AND(FYStart&gt;1,MONTH(E22)&gt;=FYStart),1,0))&amp;" Q"&amp;(INT(MOD(MONTH(E22)-FYStart,12)/3)+1))</f>
        <v>FY2026 Q1</v>
      </c>
      <c r="O22" s="59" t="n">
        <f aca="false">IF(OR(E22="",N(F22)=0),"",G22/F22)</f>
        <v>0.714285714285714</v>
      </c>
      <c r="P22" s="60" t="n">
        <f aca="false">IF(E22="","",ROUND(N(G22)*N(H22)/60,1))</f>
        <v>15</v>
      </c>
      <c r="Q22" s="57" t="str">
        <f aca="false">IF(E22="","",IF(COUNTIFS($C$2:C22,C22,$E$2:E22,E22,$B$2:B22,B22)&gt;1,"No","Yes"))</f>
        <v>Yes</v>
      </c>
      <c r="R22" s="61" t="str">
        <f aca="false">IF(E22="","",IF(Q22="No","Duplicate of an earlier response",IF(L22="Not on SITES","Site not on SITES",IF(N(G22)&gt;N(F22),"Present is more than enrolled",IF(OR(I22&lt;1,I22&gt;5),"Score outside 1 to 5","")))))</f>
        <v/>
      </c>
    </row>
    <row r="23" customFormat="false" ht="15" hidden="false" customHeight="false" outlineLevel="0" collapsed="false">
      <c r="A23" s="52" t="n">
        <v>45912.8000578704</v>
      </c>
      <c r="B23" s="53" t="s">
        <v>140</v>
      </c>
      <c r="C23" s="53" t="s">
        <v>141</v>
      </c>
      <c r="D23" s="53" t="s">
        <v>116</v>
      </c>
      <c r="E23" s="54" t="n">
        <v>45912</v>
      </c>
      <c r="F23" s="55" t="n">
        <v>10</v>
      </c>
      <c r="G23" s="55" t="n">
        <v>9</v>
      </c>
      <c r="H23" s="55" t="n">
        <v>75</v>
      </c>
      <c r="I23" s="56" t="n">
        <v>3.4</v>
      </c>
      <c r="J23" s="53" t="s">
        <v>153</v>
      </c>
      <c r="K23" s="53"/>
      <c r="L23" s="57" t="str">
        <f aca="false">IF(C23="","",IFERROR(INDEX(site_ID,MATCH(C23,site_Name,0)),"Not on SITES"))</f>
        <v>LW-118</v>
      </c>
      <c r="M23" s="58" t="n">
        <f aca="false">IF(E23="","",DATE(YEAR(E23),MONTH(E23),1))</f>
        <v>45901</v>
      </c>
      <c r="N23" s="57" t="str">
        <f aca="false">IF(E23="","","FY"&amp;(YEAR(E23)+IF(AND(FYStart&gt;1,MONTH(E23)&gt;=FYStart),1,0))&amp;" Q"&amp;(INT(MOD(MONTH(E23)-FYStart,12)/3)+1))</f>
        <v>FY2026 Q1</v>
      </c>
      <c r="O23" s="59" t="n">
        <f aca="false">IF(OR(E23="",N(F23)=0),"",G23/F23)</f>
        <v>0.9</v>
      </c>
      <c r="P23" s="60" t="n">
        <f aca="false">IF(E23="","",ROUND(N(G23)*N(H23)/60,1))</f>
        <v>11.3</v>
      </c>
      <c r="Q23" s="57" t="str">
        <f aca="false">IF(E23="","",IF(COUNTIFS($C$2:C23,C23,$E$2:E23,E23,$B$2:B23,B23)&gt;1,"No","Yes"))</f>
        <v>Yes</v>
      </c>
      <c r="R23" s="61" t="str">
        <f aca="false">IF(E23="","",IF(Q23="No","Duplicate of an earlier response",IF(L23="Not on SITES","Site not on SITES",IF(N(G23)&gt;N(F23),"Present is more than enrolled",IF(OR(I23&lt;1,I23&gt;5),"Score outside 1 to 5","")))))</f>
        <v/>
      </c>
    </row>
    <row r="24" customFormat="false" ht="15" hidden="false" customHeight="false" outlineLevel="0" collapsed="false">
      <c r="A24" s="52" t="n">
        <v>45912.8365393519</v>
      </c>
      <c r="B24" s="53" t="s">
        <v>129</v>
      </c>
      <c r="C24" s="53" t="s">
        <v>137</v>
      </c>
      <c r="D24" s="53" t="s">
        <v>138</v>
      </c>
      <c r="E24" s="54" t="n">
        <v>45912</v>
      </c>
      <c r="F24" s="55" t="n">
        <v>17</v>
      </c>
      <c r="G24" s="55" t="n">
        <v>15</v>
      </c>
      <c r="H24" s="55" t="n">
        <v>90</v>
      </c>
      <c r="I24" s="56" t="n">
        <v>3.2</v>
      </c>
      <c r="J24" s="53" t="s">
        <v>139</v>
      </c>
      <c r="K24" s="53"/>
      <c r="L24" s="57" t="str">
        <f aca="false">IF(C24="","",IFERROR(INDEX(site_ID,MATCH(C24,site_Name,0)),"Not on SITES"))</f>
        <v>LW-115</v>
      </c>
      <c r="M24" s="58" t="n">
        <f aca="false">IF(E24="","",DATE(YEAR(E24),MONTH(E24),1))</f>
        <v>45901</v>
      </c>
      <c r="N24" s="57" t="str">
        <f aca="false">IF(E24="","","FY"&amp;(YEAR(E24)+IF(AND(FYStart&gt;1,MONTH(E24)&gt;=FYStart),1,0))&amp;" Q"&amp;(INT(MOD(MONTH(E24)-FYStart,12)/3)+1))</f>
        <v>FY2026 Q1</v>
      </c>
      <c r="O24" s="59" t="n">
        <f aca="false">IF(OR(E24="",N(F24)=0),"",G24/F24)</f>
        <v>0.882352941176471</v>
      </c>
      <c r="P24" s="60" t="n">
        <f aca="false">IF(E24="","",ROUND(N(G24)*N(H24)/60,1))</f>
        <v>22.5</v>
      </c>
      <c r="Q24" s="57" t="str">
        <f aca="false">IF(E24="","",IF(COUNTIFS($C$2:C24,C24,$E$2:E24,E24,$B$2:B24,B24)&gt;1,"No","Yes"))</f>
        <v>Yes</v>
      </c>
      <c r="R24" s="61" t="str">
        <f aca="false">IF(E24="","",IF(Q24="No","Duplicate of an earlier response",IF(L24="Not on SITES","Site not on SITES",IF(N(G24)&gt;N(F24),"Present is more than enrolled",IF(OR(I24&lt;1,I24&gt;5),"Score outside 1 to 5","")))))</f>
        <v/>
      </c>
    </row>
    <row r="25" customFormat="false" ht="15" hidden="false" customHeight="false" outlineLevel="0" collapsed="false">
      <c r="A25" s="52" t="n">
        <v>45914.714837963</v>
      </c>
      <c r="B25" s="53" t="s">
        <v>121</v>
      </c>
      <c r="C25" s="53" t="s">
        <v>122</v>
      </c>
      <c r="D25" s="53" t="s">
        <v>116</v>
      </c>
      <c r="E25" s="54" t="n">
        <v>45911</v>
      </c>
      <c r="F25" s="55" t="n">
        <v>14</v>
      </c>
      <c r="G25" s="55" t="n">
        <v>12</v>
      </c>
      <c r="H25" s="55" t="n">
        <v>75</v>
      </c>
      <c r="I25" s="56" t="n">
        <v>3</v>
      </c>
      <c r="J25" s="53" t="s">
        <v>123</v>
      </c>
      <c r="K25" s="53"/>
      <c r="L25" s="57" t="str">
        <f aca="false">IF(C25="","",IFERROR(INDEX(site_ID,MATCH(C25,site_Name,0)),"Not on SITES"))</f>
        <v>LW-116</v>
      </c>
      <c r="M25" s="58" t="n">
        <f aca="false">IF(E25="","",DATE(YEAR(E25),MONTH(E25),1))</f>
        <v>45901</v>
      </c>
      <c r="N25" s="57" t="str">
        <f aca="false">IF(E25="","","FY"&amp;(YEAR(E25)+IF(AND(FYStart&gt;1,MONTH(E25)&gt;=FYStart),1,0))&amp;" Q"&amp;(INT(MOD(MONTH(E25)-FYStart,12)/3)+1))</f>
        <v>FY2026 Q1</v>
      </c>
      <c r="O25" s="59" t="n">
        <f aca="false">IF(OR(E25="",N(F25)=0),"",G25/F25)</f>
        <v>0.857142857142857</v>
      </c>
      <c r="P25" s="60" t="n">
        <f aca="false">IF(E25="","",ROUND(N(G25)*N(H25)/60,1))</f>
        <v>15</v>
      </c>
      <c r="Q25" s="57" t="str">
        <f aca="false">IF(E25="","",IF(COUNTIFS($C$2:C25,C25,$E$2:E25,E25,$B$2:B25,B25)&gt;1,"No","Yes"))</f>
        <v>Yes</v>
      </c>
      <c r="R25" s="61" t="str">
        <f aca="false">IF(E25="","",IF(Q25="No","Duplicate of an earlier response",IF(L25="Not on SITES","Site not on SITES",IF(N(G25)&gt;N(F25),"Present is more than enrolled",IF(OR(I25&lt;1,I25&gt;5),"Score outside 1 to 5","")))))</f>
        <v/>
      </c>
    </row>
    <row r="26" customFormat="false" ht="15" hidden="false" customHeight="false" outlineLevel="0" collapsed="false">
      <c r="A26" s="52" t="n">
        <v>45914.8052083333</v>
      </c>
      <c r="B26" s="53" t="s">
        <v>124</v>
      </c>
      <c r="C26" s="53" t="s">
        <v>154</v>
      </c>
      <c r="D26" s="53" t="s">
        <v>116</v>
      </c>
      <c r="E26" s="54" t="n">
        <v>45911</v>
      </c>
      <c r="F26" s="55" t="n">
        <v>16</v>
      </c>
      <c r="G26" s="55" t="n">
        <v>14</v>
      </c>
      <c r="H26" s="55" t="n">
        <v>75</v>
      </c>
      <c r="I26" s="56" t="n">
        <v>3.4</v>
      </c>
      <c r="J26" s="53" t="s">
        <v>123</v>
      </c>
      <c r="K26" s="53"/>
      <c r="L26" s="57" t="str">
        <f aca="false">IF(C26="","",IFERROR(INDEX(site_ID,MATCH(C26,site_Name,0)),"Not on SITES"))</f>
        <v>LW-114</v>
      </c>
      <c r="M26" s="58" t="n">
        <f aca="false">IF(E26="","",DATE(YEAR(E26),MONTH(E26),1))</f>
        <v>45901</v>
      </c>
      <c r="N26" s="57" t="str">
        <f aca="false">IF(E26="","","FY"&amp;(YEAR(E26)+IF(AND(FYStart&gt;1,MONTH(E26)&gt;=FYStart),1,0))&amp;" Q"&amp;(INT(MOD(MONTH(E26)-FYStart,12)/3)+1))</f>
        <v>FY2026 Q1</v>
      </c>
      <c r="O26" s="59" t="n">
        <f aca="false">IF(OR(E26="",N(F26)=0),"",G26/F26)</f>
        <v>0.875</v>
      </c>
      <c r="P26" s="60" t="n">
        <f aca="false">IF(E26="","",ROUND(N(G26)*N(H26)/60,1))</f>
        <v>17.5</v>
      </c>
      <c r="Q26" s="57" t="str">
        <f aca="false">IF(E26="","",IF(COUNTIFS($C$2:C26,C26,$E$2:E26,E26,$B$2:B26,B26)&gt;1,"No","Yes"))</f>
        <v>Yes</v>
      </c>
      <c r="R26" s="61" t="str">
        <f aca="false">IF(E26="","",IF(Q26="No","Duplicate of an earlier response",IF(L26="Not on SITES","Site not on SITES",IF(N(G26)&gt;N(F26),"Present is more than enrolled",IF(OR(I26&lt;1,I26&gt;5),"Score outside 1 to 5","")))))</f>
        <v/>
      </c>
    </row>
    <row r="27" customFormat="false" ht="15" hidden="false" customHeight="false" outlineLevel="0" collapsed="false">
      <c r="A27" s="52" t="n">
        <v>45915.6384606482</v>
      </c>
      <c r="B27" s="53" t="s">
        <v>105</v>
      </c>
      <c r="C27" s="53" t="s">
        <v>115</v>
      </c>
      <c r="D27" s="53" t="s">
        <v>116</v>
      </c>
      <c r="E27" s="54" t="n">
        <v>45915</v>
      </c>
      <c r="F27" s="55" t="n">
        <v>15</v>
      </c>
      <c r="G27" s="55" t="n">
        <v>13</v>
      </c>
      <c r="H27" s="55" t="n">
        <v>90</v>
      </c>
      <c r="I27" s="56" t="n">
        <v>3</v>
      </c>
      <c r="J27" s="53" t="s">
        <v>117</v>
      </c>
      <c r="K27" s="53"/>
      <c r="L27" s="57" t="str">
        <f aca="false">IF(C27="","",IFERROR(INDEX(site_ID,MATCH(C27,site_Name,0)),"Not on SITES"))</f>
        <v>LW-119</v>
      </c>
      <c r="M27" s="58" t="n">
        <f aca="false">IF(E27="","",DATE(YEAR(E27),MONTH(E27),1))</f>
        <v>45901</v>
      </c>
      <c r="N27" s="57" t="str">
        <f aca="false">IF(E27="","","FY"&amp;(YEAR(E27)+IF(AND(FYStart&gt;1,MONTH(E27)&gt;=FYStart),1,0))&amp;" Q"&amp;(INT(MOD(MONTH(E27)-FYStart,12)/3)+1))</f>
        <v>FY2026 Q1</v>
      </c>
      <c r="O27" s="59" t="n">
        <f aca="false">IF(OR(E27="",N(F27)=0),"",G27/F27)</f>
        <v>0.866666666666667</v>
      </c>
      <c r="P27" s="60" t="n">
        <f aca="false">IF(E27="","",ROUND(N(G27)*N(H27)/60,1))</f>
        <v>19.5</v>
      </c>
      <c r="Q27" s="57" t="str">
        <f aca="false">IF(E27="","",IF(COUNTIFS($C$2:C27,C27,$E$2:E27,E27,$B$2:B27,B27)&gt;1,"No","Yes"))</f>
        <v>Yes</v>
      </c>
      <c r="R27" s="61" t="str">
        <f aca="false">IF(E27="","",IF(Q27="No","Duplicate of an earlier response",IF(L27="Not on SITES","Site not on SITES",IF(N(G27)&gt;N(F27),"Present is more than enrolled",IF(OR(I27&lt;1,I27&gt;5),"Score outside 1 to 5","")))))</f>
        <v/>
      </c>
    </row>
    <row r="28" customFormat="false" ht="15" hidden="false" customHeight="false" outlineLevel="0" collapsed="false">
      <c r="A28" s="52" t="n">
        <v>45915.6467708333</v>
      </c>
      <c r="B28" s="53" t="s">
        <v>109</v>
      </c>
      <c r="C28" s="53" t="s">
        <v>110</v>
      </c>
      <c r="D28" s="53" t="s">
        <v>107</v>
      </c>
      <c r="E28" s="54" t="n">
        <v>45915</v>
      </c>
      <c r="F28" s="55" t="n">
        <v>18</v>
      </c>
      <c r="G28" s="55" t="n">
        <v>17</v>
      </c>
      <c r="H28" s="55" t="n">
        <v>90</v>
      </c>
      <c r="I28" s="56" t="n">
        <v>3</v>
      </c>
      <c r="J28" s="53" t="s">
        <v>108</v>
      </c>
      <c r="K28" s="53"/>
      <c r="L28" s="57" t="str">
        <f aca="false">IF(C28="","",IFERROR(INDEX(site_ID,MATCH(C28,site_Name,0)),"Not on SITES"))</f>
        <v>LW-113</v>
      </c>
      <c r="M28" s="58" t="n">
        <f aca="false">IF(E28="","",DATE(YEAR(E28),MONTH(E28),1))</f>
        <v>45901</v>
      </c>
      <c r="N28" s="57" t="str">
        <f aca="false">IF(E28="","","FY"&amp;(YEAR(E28)+IF(AND(FYStart&gt;1,MONTH(E28)&gt;=FYStart),1,0))&amp;" Q"&amp;(INT(MOD(MONTH(E28)-FYStart,12)/3)+1))</f>
        <v>FY2026 Q1</v>
      </c>
      <c r="O28" s="59" t="n">
        <f aca="false">IF(OR(E28="",N(F28)=0),"",G28/F28)</f>
        <v>0.944444444444444</v>
      </c>
      <c r="P28" s="60" t="n">
        <f aca="false">IF(E28="","",ROUND(N(G28)*N(H28)/60,1))</f>
        <v>25.5</v>
      </c>
      <c r="Q28" s="57" t="str">
        <f aca="false">IF(E28="","",IF(COUNTIFS($C$2:C28,C28,$E$2:E28,E28,$B$2:B28,B28)&gt;1,"No","Yes"))</f>
        <v>Yes</v>
      </c>
      <c r="R28" s="61" t="str">
        <f aca="false">IF(E28="","",IF(Q28="No","Duplicate of an earlier response",IF(L28="Not on SITES","Site not on SITES",IF(N(G28)&gt;N(F28),"Present is more than enrolled",IF(OR(I28&lt;1,I28&gt;5),"Score outside 1 to 5","")))))</f>
        <v/>
      </c>
    </row>
    <row r="29" customFormat="false" ht="15" hidden="false" customHeight="false" outlineLevel="0" collapsed="false">
      <c r="A29" s="52" t="n">
        <v>45915.6967592593</v>
      </c>
      <c r="B29" s="53" t="s">
        <v>111</v>
      </c>
      <c r="C29" s="53" t="s">
        <v>112</v>
      </c>
      <c r="D29" s="53" t="s">
        <v>113</v>
      </c>
      <c r="E29" s="54" t="n">
        <v>45915</v>
      </c>
      <c r="F29" s="55" t="n">
        <v>12</v>
      </c>
      <c r="G29" s="55" t="n">
        <v>11</v>
      </c>
      <c r="H29" s="55" t="n">
        <v>60</v>
      </c>
      <c r="I29" s="56" t="n">
        <v>2.9</v>
      </c>
      <c r="J29" s="53" t="s">
        <v>143</v>
      </c>
      <c r="K29" s="53"/>
      <c r="L29" s="57" t="str">
        <f aca="false">IF(C29="","",IFERROR(INDEX(site_ID,MATCH(C29,site_Name,0)),"Not on SITES"))</f>
        <v>LW-120</v>
      </c>
      <c r="M29" s="58" t="n">
        <f aca="false">IF(E29="","",DATE(YEAR(E29),MONTH(E29),1))</f>
        <v>45901</v>
      </c>
      <c r="N29" s="57" t="str">
        <f aca="false">IF(E29="","","FY"&amp;(YEAR(E29)+IF(AND(FYStart&gt;1,MONTH(E29)&gt;=FYStart),1,0))&amp;" Q"&amp;(INT(MOD(MONTH(E29)-FYStart,12)/3)+1))</f>
        <v>FY2026 Q1</v>
      </c>
      <c r="O29" s="59" t="n">
        <f aca="false">IF(OR(E29="",N(F29)=0),"",G29/F29)</f>
        <v>0.916666666666667</v>
      </c>
      <c r="P29" s="60" t="n">
        <f aca="false">IF(E29="","",ROUND(N(G29)*N(H29)/60,1))</f>
        <v>11</v>
      </c>
      <c r="Q29" s="57" t="str">
        <f aca="false">IF(E29="","",IF(COUNTIFS($C$2:C29,C29,$E$2:E29,E29,$B$2:B29,B29)&gt;1,"No","Yes"))</f>
        <v>Yes</v>
      </c>
      <c r="R29" s="61" t="str">
        <f aca="false">IF(E29="","",IF(Q29="No","Duplicate of an earlier response",IF(L29="Not on SITES","Site not on SITES",IF(N(G29)&gt;N(F29),"Present is more than enrolled",IF(OR(I29&lt;1,I29&gt;5),"Score outside 1 to 5","")))))</f>
        <v/>
      </c>
    </row>
    <row r="30" customFormat="false" ht="15" hidden="false" customHeight="false" outlineLevel="0" collapsed="false">
      <c r="A30" s="52" t="n">
        <v>45915.8589467593</v>
      </c>
      <c r="B30" s="53" t="s">
        <v>105</v>
      </c>
      <c r="C30" s="53" t="s">
        <v>106</v>
      </c>
      <c r="D30" s="53" t="s">
        <v>107</v>
      </c>
      <c r="E30" s="54" t="n">
        <v>45915</v>
      </c>
      <c r="F30" s="55" t="n">
        <v>15</v>
      </c>
      <c r="G30" s="55" t="n">
        <v>11</v>
      </c>
      <c r="H30" s="55" t="n">
        <v>90</v>
      </c>
      <c r="I30" s="56" t="n">
        <v>3.6</v>
      </c>
      <c r="J30" s="53" t="s">
        <v>155</v>
      </c>
      <c r="K30" s="53"/>
      <c r="L30" s="57" t="str">
        <f aca="false">IF(C30="","",IFERROR(INDEX(site_ID,MATCH(C30,site_Name,0)),"Not on SITES"))</f>
        <v>LW-103</v>
      </c>
      <c r="M30" s="58" t="n">
        <f aca="false">IF(E30="","",DATE(YEAR(E30),MONTH(E30),1))</f>
        <v>45901</v>
      </c>
      <c r="N30" s="57" t="str">
        <f aca="false">IF(E30="","","FY"&amp;(YEAR(E30)+IF(AND(FYStart&gt;1,MONTH(E30)&gt;=FYStart),1,0))&amp;" Q"&amp;(INT(MOD(MONTH(E30)-FYStart,12)/3)+1))</f>
        <v>FY2026 Q1</v>
      </c>
      <c r="O30" s="59" t="n">
        <f aca="false">IF(OR(E30="",N(F30)=0),"",G30/F30)</f>
        <v>0.733333333333333</v>
      </c>
      <c r="P30" s="60" t="n">
        <f aca="false">IF(E30="","",ROUND(N(G30)*N(H30)/60,1))</f>
        <v>16.5</v>
      </c>
      <c r="Q30" s="57" t="str">
        <f aca="false">IF(E30="","",IF(COUNTIFS($C$2:C30,C30,$E$2:E30,E30,$B$2:B30,B30)&gt;1,"No","Yes"))</f>
        <v>Yes</v>
      </c>
      <c r="R30" s="61" t="str">
        <f aca="false">IF(E30="","",IF(Q30="No","Duplicate of an earlier response",IF(L30="Not on SITES","Site not on SITES",IF(N(G30)&gt;N(F30),"Present is more than enrolled",IF(OR(I30&lt;1,I30&gt;5),"Score outside 1 to 5","")))))</f>
        <v/>
      </c>
    </row>
    <row r="31" customFormat="false" ht="15" hidden="false" customHeight="false" outlineLevel="0" collapsed="false">
      <c r="A31" s="52" t="n">
        <v>45916.6269212963</v>
      </c>
      <c r="B31" s="53" t="s">
        <v>121</v>
      </c>
      <c r="C31" s="53" t="s">
        <v>127</v>
      </c>
      <c r="D31" s="53" t="s">
        <v>107</v>
      </c>
      <c r="E31" s="54" t="n">
        <v>45916</v>
      </c>
      <c r="F31" s="55" t="n">
        <v>14</v>
      </c>
      <c r="G31" s="55" t="n">
        <v>13</v>
      </c>
      <c r="H31" s="55" t="n">
        <v>60</v>
      </c>
      <c r="I31" s="56" t="n">
        <v>3.4</v>
      </c>
      <c r="J31" s="53" t="s">
        <v>156</v>
      </c>
      <c r="K31" s="53"/>
      <c r="L31" s="57" t="str">
        <f aca="false">IF(C31="","",IFERROR(INDEX(site_ID,MATCH(C31,site_Name,0)),"Not on SITES"))</f>
        <v>LW-108</v>
      </c>
      <c r="M31" s="58" t="n">
        <f aca="false">IF(E31="","",DATE(YEAR(E31),MONTH(E31),1))</f>
        <v>45901</v>
      </c>
      <c r="N31" s="57" t="str">
        <f aca="false">IF(E31="","","FY"&amp;(YEAR(E31)+IF(AND(FYStart&gt;1,MONTH(E31)&gt;=FYStart),1,0))&amp;" Q"&amp;(INT(MOD(MONTH(E31)-FYStart,12)/3)+1))</f>
        <v>FY2026 Q1</v>
      </c>
      <c r="O31" s="59" t="n">
        <f aca="false">IF(OR(E31="",N(F31)=0),"",G31/F31)</f>
        <v>0.928571428571429</v>
      </c>
      <c r="P31" s="60" t="n">
        <f aca="false">IF(E31="","",ROUND(N(G31)*N(H31)/60,1))</f>
        <v>13</v>
      </c>
      <c r="Q31" s="57" t="str">
        <f aca="false">IF(E31="","",IF(COUNTIFS($C$2:C31,C31,$E$2:E31,E31,$B$2:B31,B31)&gt;1,"No","Yes"))</f>
        <v>Yes</v>
      </c>
      <c r="R31" s="61" t="str">
        <f aca="false">IF(E31="","",IF(Q31="No","Duplicate of an earlier response",IF(L31="Not on SITES","Site not on SITES",IF(N(G31)&gt;N(F31),"Present is more than enrolled",IF(OR(I31&lt;1,I31&gt;5),"Score outside 1 to 5","")))))</f>
        <v/>
      </c>
    </row>
    <row r="32" customFormat="false" ht="15" hidden="false" customHeight="false" outlineLevel="0" collapsed="false">
      <c r="A32" s="52" t="n">
        <v>45916.7419328704</v>
      </c>
      <c r="B32" s="53" t="s">
        <v>124</v>
      </c>
      <c r="C32" s="53" t="s">
        <v>125</v>
      </c>
      <c r="D32" s="53" t="s">
        <v>119</v>
      </c>
      <c r="E32" s="54" t="n">
        <v>45916</v>
      </c>
      <c r="F32" s="55" t="n">
        <v>16</v>
      </c>
      <c r="G32" s="55" t="n">
        <v>12</v>
      </c>
      <c r="H32" s="55" t="n">
        <v>75</v>
      </c>
      <c r="I32" s="56" t="n">
        <v>3.1</v>
      </c>
      <c r="J32" s="53" t="s">
        <v>157</v>
      </c>
      <c r="K32" s="53"/>
      <c r="L32" s="57" t="str">
        <f aca="false">IF(C32="","",IFERROR(INDEX(site_ID,MATCH(C32,site_Name,0)),"Not on SITES"))</f>
        <v>LW-106</v>
      </c>
      <c r="M32" s="58" t="n">
        <f aca="false">IF(E32="","",DATE(YEAR(E32),MONTH(E32),1))</f>
        <v>45901</v>
      </c>
      <c r="N32" s="57" t="str">
        <f aca="false">IF(E32="","","FY"&amp;(YEAR(E32)+IF(AND(FYStart&gt;1,MONTH(E32)&gt;=FYStart),1,0))&amp;" Q"&amp;(INT(MOD(MONTH(E32)-FYStart,12)/3)+1))</f>
        <v>FY2026 Q1</v>
      </c>
      <c r="O32" s="59" t="n">
        <f aca="false">IF(OR(E32="",N(F32)=0),"",G32/F32)</f>
        <v>0.75</v>
      </c>
      <c r="P32" s="60" t="n">
        <f aca="false">IF(E32="","",ROUND(N(G32)*N(H32)/60,1))</f>
        <v>15</v>
      </c>
      <c r="Q32" s="57" t="str">
        <f aca="false">IF(E32="","",IF(COUNTIFS($C$2:C32,C32,$E$2:E32,E32,$B$2:B32,B32)&gt;1,"No","Yes"))</f>
        <v>Yes</v>
      </c>
      <c r="R32" s="61" t="str">
        <f aca="false">IF(E32="","",IF(Q32="No","Duplicate of an earlier response",IF(L32="Not on SITES","Site not on SITES",IF(N(G32)&gt;N(F32),"Present is more than enrolled",IF(OR(I32&lt;1,I32&gt;5),"Score outside 1 to 5","")))))</f>
        <v/>
      </c>
    </row>
    <row r="33" customFormat="false" ht="15" hidden="false" customHeight="false" outlineLevel="0" collapsed="false">
      <c r="A33" s="52" t="n">
        <v>45916.8131365741</v>
      </c>
      <c r="B33" s="53" t="s">
        <v>129</v>
      </c>
      <c r="C33" s="53" t="s">
        <v>130</v>
      </c>
      <c r="D33" s="53" t="s">
        <v>113</v>
      </c>
      <c r="E33" s="54" t="n">
        <v>45916</v>
      </c>
      <c r="F33" s="55" t="n">
        <v>15</v>
      </c>
      <c r="G33" s="55" t="n">
        <v>13</v>
      </c>
      <c r="H33" s="55" t="n">
        <v>60</v>
      </c>
      <c r="I33" s="56" t="n">
        <v>2.6</v>
      </c>
      <c r="J33" s="53" t="s">
        <v>136</v>
      </c>
      <c r="K33" s="53" t="s">
        <v>158</v>
      </c>
      <c r="L33" s="57" t="str">
        <f aca="false">IF(C33="","",IFERROR(INDEX(site_ID,MATCH(C33,site_Name,0)),"Not on SITES"))</f>
        <v>LW-107</v>
      </c>
      <c r="M33" s="58" t="n">
        <f aca="false">IF(E33="","",DATE(YEAR(E33),MONTH(E33),1))</f>
        <v>45901</v>
      </c>
      <c r="N33" s="57" t="str">
        <f aca="false">IF(E33="","","FY"&amp;(YEAR(E33)+IF(AND(FYStart&gt;1,MONTH(E33)&gt;=FYStart),1,0))&amp;" Q"&amp;(INT(MOD(MONTH(E33)-FYStart,12)/3)+1))</f>
        <v>FY2026 Q1</v>
      </c>
      <c r="O33" s="59" t="n">
        <f aca="false">IF(OR(E33="",N(F33)=0),"",G33/F33)</f>
        <v>0.866666666666667</v>
      </c>
      <c r="P33" s="60" t="n">
        <f aca="false">IF(E33="","",ROUND(N(G33)*N(H33)/60,1))</f>
        <v>13</v>
      </c>
      <c r="Q33" s="57" t="str">
        <f aca="false">IF(E33="","",IF(COUNTIFS($C$2:C33,C33,$E$2:E33,E33,$B$2:B33,B33)&gt;1,"No","Yes"))</f>
        <v>Yes</v>
      </c>
      <c r="R33" s="61" t="str">
        <f aca="false">IF(E33="","",IF(Q33="No","Duplicate of an earlier response",IF(L33="Not on SITES","Site not on SITES",IF(N(G33)&gt;N(F33),"Present is more than enrolled",IF(OR(I33&lt;1,I33&gt;5),"Score outside 1 to 5","")))))</f>
        <v/>
      </c>
    </row>
    <row r="34" customFormat="false" ht="15" hidden="false" customHeight="false" outlineLevel="0" collapsed="false">
      <c r="A34" s="52" t="n">
        <v>45916.8197569445</v>
      </c>
      <c r="B34" s="53" t="s">
        <v>121</v>
      </c>
      <c r="C34" s="53" t="s">
        <v>122</v>
      </c>
      <c r="D34" s="53" t="s">
        <v>116</v>
      </c>
      <c r="E34" s="54" t="n">
        <v>45916</v>
      </c>
      <c r="F34" s="55" t="n">
        <v>14</v>
      </c>
      <c r="G34" s="55" t="n">
        <v>12</v>
      </c>
      <c r="H34" s="55" t="n">
        <v>90</v>
      </c>
      <c r="I34" s="56" t="n">
        <v>3.1</v>
      </c>
      <c r="J34" s="53" t="s">
        <v>134</v>
      </c>
      <c r="K34" s="53"/>
      <c r="L34" s="57" t="str">
        <f aca="false">IF(C34="","",IFERROR(INDEX(site_ID,MATCH(C34,site_Name,0)),"Not on SITES"))</f>
        <v>LW-116</v>
      </c>
      <c r="M34" s="58" t="n">
        <f aca="false">IF(E34="","",DATE(YEAR(E34),MONTH(E34),1))</f>
        <v>45901</v>
      </c>
      <c r="N34" s="57" t="str">
        <f aca="false">IF(E34="","","FY"&amp;(YEAR(E34)+IF(AND(FYStart&gt;1,MONTH(E34)&gt;=FYStart),1,0))&amp;" Q"&amp;(INT(MOD(MONTH(E34)-FYStart,12)/3)+1))</f>
        <v>FY2026 Q1</v>
      </c>
      <c r="O34" s="59" t="n">
        <f aca="false">IF(OR(E34="",N(F34)=0),"",G34/F34)</f>
        <v>0.857142857142857</v>
      </c>
      <c r="P34" s="60" t="n">
        <f aca="false">IF(E34="","",ROUND(N(G34)*N(H34)/60,1))</f>
        <v>18</v>
      </c>
      <c r="Q34" s="57" t="str">
        <f aca="false">IF(E34="","",IF(COUNTIFS($C$2:C34,C34,$E$2:E34,E34,$B$2:B34,B34)&gt;1,"No","Yes"))</f>
        <v>Yes</v>
      </c>
      <c r="R34" s="61" t="str">
        <f aca="false">IF(E34="","",IF(Q34="No","Duplicate of an earlier response",IF(L34="Not on SITES","Site not on SITES",IF(N(G34)&gt;N(F34),"Present is more than enrolled",IF(OR(I34&lt;1,I34&gt;5),"Score outside 1 to 5","")))))</f>
        <v/>
      </c>
    </row>
    <row r="35" customFormat="false" ht="15" hidden="false" customHeight="false" outlineLevel="0" collapsed="false">
      <c r="A35" s="52" t="n">
        <v>45917.6449768519</v>
      </c>
      <c r="B35" s="53" t="s">
        <v>132</v>
      </c>
      <c r="C35" s="53" t="s">
        <v>133</v>
      </c>
      <c r="D35" s="53" t="s">
        <v>116</v>
      </c>
      <c r="E35" s="54" t="n">
        <v>45916</v>
      </c>
      <c r="F35" s="55" t="n">
        <v>16</v>
      </c>
      <c r="G35" s="55" t="n">
        <v>13</v>
      </c>
      <c r="H35" s="55" t="n">
        <v>60</v>
      </c>
      <c r="I35" s="56" t="n">
        <v>3</v>
      </c>
      <c r="J35" s="53" t="s">
        <v>134</v>
      </c>
      <c r="K35" s="53"/>
      <c r="L35" s="57" t="str">
        <f aca="false">IF(C35="","",IFERROR(INDEX(site_ID,MATCH(C35,site_Name,0)),"Not on SITES"))</f>
        <v>LW-109</v>
      </c>
      <c r="M35" s="58" t="n">
        <f aca="false">IF(E35="","",DATE(YEAR(E35),MONTH(E35),1))</f>
        <v>45901</v>
      </c>
      <c r="N35" s="57" t="str">
        <f aca="false">IF(E35="","","FY"&amp;(YEAR(E35)+IF(AND(FYStart&gt;1,MONTH(E35)&gt;=FYStart),1,0))&amp;" Q"&amp;(INT(MOD(MONTH(E35)-FYStart,12)/3)+1))</f>
        <v>FY2026 Q1</v>
      </c>
      <c r="O35" s="59" t="n">
        <f aca="false">IF(OR(E35="",N(F35)=0),"",G35/F35)</f>
        <v>0.8125</v>
      </c>
      <c r="P35" s="60" t="n">
        <f aca="false">IF(E35="","",ROUND(N(G35)*N(H35)/60,1))</f>
        <v>13</v>
      </c>
      <c r="Q35" s="57" t="str">
        <f aca="false">IF(E35="","",IF(COUNTIFS($C$2:C35,C35,$E$2:E35,E35,$B$2:B35,B35)&gt;1,"No","Yes"))</f>
        <v>Yes</v>
      </c>
      <c r="R35" s="61" t="str">
        <f aca="false">IF(E35="","",IF(Q35="No","Duplicate of an earlier response",IF(L35="Not on SITES","Site not on SITES",IF(N(G35)&gt;N(F35),"Present is more than enrolled",IF(OR(I35&lt;1,I35&gt;5),"Score outside 1 to 5","")))))</f>
        <v/>
      </c>
    </row>
    <row r="36" customFormat="false" ht="15" hidden="false" customHeight="false" outlineLevel="0" collapsed="false">
      <c r="A36" s="52" t="n">
        <v>45917.7109143519</v>
      </c>
      <c r="B36" s="53" t="s">
        <v>140</v>
      </c>
      <c r="C36" s="53" t="s">
        <v>142</v>
      </c>
      <c r="D36" s="53" t="s">
        <v>113</v>
      </c>
      <c r="E36" s="54" t="n">
        <v>45917</v>
      </c>
      <c r="F36" s="55" t="n">
        <v>15</v>
      </c>
      <c r="G36" s="55" t="n">
        <v>14</v>
      </c>
      <c r="H36" s="55" t="n">
        <v>90</v>
      </c>
      <c r="I36" s="56" t="n">
        <v>2.8</v>
      </c>
      <c r="J36" s="53" t="s">
        <v>143</v>
      </c>
      <c r="K36" s="53"/>
      <c r="L36" s="57" t="str">
        <f aca="false">IF(C36="","",IFERROR(INDEX(site_ID,MATCH(C36,site_Name,0)),"Not on SITES"))</f>
        <v>LW-102</v>
      </c>
      <c r="M36" s="58" t="n">
        <f aca="false">IF(E36="","",DATE(YEAR(E36),MONTH(E36),1))</f>
        <v>45901</v>
      </c>
      <c r="N36" s="57" t="str">
        <f aca="false">IF(E36="","","FY"&amp;(YEAR(E36)+IF(AND(FYStart&gt;1,MONTH(E36)&gt;=FYStart),1,0))&amp;" Q"&amp;(INT(MOD(MONTH(E36)-FYStart,12)/3)+1))</f>
        <v>FY2026 Q1</v>
      </c>
      <c r="O36" s="59" t="n">
        <f aca="false">IF(OR(E36="",N(F36)=0),"",G36/F36)</f>
        <v>0.933333333333333</v>
      </c>
      <c r="P36" s="60" t="n">
        <f aca="false">IF(E36="","",ROUND(N(G36)*N(H36)/60,1))</f>
        <v>21</v>
      </c>
      <c r="Q36" s="57" t="str">
        <f aca="false">IF(E36="","",IF(COUNTIFS($C$2:C36,C36,$E$2:E36,E36,$B$2:B36,B36)&gt;1,"No","Yes"))</f>
        <v>Yes</v>
      </c>
      <c r="R36" s="61" t="str">
        <f aca="false">IF(E36="","",IF(Q36="No","Duplicate of an earlier response",IF(L36="Not on SITES","Site not on SITES",IF(N(G36)&gt;N(F36),"Present is more than enrolled",IF(OR(I36&lt;1,I36&gt;5),"Score outside 1 to 5","")))))</f>
        <v/>
      </c>
    </row>
    <row r="37" customFormat="false" ht="15" hidden="false" customHeight="false" outlineLevel="0" collapsed="false">
      <c r="A37" s="52" t="n">
        <v>45917.8111111111</v>
      </c>
      <c r="B37" s="53" t="s">
        <v>132</v>
      </c>
      <c r="C37" s="53" t="s">
        <v>145</v>
      </c>
      <c r="D37" s="53" t="s">
        <v>119</v>
      </c>
      <c r="E37" s="54" t="n">
        <v>45917</v>
      </c>
      <c r="F37" s="55" t="n">
        <v>18</v>
      </c>
      <c r="G37" s="55" t="n">
        <v>13</v>
      </c>
      <c r="H37" s="55" t="n">
        <v>60</v>
      </c>
      <c r="I37" s="56" t="n">
        <v>3.2</v>
      </c>
      <c r="J37" s="53" t="s">
        <v>120</v>
      </c>
      <c r="K37" s="53"/>
      <c r="L37" s="57" t="str">
        <f aca="false">IF(C37="","",IFERROR(INDEX(site_ID,MATCH(C37,site_Name,0)),"Not on SITES"))</f>
        <v>LW-101</v>
      </c>
      <c r="M37" s="58" t="n">
        <f aca="false">IF(E37="","",DATE(YEAR(E37),MONTH(E37),1))</f>
        <v>45901</v>
      </c>
      <c r="N37" s="57" t="str">
        <f aca="false">IF(E37="","","FY"&amp;(YEAR(E37)+IF(AND(FYStart&gt;1,MONTH(E37)&gt;=FYStart),1,0))&amp;" Q"&amp;(INT(MOD(MONTH(E37)-FYStart,12)/3)+1))</f>
        <v>FY2026 Q1</v>
      </c>
      <c r="O37" s="59" t="n">
        <f aca="false">IF(OR(E37="",N(F37)=0),"",G37/F37)</f>
        <v>0.722222222222222</v>
      </c>
      <c r="P37" s="60" t="n">
        <f aca="false">IF(E37="","",ROUND(N(G37)*N(H37)/60,1))</f>
        <v>13</v>
      </c>
      <c r="Q37" s="57" t="str">
        <f aca="false">IF(E37="","",IF(COUNTIFS($C$2:C37,C37,$E$2:E37,E37,$B$2:B37,B37)&gt;1,"No","Yes"))</f>
        <v>Yes</v>
      </c>
      <c r="R37" s="61" t="str">
        <f aca="false">IF(E37="","",IF(Q37="No","Duplicate of an earlier response",IF(L37="Not on SITES","Site not on SITES",IF(N(G37)&gt;N(F37),"Present is more than enrolled",IF(OR(I37&lt;1,I37&gt;5),"Score outside 1 to 5","")))))</f>
        <v/>
      </c>
    </row>
    <row r="38" customFormat="false" ht="15" hidden="false" customHeight="false" outlineLevel="0" collapsed="false">
      <c r="A38" s="52" t="n">
        <v>45917.8441087963</v>
      </c>
      <c r="B38" s="53" t="s">
        <v>129</v>
      </c>
      <c r="C38" s="53" t="s">
        <v>137</v>
      </c>
      <c r="D38" s="53" t="s">
        <v>138</v>
      </c>
      <c r="E38" s="54" t="n">
        <v>45917</v>
      </c>
      <c r="F38" s="55" t="n">
        <v>17</v>
      </c>
      <c r="G38" s="55" t="n">
        <v>15</v>
      </c>
      <c r="H38" s="55" t="n">
        <v>90</v>
      </c>
      <c r="I38" s="56" t="n">
        <v>3.5</v>
      </c>
      <c r="J38" s="53" t="s">
        <v>139</v>
      </c>
      <c r="K38" s="53"/>
      <c r="L38" s="57" t="str">
        <f aca="false">IF(C38="","",IFERROR(INDEX(site_ID,MATCH(C38,site_Name,0)),"Not on SITES"))</f>
        <v>LW-115</v>
      </c>
      <c r="M38" s="58" t="n">
        <f aca="false">IF(E38="","",DATE(YEAR(E38),MONTH(E38),1))</f>
        <v>45901</v>
      </c>
      <c r="N38" s="57" t="str">
        <f aca="false">IF(E38="","","FY"&amp;(YEAR(E38)+IF(AND(FYStart&gt;1,MONTH(E38)&gt;=FYStart),1,0))&amp;" Q"&amp;(INT(MOD(MONTH(E38)-FYStart,12)/3)+1))</f>
        <v>FY2026 Q1</v>
      </c>
      <c r="O38" s="59" t="n">
        <f aca="false">IF(OR(E38="",N(F38)=0),"",G38/F38)</f>
        <v>0.882352941176471</v>
      </c>
      <c r="P38" s="60" t="n">
        <f aca="false">IF(E38="","",ROUND(N(G38)*N(H38)/60,1))</f>
        <v>22.5</v>
      </c>
      <c r="Q38" s="57" t="str">
        <f aca="false">IF(E38="","",IF(COUNTIFS($C$2:C38,C38,$E$2:E38,E38,$B$2:B38,B38)&gt;1,"No","Yes"))</f>
        <v>Yes</v>
      </c>
      <c r="R38" s="61" t="str">
        <f aca="false">IF(E38="","",IF(Q38="No","Duplicate of an earlier response",IF(L38="Not on SITES","Site not on SITES",IF(N(G38)&gt;N(F38),"Present is more than enrolled",IF(OR(I38&lt;1,I38&gt;5),"Score outside 1 to 5","")))))</f>
        <v/>
      </c>
    </row>
    <row r="39" customFormat="false" ht="15" hidden="false" customHeight="false" outlineLevel="0" collapsed="false">
      <c r="A39" s="52" t="n">
        <v>45918.6329861111</v>
      </c>
      <c r="B39" s="53" t="s">
        <v>132</v>
      </c>
      <c r="C39" s="53" t="s">
        <v>118</v>
      </c>
      <c r="D39" s="53" t="s">
        <v>119</v>
      </c>
      <c r="E39" s="54" t="n">
        <v>45915</v>
      </c>
      <c r="F39" s="55" t="n">
        <v>18</v>
      </c>
      <c r="G39" s="55" t="n">
        <v>18</v>
      </c>
      <c r="H39" s="55" t="n">
        <v>60</v>
      </c>
      <c r="I39" s="56" t="n">
        <v>2.9</v>
      </c>
      <c r="J39" s="53" t="s">
        <v>159</v>
      </c>
      <c r="K39" s="53"/>
      <c r="L39" s="57" t="str">
        <f aca="false">IF(C39="","",IFERROR(INDEX(site_ID,MATCH(C39,site_Name,0)),"Not on SITES"))</f>
        <v>LW-111</v>
      </c>
      <c r="M39" s="58" t="n">
        <f aca="false">IF(E39="","",DATE(YEAR(E39),MONTH(E39),1))</f>
        <v>45901</v>
      </c>
      <c r="N39" s="57" t="str">
        <f aca="false">IF(E39="","","FY"&amp;(YEAR(E39)+IF(AND(FYStart&gt;1,MONTH(E39)&gt;=FYStart),1,0))&amp;" Q"&amp;(INT(MOD(MONTH(E39)-FYStart,12)/3)+1))</f>
        <v>FY2026 Q1</v>
      </c>
      <c r="O39" s="59" t="n">
        <f aca="false">IF(OR(E39="",N(F39)=0),"",G39/F39)</f>
        <v>1</v>
      </c>
      <c r="P39" s="60" t="n">
        <f aca="false">IF(E39="","",ROUND(N(G39)*N(H39)/60,1))</f>
        <v>18</v>
      </c>
      <c r="Q39" s="57" t="str">
        <f aca="false">IF(E39="","",IF(COUNTIFS($C$2:C39,C39,$E$2:E39,E39,$B$2:B39,B39)&gt;1,"No","Yes"))</f>
        <v>Yes</v>
      </c>
      <c r="R39" s="61" t="str">
        <f aca="false">IF(E39="","",IF(Q39="No","Duplicate of an earlier response",IF(L39="Not on SITES","Site not on SITES",IF(N(G39)&gt;N(F39),"Present is more than enrolled",IF(OR(I39&lt;1,I39&gt;5),"Score outside 1 to 5","")))))</f>
        <v/>
      </c>
    </row>
    <row r="40" customFormat="false" ht="15" hidden="false" customHeight="false" outlineLevel="0" collapsed="false">
      <c r="A40" s="52" t="n">
        <v>45918.6580787037</v>
      </c>
      <c r="B40" s="53" t="s">
        <v>111</v>
      </c>
      <c r="C40" s="53" t="s">
        <v>148</v>
      </c>
      <c r="D40" s="53" t="s">
        <v>116</v>
      </c>
      <c r="E40" s="54" t="n">
        <v>45918</v>
      </c>
      <c r="F40" s="55" t="n">
        <v>15</v>
      </c>
      <c r="G40" s="55" t="n">
        <v>12</v>
      </c>
      <c r="H40" s="55" t="n">
        <v>75</v>
      </c>
      <c r="I40" s="56" t="n">
        <v>3</v>
      </c>
      <c r="J40" s="53" t="s">
        <v>134</v>
      </c>
      <c r="K40" s="53"/>
      <c r="L40" s="57" t="str">
        <f aca="false">IF(C40="","",IFERROR(INDEX(site_ID,MATCH(C40,site_Name,0)),"Not on SITES"))</f>
        <v>LW-104</v>
      </c>
      <c r="M40" s="58" t="n">
        <f aca="false">IF(E40="","",DATE(YEAR(E40),MONTH(E40),1))</f>
        <v>45901</v>
      </c>
      <c r="N40" s="57" t="str">
        <f aca="false">IF(E40="","","FY"&amp;(YEAR(E40)+IF(AND(FYStart&gt;1,MONTH(E40)&gt;=FYStart),1,0))&amp;" Q"&amp;(INT(MOD(MONTH(E40)-FYStart,12)/3)+1))</f>
        <v>FY2026 Q1</v>
      </c>
      <c r="O40" s="59" t="n">
        <f aca="false">IF(OR(E40="",N(F40)=0),"",G40/F40)</f>
        <v>0.8</v>
      </c>
      <c r="P40" s="60" t="n">
        <f aca="false">IF(E40="","",ROUND(N(G40)*N(H40)/60,1))</f>
        <v>15</v>
      </c>
      <c r="Q40" s="57" t="str">
        <f aca="false">IF(E40="","",IF(COUNTIFS($C$2:C40,C40,$E$2:E40,E40,$B$2:B40,B40)&gt;1,"No","Yes"))</f>
        <v>Yes</v>
      </c>
      <c r="R40" s="61" t="str">
        <f aca="false">IF(E40="","",IF(Q40="No","Duplicate of an earlier response",IF(L40="Not on SITES","Site not on SITES",IF(N(G40)&gt;N(F40),"Present is more than enrolled",IF(OR(I40&lt;1,I40&gt;5),"Score outside 1 to 5","")))))</f>
        <v/>
      </c>
    </row>
    <row r="41" customFormat="false" ht="15" hidden="false" customHeight="false" outlineLevel="0" collapsed="false">
      <c r="A41" s="52" t="n">
        <v>45918.7274768519</v>
      </c>
      <c r="B41" s="53" t="s">
        <v>109</v>
      </c>
      <c r="C41" s="53" t="s">
        <v>146</v>
      </c>
      <c r="D41" s="53" t="s">
        <v>138</v>
      </c>
      <c r="E41" s="54" t="n">
        <v>45918</v>
      </c>
      <c r="F41" s="55" t="n">
        <v>13</v>
      </c>
      <c r="G41" s="55" t="n">
        <v>12</v>
      </c>
      <c r="H41" s="55" t="n">
        <v>90</v>
      </c>
      <c r="I41" s="56" t="n">
        <v>3.2</v>
      </c>
      <c r="J41" s="53" t="s">
        <v>147</v>
      </c>
      <c r="K41" s="53" t="s">
        <v>158</v>
      </c>
      <c r="L41" s="57" t="str">
        <f aca="false">IF(C41="","",IFERROR(INDEX(site_ID,MATCH(C41,site_Name,0)),"Not on SITES"))</f>
        <v>LW-105</v>
      </c>
      <c r="M41" s="58" t="n">
        <f aca="false">IF(E41="","",DATE(YEAR(E41),MONTH(E41),1))</f>
        <v>45901</v>
      </c>
      <c r="N41" s="57" t="str">
        <f aca="false">IF(E41="","","FY"&amp;(YEAR(E41)+IF(AND(FYStart&gt;1,MONTH(E41)&gt;=FYStart),1,0))&amp;" Q"&amp;(INT(MOD(MONTH(E41)-FYStart,12)/3)+1))</f>
        <v>FY2026 Q1</v>
      </c>
      <c r="O41" s="59" t="n">
        <f aca="false">IF(OR(E41="",N(F41)=0),"",G41/F41)</f>
        <v>0.923076923076923</v>
      </c>
      <c r="P41" s="60" t="n">
        <f aca="false">IF(E41="","",ROUND(N(G41)*N(H41)/60,1))</f>
        <v>18</v>
      </c>
      <c r="Q41" s="57" t="str">
        <f aca="false">IF(E41="","",IF(COUNTIFS($C$2:C41,C41,$E$2:E41,E41,$B$2:B41,B41)&gt;1,"No","Yes"))</f>
        <v>Yes</v>
      </c>
      <c r="R41" s="61" t="str">
        <f aca="false">IF(E41="","",IF(Q41="No","Duplicate of an earlier response",IF(L41="Not on SITES","Site not on SITES",IF(N(G41)&gt;N(F41),"Present is more than enrolled",IF(OR(I41&lt;1,I41&gt;5),"Score outside 1 to 5","")))))</f>
        <v/>
      </c>
    </row>
    <row r="42" customFormat="false" ht="15" hidden="false" customHeight="false" outlineLevel="0" collapsed="false">
      <c r="A42" s="52" t="n">
        <v>45918.7853125</v>
      </c>
      <c r="B42" s="53" t="s">
        <v>132</v>
      </c>
      <c r="C42" s="53" t="s">
        <v>150</v>
      </c>
      <c r="D42" s="53" t="s">
        <v>138</v>
      </c>
      <c r="E42" s="54" t="n">
        <v>45918</v>
      </c>
      <c r="F42" s="55" t="n">
        <v>18</v>
      </c>
      <c r="G42" s="55" t="n">
        <v>17</v>
      </c>
      <c r="H42" s="55" t="n">
        <v>90</v>
      </c>
      <c r="I42" s="56" t="n">
        <v>3.3</v>
      </c>
      <c r="J42" s="53" t="s">
        <v>152</v>
      </c>
      <c r="K42" s="53"/>
      <c r="L42" s="57" t="str">
        <f aca="false">IF(C42="","",IFERROR(INDEX(site_ID,MATCH(C42,site_Name,0)),"Not on SITES"))</f>
        <v>LW-117</v>
      </c>
      <c r="M42" s="58" t="n">
        <f aca="false">IF(E42="","",DATE(YEAR(E42),MONTH(E42),1))</f>
        <v>45901</v>
      </c>
      <c r="N42" s="57" t="str">
        <f aca="false">IF(E42="","","FY"&amp;(YEAR(E42)+IF(AND(FYStart&gt;1,MONTH(E42)&gt;=FYStart),1,0))&amp;" Q"&amp;(INT(MOD(MONTH(E42)-FYStart,12)/3)+1))</f>
        <v>FY2026 Q1</v>
      </c>
      <c r="O42" s="59" t="n">
        <f aca="false">IF(OR(E42="",N(F42)=0),"",G42/F42)</f>
        <v>0.944444444444444</v>
      </c>
      <c r="P42" s="60" t="n">
        <f aca="false">IF(E42="","",ROUND(N(G42)*N(H42)/60,1))</f>
        <v>25.5</v>
      </c>
      <c r="Q42" s="57" t="str">
        <f aca="false">IF(E42="","",IF(COUNTIFS($C$2:C42,C42,$E$2:E42,E42,$B$2:B42,B42)&gt;1,"No","Yes"))</f>
        <v>Yes</v>
      </c>
      <c r="R42" s="61" t="str">
        <f aca="false">IF(E42="","",IF(Q42="No","Duplicate of an earlier response",IF(L42="Not on SITES","Site not on SITES",IF(N(G42)&gt;N(F42),"Present is more than enrolled",IF(OR(I42&lt;1,I42&gt;5),"Score outside 1 to 5","")))))</f>
        <v/>
      </c>
    </row>
    <row r="43" customFormat="false" ht="15" hidden="false" customHeight="false" outlineLevel="0" collapsed="false">
      <c r="A43" s="52" t="n">
        <v>45918.8174537037</v>
      </c>
      <c r="B43" s="53" t="s">
        <v>140</v>
      </c>
      <c r="C43" s="53" t="s">
        <v>154</v>
      </c>
      <c r="D43" s="53" t="s">
        <v>116</v>
      </c>
      <c r="E43" s="54" t="n">
        <v>45918</v>
      </c>
      <c r="F43" s="55" t="n">
        <v>16</v>
      </c>
      <c r="G43" s="55" t="n">
        <v>14</v>
      </c>
      <c r="H43" s="55" t="n">
        <v>60</v>
      </c>
      <c r="I43" s="56" t="n">
        <v>3.1</v>
      </c>
      <c r="J43" s="53" t="s">
        <v>160</v>
      </c>
      <c r="K43" s="53"/>
      <c r="L43" s="57" t="str">
        <f aca="false">IF(C43="","",IFERROR(INDEX(site_ID,MATCH(C43,site_Name,0)),"Not on SITES"))</f>
        <v>LW-114</v>
      </c>
      <c r="M43" s="58" t="n">
        <f aca="false">IF(E43="","",DATE(YEAR(E43),MONTH(E43),1))</f>
        <v>45901</v>
      </c>
      <c r="N43" s="57" t="str">
        <f aca="false">IF(E43="","","FY"&amp;(YEAR(E43)+IF(AND(FYStart&gt;1,MONTH(E43)&gt;=FYStart),1,0))&amp;" Q"&amp;(INT(MOD(MONTH(E43)-FYStart,12)/3)+1))</f>
        <v>FY2026 Q1</v>
      </c>
      <c r="O43" s="59" t="n">
        <f aca="false">IF(OR(E43="",N(F43)=0),"",G43/F43)</f>
        <v>0.875</v>
      </c>
      <c r="P43" s="60" t="n">
        <f aca="false">IF(E43="","",ROUND(N(G43)*N(H43)/60,1))</f>
        <v>14</v>
      </c>
      <c r="Q43" s="57" t="str">
        <f aca="false">IF(E43="","",IF(COUNTIFS($C$2:C43,C43,$E$2:E43,E43,$B$2:B43,B43)&gt;1,"No","Yes"))</f>
        <v>Yes</v>
      </c>
      <c r="R43" s="61" t="str">
        <f aca="false">IF(E43="","",IF(Q43="No","Duplicate of an earlier response",IF(L43="Not on SITES","Site not on SITES",IF(N(G43)&gt;N(F43),"Present is more than enrolled",IF(OR(I43&lt;1,I43&gt;5),"Score outside 1 to 5","")))))</f>
        <v/>
      </c>
    </row>
    <row r="44" customFormat="false" ht="15" hidden="false" customHeight="false" outlineLevel="0" collapsed="false">
      <c r="A44" s="52" t="n">
        <v>45918.8429282407</v>
      </c>
      <c r="B44" s="53" t="s">
        <v>121</v>
      </c>
      <c r="C44" s="53" t="s">
        <v>122</v>
      </c>
      <c r="D44" s="53" t="s">
        <v>116</v>
      </c>
      <c r="E44" s="54" t="n">
        <v>45918</v>
      </c>
      <c r="F44" s="55" t="n">
        <v>14</v>
      </c>
      <c r="G44" s="55" t="n">
        <v>11</v>
      </c>
      <c r="H44" s="55" t="n">
        <v>90</v>
      </c>
      <c r="I44" s="56" t="n">
        <v>3.2</v>
      </c>
      <c r="J44" s="53" t="s">
        <v>153</v>
      </c>
      <c r="K44" s="53" t="s">
        <v>161</v>
      </c>
      <c r="L44" s="57" t="str">
        <f aca="false">IF(C44="","",IFERROR(INDEX(site_ID,MATCH(C44,site_Name,0)),"Not on SITES"))</f>
        <v>LW-116</v>
      </c>
      <c r="M44" s="58" t="n">
        <f aca="false">IF(E44="","",DATE(YEAR(E44),MONTH(E44),1))</f>
        <v>45901</v>
      </c>
      <c r="N44" s="57" t="str">
        <f aca="false">IF(E44="","","FY"&amp;(YEAR(E44)+IF(AND(FYStart&gt;1,MONTH(E44)&gt;=FYStart),1,0))&amp;" Q"&amp;(INT(MOD(MONTH(E44)-FYStart,12)/3)+1))</f>
        <v>FY2026 Q1</v>
      </c>
      <c r="O44" s="59" t="n">
        <f aca="false">IF(OR(E44="",N(F44)=0),"",G44/F44)</f>
        <v>0.785714285714286</v>
      </c>
      <c r="P44" s="60" t="n">
        <f aca="false">IF(E44="","",ROUND(N(G44)*N(H44)/60,1))</f>
        <v>16.5</v>
      </c>
      <c r="Q44" s="57" t="str">
        <f aca="false">IF(E44="","",IF(COUNTIFS($C$2:C44,C44,$E$2:E44,E44,$B$2:B44,B44)&gt;1,"No","Yes"))</f>
        <v>Yes</v>
      </c>
      <c r="R44" s="61" t="str">
        <f aca="false">IF(E44="","",IF(Q44="No","Duplicate of an earlier response",IF(L44="Not on SITES","Site not on SITES",IF(N(G44)&gt;N(F44),"Present is more than enrolled",IF(OR(I44&lt;1,I44&gt;5),"Score outside 1 to 5","")))))</f>
        <v/>
      </c>
    </row>
    <row r="45" customFormat="false" ht="15" hidden="false" customHeight="false" outlineLevel="0" collapsed="false">
      <c r="A45" s="52" t="n">
        <v>45918.8511921296</v>
      </c>
      <c r="B45" s="53" t="s">
        <v>111</v>
      </c>
      <c r="C45" s="53" t="s">
        <v>149</v>
      </c>
      <c r="D45" s="53" t="s">
        <v>113</v>
      </c>
      <c r="E45" s="54" t="n">
        <v>45918</v>
      </c>
      <c r="F45" s="55" t="n">
        <v>21</v>
      </c>
      <c r="G45" s="55" t="n">
        <v>18</v>
      </c>
      <c r="H45" s="55" t="n">
        <v>75</v>
      </c>
      <c r="I45" s="56" t="n">
        <v>3.4</v>
      </c>
      <c r="J45" s="53" t="s">
        <v>143</v>
      </c>
      <c r="K45" s="53"/>
      <c r="L45" s="57" t="str">
        <f aca="false">IF(C45="","",IFERROR(INDEX(site_ID,MATCH(C45,site_Name,0)),"Not on SITES"))</f>
        <v>LW-112</v>
      </c>
      <c r="M45" s="58" t="n">
        <f aca="false">IF(E45="","",DATE(YEAR(E45),MONTH(E45),1))</f>
        <v>45901</v>
      </c>
      <c r="N45" s="57" t="str">
        <f aca="false">IF(E45="","","FY"&amp;(YEAR(E45)+IF(AND(FYStart&gt;1,MONTH(E45)&gt;=FYStart),1,0))&amp;" Q"&amp;(INT(MOD(MONTH(E45)-FYStart,12)/3)+1))</f>
        <v>FY2026 Q1</v>
      </c>
      <c r="O45" s="59" t="n">
        <f aca="false">IF(OR(E45="",N(F45)=0),"",G45/F45)</f>
        <v>0.857142857142857</v>
      </c>
      <c r="P45" s="60" t="n">
        <f aca="false">IF(E45="","",ROUND(N(G45)*N(H45)/60,1))</f>
        <v>22.5</v>
      </c>
      <c r="Q45" s="57" t="str">
        <f aca="false">IF(E45="","",IF(COUNTIFS($C$2:C45,C45,$E$2:E45,E45,$B$2:B45,B45)&gt;1,"No","Yes"))</f>
        <v>Yes</v>
      </c>
      <c r="R45" s="61" t="str">
        <f aca="false">IF(E45="","",IF(Q45="No","Duplicate of an earlier response",IF(L45="Not on SITES","Site not on SITES",IF(N(G45)&gt;N(F45),"Present is more than enrolled",IF(OR(I45&lt;1,I45&gt;5),"Score outside 1 to 5","")))))</f>
        <v/>
      </c>
    </row>
    <row r="46" customFormat="false" ht="15" hidden="false" customHeight="false" outlineLevel="0" collapsed="false">
      <c r="A46" s="52" t="n">
        <v>45920.6814699074</v>
      </c>
      <c r="B46" s="53" t="s">
        <v>111</v>
      </c>
      <c r="C46" s="53" t="s">
        <v>118</v>
      </c>
      <c r="D46" s="53" t="s">
        <v>119</v>
      </c>
      <c r="E46" s="54" t="n">
        <v>45917</v>
      </c>
      <c r="F46" s="55" t="n">
        <v>19</v>
      </c>
      <c r="G46" s="55" t="n">
        <v>15</v>
      </c>
      <c r="H46" s="55" t="n">
        <v>60</v>
      </c>
      <c r="I46" s="56" t="n">
        <v>2.7</v>
      </c>
      <c r="J46" s="53" t="s">
        <v>162</v>
      </c>
      <c r="K46" s="53"/>
      <c r="L46" s="57" t="str">
        <f aca="false">IF(C46="","",IFERROR(INDEX(site_ID,MATCH(C46,site_Name,0)),"Not on SITES"))</f>
        <v>LW-111</v>
      </c>
      <c r="M46" s="58" t="n">
        <f aca="false">IF(E46="","",DATE(YEAR(E46),MONTH(E46),1))</f>
        <v>45901</v>
      </c>
      <c r="N46" s="57" t="str">
        <f aca="false">IF(E46="","","FY"&amp;(YEAR(E46)+IF(AND(FYStart&gt;1,MONTH(E46)&gt;=FYStart),1,0))&amp;" Q"&amp;(INT(MOD(MONTH(E46)-FYStart,12)/3)+1))</f>
        <v>FY2026 Q1</v>
      </c>
      <c r="O46" s="59" t="n">
        <f aca="false">IF(OR(E46="",N(F46)=0),"",G46/F46)</f>
        <v>0.789473684210526</v>
      </c>
      <c r="P46" s="60" t="n">
        <f aca="false">IF(E46="","",ROUND(N(G46)*N(H46)/60,1))</f>
        <v>15</v>
      </c>
      <c r="Q46" s="57" t="str">
        <f aca="false">IF(E46="","",IF(COUNTIFS($C$2:C46,C46,$E$2:E46,E46,$B$2:B46,B46)&gt;1,"No","Yes"))</f>
        <v>Yes</v>
      </c>
      <c r="R46" s="61" t="str">
        <f aca="false">IF(E46="","",IF(Q46="No","Duplicate of an earlier response",IF(L46="Not on SITES","Site not on SITES",IF(N(G46)&gt;N(F46),"Present is more than enrolled",IF(OR(I46&lt;1,I46&gt;5),"Score outside 1 to 5","")))))</f>
        <v/>
      </c>
    </row>
    <row r="47" customFormat="false" ht="15" hidden="false" customHeight="false" outlineLevel="0" collapsed="false">
      <c r="A47" s="52" t="n">
        <v>45920.7356828704</v>
      </c>
      <c r="B47" s="53" t="s">
        <v>111</v>
      </c>
      <c r="C47" s="53" t="s">
        <v>112</v>
      </c>
      <c r="D47" s="53" t="s">
        <v>113</v>
      </c>
      <c r="E47" s="54" t="n">
        <v>45917</v>
      </c>
      <c r="F47" s="55" t="n">
        <v>12</v>
      </c>
      <c r="G47" s="55" t="n">
        <v>11</v>
      </c>
      <c r="H47" s="55" t="n">
        <v>90</v>
      </c>
      <c r="I47" s="56" t="n">
        <v>2.9</v>
      </c>
      <c r="J47" s="53" t="s">
        <v>131</v>
      </c>
      <c r="K47" s="53"/>
      <c r="L47" s="57" t="str">
        <f aca="false">IF(C47="","",IFERROR(INDEX(site_ID,MATCH(C47,site_Name,0)),"Not on SITES"))</f>
        <v>LW-120</v>
      </c>
      <c r="M47" s="58" t="n">
        <f aca="false">IF(E47="","",DATE(YEAR(E47),MONTH(E47),1))</f>
        <v>45901</v>
      </c>
      <c r="N47" s="57" t="str">
        <f aca="false">IF(E47="","","FY"&amp;(YEAR(E47)+IF(AND(FYStart&gt;1,MONTH(E47)&gt;=FYStart),1,0))&amp;" Q"&amp;(INT(MOD(MONTH(E47)-FYStart,12)/3)+1))</f>
        <v>FY2026 Q1</v>
      </c>
      <c r="O47" s="59" t="n">
        <f aca="false">IF(OR(E47="",N(F47)=0),"",G47/F47)</f>
        <v>0.916666666666667</v>
      </c>
      <c r="P47" s="60" t="n">
        <f aca="false">IF(E47="","",ROUND(N(G47)*N(H47)/60,1))</f>
        <v>16.5</v>
      </c>
      <c r="Q47" s="57" t="str">
        <f aca="false">IF(E47="","",IF(COUNTIFS($C$2:C47,C47,$E$2:E47,E47,$B$2:B47,B47)&gt;1,"No","Yes"))</f>
        <v>Yes</v>
      </c>
      <c r="R47" s="61" t="str">
        <f aca="false">IF(E47="","",IF(Q47="No","Duplicate of an earlier response",IF(L47="Not on SITES","Site not on SITES",IF(N(G47)&gt;N(F47),"Present is more than enrolled",IF(OR(I47&lt;1,I47&gt;5),"Score outside 1 to 5","")))))</f>
        <v/>
      </c>
    </row>
    <row r="48" customFormat="false" ht="15" hidden="false" customHeight="false" outlineLevel="0" collapsed="false">
      <c r="A48" s="52" t="n">
        <v>45921.7823726852</v>
      </c>
      <c r="B48" s="53" t="s">
        <v>140</v>
      </c>
      <c r="C48" s="53" t="s">
        <v>151</v>
      </c>
      <c r="D48" s="53" t="s">
        <v>138</v>
      </c>
      <c r="E48" s="54" t="n">
        <v>45918</v>
      </c>
      <c r="F48" s="55" t="n">
        <v>14</v>
      </c>
      <c r="G48" s="55" t="n">
        <v>11</v>
      </c>
      <c r="H48" s="55" t="n">
        <v>90</v>
      </c>
      <c r="I48" s="56" t="n">
        <v>2.9</v>
      </c>
      <c r="J48" s="53" t="s">
        <v>163</v>
      </c>
      <c r="K48" s="53"/>
      <c r="L48" s="57" t="str">
        <f aca="false">IF(C48="","",IFERROR(INDEX(site_ID,MATCH(C48,site_Name,0)),"Not on SITES"))</f>
        <v>LW-110</v>
      </c>
      <c r="M48" s="58" t="n">
        <f aca="false">IF(E48="","",DATE(YEAR(E48),MONTH(E48),1))</f>
        <v>45901</v>
      </c>
      <c r="N48" s="57" t="str">
        <f aca="false">IF(E48="","","FY"&amp;(YEAR(E48)+IF(AND(FYStart&gt;1,MONTH(E48)&gt;=FYStart),1,0))&amp;" Q"&amp;(INT(MOD(MONTH(E48)-FYStart,12)/3)+1))</f>
        <v>FY2026 Q1</v>
      </c>
      <c r="O48" s="59" t="n">
        <f aca="false">IF(OR(E48="",N(F48)=0),"",G48/F48)</f>
        <v>0.785714285714286</v>
      </c>
      <c r="P48" s="60" t="n">
        <f aca="false">IF(E48="","",ROUND(N(G48)*N(H48)/60,1))</f>
        <v>16.5</v>
      </c>
      <c r="Q48" s="57" t="str">
        <f aca="false">IF(E48="","",IF(COUNTIFS($C$2:C48,C48,$E$2:E48,E48,$B$2:B48,B48)&gt;1,"No","Yes"))</f>
        <v>Yes</v>
      </c>
      <c r="R48" s="61" t="str">
        <f aca="false">IF(E48="","",IF(Q48="No","Duplicate of an earlier response",IF(L48="Not on SITES","Site not on SITES",IF(N(G48)&gt;N(F48),"Present is more than enrolled",IF(OR(I48&lt;1,I48&gt;5),"Score outside 1 to 5","")))))</f>
        <v/>
      </c>
    </row>
    <row r="49" customFormat="false" ht="15" hidden="false" customHeight="false" outlineLevel="0" collapsed="false">
      <c r="A49" s="52" t="n">
        <v>45922.6368634259</v>
      </c>
      <c r="B49" s="53" t="s">
        <v>111</v>
      </c>
      <c r="C49" s="53" t="s">
        <v>112</v>
      </c>
      <c r="D49" s="53" t="s">
        <v>113</v>
      </c>
      <c r="E49" s="54" t="n">
        <v>45922</v>
      </c>
      <c r="F49" s="55" t="n">
        <v>13</v>
      </c>
      <c r="G49" s="55" t="n">
        <v>12</v>
      </c>
      <c r="H49" s="55" t="n">
        <v>90</v>
      </c>
      <c r="I49" s="56" t="n">
        <v>3.3</v>
      </c>
      <c r="J49" s="53" t="s">
        <v>114</v>
      </c>
      <c r="K49" s="53"/>
      <c r="L49" s="57" t="str">
        <f aca="false">IF(C49="","",IFERROR(INDEX(site_ID,MATCH(C49,site_Name,0)),"Not on SITES"))</f>
        <v>LW-120</v>
      </c>
      <c r="M49" s="58" t="n">
        <f aca="false">IF(E49="","",DATE(YEAR(E49),MONTH(E49),1))</f>
        <v>45901</v>
      </c>
      <c r="N49" s="57" t="str">
        <f aca="false">IF(E49="","","FY"&amp;(YEAR(E49)+IF(AND(FYStart&gt;1,MONTH(E49)&gt;=FYStart),1,0))&amp;" Q"&amp;(INT(MOD(MONTH(E49)-FYStart,12)/3)+1))</f>
        <v>FY2026 Q1</v>
      </c>
      <c r="O49" s="59" t="n">
        <f aca="false">IF(OR(E49="",N(F49)=0),"",G49/F49)</f>
        <v>0.923076923076923</v>
      </c>
      <c r="P49" s="60" t="n">
        <f aca="false">IF(E49="","",ROUND(N(G49)*N(H49)/60,1))</f>
        <v>18</v>
      </c>
      <c r="Q49" s="57" t="str">
        <f aca="false">IF(E49="","",IF(COUNTIFS($C$2:C49,C49,$E$2:E49,E49,$B$2:B49,B49)&gt;1,"No","Yes"))</f>
        <v>Yes</v>
      </c>
      <c r="R49" s="61" t="str">
        <f aca="false">IF(E49="","",IF(Q49="No","Duplicate of an earlier response",IF(L49="Not on SITES","Site not on SITES",IF(N(G49)&gt;N(F49),"Present is more than enrolled",IF(OR(I49&lt;1,I49&gt;5),"Score outside 1 to 5","")))))</f>
        <v/>
      </c>
    </row>
    <row r="50" customFormat="false" ht="15" hidden="false" customHeight="false" outlineLevel="0" collapsed="false">
      <c r="A50" s="52" t="n">
        <v>45922.7992708333</v>
      </c>
      <c r="B50" s="53" t="s">
        <v>105</v>
      </c>
      <c r="C50" s="53" t="s">
        <v>115</v>
      </c>
      <c r="D50" s="53" t="s">
        <v>116</v>
      </c>
      <c r="E50" s="54" t="n">
        <v>45922</v>
      </c>
      <c r="F50" s="55" t="n">
        <v>16</v>
      </c>
      <c r="G50" s="55" t="n">
        <v>16</v>
      </c>
      <c r="H50" s="55" t="n">
        <v>90</v>
      </c>
      <c r="I50" s="56" t="n">
        <v>3.3</v>
      </c>
      <c r="J50" s="53" t="s">
        <v>117</v>
      </c>
      <c r="K50" s="53"/>
      <c r="L50" s="57" t="str">
        <f aca="false">IF(C50="","",IFERROR(INDEX(site_ID,MATCH(C50,site_Name,0)),"Not on SITES"))</f>
        <v>LW-119</v>
      </c>
      <c r="M50" s="58" t="n">
        <f aca="false">IF(E50="","",DATE(YEAR(E50),MONTH(E50),1))</f>
        <v>45901</v>
      </c>
      <c r="N50" s="57" t="str">
        <f aca="false">IF(E50="","","FY"&amp;(YEAR(E50)+IF(AND(FYStart&gt;1,MONTH(E50)&gt;=FYStart),1,0))&amp;" Q"&amp;(INT(MOD(MONTH(E50)-FYStart,12)/3)+1))</f>
        <v>FY2026 Q1</v>
      </c>
      <c r="O50" s="59" t="n">
        <f aca="false">IF(OR(E50="",N(F50)=0),"",G50/F50)</f>
        <v>1</v>
      </c>
      <c r="P50" s="60" t="n">
        <f aca="false">IF(E50="","",ROUND(N(G50)*N(H50)/60,1))</f>
        <v>24</v>
      </c>
      <c r="Q50" s="57" t="str">
        <f aca="false">IF(E50="","",IF(COUNTIFS($C$2:C50,C50,$E$2:E50,E50,$B$2:B50,B50)&gt;1,"No","Yes"))</f>
        <v>Yes</v>
      </c>
      <c r="R50" s="61" t="str">
        <f aca="false">IF(E50="","",IF(Q50="No","Duplicate of an earlier response",IF(L50="Not on SITES","Site not on SITES",IF(N(G50)&gt;N(F50),"Present is more than enrolled",IF(OR(I50&lt;1,I50&gt;5),"Score outside 1 to 5","")))))</f>
        <v/>
      </c>
    </row>
    <row r="51" customFormat="false" ht="15" hidden="false" customHeight="false" outlineLevel="0" collapsed="false">
      <c r="A51" s="52" t="n">
        <v>45922.8396527778</v>
      </c>
      <c r="B51" s="53" t="s">
        <v>140</v>
      </c>
      <c r="C51" s="53" t="s">
        <v>141</v>
      </c>
      <c r="D51" s="53" t="s">
        <v>116</v>
      </c>
      <c r="E51" s="54" t="n">
        <v>45919</v>
      </c>
      <c r="F51" s="55" t="n">
        <v>10</v>
      </c>
      <c r="G51" s="55" t="n">
        <v>8</v>
      </c>
      <c r="H51" s="55" t="n">
        <v>90</v>
      </c>
      <c r="I51" s="56" t="n">
        <v>3.5</v>
      </c>
      <c r="J51" s="53" t="s">
        <v>160</v>
      </c>
      <c r="K51" s="53"/>
      <c r="L51" s="57" t="str">
        <f aca="false">IF(C51="","",IFERROR(INDEX(site_ID,MATCH(C51,site_Name,0)),"Not on SITES"))</f>
        <v>LW-118</v>
      </c>
      <c r="M51" s="58" t="n">
        <f aca="false">IF(E51="","",DATE(YEAR(E51),MONTH(E51),1))</f>
        <v>45901</v>
      </c>
      <c r="N51" s="57" t="str">
        <f aca="false">IF(E51="","","FY"&amp;(YEAR(E51)+IF(AND(FYStart&gt;1,MONTH(E51)&gt;=FYStart),1,0))&amp;" Q"&amp;(INT(MOD(MONTH(E51)-FYStart,12)/3)+1))</f>
        <v>FY2026 Q1</v>
      </c>
      <c r="O51" s="59" t="n">
        <f aca="false">IF(OR(E51="",N(F51)=0),"",G51/F51)</f>
        <v>0.8</v>
      </c>
      <c r="P51" s="60" t="n">
        <f aca="false">IF(E51="","",ROUND(N(G51)*N(H51)/60,1))</f>
        <v>12</v>
      </c>
      <c r="Q51" s="57" t="str">
        <f aca="false">IF(E51="","",IF(COUNTIFS($C$2:C51,C51,$E$2:E51,E51,$B$2:B51,B51)&gt;1,"No","Yes"))</f>
        <v>Yes</v>
      </c>
      <c r="R51" s="61" t="str">
        <f aca="false">IF(E51="","",IF(Q51="No","Duplicate of an earlier response",IF(L51="Not on SITES","Site not on SITES",IF(N(G51)&gt;N(F51),"Present is more than enrolled",IF(OR(I51&lt;1,I51&gt;5),"Score outside 1 to 5","")))))</f>
        <v/>
      </c>
    </row>
    <row r="52" customFormat="false" ht="15" hidden="false" customHeight="false" outlineLevel="0" collapsed="false">
      <c r="A52" s="52" t="n">
        <v>45922.8411689815</v>
      </c>
      <c r="B52" s="53" t="s">
        <v>105</v>
      </c>
      <c r="C52" s="53" t="s">
        <v>118</v>
      </c>
      <c r="D52" s="53" t="s">
        <v>119</v>
      </c>
      <c r="E52" s="54" t="n">
        <v>45922</v>
      </c>
      <c r="F52" s="55" t="n">
        <v>19</v>
      </c>
      <c r="G52" s="55" t="n">
        <v>18</v>
      </c>
      <c r="H52" s="55" t="n">
        <v>60</v>
      </c>
      <c r="I52" s="56" t="n">
        <v>3.1</v>
      </c>
      <c r="J52" s="53" t="s">
        <v>157</v>
      </c>
      <c r="K52" s="53"/>
      <c r="L52" s="57" t="str">
        <f aca="false">IF(C52="","",IFERROR(INDEX(site_ID,MATCH(C52,site_Name,0)),"Not on SITES"))</f>
        <v>LW-111</v>
      </c>
      <c r="M52" s="58" t="n">
        <f aca="false">IF(E52="","",DATE(YEAR(E52),MONTH(E52),1))</f>
        <v>45901</v>
      </c>
      <c r="N52" s="57" t="str">
        <f aca="false">IF(E52="","","FY"&amp;(YEAR(E52)+IF(AND(FYStart&gt;1,MONTH(E52)&gt;=FYStart),1,0))&amp;" Q"&amp;(INT(MOD(MONTH(E52)-FYStart,12)/3)+1))</f>
        <v>FY2026 Q1</v>
      </c>
      <c r="O52" s="59" t="n">
        <f aca="false">IF(OR(E52="",N(F52)=0),"",G52/F52)</f>
        <v>0.947368421052632</v>
      </c>
      <c r="P52" s="60" t="n">
        <f aca="false">IF(E52="","",ROUND(N(G52)*N(H52)/60,1))</f>
        <v>18</v>
      </c>
      <c r="Q52" s="57" t="str">
        <f aca="false">IF(E52="","",IF(COUNTIFS($C$2:C52,C52,$E$2:E52,E52,$B$2:B52,B52)&gt;1,"No","Yes"))</f>
        <v>Yes</v>
      </c>
      <c r="R52" s="61" t="str">
        <f aca="false">IF(E52="","",IF(Q52="No","Duplicate of an earlier response",IF(L52="Not on SITES","Site not on SITES",IF(N(G52)&gt;N(F52),"Present is more than enrolled",IF(OR(I52&lt;1,I52&gt;5),"Score outside 1 to 5","")))))</f>
        <v/>
      </c>
    </row>
    <row r="53" customFormat="false" ht="15" hidden="false" customHeight="false" outlineLevel="0" collapsed="false">
      <c r="A53" s="52" t="n">
        <v>45922.8468981482</v>
      </c>
      <c r="B53" s="53" t="s">
        <v>109</v>
      </c>
      <c r="C53" s="53" t="s">
        <v>110</v>
      </c>
      <c r="D53" s="53" t="s">
        <v>107</v>
      </c>
      <c r="E53" s="54" t="n">
        <v>45922</v>
      </c>
      <c r="F53" s="55" t="n">
        <v>19</v>
      </c>
      <c r="G53" s="55" t="n">
        <v>13</v>
      </c>
      <c r="H53" s="55" t="n">
        <v>60</v>
      </c>
      <c r="I53" s="56" t="n">
        <v>3.7</v>
      </c>
      <c r="J53" s="53" t="s">
        <v>128</v>
      </c>
      <c r="K53" s="53"/>
      <c r="L53" s="57" t="str">
        <f aca="false">IF(C53="","",IFERROR(INDEX(site_ID,MATCH(C53,site_Name,0)),"Not on SITES"))</f>
        <v>LW-113</v>
      </c>
      <c r="M53" s="58" t="n">
        <f aca="false">IF(E53="","",DATE(YEAR(E53),MONTH(E53),1))</f>
        <v>45901</v>
      </c>
      <c r="N53" s="57" t="str">
        <f aca="false">IF(E53="","","FY"&amp;(YEAR(E53)+IF(AND(FYStart&gt;1,MONTH(E53)&gt;=FYStart),1,0))&amp;" Q"&amp;(INT(MOD(MONTH(E53)-FYStart,12)/3)+1))</f>
        <v>FY2026 Q1</v>
      </c>
      <c r="O53" s="59" t="n">
        <f aca="false">IF(OR(E53="",N(F53)=0),"",G53/F53)</f>
        <v>0.68421052631579</v>
      </c>
      <c r="P53" s="60" t="n">
        <f aca="false">IF(E53="","",ROUND(N(G53)*N(H53)/60,1))</f>
        <v>13</v>
      </c>
      <c r="Q53" s="57" t="str">
        <f aca="false">IF(E53="","",IF(COUNTIFS($C$2:C53,C53,$E$2:E53,E53,$B$2:B53,B53)&gt;1,"No","Yes"))</f>
        <v>Yes</v>
      </c>
      <c r="R53" s="61" t="str">
        <f aca="false">IF(E53="","",IF(Q53="No","Duplicate of an earlier response",IF(L53="Not on SITES","Site not on SITES",IF(N(G53)&gt;N(F53),"Present is more than enrolled",IF(OR(I53&lt;1,I53&gt;5),"Score outside 1 to 5","")))))</f>
        <v/>
      </c>
    </row>
    <row r="54" customFormat="false" ht="15" hidden="false" customHeight="false" outlineLevel="0" collapsed="false">
      <c r="A54" s="52" t="n">
        <v>45923.6614930556</v>
      </c>
      <c r="B54" s="53" t="s">
        <v>129</v>
      </c>
      <c r="C54" s="53" t="s">
        <v>130</v>
      </c>
      <c r="D54" s="53" t="s">
        <v>113</v>
      </c>
      <c r="E54" s="54" t="n">
        <v>45923</v>
      </c>
      <c r="F54" s="55" t="n">
        <v>16</v>
      </c>
      <c r="G54" s="55" t="n">
        <v>15</v>
      </c>
      <c r="H54" s="55" t="n">
        <v>75</v>
      </c>
      <c r="I54" s="56" t="n">
        <v>3.4</v>
      </c>
      <c r="J54" s="53" t="s">
        <v>136</v>
      </c>
      <c r="K54" s="53"/>
      <c r="L54" s="57" t="str">
        <f aca="false">IF(C54="","",IFERROR(INDEX(site_ID,MATCH(C54,site_Name,0)),"Not on SITES"))</f>
        <v>LW-107</v>
      </c>
      <c r="M54" s="58" t="n">
        <f aca="false">IF(E54="","",DATE(YEAR(E54),MONTH(E54),1))</f>
        <v>45901</v>
      </c>
      <c r="N54" s="57" t="str">
        <f aca="false">IF(E54="","","FY"&amp;(YEAR(E54)+IF(AND(FYStart&gt;1,MONTH(E54)&gt;=FYStart),1,0))&amp;" Q"&amp;(INT(MOD(MONTH(E54)-FYStart,12)/3)+1))</f>
        <v>FY2026 Q1</v>
      </c>
      <c r="O54" s="59" t="n">
        <f aca="false">IF(OR(E54="",N(F54)=0),"",G54/F54)</f>
        <v>0.9375</v>
      </c>
      <c r="P54" s="60" t="n">
        <f aca="false">IF(E54="","",ROUND(N(G54)*N(H54)/60,1))</f>
        <v>18.8</v>
      </c>
      <c r="Q54" s="57" t="str">
        <f aca="false">IF(E54="","",IF(COUNTIFS($C$2:C54,C54,$E$2:E54,E54,$B$2:B54,B54)&gt;1,"No","Yes"))</f>
        <v>Yes</v>
      </c>
      <c r="R54" s="61" t="str">
        <f aca="false">IF(E54="","",IF(Q54="No","Duplicate of an earlier response",IF(L54="Not on SITES","Site not on SITES",IF(N(G54)&gt;N(F54),"Present is more than enrolled",IF(OR(I54&lt;1,I54&gt;5),"Score outside 1 to 5","")))))</f>
        <v/>
      </c>
    </row>
    <row r="55" customFormat="false" ht="15" hidden="false" customHeight="false" outlineLevel="0" collapsed="false">
      <c r="A55" s="52" t="n">
        <v>45923.7487152778</v>
      </c>
      <c r="B55" s="53" t="s">
        <v>124</v>
      </c>
      <c r="C55" s="53" t="s">
        <v>125</v>
      </c>
      <c r="D55" s="53" t="s">
        <v>119</v>
      </c>
      <c r="E55" s="54" t="n">
        <v>45923</v>
      </c>
      <c r="F55" s="55" t="n">
        <v>16</v>
      </c>
      <c r="G55" s="55" t="n">
        <v>13</v>
      </c>
      <c r="H55" s="55" t="n">
        <v>90</v>
      </c>
      <c r="I55" s="56" t="n">
        <v>2.9</v>
      </c>
      <c r="J55" s="53" t="s">
        <v>120</v>
      </c>
      <c r="K55" s="53"/>
      <c r="L55" s="57" t="str">
        <f aca="false">IF(C55="","",IFERROR(INDEX(site_ID,MATCH(C55,site_Name,0)),"Not on SITES"))</f>
        <v>LW-106</v>
      </c>
      <c r="M55" s="58" t="n">
        <f aca="false">IF(E55="","",DATE(YEAR(E55),MONTH(E55),1))</f>
        <v>45901</v>
      </c>
      <c r="N55" s="57" t="str">
        <f aca="false">IF(E55="","","FY"&amp;(YEAR(E55)+IF(AND(FYStart&gt;1,MONTH(E55)&gt;=FYStart),1,0))&amp;" Q"&amp;(INT(MOD(MONTH(E55)-FYStart,12)/3)+1))</f>
        <v>FY2026 Q1</v>
      </c>
      <c r="O55" s="59" t="n">
        <f aca="false">IF(OR(E55="",N(F55)=0),"",G55/F55)</f>
        <v>0.8125</v>
      </c>
      <c r="P55" s="60" t="n">
        <f aca="false">IF(E55="","",ROUND(N(G55)*N(H55)/60,1))</f>
        <v>19.5</v>
      </c>
      <c r="Q55" s="57" t="str">
        <f aca="false">IF(E55="","",IF(COUNTIFS($C$2:C55,C55,$E$2:E55,E55,$B$2:B55,B55)&gt;1,"No","Yes"))</f>
        <v>Yes</v>
      </c>
      <c r="R55" s="61" t="str">
        <f aca="false">IF(E55="","",IF(Q55="No","Duplicate of an earlier response",IF(L55="Not on SITES","Site not on SITES",IF(N(G55)&gt;N(F55),"Present is more than enrolled",IF(OR(I55&lt;1,I55&gt;5),"Score outside 1 to 5","")))))</f>
        <v/>
      </c>
    </row>
    <row r="56" customFormat="false" ht="15" hidden="false" customHeight="false" outlineLevel="0" collapsed="false">
      <c r="A56" s="52" t="n">
        <v>45923.8372106482</v>
      </c>
      <c r="B56" s="53" t="s">
        <v>121</v>
      </c>
      <c r="C56" s="53" t="s">
        <v>122</v>
      </c>
      <c r="D56" s="53" t="s">
        <v>116</v>
      </c>
      <c r="E56" s="54" t="n">
        <v>45923</v>
      </c>
      <c r="F56" s="55" t="n">
        <v>14</v>
      </c>
      <c r="G56" s="55" t="n">
        <v>11</v>
      </c>
      <c r="H56" s="55" t="n">
        <v>60</v>
      </c>
      <c r="I56" s="56" t="n">
        <v>2.8</v>
      </c>
      <c r="J56" s="53" t="s">
        <v>117</v>
      </c>
      <c r="K56" s="53"/>
      <c r="L56" s="57" t="str">
        <f aca="false">IF(C56="","",IFERROR(INDEX(site_ID,MATCH(C56,site_Name,0)),"Not on SITES"))</f>
        <v>LW-116</v>
      </c>
      <c r="M56" s="58" t="n">
        <f aca="false">IF(E56="","",DATE(YEAR(E56),MONTH(E56),1))</f>
        <v>45901</v>
      </c>
      <c r="N56" s="57" t="str">
        <f aca="false">IF(E56="","","FY"&amp;(YEAR(E56)+IF(AND(FYStart&gt;1,MONTH(E56)&gt;=FYStart),1,0))&amp;" Q"&amp;(INT(MOD(MONTH(E56)-FYStart,12)/3)+1))</f>
        <v>FY2026 Q1</v>
      </c>
      <c r="O56" s="59" t="n">
        <f aca="false">IF(OR(E56="",N(F56)=0),"",G56/F56)</f>
        <v>0.785714285714286</v>
      </c>
      <c r="P56" s="60" t="n">
        <f aca="false">IF(E56="","",ROUND(N(G56)*N(H56)/60,1))</f>
        <v>11</v>
      </c>
      <c r="Q56" s="57" t="str">
        <f aca="false">IF(E56="","",IF(COUNTIFS($C$2:C56,C56,$E$2:E56,E56,$B$2:B56,B56)&gt;1,"No","Yes"))</f>
        <v>Yes</v>
      </c>
      <c r="R56" s="61" t="str">
        <f aca="false">IF(E56="","",IF(Q56="No","Duplicate of an earlier response",IF(L56="Not on SITES","Site not on SITES",IF(N(G56)&gt;N(F56),"Present is more than enrolled",IF(OR(I56&lt;1,I56&gt;5),"Score outside 1 to 5","")))))</f>
        <v/>
      </c>
    </row>
    <row r="57" customFormat="false" ht="15" hidden="false" customHeight="false" outlineLevel="0" collapsed="false">
      <c r="A57" s="52" t="n">
        <v>45923.8470949074</v>
      </c>
      <c r="B57" s="53" t="s">
        <v>121</v>
      </c>
      <c r="C57" s="53" t="s">
        <v>127</v>
      </c>
      <c r="D57" s="53" t="s">
        <v>107</v>
      </c>
      <c r="E57" s="54" t="n">
        <v>45923</v>
      </c>
      <c r="F57" s="55" t="n">
        <v>15</v>
      </c>
      <c r="G57" s="55" t="n">
        <v>14</v>
      </c>
      <c r="H57" s="55" t="n">
        <v>90</v>
      </c>
      <c r="I57" s="56" t="n">
        <v>3.6</v>
      </c>
      <c r="J57" s="53" t="s">
        <v>156</v>
      </c>
      <c r="K57" s="53"/>
      <c r="L57" s="57" t="str">
        <f aca="false">IF(C57="","",IFERROR(INDEX(site_ID,MATCH(C57,site_Name,0)),"Not on SITES"))</f>
        <v>LW-108</v>
      </c>
      <c r="M57" s="58" t="n">
        <f aca="false">IF(E57="","",DATE(YEAR(E57),MONTH(E57),1))</f>
        <v>45901</v>
      </c>
      <c r="N57" s="57" t="str">
        <f aca="false">IF(E57="","","FY"&amp;(YEAR(E57)+IF(AND(FYStart&gt;1,MONTH(E57)&gt;=FYStart),1,0))&amp;" Q"&amp;(INT(MOD(MONTH(E57)-FYStart,12)/3)+1))</f>
        <v>FY2026 Q1</v>
      </c>
      <c r="O57" s="59" t="n">
        <f aca="false">IF(OR(E57="",N(F57)=0),"",G57/F57)</f>
        <v>0.933333333333333</v>
      </c>
      <c r="P57" s="60" t="n">
        <f aca="false">IF(E57="","",ROUND(N(G57)*N(H57)/60,1))</f>
        <v>21</v>
      </c>
      <c r="Q57" s="57" t="str">
        <f aca="false">IF(E57="","",IF(COUNTIFS($C$2:C57,C57,$E$2:E57,E57,$B$2:B57,B57)&gt;1,"No","Yes"))</f>
        <v>Yes</v>
      </c>
      <c r="R57" s="61" t="str">
        <f aca="false">IF(E57="","",IF(Q57="No","Duplicate of an earlier response",IF(L57="Not on SITES","Site not on SITES",IF(N(G57)&gt;N(F57),"Present is more than enrolled",IF(OR(I57&lt;1,I57&gt;5),"Score outside 1 to 5","")))))</f>
        <v/>
      </c>
    </row>
    <row r="58" customFormat="false" ht="15" hidden="false" customHeight="false" outlineLevel="0" collapsed="false">
      <c r="A58" s="52" t="n">
        <v>45924.6595717593</v>
      </c>
      <c r="B58" s="53" t="s">
        <v>132</v>
      </c>
      <c r="C58" s="53" t="s">
        <v>133</v>
      </c>
      <c r="D58" s="53" t="s">
        <v>116</v>
      </c>
      <c r="E58" s="54" t="n">
        <v>45923</v>
      </c>
      <c r="F58" s="55" t="n">
        <v>17</v>
      </c>
      <c r="G58" s="55" t="n">
        <v>15</v>
      </c>
      <c r="H58" s="55" t="n">
        <v>60</v>
      </c>
      <c r="I58" s="56" t="n">
        <v>3</v>
      </c>
      <c r="J58" s="53" t="s">
        <v>160</v>
      </c>
      <c r="K58" s="53"/>
      <c r="L58" s="57" t="str">
        <f aca="false">IF(C58="","",IFERROR(INDEX(site_ID,MATCH(C58,site_Name,0)),"Not on SITES"))</f>
        <v>LW-109</v>
      </c>
      <c r="M58" s="58" t="n">
        <f aca="false">IF(E58="","",DATE(YEAR(E58),MONTH(E58),1))</f>
        <v>45901</v>
      </c>
      <c r="N58" s="57" t="str">
        <f aca="false">IF(E58="","","FY"&amp;(YEAR(E58)+IF(AND(FYStart&gt;1,MONTH(E58)&gt;=FYStart),1,0))&amp;" Q"&amp;(INT(MOD(MONTH(E58)-FYStart,12)/3)+1))</f>
        <v>FY2026 Q1</v>
      </c>
      <c r="O58" s="59" t="n">
        <f aca="false">IF(OR(E58="",N(F58)=0),"",G58/F58)</f>
        <v>0.882352941176471</v>
      </c>
      <c r="P58" s="60" t="n">
        <f aca="false">IF(E58="","",ROUND(N(G58)*N(H58)/60,1))</f>
        <v>15</v>
      </c>
      <c r="Q58" s="57" t="str">
        <f aca="false">IF(E58="","",IF(COUNTIFS($C$2:C58,C58,$E$2:E58,E58,$B$2:B58,B58)&gt;1,"No","Yes"))</f>
        <v>Yes</v>
      </c>
      <c r="R58" s="61" t="str">
        <f aca="false">IF(E58="","",IF(Q58="No","Duplicate of an earlier response",IF(L58="Not on SITES","Site not on SITES",IF(N(G58)&gt;N(F58),"Present is more than enrolled",IF(OR(I58&lt;1,I58&gt;5),"Score outside 1 to 5","")))))</f>
        <v/>
      </c>
    </row>
    <row r="59" customFormat="false" ht="15" hidden="false" customHeight="false" outlineLevel="0" collapsed="false">
      <c r="A59" s="52" t="n">
        <v>45924.6982175926</v>
      </c>
      <c r="B59" s="53" t="s">
        <v>132</v>
      </c>
      <c r="C59" s="53" t="s">
        <v>141</v>
      </c>
      <c r="D59" s="53" t="s">
        <v>116</v>
      </c>
      <c r="E59" s="54" t="n">
        <v>45924</v>
      </c>
      <c r="F59" s="55" t="n">
        <v>11</v>
      </c>
      <c r="G59" s="55" t="n">
        <v>10</v>
      </c>
      <c r="H59" s="55" t="n">
        <v>60</v>
      </c>
      <c r="I59" s="56" t="n">
        <v>3.5</v>
      </c>
      <c r="J59" s="53" t="s">
        <v>153</v>
      </c>
      <c r="K59" s="53"/>
      <c r="L59" s="57" t="str">
        <f aca="false">IF(C59="","",IFERROR(INDEX(site_ID,MATCH(C59,site_Name,0)),"Not on SITES"))</f>
        <v>LW-118</v>
      </c>
      <c r="M59" s="58" t="n">
        <f aca="false">IF(E59="","",DATE(YEAR(E59),MONTH(E59),1))</f>
        <v>45901</v>
      </c>
      <c r="N59" s="57" t="str">
        <f aca="false">IF(E59="","","FY"&amp;(YEAR(E59)+IF(AND(FYStart&gt;1,MONTH(E59)&gt;=FYStart),1,0))&amp;" Q"&amp;(INT(MOD(MONTH(E59)-FYStart,12)/3)+1))</f>
        <v>FY2026 Q1</v>
      </c>
      <c r="O59" s="59" t="n">
        <f aca="false">IF(OR(E59="",N(F59)=0),"",G59/F59)</f>
        <v>0.909090909090909</v>
      </c>
      <c r="P59" s="60" t="n">
        <f aca="false">IF(E59="","",ROUND(N(G59)*N(H59)/60,1))</f>
        <v>10</v>
      </c>
      <c r="Q59" s="57" t="str">
        <f aca="false">IF(E59="","",IF(COUNTIFS($C$2:C59,C59,$E$2:E59,E59,$B$2:B59,B59)&gt;1,"No","Yes"))</f>
        <v>Yes</v>
      </c>
      <c r="R59" s="61" t="str">
        <f aca="false">IF(E59="","",IF(Q59="No","Duplicate of an earlier response",IF(L59="Not on SITES","Site not on SITES",IF(N(G59)&gt;N(F59),"Present is more than enrolled",IF(OR(I59&lt;1,I59&gt;5),"Score outside 1 to 5","")))))</f>
        <v/>
      </c>
    </row>
    <row r="60" customFormat="false" ht="15" hidden="false" customHeight="false" outlineLevel="0" collapsed="false">
      <c r="A60" s="52" t="n">
        <v>45924.7068518519</v>
      </c>
      <c r="B60" s="53" t="s">
        <v>129</v>
      </c>
      <c r="C60" s="53" t="s">
        <v>137</v>
      </c>
      <c r="D60" s="53" t="s">
        <v>138</v>
      </c>
      <c r="E60" s="54" t="n">
        <v>45924</v>
      </c>
      <c r="F60" s="55" t="n">
        <v>17</v>
      </c>
      <c r="G60" s="55" t="n">
        <v>15</v>
      </c>
      <c r="H60" s="55" t="n">
        <v>90</v>
      </c>
      <c r="I60" s="56" t="n">
        <v>3.3</v>
      </c>
      <c r="J60" s="53" t="s">
        <v>139</v>
      </c>
      <c r="K60" s="53"/>
      <c r="L60" s="57" t="str">
        <f aca="false">IF(C60="","",IFERROR(INDEX(site_ID,MATCH(C60,site_Name,0)),"Not on SITES"))</f>
        <v>LW-115</v>
      </c>
      <c r="M60" s="58" t="n">
        <f aca="false">IF(E60="","",DATE(YEAR(E60),MONTH(E60),1))</f>
        <v>45901</v>
      </c>
      <c r="N60" s="57" t="str">
        <f aca="false">IF(E60="","","FY"&amp;(YEAR(E60)+IF(AND(FYStart&gt;1,MONTH(E60)&gt;=FYStart),1,0))&amp;" Q"&amp;(INT(MOD(MONTH(E60)-FYStart,12)/3)+1))</f>
        <v>FY2026 Q1</v>
      </c>
      <c r="O60" s="59" t="n">
        <f aca="false">IF(OR(E60="",N(F60)=0),"",G60/F60)</f>
        <v>0.882352941176471</v>
      </c>
      <c r="P60" s="60" t="n">
        <f aca="false">IF(E60="","",ROUND(N(G60)*N(H60)/60,1))</f>
        <v>22.5</v>
      </c>
      <c r="Q60" s="57" t="str">
        <f aca="false">IF(E60="","",IF(COUNTIFS($C$2:C60,C60,$E$2:E60,E60,$B$2:B60,B60)&gt;1,"No","Yes"))</f>
        <v>Yes</v>
      </c>
      <c r="R60" s="61" t="str">
        <f aca="false">IF(E60="","",IF(Q60="No","Duplicate of an earlier response",IF(L60="Not on SITES","Site not on SITES",IF(N(G60)&gt;N(F60),"Present is more than enrolled",IF(OR(I60&lt;1,I60&gt;5),"Score outside 1 to 5","")))))</f>
        <v/>
      </c>
    </row>
    <row r="61" customFormat="false" ht="15" hidden="false" customHeight="false" outlineLevel="0" collapsed="false">
      <c r="A61" s="52" t="n">
        <v>45924.7432407407</v>
      </c>
      <c r="B61" s="53" t="s">
        <v>140</v>
      </c>
      <c r="C61" s="53" t="s">
        <v>142</v>
      </c>
      <c r="D61" s="53" t="s">
        <v>113</v>
      </c>
      <c r="E61" s="54" t="n">
        <v>45924</v>
      </c>
      <c r="F61" s="55" t="n">
        <v>15</v>
      </c>
      <c r="G61" s="55" t="n">
        <v>14</v>
      </c>
      <c r="H61" s="55" t="n">
        <v>75</v>
      </c>
      <c r="I61" s="56" t="n">
        <v>3.3</v>
      </c>
      <c r="J61" s="53" t="s">
        <v>143</v>
      </c>
      <c r="K61" s="53"/>
      <c r="L61" s="57" t="str">
        <f aca="false">IF(C61="","",IFERROR(INDEX(site_ID,MATCH(C61,site_Name,0)),"Not on SITES"))</f>
        <v>LW-102</v>
      </c>
      <c r="M61" s="58" t="n">
        <f aca="false">IF(E61="","",DATE(YEAR(E61),MONTH(E61),1))</f>
        <v>45901</v>
      </c>
      <c r="N61" s="57" t="str">
        <f aca="false">IF(E61="","","FY"&amp;(YEAR(E61)+IF(AND(FYStart&gt;1,MONTH(E61)&gt;=FYStart),1,0))&amp;" Q"&amp;(INT(MOD(MONTH(E61)-FYStart,12)/3)+1))</f>
        <v>FY2026 Q1</v>
      </c>
      <c r="O61" s="59" t="n">
        <f aca="false">IF(OR(E61="",N(F61)=0),"",G61/F61)</f>
        <v>0.933333333333333</v>
      </c>
      <c r="P61" s="60" t="n">
        <f aca="false">IF(E61="","",ROUND(N(G61)*N(H61)/60,1))</f>
        <v>17.5</v>
      </c>
      <c r="Q61" s="57" t="str">
        <f aca="false">IF(E61="","",IF(COUNTIFS($C$2:C61,C61,$E$2:E61,E61,$B$2:B61,B61)&gt;1,"No","Yes"))</f>
        <v>Yes</v>
      </c>
      <c r="R61" s="61" t="str">
        <f aca="false">IF(E61="","",IF(Q61="No","Duplicate of an earlier response",IF(L61="Not on SITES","Site not on SITES",IF(N(G61)&gt;N(F61),"Present is more than enrolled",IF(OR(I61&lt;1,I61&gt;5),"Score outside 1 to 5","")))))</f>
        <v/>
      </c>
    </row>
    <row r="62" customFormat="false" ht="15" hidden="false" customHeight="false" outlineLevel="0" collapsed="false">
      <c r="A62" s="52" t="n">
        <v>45925.6378125</v>
      </c>
      <c r="B62" s="53" t="s">
        <v>121</v>
      </c>
      <c r="C62" s="53" t="s">
        <v>122</v>
      </c>
      <c r="D62" s="53" t="s">
        <v>116</v>
      </c>
      <c r="E62" s="54" t="n">
        <v>45925</v>
      </c>
      <c r="F62" s="55" t="n">
        <v>15</v>
      </c>
      <c r="G62" s="55" t="n">
        <v>13</v>
      </c>
      <c r="H62" s="55" t="n">
        <v>90</v>
      </c>
      <c r="I62" s="56" t="n">
        <v>2.8</v>
      </c>
      <c r="J62" s="53" t="s">
        <v>117</v>
      </c>
      <c r="K62" s="53"/>
      <c r="L62" s="57" t="str">
        <f aca="false">IF(C62="","",IFERROR(INDEX(site_ID,MATCH(C62,site_Name,0)),"Not on SITES"))</f>
        <v>LW-116</v>
      </c>
      <c r="M62" s="58" t="n">
        <f aca="false">IF(E62="","",DATE(YEAR(E62),MONTH(E62),1))</f>
        <v>45901</v>
      </c>
      <c r="N62" s="57" t="str">
        <f aca="false">IF(E62="","","FY"&amp;(YEAR(E62)+IF(AND(FYStart&gt;1,MONTH(E62)&gt;=FYStart),1,0))&amp;" Q"&amp;(INT(MOD(MONTH(E62)-FYStart,12)/3)+1))</f>
        <v>FY2026 Q1</v>
      </c>
      <c r="O62" s="59" t="n">
        <f aca="false">IF(OR(E62="",N(F62)=0),"",G62/F62)</f>
        <v>0.866666666666667</v>
      </c>
      <c r="P62" s="60" t="n">
        <f aca="false">IF(E62="","",ROUND(N(G62)*N(H62)/60,1))</f>
        <v>19.5</v>
      </c>
      <c r="Q62" s="57" t="str">
        <f aca="false">IF(E62="","",IF(COUNTIFS($C$2:C62,C62,$E$2:E62,E62,$B$2:B62,B62)&gt;1,"No","Yes"))</f>
        <v>Yes</v>
      </c>
      <c r="R62" s="61" t="str">
        <f aca="false">IF(E62="","",IF(Q62="No","Duplicate of an earlier response",IF(L62="Not on SITES","Site not on SITES",IF(N(G62)&gt;N(F62),"Present is more than enrolled",IF(OR(I62&lt;1,I62&gt;5),"Score outside 1 to 5","")))))</f>
        <v/>
      </c>
    </row>
    <row r="63" customFormat="false" ht="15" hidden="false" customHeight="false" outlineLevel="0" collapsed="false">
      <c r="A63" s="52" t="n">
        <v>45925.6395023148</v>
      </c>
      <c r="B63" s="53" t="s">
        <v>129</v>
      </c>
      <c r="C63" s="53" t="s">
        <v>154</v>
      </c>
      <c r="D63" s="53" t="s">
        <v>116</v>
      </c>
      <c r="E63" s="54" t="n">
        <v>45925</v>
      </c>
      <c r="F63" s="55" t="n">
        <v>16</v>
      </c>
      <c r="G63" s="55" t="n">
        <v>15</v>
      </c>
      <c r="H63" s="55" t="n">
        <v>75</v>
      </c>
      <c r="I63" s="56" t="n">
        <v>3.6</v>
      </c>
      <c r="J63" s="53" t="s">
        <v>160</v>
      </c>
      <c r="K63" s="53"/>
      <c r="L63" s="57" t="str">
        <f aca="false">IF(C63="","",IFERROR(INDEX(site_ID,MATCH(C63,site_Name,0)),"Not on SITES"))</f>
        <v>LW-114</v>
      </c>
      <c r="M63" s="58" t="n">
        <f aca="false">IF(E63="","",DATE(YEAR(E63),MONTH(E63),1))</f>
        <v>45901</v>
      </c>
      <c r="N63" s="57" t="str">
        <f aca="false">IF(E63="","","FY"&amp;(YEAR(E63)+IF(AND(FYStart&gt;1,MONTH(E63)&gt;=FYStart),1,0))&amp;" Q"&amp;(INT(MOD(MONTH(E63)-FYStart,12)/3)+1))</f>
        <v>FY2026 Q1</v>
      </c>
      <c r="O63" s="59" t="n">
        <f aca="false">IF(OR(E63="",N(F63)=0),"",G63/F63)</f>
        <v>0.9375</v>
      </c>
      <c r="P63" s="60" t="n">
        <f aca="false">IF(E63="","",ROUND(N(G63)*N(H63)/60,1))</f>
        <v>18.8</v>
      </c>
      <c r="Q63" s="57" t="str">
        <f aca="false">IF(E63="","",IF(COUNTIFS($C$2:C63,C63,$E$2:E63,E63,$B$2:B63,B63)&gt;1,"No","Yes"))</f>
        <v>Yes</v>
      </c>
      <c r="R63" s="61" t="str">
        <f aca="false">IF(E63="","",IF(Q63="No","Duplicate of an earlier response",IF(L63="Not on SITES","Site not on SITES",IF(N(G63)&gt;N(F63),"Present is more than enrolled",IF(OR(I63&lt;1,I63&gt;5),"Score outside 1 to 5","")))))</f>
        <v/>
      </c>
    </row>
    <row r="64" customFormat="false" ht="15" hidden="false" customHeight="false" outlineLevel="0" collapsed="false">
      <c r="A64" s="52" t="n">
        <v>45925.8018287037</v>
      </c>
      <c r="B64" s="53" t="s">
        <v>111</v>
      </c>
      <c r="C64" s="53" t="s">
        <v>149</v>
      </c>
      <c r="D64" s="53" t="s">
        <v>113</v>
      </c>
      <c r="E64" s="54" t="n">
        <v>45925</v>
      </c>
      <c r="F64" s="55" t="n">
        <v>21</v>
      </c>
      <c r="G64" s="55" t="n">
        <v>17</v>
      </c>
      <c r="H64" s="55" t="n">
        <v>90</v>
      </c>
      <c r="I64" s="56" t="n">
        <v>3.3</v>
      </c>
      <c r="J64" s="53" t="s">
        <v>131</v>
      </c>
      <c r="K64" s="53"/>
      <c r="L64" s="57" t="str">
        <f aca="false">IF(C64="","",IFERROR(INDEX(site_ID,MATCH(C64,site_Name,0)),"Not on SITES"))</f>
        <v>LW-112</v>
      </c>
      <c r="M64" s="58" t="n">
        <f aca="false">IF(E64="","",DATE(YEAR(E64),MONTH(E64),1))</f>
        <v>45901</v>
      </c>
      <c r="N64" s="57" t="str">
        <f aca="false">IF(E64="","","FY"&amp;(YEAR(E64)+IF(AND(FYStart&gt;1,MONTH(E64)&gt;=FYStart),1,0))&amp;" Q"&amp;(INT(MOD(MONTH(E64)-FYStart,12)/3)+1))</f>
        <v>FY2026 Q1</v>
      </c>
      <c r="O64" s="59" t="n">
        <f aca="false">IF(OR(E64="",N(F64)=0),"",G64/F64)</f>
        <v>0.80952380952381</v>
      </c>
      <c r="P64" s="60" t="n">
        <f aca="false">IF(E64="","",ROUND(N(G64)*N(H64)/60,1))</f>
        <v>25.5</v>
      </c>
      <c r="Q64" s="57" t="str">
        <f aca="false">IF(E64="","",IF(COUNTIFS($C$2:C64,C64,$E$2:E64,E64,$B$2:B64,B64)&gt;1,"No","Yes"))</f>
        <v>Yes</v>
      </c>
      <c r="R64" s="61" t="str">
        <f aca="false">IF(E64="","",IF(Q64="No","Duplicate of an earlier response",IF(L64="Not on SITES","Site not on SITES",IF(N(G64)&gt;N(F64),"Present is more than enrolled",IF(OR(I64&lt;1,I64&gt;5),"Score outside 1 to 5","")))))</f>
        <v/>
      </c>
    </row>
    <row r="65" customFormat="false" ht="15" hidden="false" customHeight="false" outlineLevel="0" collapsed="false">
      <c r="A65" s="52" t="n">
        <v>45925.8177662037</v>
      </c>
      <c r="B65" s="53" t="s">
        <v>140</v>
      </c>
      <c r="C65" s="53" t="s">
        <v>151</v>
      </c>
      <c r="D65" s="53" t="s">
        <v>138</v>
      </c>
      <c r="E65" s="54" t="n">
        <v>45925</v>
      </c>
      <c r="F65" s="55" t="n">
        <v>14</v>
      </c>
      <c r="G65" s="55" t="n">
        <v>13</v>
      </c>
      <c r="H65" s="55" t="n">
        <v>90</v>
      </c>
      <c r="I65" s="56" t="n">
        <v>3.4</v>
      </c>
      <c r="J65" s="53" t="s">
        <v>152</v>
      </c>
      <c r="K65" s="53"/>
      <c r="L65" s="57" t="str">
        <f aca="false">IF(C65="","",IFERROR(INDEX(site_ID,MATCH(C65,site_Name,0)),"Not on SITES"))</f>
        <v>LW-110</v>
      </c>
      <c r="M65" s="58" t="n">
        <f aca="false">IF(E65="","",DATE(YEAR(E65),MONTH(E65),1))</f>
        <v>45901</v>
      </c>
      <c r="N65" s="57" t="str">
        <f aca="false">IF(E65="","","FY"&amp;(YEAR(E65)+IF(AND(FYStart&gt;1,MONTH(E65)&gt;=FYStart),1,0))&amp;" Q"&amp;(INT(MOD(MONTH(E65)-FYStart,12)/3)+1))</f>
        <v>FY2026 Q1</v>
      </c>
      <c r="O65" s="59" t="n">
        <f aca="false">IF(OR(E65="",N(F65)=0),"",G65/F65)</f>
        <v>0.928571428571429</v>
      </c>
      <c r="P65" s="60" t="n">
        <f aca="false">IF(E65="","",ROUND(N(G65)*N(H65)/60,1))</f>
        <v>19.5</v>
      </c>
      <c r="Q65" s="57" t="str">
        <f aca="false">IF(E65="","",IF(COUNTIFS($C$2:C65,C65,$E$2:E65,E65,$B$2:B65,B65)&gt;1,"No","Yes"))</f>
        <v>Yes</v>
      </c>
      <c r="R65" s="61" t="str">
        <f aca="false">IF(E65="","",IF(Q65="No","Duplicate of an earlier response",IF(L65="Not on SITES","Site not on SITES",IF(N(G65)&gt;N(F65),"Present is more than enrolled",IF(OR(I65&lt;1,I65&gt;5),"Score outside 1 to 5","")))))</f>
        <v/>
      </c>
    </row>
    <row r="66" customFormat="false" ht="15" hidden="false" customHeight="false" outlineLevel="0" collapsed="false">
      <c r="A66" s="52" t="n">
        <v>45925.8199421296</v>
      </c>
      <c r="B66" s="53" t="s">
        <v>109</v>
      </c>
      <c r="C66" s="53" t="s">
        <v>146</v>
      </c>
      <c r="D66" s="53" t="s">
        <v>138</v>
      </c>
      <c r="E66" s="54" t="n">
        <v>45925</v>
      </c>
      <c r="F66" s="55" t="n">
        <v>13</v>
      </c>
      <c r="G66" s="55" t="n">
        <v>11</v>
      </c>
      <c r="H66" s="55" t="n">
        <v>90</v>
      </c>
      <c r="I66" s="56" t="n">
        <v>3</v>
      </c>
      <c r="J66" s="53" t="s">
        <v>147</v>
      </c>
      <c r="K66" s="53"/>
      <c r="L66" s="57" t="str">
        <f aca="false">IF(C66="","",IFERROR(INDEX(site_ID,MATCH(C66,site_Name,0)),"Not on SITES"))</f>
        <v>LW-105</v>
      </c>
      <c r="M66" s="58" t="n">
        <f aca="false">IF(E66="","",DATE(YEAR(E66),MONTH(E66),1))</f>
        <v>45901</v>
      </c>
      <c r="N66" s="57" t="str">
        <f aca="false">IF(E66="","","FY"&amp;(YEAR(E66)+IF(AND(FYStart&gt;1,MONTH(E66)&gt;=FYStart),1,0))&amp;" Q"&amp;(INT(MOD(MONTH(E66)-FYStart,12)/3)+1))</f>
        <v>FY2026 Q1</v>
      </c>
      <c r="O66" s="59" t="n">
        <f aca="false">IF(OR(E66="",N(F66)=0),"",G66/F66)</f>
        <v>0.846153846153846</v>
      </c>
      <c r="P66" s="60" t="n">
        <f aca="false">IF(E66="","",ROUND(N(G66)*N(H66)/60,1))</f>
        <v>16.5</v>
      </c>
      <c r="Q66" s="57" t="str">
        <f aca="false">IF(E66="","",IF(COUNTIFS($C$2:C66,C66,$E$2:E66,E66,$B$2:B66,B66)&gt;1,"No","Yes"))</f>
        <v>Yes</v>
      </c>
      <c r="R66" s="61" t="str">
        <f aca="false">IF(E66="","",IF(Q66="No","Duplicate of an earlier response",IF(L66="Not on SITES","Site not on SITES",IF(N(G66)&gt;N(F66),"Present is more than enrolled",IF(OR(I66&lt;1,I66&gt;5),"Score outside 1 to 5","")))))</f>
        <v/>
      </c>
    </row>
    <row r="67" customFormat="false" ht="15" hidden="false" customHeight="false" outlineLevel="0" collapsed="false">
      <c r="A67" s="52" t="n">
        <v>45926.7341319445</v>
      </c>
      <c r="B67" s="53" t="s">
        <v>129</v>
      </c>
      <c r="C67" s="53" t="s">
        <v>137</v>
      </c>
      <c r="D67" s="53" t="s">
        <v>138</v>
      </c>
      <c r="E67" s="54" t="n">
        <v>45926</v>
      </c>
      <c r="F67" s="55" t="n">
        <v>17</v>
      </c>
      <c r="G67" s="55" t="n">
        <v>16</v>
      </c>
      <c r="H67" s="55" t="n">
        <v>90</v>
      </c>
      <c r="I67" s="56" t="n">
        <v>3.2</v>
      </c>
      <c r="J67" s="53" t="s">
        <v>164</v>
      </c>
      <c r="K67" s="53"/>
      <c r="L67" s="57" t="str">
        <f aca="false">IF(C67="","",IFERROR(INDEX(site_ID,MATCH(C67,site_Name,0)),"Not on SITES"))</f>
        <v>LW-115</v>
      </c>
      <c r="M67" s="58" t="n">
        <f aca="false">IF(E67="","",DATE(YEAR(E67),MONTH(E67),1))</f>
        <v>45901</v>
      </c>
      <c r="N67" s="57" t="str">
        <f aca="false">IF(E67="","","FY"&amp;(YEAR(E67)+IF(AND(FYStart&gt;1,MONTH(E67)&gt;=FYStart),1,0))&amp;" Q"&amp;(INT(MOD(MONTH(E67)-FYStart,12)/3)+1))</f>
        <v>FY2026 Q1</v>
      </c>
      <c r="O67" s="59" t="n">
        <f aca="false">IF(OR(E67="",N(F67)=0),"",G67/F67)</f>
        <v>0.941176470588235</v>
      </c>
      <c r="P67" s="60" t="n">
        <f aca="false">IF(E67="","",ROUND(N(G67)*N(H67)/60,1))</f>
        <v>24</v>
      </c>
      <c r="Q67" s="57" t="str">
        <f aca="false">IF(E67="","",IF(COUNTIFS($C$2:C67,C67,$E$2:E67,E67,$B$2:B67,B67)&gt;1,"No","Yes"))</f>
        <v>Yes</v>
      </c>
      <c r="R67" s="61" t="str">
        <f aca="false">IF(E67="","",IF(Q67="No","Duplicate of an earlier response",IF(L67="Not on SITES","Site not on SITES",IF(N(G67)&gt;N(F67),"Present is more than enrolled",IF(OR(I67&lt;1,I67&gt;5),"Score outside 1 to 5","")))))</f>
        <v/>
      </c>
    </row>
    <row r="68" customFormat="false" ht="15" hidden="false" customHeight="false" outlineLevel="0" collapsed="false">
      <c r="A68" s="52" t="n">
        <v>45926.7601967593</v>
      </c>
      <c r="B68" s="53" t="s">
        <v>140</v>
      </c>
      <c r="C68" s="53" t="s">
        <v>141</v>
      </c>
      <c r="D68" s="53" t="s">
        <v>116</v>
      </c>
      <c r="E68" s="54" t="n">
        <v>45926</v>
      </c>
      <c r="F68" s="55" t="n">
        <v>11</v>
      </c>
      <c r="G68" s="55" t="n">
        <v>10</v>
      </c>
      <c r="H68" s="55" t="n">
        <v>60</v>
      </c>
      <c r="I68" s="56" t="n">
        <v>3</v>
      </c>
      <c r="J68" s="53" t="s">
        <v>153</v>
      </c>
      <c r="K68" s="53"/>
      <c r="L68" s="57" t="str">
        <f aca="false">IF(C68="","",IFERROR(INDEX(site_ID,MATCH(C68,site_Name,0)),"Not on SITES"))</f>
        <v>LW-118</v>
      </c>
      <c r="M68" s="58" t="n">
        <f aca="false">IF(E68="","",DATE(YEAR(E68),MONTH(E68),1))</f>
        <v>45901</v>
      </c>
      <c r="N68" s="57" t="str">
        <f aca="false">IF(E68="","","FY"&amp;(YEAR(E68)+IF(AND(FYStart&gt;1,MONTH(E68)&gt;=FYStart),1,0))&amp;" Q"&amp;(INT(MOD(MONTH(E68)-FYStart,12)/3)+1))</f>
        <v>FY2026 Q1</v>
      </c>
      <c r="O68" s="59" t="n">
        <f aca="false">IF(OR(E68="",N(F68)=0),"",G68/F68)</f>
        <v>0.909090909090909</v>
      </c>
      <c r="P68" s="60" t="n">
        <f aca="false">IF(E68="","",ROUND(N(G68)*N(H68)/60,1))</f>
        <v>10</v>
      </c>
      <c r="Q68" s="57" t="str">
        <f aca="false">IF(E68="","",IF(COUNTIFS($C$2:C68,C68,$E$2:E68,E68,$B$2:B68,B68)&gt;1,"No","Yes"))</f>
        <v>Yes</v>
      </c>
      <c r="R68" s="61" t="str">
        <f aca="false">IF(E68="","",IF(Q68="No","Duplicate of an earlier response",IF(L68="Not on SITES","Site not on SITES",IF(N(G68)&gt;N(F68),"Present is more than enrolled",IF(OR(I68&lt;1,I68&gt;5),"Score outside 1 to 5","")))))</f>
        <v/>
      </c>
    </row>
    <row r="69" customFormat="false" ht="15" hidden="false" customHeight="false" outlineLevel="0" collapsed="false">
      <c r="A69" s="52" t="n">
        <v>45927.8178819444</v>
      </c>
      <c r="B69" s="53" t="s">
        <v>111</v>
      </c>
      <c r="C69" s="53" t="s">
        <v>112</v>
      </c>
      <c r="D69" s="53" t="s">
        <v>113</v>
      </c>
      <c r="E69" s="54" t="n">
        <v>45924</v>
      </c>
      <c r="F69" s="55" t="n">
        <v>13</v>
      </c>
      <c r="G69" s="55" t="n">
        <v>12</v>
      </c>
      <c r="H69" s="55" t="n">
        <v>60</v>
      </c>
      <c r="I69" s="56" t="n">
        <v>2.8</v>
      </c>
      <c r="J69" s="53" t="s">
        <v>165</v>
      </c>
      <c r="K69" s="53"/>
      <c r="L69" s="57" t="str">
        <f aca="false">IF(C69="","",IFERROR(INDEX(site_ID,MATCH(C69,site_Name,0)),"Not on SITES"))</f>
        <v>LW-120</v>
      </c>
      <c r="M69" s="58" t="n">
        <f aca="false">IF(E69="","",DATE(YEAR(E69),MONTH(E69),1))</f>
        <v>45901</v>
      </c>
      <c r="N69" s="57" t="str">
        <f aca="false">IF(E69="","","FY"&amp;(YEAR(E69)+IF(AND(FYStart&gt;1,MONTH(E69)&gt;=FYStart),1,0))&amp;" Q"&amp;(INT(MOD(MONTH(E69)-FYStart,12)/3)+1))</f>
        <v>FY2026 Q1</v>
      </c>
      <c r="O69" s="59" t="n">
        <f aca="false">IF(OR(E69="",N(F69)=0),"",G69/F69)</f>
        <v>0.923076923076923</v>
      </c>
      <c r="P69" s="60" t="n">
        <f aca="false">IF(E69="","",ROUND(N(G69)*N(H69)/60,1))</f>
        <v>12</v>
      </c>
      <c r="Q69" s="57" t="str">
        <f aca="false">IF(E69="","",IF(COUNTIFS($C$2:C69,C69,$E$2:E69,E69,$B$2:B69,B69)&gt;1,"No","Yes"))</f>
        <v>Yes</v>
      </c>
      <c r="R69" s="61" t="str">
        <f aca="false">IF(E69="","",IF(Q69="No","Duplicate of an earlier response",IF(L69="Not on SITES","Site not on SITES",IF(N(G69)&gt;N(F69),"Present is more than enrolled",IF(OR(I69&lt;1,I69&gt;5),"Score outside 1 to 5","")))))</f>
        <v/>
      </c>
    </row>
    <row r="70" customFormat="false" ht="15" hidden="false" customHeight="false" outlineLevel="0" collapsed="false">
      <c r="A70" s="52" t="n">
        <v>45927.8499652778</v>
      </c>
      <c r="B70" s="53" t="s">
        <v>105</v>
      </c>
      <c r="C70" s="53" t="s">
        <v>118</v>
      </c>
      <c r="D70" s="53" t="s">
        <v>119</v>
      </c>
      <c r="E70" s="54" t="n">
        <v>45924</v>
      </c>
      <c r="F70" s="55" t="n">
        <v>20</v>
      </c>
      <c r="G70" s="55" t="n">
        <v>13</v>
      </c>
      <c r="H70" s="55" t="n">
        <v>60</v>
      </c>
      <c r="I70" s="56" t="n">
        <v>3</v>
      </c>
      <c r="J70" s="53" t="s">
        <v>144</v>
      </c>
      <c r="K70" s="53"/>
      <c r="L70" s="57" t="str">
        <f aca="false">IF(C70="","",IFERROR(INDEX(site_ID,MATCH(C70,site_Name,0)),"Not on SITES"))</f>
        <v>LW-111</v>
      </c>
      <c r="M70" s="58" t="n">
        <f aca="false">IF(E70="","",DATE(YEAR(E70),MONTH(E70),1))</f>
        <v>45901</v>
      </c>
      <c r="N70" s="57" t="str">
        <f aca="false">IF(E70="","","FY"&amp;(YEAR(E70)+IF(AND(FYStart&gt;1,MONTH(E70)&gt;=FYStart),1,0))&amp;" Q"&amp;(INT(MOD(MONTH(E70)-FYStart,12)/3)+1))</f>
        <v>FY2026 Q1</v>
      </c>
      <c r="O70" s="59" t="n">
        <f aca="false">IF(OR(E70="",N(F70)=0),"",G70/F70)</f>
        <v>0.65</v>
      </c>
      <c r="P70" s="60" t="n">
        <f aca="false">IF(E70="","",ROUND(N(G70)*N(H70)/60,1))</f>
        <v>13</v>
      </c>
      <c r="Q70" s="57" t="str">
        <f aca="false">IF(E70="","",IF(COUNTIFS($C$2:C70,C70,$E$2:E70,E70,$B$2:B70,B70)&gt;1,"No","Yes"))</f>
        <v>Yes</v>
      </c>
      <c r="R70" s="61" t="str">
        <f aca="false">IF(E70="","",IF(Q70="No","Duplicate of an earlier response",IF(L70="Not on SITES","Site not on SITES",IF(N(G70)&gt;N(F70),"Present is more than enrolled",IF(OR(I70&lt;1,I70&gt;5),"Score outside 1 to 5","")))))</f>
        <v/>
      </c>
    </row>
    <row r="71" customFormat="false" ht="15" hidden="false" customHeight="false" outlineLevel="0" collapsed="false">
      <c r="A71" s="52" t="n">
        <v>45927.8646875</v>
      </c>
      <c r="B71" s="53" t="s">
        <v>132</v>
      </c>
      <c r="C71" s="53" t="s">
        <v>145</v>
      </c>
      <c r="D71" s="53" t="s">
        <v>119</v>
      </c>
      <c r="E71" s="54" t="n">
        <v>45924</v>
      </c>
      <c r="F71" s="55" t="n">
        <v>18</v>
      </c>
      <c r="G71" s="55" t="n">
        <v>14</v>
      </c>
      <c r="H71" s="55" t="n">
        <v>75</v>
      </c>
      <c r="I71" s="56" t="n">
        <v>2.9</v>
      </c>
      <c r="J71" s="53" t="s">
        <v>159</v>
      </c>
      <c r="K71" s="53"/>
      <c r="L71" s="57" t="str">
        <f aca="false">IF(C71="","",IFERROR(INDEX(site_ID,MATCH(C71,site_Name,0)),"Not on SITES"))</f>
        <v>LW-101</v>
      </c>
      <c r="M71" s="58" t="n">
        <f aca="false">IF(E71="","",DATE(YEAR(E71),MONTH(E71),1))</f>
        <v>45901</v>
      </c>
      <c r="N71" s="57" t="str">
        <f aca="false">IF(E71="","","FY"&amp;(YEAR(E71)+IF(AND(FYStart&gt;1,MONTH(E71)&gt;=FYStart),1,0))&amp;" Q"&amp;(INT(MOD(MONTH(E71)-FYStart,12)/3)+1))</f>
        <v>FY2026 Q1</v>
      </c>
      <c r="O71" s="59" t="n">
        <f aca="false">IF(OR(E71="",N(F71)=0),"",G71/F71)</f>
        <v>0.777777777777778</v>
      </c>
      <c r="P71" s="60" t="n">
        <f aca="false">IF(E71="","",ROUND(N(G71)*N(H71)/60,1))</f>
        <v>17.5</v>
      </c>
      <c r="Q71" s="57" t="str">
        <f aca="false">IF(E71="","",IF(COUNTIFS($C$2:C71,C71,$E$2:E71,E71,$B$2:B71,B71)&gt;1,"No","Yes"))</f>
        <v>Yes</v>
      </c>
      <c r="R71" s="61" t="str">
        <f aca="false">IF(E71="","",IF(Q71="No","Duplicate of an earlier response",IF(L71="Not on SITES","Site not on SITES",IF(N(G71)&gt;N(F71),"Present is more than enrolled",IF(OR(I71&lt;1,I71&gt;5),"Score outside 1 to 5","")))))</f>
        <v/>
      </c>
    </row>
    <row r="72" customFormat="false" ht="15" hidden="false" customHeight="false" outlineLevel="0" collapsed="false">
      <c r="A72" s="52" t="n">
        <v>45928.6443634259</v>
      </c>
      <c r="B72" s="53" t="s">
        <v>132</v>
      </c>
      <c r="C72" s="53" t="s">
        <v>150</v>
      </c>
      <c r="D72" s="53" t="s">
        <v>138</v>
      </c>
      <c r="E72" s="54" t="n">
        <v>45925</v>
      </c>
      <c r="F72" s="55" t="n">
        <v>19</v>
      </c>
      <c r="G72" s="55" t="n">
        <v>15</v>
      </c>
      <c r="H72" s="55" t="n">
        <v>90</v>
      </c>
      <c r="I72" s="56" t="n">
        <v>2.9</v>
      </c>
      <c r="J72" s="53" t="s">
        <v>164</v>
      </c>
      <c r="K72" s="53"/>
      <c r="L72" s="57" t="str">
        <f aca="false">IF(C72="","",IFERROR(INDEX(site_ID,MATCH(C72,site_Name,0)),"Not on SITES"))</f>
        <v>LW-117</v>
      </c>
      <c r="M72" s="58" t="n">
        <f aca="false">IF(E72="","",DATE(YEAR(E72),MONTH(E72),1))</f>
        <v>45901</v>
      </c>
      <c r="N72" s="57" t="str">
        <f aca="false">IF(E72="","","FY"&amp;(YEAR(E72)+IF(AND(FYStart&gt;1,MONTH(E72)&gt;=FYStart),1,0))&amp;" Q"&amp;(INT(MOD(MONTH(E72)-FYStart,12)/3)+1))</f>
        <v>FY2026 Q1</v>
      </c>
      <c r="O72" s="59" t="n">
        <f aca="false">IF(OR(E72="",N(F72)=0),"",G72/F72)</f>
        <v>0.789473684210526</v>
      </c>
      <c r="P72" s="60" t="n">
        <f aca="false">IF(E72="","",ROUND(N(G72)*N(H72)/60,1))</f>
        <v>22.5</v>
      </c>
      <c r="Q72" s="57" t="str">
        <f aca="false">IF(E72="","",IF(COUNTIFS($C$2:C72,C72,$E$2:E72,E72,$B$2:B72,B72)&gt;1,"No","Yes"))</f>
        <v>Yes</v>
      </c>
      <c r="R72" s="61" t="str">
        <f aca="false">IF(E72="","",IF(Q72="No","Duplicate of an earlier response",IF(L72="Not on SITES","Site not on SITES",IF(N(G72)&gt;N(F72),"Present is more than enrolled",IF(OR(I72&lt;1,I72&gt;5),"Score outside 1 to 5","")))))</f>
        <v/>
      </c>
    </row>
    <row r="73" customFormat="false" ht="15" hidden="false" customHeight="false" outlineLevel="0" collapsed="false">
      <c r="A73" s="52" t="n">
        <v>45928.7762615741</v>
      </c>
      <c r="B73" s="53" t="s">
        <v>111</v>
      </c>
      <c r="C73" s="53" t="s">
        <v>148</v>
      </c>
      <c r="D73" s="53" t="s">
        <v>116</v>
      </c>
      <c r="E73" s="54" t="n">
        <v>45925</v>
      </c>
      <c r="F73" s="55" t="n">
        <v>16</v>
      </c>
      <c r="G73" s="55" t="n">
        <v>12</v>
      </c>
      <c r="H73" s="55" t="n">
        <v>75</v>
      </c>
      <c r="I73" s="56" t="n">
        <v>3.2</v>
      </c>
      <c r="J73" s="53" t="s">
        <v>123</v>
      </c>
      <c r="K73" s="53"/>
      <c r="L73" s="57" t="str">
        <f aca="false">IF(C73="","",IFERROR(INDEX(site_ID,MATCH(C73,site_Name,0)),"Not on SITES"))</f>
        <v>LW-104</v>
      </c>
      <c r="M73" s="58" t="n">
        <f aca="false">IF(E73="","",DATE(YEAR(E73),MONTH(E73),1))</f>
        <v>45901</v>
      </c>
      <c r="N73" s="57" t="str">
        <f aca="false">IF(E73="","","FY"&amp;(YEAR(E73)+IF(AND(FYStart&gt;1,MONTH(E73)&gt;=FYStart),1,0))&amp;" Q"&amp;(INT(MOD(MONTH(E73)-FYStart,12)/3)+1))</f>
        <v>FY2026 Q1</v>
      </c>
      <c r="O73" s="59" t="n">
        <f aca="false">IF(OR(E73="",N(F73)=0),"",G73/F73)</f>
        <v>0.75</v>
      </c>
      <c r="P73" s="60" t="n">
        <f aca="false">IF(E73="","",ROUND(N(G73)*N(H73)/60,1))</f>
        <v>15</v>
      </c>
      <c r="Q73" s="57" t="str">
        <f aca="false">IF(E73="","",IF(COUNTIFS($C$2:C73,C73,$E$2:E73,E73,$B$2:B73,B73)&gt;1,"No","Yes"))</f>
        <v>Yes</v>
      </c>
      <c r="R73" s="61" t="str">
        <f aca="false">IF(E73="","",IF(Q73="No","Duplicate of an earlier response",IF(L73="Not on SITES","Site not on SITES",IF(N(G73)&gt;N(F73),"Present is more than enrolled",IF(OR(I73&lt;1,I73&gt;5),"Score outside 1 to 5","")))))</f>
        <v/>
      </c>
    </row>
    <row r="74" customFormat="false" ht="15" hidden="false" customHeight="false" outlineLevel="0" collapsed="false">
      <c r="A74" s="52" t="n">
        <v>45929.8000347222</v>
      </c>
      <c r="B74" s="53" t="s">
        <v>111</v>
      </c>
      <c r="C74" s="53" t="s">
        <v>112</v>
      </c>
      <c r="D74" s="53" t="s">
        <v>113</v>
      </c>
      <c r="E74" s="54" t="n">
        <v>45929</v>
      </c>
      <c r="F74" s="55" t="n">
        <v>14</v>
      </c>
      <c r="G74" s="55" t="n">
        <v>12</v>
      </c>
      <c r="H74" s="55" t="n">
        <v>90</v>
      </c>
      <c r="I74" s="56" t="n">
        <v>2.9</v>
      </c>
      <c r="J74" s="53" t="s">
        <v>131</v>
      </c>
      <c r="K74" s="53"/>
      <c r="L74" s="57" t="str">
        <f aca="false">IF(C74="","",IFERROR(INDEX(site_ID,MATCH(C74,site_Name,0)),"Not on SITES"))</f>
        <v>LW-120</v>
      </c>
      <c r="M74" s="58" t="n">
        <f aca="false">IF(E74="","",DATE(YEAR(E74),MONTH(E74),1))</f>
        <v>45901</v>
      </c>
      <c r="N74" s="57" t="str">
        <f aca="false">IF(E74="","","FY"&amp;(YEAR(E74)+IF(AND(FYStart&gt;1,MONTH(E74)&gt;=FYStart),1,0))&amp;" Q"&amp;(INT(MOD(MONTH(E74)-FYStart,12)/3)+1))</f>
        <v>FY2026 Q1</v>
      </c>
      <c r="O74" s="59" t="n">
        <f aca="false">IF(OR(E74="",N(F74)=0),"",G74/F74)</f>
        <v>0.857142857142857</v>
      </c>
      <c r="P74" s="60" t="n">
        <f aca="false">IF(E74="","",ROUND(N(G74)*N(H74)/60,1))</f>
        <v>18</v>
      </c>
      <c r="Q74" s="57" t="str">
        <f aca="false">IF(E74="","",IF(COUNTIFS($C$2:C74,C74,$E$2:E74,E74,$B$2:B74,B74)&gt;1,"No","Yes"))</f>
        <v>Yes</v>
      </c>
      <c r="R74" s="61" t="str">
        <f aca="false">IF(E74="","",IF(Q74="No","Duplicate of an earlier response",IF(L74="Not on SITES","Site not on SITES",IF(N(G74)&gt;N(F74),"Present is more than enrolled",IF(OR(I74&lt;1,I74&gt;5),"Score outside 1 to 5","")))))</f>
        <v/>
      </c>
    </row>
    <row r="75" customFormat="false" ht="15" hidden="false" customHeight="false" outlineLevel="0" collapsed="false">
      <c r="A75" s="52" t="n">
        <v>45929.8421064815</v>
      </c>
      <c r="B75" s="53" t="s">
        <v>109</v>
      </c>
      <c r="C75" s="53" t="s">
        <v>110</v>
      </c>
      <c r="D75" s="53" t="s">
        <v>107</v>
      </c>
      <c r="E75" s="54" t="n">
        <v>45929</v>
      </c>
      <c r="F75" s="55" t="n">
        <v>19</v>
      </c>
      <c r="G75" s="55" t="n">
        <v>17</v>
      </c>
      <c r="H75" s="55" t="n">
        <v>60</v>
      </c>
      <c r="I75" s="56" t="n">
        <v>3.5</v>
      </c>
      <c r="J75" s="53" t="s">
        <v>128</v>
      </c>
      <c r="K75" s="53"/>
      <c r="L75" s="57" t="str">
        <f aca="false">IF(C75="","",IFERROR(INDEX(site_ID,MATCH(C75,site_Name,0)),"Not on SITES"))</f>
        <v>LW-113</v>
      </c>
      <c r="M75" s="58" t="n">
        <f aca="false">IF(E75="","",DATE(YEAR(E75),MONTH(E75),1))</f>
        <v>45901</v>
      </c>
      <c r="N75" s="57" t="str">
        <f aca="false">IF(E75="","","FY"&amp;(YEAR(E75)+IF(AND(FYStart&gt;1,MONTH(E75)&gt;=FYStart),1,0))&amp;" Q"&amp;(INT(MOD(MONTH(E75)-FYStart,12)/3)+1))</f>
        <v>FY2026 Q1</v>
      </c>
      <c r="O75" s="59" t="n">
        <f aca="false">IF(OR(E75="",N(F75)=0),"",G75/F75)</f>
        <v>0.894736842105263</v>
      </c>
      <c r="P75" s="60" t="n">
        <f aca="false">IF(E75="","",ROUND(N(G75)*N(H75)/60,1))</f>
        <v>17</v>
      </c>
      <c r="Q75" s="57" t="str">
        <f aca="false">IF(E75="","",IF(COUNTIFS($C$2:C75,C75,$E$2:E75,E75,$B$2:B75,B75)&gt;1,"No","Yes"))</f>
        <v>Yes</v>
      </c>
      <c r="R75" s="61" t="str">
        <f aca="false">IF(E75="","",IF(Q75="No","Duplicate of an earlier response",IF(L75="Not on SITES","Site not on SITES",IF(N(G75)&gt;N(F75),"Present is more than enrolled",IF(OR(I75&lt;1,I75&gt;5),"Score outside 1 to 5","")))))</f>
        <v/>
      </c>
    </row>
    <row r="76" customFormat="false" ht="15" hidden="false" customHeight="false" outlineLevel="0" collapsed="false">
      <c r="A76" s="52" t="n">
        <v>45929.8573263889</v>
      </c>
      <c r="B76" s="53" t="s">
        <v>105</v>
      </c>
      <c r="C76" s="53" t="s">
        <v>106</v>
      </c>
      <c r="D76" s="53" t="s">
        <v>107</v>
      </c>
      <c r="E76" s="54" t="n">
        <v>45929</v>
      </c>
      <c r="F76" s="55" t="n">
        <v>15</v>
      </c>
      <c r="G76" s="55" t="n">
        <v>10</v>
      </c>
      <c r="H76" s="55" t="n">
        <v>75</v>
      </c>
      <c r="I76" s="56" t="n">
        <v>3.3</v>
      </c>
      <c r="J76" s="53" t="s">
        <v>155</v>
      </c>
      <c r="K76" s="53"/>
      <c r="L76" s="57" t="str">
        <f aca="false">IF(C76="","",IFERROR(INDEX(site_ID,MATCH(C76,site_Name,0)),"Not on SITES"))</f>
        <v>LW-103</v>
      </c>
      <c r="M76" s="58" t="n">
        <f aca="false">IF(E76="","",DATE(YEAR(E76),MONTH(E76),1))</f>
        <v>45901</v>
      </c>
      <c r="N76" s="57" t="str">
        <f aca="false">IF(E76="","","FY"&amp;(YEAR(E76)+IF(AND(FYStart&gt;1,MONTH(E76)&gt;=FYStart),1,0))&amp;" Q"&amp;(INT(MOD(MONTH(E76)-FYStart,12)/3)+1))</f>
        <v>FY2026 Q1</v>
      </c>
      <c r="O76" s="59" t="n">
        <f aca="false">IF(OR(E76="",N(F76)=0),"",G76/F76)</f>
        <v>0.666666666666667</v>
      </c>
      <c r="P76" s="60" t="n">
        <f aca="false">IF(E76="","",ROUND(N(G76)*N(H76)/60,1))</f>
        <v>12.5</v>
      </c>
      <c r="Q76" s="57" t="str">
        <f aca="false">IF(E76="","",IF(COUNTIFS($C$2:C76,C76,$E$2:E76,E76,$B$2:B76,B76)&gt;1,"No","Yes"))</f>
        <v>Yes</v>
      </c>
      <c r="R76" s="61" t="str">
        <f aca="false">IF(E76="","",IF(Q76="No","Duplicate of an earlier response",IF(L76="Not on SITES","Site not on SITES",IF(N(G76)&gt;N(F76),"Present is more than enrolled",IF(OR(I76&lt;1,I76&gt;5),"Score outside 1 to 5","")))))</f>
        <v/>
      </c>
    </row>
    <row r="77" customFormat="false" ht="15" hidden="false" customHeight="false" outlineLevel="0" collapsed="false">
      <c r="A77" s="52" t="n">
        <v>45930.6427893519</v>
      </c>
      <c r="B77" s="53" t="s">
        <v>124</v>
      </c>
      <c r="C77" s="53" t="s">
        <v>125</v>
      </c>
      <c r="D77" s="53" t="s">
        <v>119</v>
      </c>
      <c r="E77" s="54" t="n">
        <v>45930</v>
      </c>
      <c r="F77" s="55" t="n">
        <v>16</v>
      </c>
      <c r="G77" s="55" t="n">
        <v>14</v>
      </c>
      <c r="H77" s="55" t="n">
        <v>60</v>
      </c>
      <c r="I77" s="56" t="n">
        <v>3.1</v>
      </c>
      <c r="J77" s="53" t="s">
        <v>126</v>
      </c>
      <c r="K77" s="53"/>
      <c r="L77" s="57" t="str">
        <f aca="false">IF(C77="","",IFERROR(INDEX(site_ID,MATCH(C77,site_Name,0)),"Not on SITES"))</f>
        <v>LW-106</v>
      </c>
      <c r="M77" s="58" t="n">
        <f aca="false">IF(E77="","",DATE(YEAR(E77),MONTH(E77),1))</f>
        <v>45901</v>
      </c>
      <c r="N77" s="57" t="str">
        <f aca="false">IF(E77="","","FY"&amp;(YEAR(E77)+IF(AND(FYStart&gt;1,MONTH(E77)&gt;=FYStart),1,0))&amp;" Q"&amp;(INT(MOD(MONTH(E77)-FYStart,12)/3)+1))</f>
        <v>FY2026 Q1</v>
      </c>
      <c r="O77" s="59" t="n">
        <f aca="false">IF(OR(E77="",N(F77)=0),"",G77/F77)</f>
        <v>0.875</v>
      </c>
      <c r="P77" s="60" t="n">
        <f aca="false">IF(E77="","",ROUND(N(G77)*N(H77)/60,1))</f>
        <v>14</v>
      </c>
      <c r="Q77" s="57" t="str">
        <f aca="false">IF(E77="","",IF(COUNTIFS($C$2:C77,C77,$E$2:E77,E77,$B$2:B77,B77)&gt;1,"No","Yes"))</f>
        <v>Yes</v>
      </c>
      <c r="R77" s="61" t="str">
        <f aca="false">IF(E77="","",IF(Q77="No","Duplicate of an earlier response",IF(L77="Not on SITES","Site not on SITES",IF(N(G77)&gt;N(F77),"Present is more than enrolled",IF(OR(I77&lt;1,I77&gt;5),"Score outside 1 to 5","")))))</f>
        <v/>
      </c>
    </row>
    <row r="78" customFormat="false" ht="15" hidden="false" customHeight="false" outlineLevel="0" collapsed="false">
      <c r="A78" s="52" t="n">
        <v>45930.7022569445</v>
      </c>
      <c r="B78" s="53" t="s">
        <v>121</v>
      </c>
      <c r="C78" s="53" t="s">
        <v>122</v>
      </c>
      <c r="D78" s="53" t="s">
        <v>116</v>
      </c>
      <c r="E78" s="54" t="n">
        <v>45930</v>
      </c>
      <c r="F78" s="55" t="n">
        <v>15</v>
      </c>
      <c r="G78" s="55" t="n">
        <v>11</v>
      </c>
      <c r="H78" s="55" t="n">
        <v>60</v>
      </c>
      <c r="I78" s="56" t="n">
        <v>3</v>
      </c>
      <c r="J78" s="53" t="s">
        <v>123</v>
      </c>
      <c r="K78" s="53"/>
      <c r="L78" s="57" t="str">
        <f aca="false">IF(C78="","",IFERROR(INDEX(site_ID,MATCH(C78,site_Name,0)),"Not on SITES"))</f>
        <v>LW-116</v>
      </c>
      <c r="M78" s="58" t="n">
        <f aca="false">IF(E78="","",DATE(YEAR(E78),MONTH(E78),1))</f>
        <v>45901</v>
      </c>
      <c r="N78" s="57" t="str">
        <f aca="false">IF(E78="","","FY"&amp;(YEAR(E78)+IF(AND(FYStart&gt;1,MONTH(E78)&gt;=FYStart),1,0))&amp;" Q"&amp;(INT(MOD(MONTH(E78)-FYStart,12)/3)+1))</f>
        <v>FY2026 Q1</v>
      </c>
      <c r="O78" s="59" t="n">
        <f aca="false">IF(OR(E78="",N(F78)=0),"",G78/F78)</f>
        <v>0.733333333333333</v>
      </c>
      <c r="P78" s="60" t="n">
        <f aca="false">IF(E78="","",ROUND(N(G78)*N(H78)/60,1))</f>
        <v>11</v>
      </c>
      <c r="Q78" s="57" t="str">
        <f aca="false">IF(E78="","",IF(COUNTIFS($C$2:C78,C78,$E$2:E78,E78,$B$2:B78,B78)&gt;1,"No","Yes"))</f>
        <v>Yes</v>
      </c>
      <c r="R78" s="61" t="str">
        <f aca="false">IF(E78="","",IF(Q78="No","Duplicate of an earlier response",IF(L78="Not on SITES","Site not on SITES",IF(N(G78)&gt;N(F78),"Present is more than enrolled",IF(OR(I78&lt;1,I78&gt;5),"Score outside 1 to 5","")))))</f>
        <v/>
      </c>
    </row>
    <row r="79" customFormat="false" ht="15" hidden="false" customHeight="false" outlineLevel="0" collapsed="false">
      <c r="A79" s="52" t="n">
        <v>45930.7513657407</v>
      </c>
      <c r="B79" s="53" t="s">
        <v>132</v>
      </c>
      <c r="C79" s="53" t="s">
        <v>133</v>
      </c>
      <c r="D79" s="53" t="s">
        <v>116</v>
      </c>
      <c r="E79" s="54" t="n">
        <v>45930</v>
      </c>
      <c r="F79" s="55" t="n">
        <v>17</v>
      </c>
      <c r="G79" s="55" t="n">
        <v>16</v>
      </c>
      <c r="H79" s="55" t="n">
        <v>90</v>
      </c>
      <c r="I79" s="56" t="n">
        <v>3.1</v>
      </c>
      <c r="J79" s="53" t="s">
        <v>117</v>
      </c>
      <c r="K79" s="53"/>
      <c r="L79" s="57" t="str">
        <f aca="false">IF(C79="","",IFERROR(INDEX(site_ID,MATCH(C79,site_Name,0)),"Not on SITES"))</f>
        <v>LW-109</v>
      </c>
      <c r="M79" s="58" t="n">
        <f aca="false">IF(E79="","",DATE(YEAR(E79),MONTH(E79),1))</f>
        <v>45901</v>
      </c>
      <c r="N79" s="57" t="str">
        <f aca="false">IF(E79="","","FY"&amp;(YEAR(E79)+IF(AND(FYStart&gt;1,MONTH(E79)&gt;=FYStart),1,0))&amp;" Q"&amp;(INT(MOD(MONTH(E79)-FYStart,12)/3)+1))</f>
        <v>FY2026 Q1</v>
      </c>
      <c r="O79" s="59" t="n">
        <f aca="false">IF(OR(E79="",N(F79)=0),"",G79/F79)</f>
        <v>0.941176470588235</v>
      </c>
      <c r="P79" s="60" t="n">
        <f aca="false">IF(E79="","",ROUND(N(G79)*N(H79)/60,1))</f>
        <v>24</v>
      </c>
      <c r="Q79" s="57" t="str">
        <f aca="false">IF(E79="","",IF(COUNTIFS($C$2:C79,C79,$E$2:E79,E79,$B$2:B79,B79)&gt;1,"No","Yes"))</f>
        <v>Yes</v>
      </c>
      <c r="R79" s="61" t="str">
        <f aca="false">IF(E79="","",IF(Q79="No","Duplicate of an earlier response",IF(L79="Not on SITES","Site not on SITES",IF(N(G79)&gt;N(F79),"Present is more than enrolled",IF(OR(I79&lt;1,I79&gt;5),"Score outside 1 to 5","")))))</f>
        <v/>
      </c>
    </row>
    <row r="80" customFormat="false" ht="15" hidden="false" customHeight="false" outlineLevel="0" collapsed="false">
      <c r="A80" s="52" t="n">
        <v>45931.6403356482</v>
      </c>
      <c r="B80" s="53" t="s">
        <v>105</v>
      </c>
      <c r="C80" s="53" t="s">
        <v>118</v>
      </c>
      <c r="D80" s="53" t="s">
        <v>119</v>
      </c>
      <c r="E80" s="54" t="n">
        <v>45931</v>
      </c>
      <c r="F80" s="55" t="n">
        <v>20</v>
      </c>
      <c r="G80" s="55" t="n">
        <v>18</v>
      </c>
      <c r="H80" s="55" t="n">
        <v>60</v>
      </c>
      <c r="I80" s="56" t="n">
        <v>2.9</v>
      </c>
      <c r="J80" s="53" t="s">
        <v>120</v>
      </c>
      <c r="K80" s="53"/>
      <c r="L80" s="57" t="str">
        <f aca="false">IF(C80="","",IFERROR(INDEX(site_ID,MATCH(C80,site_Name,0)),"Not on SITES"))</f>
        <v>LW-111</v>
      </c>
      <c r="M80" s="58" t="n">
        <f aca="false">IF(E80="","",DATE(YEAR(E80),MONTH(E80),1))</f>
        <v>45931</v>
      </c>
      <c r="N80" s="57" t="str">
        <f aca="false">IF(E80="","","FY"&amp;(YEAR(E80)+IF(AND(FYStart&gt;1,MONTH(E80)&gt;=FYStart),1,0))&amp;" Q"&amp;(INT(MOD(MONTH(E80)-FYStart,12)/3)+1))</f>
        <v>FY2026 Q2</v>
      </c>
      <c r="O80" s="59" t="n">
        <f aca="false">IF(OR(E80="",N(F80)=0),"",G80/F80)</f>
        <v>0.9</v>
      </c>
      <c r="P80" s="60" t="n">
        <f aca="false">IF(E80="","",ROUND(N(G80)*N(H80)/60,1))</f>
        <v>18</v>
      </c>
      <c r="Q80" s="57" t="str">
        <f aca="false">IF(E80="","",IF(COUNTIFS($C$2:C80,C80,$E$2:E80,E80,$B$2:B80,B80)&gt;1,"No","Yes"))</f>
        <v>Yes</v>
      </c>
      <c r="R80" s="61" t="str">
        <f aca="false">IF(E80="","",IF(Q80="No","Duplicate of an earlier response",IF(L80="Not on SITES","Site not on SITES",IF(N(G80)&gt;N(F80),"Present is more than enrolled",IF(OR(I80&lt;1,I80&gt;5),"Score outside 1 to 5","")))))</f>
        <v/>
      </c>
    </row>
    <row r="81" customFormat="false" ht="15" hidden="false" customHeight="false" outlineLevel="0" collapsed="false">
      <c r="A81" s="52" t="n">
        <v>45931.7194444445</v>
      </c>
      <c r="B81" s="53" t="s">
        <v>129</v>
      </c>
      <c r="C81" s="53" t="s">
        <v>137</v>
      </c>
      <c r="D81" s="53" t="s">
        <v>138</v>
      </c>
      <c r="E81" s="54" t="n">
        <v>45931</v>
      </c>
      <c r="F81" s="55" t="n">
        <v>18</v>
      </c>
      <c r="G81" s="55" t="n">
        <v>17</v>
      </c>
      <c r="H81" s="55" t="n">
        <v>90</v>
      </c>
      <c r="I81" s="56" t="n">
        <v>3.4</v>
      </c>
      <c r="J81" s="53" t="s">
        <v>164</v>
      </c>
      <c r="K81" s="53"/>
      <c r="L81" s="57" t="str">
        <f aca="false">IF(C81="","",IFERROR(INDEX(site_ID,MATCH(C81,site_Name,0)),"Not on SITES"))</f>
        <v>LW-115</v>
      </c>
      <c r="M81" s="58" t="n">
        <f aca="false">IF(E81="","",DATE(YEAR(E81),MONTH(E81),1))</f>
        <v>45931</v>
      </c>
      <c r="N81" s="57" t="str">
        <f aca="false">IF(E81="","","FY"&amp;(YEAR(E81)+IF(AND(FYStart&gt;1,MONTH(E81)&gt;=FYStart),1,0))&amp;" Q"&amp;(INT(MOD(MONTH(E81)-FYStart,12)/3)+1))</f>
        <v>FY2026 Q2</v>
      </c>
      <c r="O81" s="59" t="n">
        <f aca="false">IF(OR(E81="",N(F81)=0),"",G81/F81)</f>
        <v>0.944444444444444</v>
      </c>
      <c r="P81" s="60" t="n">
        <f aca="false">IF(E81="","",ROUND(N(G81)*N(H81)/60,1))</f>
        <v>25.5</v>
      </c>
      <c r="Q81" s="57" t="str">
        <f aca="false">IF(E81="","",IF(COUNTIFS($C$2:C81,C81,$E$2:E81,E81,$B$2:B81,B81)&gt;1,"No","Yes"))</f>
        <v>Yes</v>
      </c>
      <c r="R81" s="61" t="str">
        <f aca="false">IF(E81="","",IF(Q81="No","Duplicate of an earlier response",IF(L81="Not on SITES","Site not on SITES",IF(N(G81)&gt;N(F81),"Present is more than enrolled",IF(OR(I81&lt;1,I81&gt;5),"Score outside 1 to 5","")))))</f>
        <v/>
      </c>
    </row>
    <row r="82" customFormat="false" ht="15" hidden="false" customHeight="false" outlineLevel="0" collapsed="false">
      <c r="A82" s="52" t="n">
        <v>45931.8348032407</v>
      </c>
      <c r="B82" s="53" t="s">
        <v>140</v>
      </c>
      <c r="C82" s="53" t="s">
        <v>142</v>
      </c>
      <c r="D82" s="53" t="s">
        <v>113</v>
      </c>
      <c r="E82" s="54" t="n">
        <v>45931</v>
      </c>
      <c r="F82" s="55" t="n">
        <v>16</v>
      </c>
      <c r="G82" s="55" t="n">
        <v>15</v>
      </c>
      <c r="H82" s="55" t="n">
        <v>90</v>
      </c>
      <c r="I82" s="56" t="n">
        <v>3</v>
      </c>
      <c r="J82" s="53" t="s">
        <v>131</v>
      </c>
      <c r="K82" s="53"/>
      <c r="L82" s="57" t="str">
        <f aca="false">IF(C82="","",IFERROR(INDEX(site_ID,MATCH(C82,site_Name,0)),"Not on SITES"))</f>
        <v>LW-102</v>
      </c>
      <c r="M82" s="58" t="n">
        <f aca="false">IF(E82="","",DATE(YEAR(E82),MONTH(E82),1))</f>
        <v>45931</v>
      </c>
      <c r="N82" s="57" t="str">
        <f aca="false">IF(E82="","","FY"&amp;(YEAR(E82)+IF(AND(FYStart&gt;1,MONTH(E82)&gt;=FYStart),1,0))&amp;" Q"&amp;(INT(MOD(MONTH(E82)-FYStart,12)/3)+1))</f>
        <v>FY2026 Q2</v>
      </c>
      <c r="O82" s="59" t="n">
        <f aca="false">IF(OR(E82="",N(F82)=0),"",G82/F82)</f>
        <v>0.9375</v>
      </c>
      <c r="P82" s="60" t="n">
        <f aca="false">IF(E82="","",ROUND(N(G82)*N(H82)/60,1))</f>
        <v>22.5</v>
      </c>
      <c r="Q82" s="57" t="str">
        <f aca="false">IF(E82="","",IF(COUNTIFS($C$2:C82,C82,$E$2:E82,E82,$B$2:B82,B82)&gt;1,"No","Yes"))</f>
        <v>Yes</v>
      </c>
      <c r="R82" s="61" t="str">
        <f aca="false">IF(E82="","",IF(Q82="No","Duplicate of an earlier response",IF(L82="Not on SITES","Site not on SITES",IF(N(G82)&gt;N(F82),"Present is more than enrolled",IF(OR(I82&lt;1,I82&gt;5),"Score outside 1 to 5","")))))</f>
        <v/>
      </c>
    </row>
    <row r="83" customFormat="false" ht="15" hidden="false" customHeight="false" outlineLevel="0" collapsed="false">
      <c r="A83" s="52" t="n">
        <v>45931.8418402778</v>
      </c>
      <c r="B83" s="53" t="s">
        <v>111</v>
      </c>
      <c r="C83" s="53" t="s">
        <v>112</v>
      </c>
      <c r="D83" s="53" t="s">
        <v>113</v>
      </c>
      <c r="E83" s="54" t="n">
        <v>45931</v>
      </c>
      <c r="F83" s="55" t="n">
        <v>14</v>
      </c>
      <c r="G83" s="55" t="n">
        <v>12</v>
      </c>
      <c r="H83" s="55" t="n">
        <v>75</v>
      </c>
      <c r="I83" s="56" t="n">
        <v>3.2</v>
      </c>
      <c r="J83" s="53" t="s">
        <v>131</v>
      </c>
      <c r="K83" s="53"/>
      <c r="L83" s="57" t="str">
        <f aca="false">IF(C83="","",IFERROR(INDEX(site_ID,MATCH(C83,site_Name,0)),"Not on SITES"))</f>
        <v>LW-120</v>
      </c>
      <c r="M83" s="58" t="n">
        <f aca="false">IF(E83="","",DATE(YEAR(E83),MONTH(E83),1))</f>
        <v>45931</v>
      </c>
      <c r="N83" s="57" t="str">
        <f aca="false">IF(E83="","","FY"&amp;(YEAR(E83)+IF(AND(FYStart&gt;1,MONTH(E83)&gt;=FYStart),1,0))&amp;" Q"&amp;(INT(MOD(MONTH(E83)-FYStart,12)/3)+1))</f>
        <v>FY2026 Q2</v>
      </c>
      <c r="O83" s="59" t="n">
        <f aca="false">IF(OR(E83="",N(F83)=0),"",G83/F83)</f>
        <v>0.857142857142857</v>
      </c>
      <c r="P83" s="60" t="n">
        <f aca="false">IF(E83="","",ROUND(N(G83)*N(H83)/60,1))</f>
        <v>15</v>
      </c>
      <c r="Q83" s="57" t="str">
        <f aca="false">IF(E83="","",IF(COUNTIFS($C$2:C83,C83,$E$2:E83,E83,$B$2:B83,B83)&gt;1,"No","Yes"))</f>
        <v>Yes</v>
      </c>
      <c r="R83" s="61" t="str">
        <f aca="false">IF(E83="","",IF(Q83="No","Duplicate of an earlier response",IF(L83="Not on SITES","Site not on SITES",IF(N(G83)&gt;N(F83),"Present is more than enrolled",IF(OR(I83&lt;1,I83&gt;5),"Score outside 1 to 5","")))))</f>
        <v/>
      </c>
    </row>
    <row r="84" customFormat="false" ht="15" hidden="false" customHeight="false" outlineLevel="0" collapsed="false">
      <c r="A84" s="52" t="n">
        <v>45931.8500462963</v>
      </c>
      <c r="B84" s="53" t="s">
        <v>140</v>
      </c>
      <c r="C84" s="53" t="s">
        <v>141</v>
      </c>
      <c r="D84" s="53" t="s">
        <v>116</v>
      </c>
      <c r="E84" s="54" t="n">
        <v>45931</v>
      </c>
      <c r="F84" s="55" t="n">
        <v>11</v>
      </c>
      <c r="G84" s="55" t="n">
        <v>9</v>
      </c>
      <c r="H84" s="55" t="n">
        <v>75</v>
      </c>
      <c r="I84" s="56" t="n">
        <v>3.8</v>
      </c>
      <c r="J84" s="53" t="s">
        <v>117</v>
      </c>
      <c r="K84" s="53"/>
      <c r="L84" s="57" t="str">
        <f aca="false">IF(C84="","",IFERROR(INDEX(site_ID,MATCH(C84,site_Name,0)),"Not on SITES"))</f>
        <v>LW-118</v>
      </c>
      <c r="M84" s="58" t="n">
        <f aca="false">IF(E84="","",DATE(YEAR(E84),MONTH(E84),1))</f>
        <v>45931</v>
      </c>
      <c r="N84" s="57" t="str">
        <f aca="false">IF(E84="","","FY"&amp;(YEAR(E84)+IF(AND(FYStart&gt;1,MONTH(E84)&gt;=FYStart),1,0))&amp;" Q"&amp;(INT(MOD(MONTH(E84)-FYStart,12)/3)+1))</f>
        <v>FY2026 Q2</v>
      </c>
      <c r="O84" s="59" t="n">
        <f aca="false">IF(OR(E84="",N(F84)=0),"",G84/F84)</f>
        <v>0.818181818181818</v>
      </c>
      <c r="P84" s="60" t="n">
        <f aca="false">IF(E84="","",ROUND(N(G84)*N(H84)/60,1))</f>
        <v>11.3</v>
      </c>
      <c r="Q84" s="57" t="str">
        <f aca="false">IF(E84="","",IF(COUNTIFS($C$2:C84,C84,$E$2:E84,E84,$B$2:B84,B84)&gt;1,"No","Yes"))</f>
        <v>Yes</v>
      </c>
      <c r="R84" s="61" t="str">
        <f aca="false">IF(E84="","",IF(Q84="No","Duplicate of an earlier response",IF(L84="Not on SITES","Site not on SITES",IF(N(G84)&gt;N(F84),"Present is more than enrolled",IF(OR(I84&lt;1,I84&gt;5),"Score outside 1 to 5","")))))</f>
        <v/>
      </c>
    </row>
    <row r="85" customFormat="false" ht="15" hidden="false" customHeight="false" outlineLevel="0" collapsed="false">
      <c r="A85" s="52" t="n">
        <v>45932.6255787037</v>
      </c>
      <c r="B85" s="53" t="s">
        <v>105</v>
      </c>
      <c r="C85" s="53" t="s">
        <v>115</v>
      </c>
      <c r="D85" s="53" t="s">
        <v>116</v>
      </c>
      <c r="E85" s="54" t="n">
        <v>45929</v>
      </c>
      <c r="F85" s="55" t="n">
        <v>16</v>
      </c>
      <c r="G85" s="55" t="n">
        <v>16</v>
      </c>
      <c r="H85" s="55" t="n">
        <v>60</v>
      </c>
      <c r="I85" s="56" t="n">
        <v>3.4</v>
      </c>
      <c r="J85" s="53" t="s">
        <v>117</v>
      </c>
      <c r="K85" s="53"/>
      <c r="L85" s="57" t="str">
        <f aca="false">IF(C85="","",IFERROR(INDEX(site_ID,MATCH(C85,site_Name,0)),"Not on SITES"))</f>
        <v>LW-119</v>
      </c>
      <c r="M85" s="58" t="n">
        <f aca="false">IF(E85="","",DATE(YEAR(E85),MONTH(E85),1))</f>
        <v>45901</v>
      </c>
      <c r="N85" s="57" t="str">
        <f aca="false">IF(E85="","","FY"&amp;(YEAR(E85)+IF(AND(FYStart&gt;1,MONTH(E85)&gt;=FYStart),1,0))&amp;" Q"&amp;(INT(MOD(MONTH(E85)-FYStart,12)/3)+1))</f>
        <v>FY2026 Q1</v>
      </c>
      <c r="O85" s="59" t="n">
        <f aca="false">IF(OR(E85="",N(F85)=0),"",G85/F85)</f>
        <v>1</v>
      </c>
      <c r="P85" s="60" t="n">
        <f aca="false">IF(E85="","",ROUND(N(G85)*N(H85)/60,1))</f>
        <v>16</v>
      </c>
      <c r="Q85" s="57" t="str">
        <f aca="false">IF(E85="","",IF(COUNTIFS($C$2:C85,C85,$E$2:E85,E85,$B$2:B85,B85)&gt;1,"No","Yes"))</f>
        <v>Yes</v>
      </c>
      <c r="R85" s="61" t="str">
        <f aca="false">IF(E85="","",IF(Q85="No","Duplicate of an earlier response",IF(L85="Not on SITES","Site not on SITES",IF(N(G85)&gt;N(F85),"Present is more than enrolled",IF(OR(I85&lt;1,I85&gt;5),"Score outside 1 to 5","")))))</f>
        <v/>
      </c>
    </row>
    <row r="86" customFormat="false" ht="15" hidden="false" customHeight="false" outlineLevel="0" collapsed="false">
      <c r="A86" s="52" t="n">
        <v>45932.7075231482</v>
      </c>
      <c r="B86" s="53" t="s">
        <v>111</v>
      </c>
      <c r="C86" s="53" t="s">
        <v>148</v>
      </c>
      <c r="D86" s="53" t="s">
        <v>116</v>
      </c>
      <c r="E86" s="54" t="n">
        <v>45932</v>
      </c>
      <c r="F86" s="55" t="n">
        <v>16</v>
      </c>
      <c r="G86" s="55" t="n">
        <v>12</v>
      </c>
      <c r="H86" s="55" t="n">
        <v>60</v>
      </c>
      <c r="I86" s="56" t="n">
        <v>3.2</v>
      </c>
      <c r="J86" s="53" t="s">
        <v>117</v>
      </c>
      <c r="K86" s="53"/>
      <c r="L86" s="57" t="str">
        <f aca="false">IF(C86="","",IFERROR(INDEX(site_ID,MATCH(C86,site_Name,0)),"Not on SITES"))</f>
        <v>LW-104</v>
      </c>
      <c r="M86" s="58" t="n">
        <f aca="false">IF(E86="","",DATE(YEAR(E86),MONTH(E86),1))</f>
        <v>45931</v>
      </c>
      <c r="N86" s="57" t="str">
        <f aca="false">IF(E86="","","FY"&amp;(YEAR(E86)+IF(AND(FYStart&gt;1,MONTH(E86)&gt;=FYStart),1,0))&amp;" Q"&amp;(INT(MOD(MONTH(E86)-FYStart,12)/3)+1))</f>
        <v>FY2026 Q2</v>
      </c>
      <c r="O86" s="59" t="n">
        <f aca="false">IF(OR(E86="",N(F86)=0),"",G86/F86)</f>
        <v>0.75</v>
      </c>
      <c r="P86" s="60" t="n">
        <f aca="false">IF(E86="","",ROUND(N(G86)*N(H86)/60,1))</f>
        <v>12</v>
      </c>
      <c r="Q86" s="57" t="str">
        <f aca="false">IF(E86="","",IF(COUNTIFS($C$2:C86,C86,$E$2:E86,E86,$B$2:B86,B86)&gt;1,"No","Yes"))</f>
        <v>Yes</v>
      </c>
      <c r="R86" s="61" t="str">
        <f aca="false">IF(E86="","",IF(Q86="No","Duplicate of an earlier response",IF(L86="Not on SITES","Site not on SITES",IF(N(G86)&gt;N(F86),"Present is more than enrolled",IF(OR(I86&lt;1,I86&gt;5),"Score outside 1 to 5","")))))</f>
        <v/>
      </c>
    </row>
    <row r="87" customFormat="false" ht="15" hidden="false" customHeight="false" outlineLevel="0" collapsed="false">
      <c r="A87" s="52" t="n">
        <v>45932.7190162037</v>
      </c>
      <c r="B87" s="53" t="s">
        <v>132</v>
      </c>
      <c r="C87" s="53" t="s">
        <v>150</v>
      </c>
      <c r="D87" s="53" t="s">
        <v>138</v>
      </c>
      <c r="E87" s="54" t="n">
        <v>45932</v>
      </c>
      <c r="F87" s="55" t="n">
        <v>20</v>
      </c>
      <c r="G87" s="55" t="n">
        <v>19</v>
      </c>
      <c r="H87" s="55" t="n">
        <v>90</v>
      </c>
      <c r="I87" s="56" t="n">
        <v>3.5</v>
      </c>
      <c r="J87" s="53" t="s">
        <v>163</v>
      </c>
      <c r="K87" s="53"/>
      <c r="L87" s="57" t="str">
        <f aca="false">IF(C87="","",IFERROR(INDEX(site_ID,MATCH(C87,site_Name,0)),"Not on SITES"))</f>
        <v>LW-117</v>
      </c>
      <c r="M87" s="58" t="n">
        <f aca="false">IF(E87="","",DATE(YEAR(E87),MONTH(E87),1))</f>
        <v>45931</v>
      </c>
      <c r="N87" s="57" t="str">
        <f aca="false">IF(E87="","","FY"&amp;(YEAR(E87)+IF(AND(FYStart&gt;1,MONTH(E87)&gt;=FYStart),1,0))&amp;" Q"&amp;(INT(MOD(MONTH(E87)-FYStart,12)/3)+1))</f>
        <v>FY2026 Q2</v>
      </c>
      <c r="O87" s="59" t="n">
        <f aca="false">IF(OR(E87="",N(F87)=0),"",G87/F87)</f>
        <v>0.95</v>
      </c>
      <c r="P87" s="60" t="n">
        <f aca="false">IF(E87="","",ROUND(N(G87)*N(H87)/60,1))</f>
        <v>28.5</v>
      </c>
      <c r="Q87" s="57" t="str">
        <f aca="false">IF(E87="","",IF(COUNTIFS($C$2:C87,C87,$E$2:E87,E87,$B$2:B87,B87)&gt;1,"No","Yes"))</f>
        <v>Yes</v>
      </c>
      <c r="R87" s="61" t="str">
        <f aca="false">IF(E87="","",IF(Q87="No","Duplicate of an earlier response",IF(L87="Not on SITES","Site not on SITES",IF(N(G87)&gt;N(F87),"Present is more than enrolled",IF(OR(I87&lt;1,I87&gt;5),"Score outside 1 to 5","")))))</f>
        <v/>
      </c>
    </row>
    <row r="88" customFormat="false" ht="15" hidden="false" customHeight="false" outlineLevel="0" collapsed="false">
      <c r="A88" s="52" t="n">
        <v>45932.7570486111</v>
      </c>
      <c r="B88" s="53" t="s">
        <v>140</v>
      </c>
      <c r="C88" s="53" t="s">
        <v>151</v>
      </c>
      <c r="D88" s="53" t="s">
        <v>138</v>
      </c>
      <c r="E88" s="54" t="n">
        <v>45932</v>
      </c>
      <c r="F88" s="55" t="n">
        <v>14</v>
      </c>
      <c r="G88" s="55" t="n">
        <v>12</v>
      </c>
      <c r="H88" s="55" t="n">
        <v>90</v>
      </c>
      <c r="I88" s="56" t="n">
        <v>3.5</v>
      </c>
      <c r="J88" s="53" t="s">
        <v>152</v>
      </c>
      <c r="K88" s="53"/>
      <c r="L88" s="57" t="str">
        <f aca="false">IF(C88="","",IFERROR(INDEX(site_ID,MATCH(C88,site_Name,0)),"Not on SITES"))</f>
        <v>LW-110</v>
      </c>
      <c r="M88" s="58" t="n">
        <f aca="false">IF(E88="","",DATE(YEAR(E88),MONTH(E88),1))</f>
        <v>45931</v>
      </c>
      <c r="N88" s="57" t="str">
        <f aca="false">IF(E88="","","FY"&amp;(YEAR(E88)+IF(AND(FYStart&gt;1,MONTH(E88)&gt;=FYStart),1,0))&amp;" Q"&amp;(INT(MOD(MONTH(E88)-FYStart,12)/3)+1))</f>
        <v>FY2026 Q2</v>
      </c>
      <c r="O88" s="59" t="n">
        <f aca="false">IF(OR(E88="",N(F88)=0),"",G88/F88)</f>
        <v>0.857142857142857</v>
      </c>
      <c r="P88" s="60" t="n">
        <f aca="false">IF(E88="","",ROUND(N(G88)*N(H88)/60,1))</f>
        <v>18</v>
      </c>
      <c r="Q88" s="57" t="str">
        <f aca="false">IF(E88="","",IF(COUNTIFS($C$2:C88,C88,$E$2:E88,E88,$B$2:B88,B88)&gt;1,"No","Yes"))</f>
        <v>Yes</v>
      </c>
      <c r="R88" s="61" t="str">
        <f aca="false">IF(E88="","",IF(Q88="No","Duplicate of an earlier response",IF(L88="Not on SITES","Site not on SITES",IF(N(G88)&gt;N(F88),"Present is more than enrolled",IF(OR(I88&lt;1,I88&gt;5),"Score outside 1 to 5","")))))</f>
        <v/>
      </c>
    </row>
    <row r="89" customFormat="false" ht="15" hidden="false" customHeight="false" outlineLevel="0" collapsed="false">
      <c r="A89" s="52" t="n">
        <v>45932.7769444444</v>
      </c>
      <c r="B89" s="53" t="s">
        <v>121</v>
      </c>
      <c r="C89" s="53" t="s">
        <v>127</v>
      </c>
      <c r="D89" s="53" t="s">
        <v>107</v>
      </c>
      <c r="E89" s="54" t="n">
        <v>45930</v>
      </c>
      <c r="F89" s="55" t="n">
        <v>16</v>
      </c>
      <c r="G89" s="55" t="n">
        <v>14</v>
      </c>
      <c r="H89" s="55" t="n">
        <v>60</v>
      </c>
      <c r="I89" s="56" t="n">
        <v>3.6</v>
      </c>
      <c r="J89" s="53" t="s">
        <v>156</v>
      </c>
      <c r="K89" s="53"/>
      <c r="L89" s="57" t="str">
        <f aca="false">IF(C89="","",IFERROR(INDEX(site_ID,MATCH(C89,site_Name,0)),"Not on SITES"))</f>
        <v>LW-108</v>
      </c>
      <c r="M89" s="58" t="n">
        <f aca="false">IF(E89="","",DATE(YEAR(E89),MONTH(E89),1))</f>
        <v>45901</v>
      </c>
      <c r="N89" s="57" t="str">
        <f aca="false">IF(E89="","","FY"&amp;(YEAR(E89)+IF(AND(FYStart&gt;1,MONTH(E89)&gt;=FYStart),1,0))&amp;" Q"&amp;(INT(MOD(MONTH(E89)-FYStart,12)/3)+1))</f>
        <v>FY2026 Q1</v>
      </c>
      <c r="O89" s="59" t="n">
        <f aca="false">IF(OR(E89="",N(F89)=0),"",G89/F89)</f>
        <v>0.875</v>
      </c>
      <c r="P89" s="60" t="n">
        <f aca="false">IF(E89="","",ROUND(N(G89)*N(H89)/60,1))</f>
        <v>14</v>
      </c>
      <c r="Q89" s="57" t="str">
        <f aca="false">IF(E89="","",IF(COUNTIFS($C$2:C89,C89,$E$2:E89,E89,$B$2:B89,B89)&gt;1,"No","Yes"))</f>
        <v>Yes</v>
      </c>
      <c r="R89" s="61" t="str">
        <f aca="false">IF(E89="","",IF(Q89="No","Duplicate of an earlier response",IF(L89="Not on SITES","Site not on SITES",IF(N(G89)&gt;N(F89),"Present is more than enrolled",IF(OR(I89&lt;1,I89&gt;5),"Score outside 1 to 5","")))))</f>
        <v/>
      </c>
    </row>
    <row r="90" customFormat="false" ht="15" hidden="false" customHeight="false" outlineLevel="0" collapsed="false">
      <c r="A90" s="52" t="n">
        <v>45932.783912037</v>
      </c>
      <c r="B90" s="53" t="s">
        <v>132</v>
      </c>
      <c r="C90" s="53" t="s">
        <v>145</v>
      </c>
      <c r="D90" s="53" t="s">
        <v>119</v>
      </c>
      <c r="E90" s="54" t="n">
        <v>45931</v>
      </c>
      <c r="F90" s="55" t="n">
        <v>18</v>
      </c>
      <c r="G90" s="55" t="n">
        <v>15</v>
      </c>
      <c r="H90" s="55" t="n">
        <v>60</v>
      </c>
      <c r="I90" s="56" t="n">
        <v>3.4</v>
      </c>
      <c r="J90" s="53" t="s">
        <v>162</v>
      </c>
      <c r="K90" s="53"/>
      <c r="L90" s="57" t="str">
        <f aca="false">IF(C90="","",IFERROR(INDEX(site_ID,MATCH(C90,site_Name,0)),"Not on SITES"))</f>
        <v>LW-101</v>
      </c>
      <c r="M90" s="58" t="n">
        <f aca="false">IF(E90="","",DATE(YEAR(E90),MONTH(E90),1))</f>
        <v>45931</v>
      </c>
      <c r="N90" s="57" t="str">
        <f aca="false">IF(E90="","","FY"&amp;(YEAR(E90)+IF(AND(FYStart&gt;1,MONTH(E90)&gt;=FYStart),1,0))&amp;" Q"&amp;(INT(MOD(MONTH(E90)-FYStart,12)/3)+1))</f>
        <v>FY2026 Q2</v>
      </c>
      <c r="O90" s="59" t="n">
        <f aca="false">IF(OR(E90="",N(F90)=0),"",G90/F90)</f>
        <v>0.833333333333333</v>
      </c>
      <c r="P90" s="60" t="n">
        <f aca="false">IF(E90="","",ROUND(N(G90)*N(H90)/60,1))</f>
        <v>15</v>
      </c>
      <c r="Q90" s="57" t="str">
        <f aca="false">IF(E90="","",IF(COUNTIFS($C$2:C90,C90,$E$2:E90,E90,$B$2:B90,B90)&gt;1,"No","Yes"))</f>
        <v>Yes</v>
      </c>
      <c r="R90" s="61" t="str">
        <f aca="false">IF(E90="","",IF(Q90="No","Duplicate of an earlier response",IF(L90="Not on SITES","Site not on SITES",IF(N(G90)&gt;N(F90),"Present is more than enrolled",IF(OR(I90&lt;1,I90&gt;5),"Score outside 1 to 5","")))))</f>
        <v/>
      </c>
    </row>
    <row r="91" customFormat="false" ht="15" hidden="false" customHeight="false" outlineLevel="0" collapsed="false">
      <c r="A91" s="52" t="n">
        <v>45932.8294560185</v>
      </c>
      <c r="B91" s="53" t="s">
        <v>121</v>
      </c>
      <c r="C91" s="53" t="s">
        <v>122</v>
      </c>
      <c r="D91" s="53" t="s">
        <v>116</v>
      </c>
      <c r="E91" s="54" t="n">
        <v>45932</v>
      </c>
      <c r="F91" s="55" t="n">
        <v>15</v>
      </c>
      <c r="G91" s="55" t="n">
        <v>12</v>
      </c>
      <c r="H91" s="55" t="n">
        <v>60</v>
      </c>
      <c r="I91" s="56" t="n">
        <v>3</v>
      </c>
      <c r="J91" s="53" t="s">
        <v>153</v>
      </c>
      <c r="K91" s="53"/>
      <c r="L91" s="57" t="str">
        <f aca="false">IF(C91="","",IFERROR(INDEX(site_ID,MATCH(C91,site_Name,0)),"Not on SITES"))</f>
        <v>LW-116</v>
      </c>
      <c r="M91" s="58" t="n">
        <f aca="false">IF(E91="","",DATE(YEAR(E91),MONTH(E91),1))</f>
        <v>45931</v>
      </c>
      <c r="N91" s="57" t="str">
        <f aca="false">IF(E91="","","FY"&amp;(YEAR(E91)+IF(AND(FYStart&gt;1,MONTH(E91)&gt;=FYStart),1,0))&amp;" Q"&amp;(INT(MOD(MONTH(E91)-FYStart,12)/3)+1))</f>
        <v>FY2026 Q2</v>
      </c>
      <c r="O91" s="59" t="n">
        <f aca="false">IF(OR(E91="",N(F91)=0),"",G91/F91)</f>
        <v>0.8</v>
      </c>
      <c r="P91" s="60" t="n">
        <f aca="false">IF(E91="","",ROUND(N(G91)*N(H91)/60,1))</f>
        <v>12</v>
      </c>
      <c r="Q91" s="57" t="str">
        <f aca="false">IF(E91="","",IF(COUNTIFS($C$2:C91,C91,$E$2:E91,E91,$B$2:B91,B91)&gt;1,"No","Yes"))</f>
        <v>Yes</v>
      </c>
      <c r="R91" s="61" t="str">
        <f aca="false">IF(E91="","",IF(Q91="No","Duplicate of an earlier response",IF(L91="Not on SITES","Site not on SITES",IF(N(G91)&gt;N(F91),"Present is more than enrolled",IF(OR(I91&lt;1,I91&gt;5),"Score outside 1 to 5","")))))</f>
        <v/>
      </c>
    </row>
    <row r="92" customFormat="false" ht="15" hidden="false" customHeight="false" outlineLevel="0" collapsed="false">
      <c r="A92" s="52" t="n">
        <v>45932.8576967593</v>
      </c>
      <c r="B92" s="53" t="s">
        <v>109</v>
      </c>
      <c r="C92" s="53" t="s">
        <v>146</v>
      </c>
      <c r="D92" s="53" t="s">
        <v>138</v>
      </c>
      <c r="E92" s="54" t="n">
        <v>45932</v>
      </c>
      <c r="F92" s="55" t="n">
        <v>13</v>
      </c>
      <c r="G92" s="55" t="n">
        <v>11</v>
      </c>
      <c r="H92" s="55" t="n">
        <v>90</v>
      </c>
      <c r="I92" s="56" t="n">
        <v>3.3</v>
      </c>
      <c r="J92" s="53" t="s">
        <v>164</v>
      </c>
      <c r="K92" s="53"/>
      <c r="L92" s="57" t="str">
        <f aca="false">IF(C92="","",IFERROR(INDEX(site_ID,MATCH(C92,site_Name,0)),"Not on SITES"))</f>
        <v>LW-105</v>
      </c>
      <c r="M92" s="58" t="n">
        <f aca="false">IF(E92="","",DATE(YEAR(E92),MONTH(E92),1))</f>
        <v>45931</v>
      </c>
      <c r="N92" s="57" t="str">
        <f aca="false">IF(E92="","","FY"&amp;(YEAR(E92)+IF(AND(FYStart&gt;1,MONTH(E92)&gt;=FYStart),1,0))&amp;" Q"&amp;(INT(MOD(MONTH(E92)-FYStart,12)/3)+1))</f>
        <v>FY2026 Q2</v>
      </c>
      <c r="O92" s="59" t="n">
        <f aca="false">IF(OR(E92="",N(F92)=0),"",G92/F92)</f>
        <v>0.846153846153846</v>
      </c>
      <c r="P92" s="60" t="n">
        <f aca="false">IF(E92="","",ROUND(N(G92)*N(H92)/60,1))</f>
        <v>16.5</v>
      </c>
      <c r="Q92" s="57" t="str">
        <f aca="false">IF(E92="","",IF(COUNTIFS($C$2:C92,C92,$E$2:E92,E92,$B$2:B92,B92)&gt;1,"No","Yes"))</f>
        <v>Yes</v>
      </c>
      <c r="R92" s="61" t="str">
        <f aca="false">IF(E92="","",IF(Q92="No","Duplicate of an earlier response",IF(L92="Not on SITES","Site not on SITES",IF(N(G92)&gt;N(F92),"Present is more than enrolled",IF(OR(I92&lt;1,I92&gt;5),"Score outside 1 to 5","")))))</f>
        <v/>
      </c>
    </row>
    <row r="93" customFormat="false" ht="15" hidden="false" customHeight="false" outlineLevel="0" collapsed="false">
      <c r="A93" s="52" t="n">
        <v>45933.6885416667</v>
      </c>
      <c r="B93" s="53" t="s">
        <v>140</v>
      </c>
      <c r="C93" s="53" t="s">
        <v>141</v>
      </c>
      <c r="D93" s="53" t="s">
        <v>116</v>
      </c>
      <c r="E93" s="54" t="n">
        <v>45933</v>
      </c>
      <c r="F93" s="55" t="n">
        <v>11</v>
      </c>
      <c r="G93" s="55" t="n">
        <v>10</v>
      </c>
      <c r="H93" s="55" t="n">
        <v>60</v>
      </c>
      <c r="I93" s="56" t="n">
        <v>3.6</v>
      </c>
      <c r="J93" s="53" t="s">
        <v>117</v>
      </c>
      <c r="K93" s="53"/>
      <c r="L93" s="57" t="str">
        <f aca="false">IF(C93="","",IFERROR(INDEX(site_ID,MATCH(C93,site_Name,0)),"Not on SITES"))</f>
        <v>LW-118</v>
      </c>
      <c r="M93" s="58" t="n">
        <f aca="false">IF(E93="","",DATE(YEAR(E93),MONTH(E93),1))</f>
        <v>45931</v>
      </c>
      <c r="N93" s="57" t="str">
        <f aca="false">IF(E93="","","FY"&amp;(YEAR(E93)+IF(AND(FYStart&gt;1,MONTH(E93)&gt;=FYStart),1,0))&amp;" Q"&amp;(INT(MOD(MONTH(E93)-FYStart,12)/3)+1))</f>
        <v>FY2026 Q2</v>
      </c>
      <c r="O93" s="59" t="n">
        <f aca="false">IF(OR(E93="",N(F93)=0),"",G93/F93)</f>
        <v>0.909090909090909</v>
      </c>
      <c r="P93" s="60" t="n">
        <f aca="false">IF(E93="","",ROUND(N(G93)*N(H93)/60,1))</f>
        <v>10</v>
      </c>
      <c r="Q93" s="57" t="str">
        <f aca="false">IF(E93="","",IF(COUNTIFS($C$2:C93,C93,$E$2:E93,E93,$B$2:B93,B93)&gt;1,"No","Yes"))</f>
        <v>Yes</v>
      </c>
      <c r="R93" s="61" t="str">
        <f aca="false">IF(E93="","",IF(Q93="No","Duplicate of an earlier response",IF(L93="Not on SITES","Site not on SITES",IF(N(G93)&gt;N(F93),"Present is more than enrolled",IF(OR(I93&lt;1,I93&gt;5),"Score outside 1 to 5","")))))</f>
        <v/>
      </c>
    </row>
    <row r="94" customFormat="false" ht="15" hidden="false" customHeight="false" outlineLevel="0" collapsed="false">
      <c r="A94" s="52" t="n">
        <v>45933.8393865741</v>
      </c>
      <c r="B94" s="53" t="s">
        <v>129</v>
      </c>
      <c r="C94" s="53" t="s">
        <v>130</v>
      </c>
      <c r="D94" s="53" t="s">
        <v>113</v>
      </c>
      <c r="E94" s="54" t="n">
        <v>45930</v>
      </c>
      <c r="F94" s="55" t="n">
        <v>17</v>
      </c>
      <c r="G94" s="55" t="n">
        <v>16</v>
      </c>
      <c r="H94" s="55" t="n">
        <v>60</v>
      </c>
      <c r="I94" s="56" t="n">
        <v>3</v>
      </c>
      <c r="J94" s="53" t="s">
        <v>136</v>
      </c>
      <c r="K94" s="53"/>
      <c r="L94" s="57" t="str">
        <f aca="false">IF(C94="","",IFERROR(INDEX(site_ID,MATCH(C94,site_Name,0)),"Not on SITES"))</f>
        <v>LW-107</v>
      </c>
      <c r="M94" s="58" t="n">
        <f aca="false">IF(E94="","",DATE(YEAR(E94),MONTH(E94),1))</f>
        <v>45901</v>
      </c>
      <c r="N94" s="57" t="str">
        <f aca="false">IF(E94="","","FY"&amp;(YEAR(E94)+IF(AND(FYStart&gt;1,MONTH(E94)&gt;=FYStart),1,0))&amp;" Q"&amp;(INT(MOD(MONTH(E94)-FYStart,12)/3)+1))</f>
        <v>FY2026 Q1</v>
      </c>
      <c r="O94" s="59" t="n">
        <f aca="false">IF(OR(E94="",N(F94)=0),"",G94/F94)</f>
        <v>0.941176470588235</v>
      </c>
      <c r="P94" s="60" t="n">
        <f aca="false">IF(E94="","",ROUND(N(G94)*N(H94)/60,1))</f>
        <v>16</v>
      </c>
      <c r="Q94" s="57" t="str">
        <f aca="false">IF(E94="","",IF(COUNTIFS($C$2:C94,C94,$E$2:E94,E94,$B$2:B94,B94)&gt;1,"No","Yes"))</f>
        <v>Yes</v>
      </c>
      <c r="R94" s="61" t="str">
        <f aca="false">IF(E94="","",IF(Q94="No","Duplicate of an earlier response",IF(L94="Not on SITES","Site not on SITES",IF(N(G94)&gt;N(F94),"Present is more than enrolled",IF(OR(I94&lt;1,I94&gt;5),"Score outside 1 to 5","")))))</f>
        <v/>
      </c>
    </row>
    <row r="95" customFormat="false" ht="15" hidden="false" customHeight="false" outlineLevel="0" collapsed="false">
      <c r="A95" s="52" t="n">
        <v>45936.775787037</v>
      </c>
      <c r="B95" s="53" t="s">
        <v>105</v>
      </c>
      <c r="C95" s="53" t="s">
        <v>106</v>
      </c>
      <c r="D95" s="53" t="s">
        <v>107</v>
      </c>
      <c r="E95" s="54" t="n">
        <v>45936</v>
      </c>
      <c r="F95" s="55" t="n">
        <v>16</v>
      </c>
      <c r="G95" s="55" t="n">
        <v>14</v>
      </c>
      <c r="H95" s="55" t="n">
        <v>60</v>
      </c>
      <c r="I95" s="56" t="n">
        <v>3.6</v>
      </c>
      <c r="J95" s="53" t="s">
        <v>155</v>
      </c>
      <c r="K95" s="53"/>
      <c r="L95" s="57" t="str">
        <f aca="false">IF(C95="","",IFERROR(INDEX(site_ID,MATCH(C95,site_Name,0)),"Not on SITES"))</f>
        <v>LW-103</v>
      </c>
      <c r="M95" s="58" t="n">
        <f aca="false">IF(E95="","",DATE(YEAR(E95),MONTH(E95),1))</f>
        <v>45931</v>
      </c>
      <c r="N95" s="57" t="str">
        <f aca="false">IF(E95="","","FY"&amp;(YEAR(E95)+IF(AND(FYStart&gt;1,MONTH(E95)&gt;=FYStart),1,0))&amp;" Q"&amp;(INT(MOD(MONTH(E95)-FYStart,12)/3)+1))</f>
        <v>FY2026 Q2</v>
      </c>
      <c r="O95" s="59" t="n">
        <f aca="false">IF(OR(E95="",N(F95)=0),"",G95/F95)</f>
        <v>0.875</v>
      </c>
      <c r="P95" s="60" t="n">
        <f aca="false">IF(E95="","",ROUND(N(G95)*N(H95)/60,1))</f>
        <v>14</v>
      </c>
      <c r="Q95" s="57" t="str">
        <f aca="false">IF(E95="","",IF(COUNTIFS($C$2:C95,C95,$E$2:E95,E95,$B$2:B95,B95)&gt;1,"No","Yes"))</f>
        <v>Yes</v>
      </c>
      <c r="R95" s="61" t="str">
        <f aca="false">IF(E95="","",IF(Q95="No","Duplicate of an earlier response",IF(L95="Not on SITES","Site not on SITES",IF(N(G95)&gt;N(F95),"Present is more than enrolled",IF(OR(I95&lt;1,I95&gt;5),"Score outside 1 to 5","")))))</f>
        <v/>
      </c>
    </row>
    <row r="96" customFormat="false" ht="15" hidden="false" customHeight="false" outlineLevel="0" collapsed="false">
      <c r="A96" s="52" t="n">
        <v>45936.8024074074</v>
      </c>
      <c r="B96" s="53" t="s">
        <v>105</v>
      </c>
      <c r="C96" s="53" t="s">
        <v>118</v>
      </c>
      <c r="D96" s="53" t="s">
        <v>119</v>
      </c>
      <c r="E96" s="54" t="n">
        <v>45936</v>
      </c>
      <c r="F96" s="55" t="n">
        <v>20</v>
      </c>
      <c r="G96" s="55" t="n">
        <v>16</v>
      </c>
      <c r="H96" s="55" t="n">
        <v>90</v>
      </c>
      <c r="I96" s="56" t="n">
        <v>3.3</v>
      </c>
      <c r="J96" s="53" t="s">
        <v>144</v>
      </c>
      <c r="K96" s="53"/>
      <c r="L96" s="57" t="str">
        <f aca="false">IF(C96="","",IFERROR(INDEX(site_ID,MATCH(C96,site_Name,0)),"Not on SITES"))</f>
        <v>LW-111</v>
      </c>
      <c r="M96" s="58" t="n">
        <f aca="false">IF(E96="","",DATE(YEAR(E96),MONTH(E96),1))</f>
        <v>45931</v>
      </c>
      <c r="N96" s="57" t="str">
        <f aca="false">IF(E96="","","FY"&amp;(YEAR(E96)+IF(AND(FYStart&gt;1,MONTH(E96)&gt;=FYStart),1,0))&amp;" Q"&amp;(INT(MOD(MONTH(E96)-FYStart,12)/3)+1))</f>
        <v>FY2026 Q2</v>
      </c>
      <c r="O96" s="59" t="n">
        <f aca="false">IF(OR(E96="",N(F96)=0),"",G96/F96)</f>
        <v>0.8</v>
      </c>
      <c r="P96" s="60" t="n">
        <f aca="false">IF(E96="","",ROUND(N(G96)*N(H96)/60,1))</f>
        <v>24</v>
      </c>
      <c r="Q96" s="57" t="str">
        <f aca="false">IF(E96="","",IF(COUNTIFS($C$2:C96,C96,$E$2:E96,E96,$B$2:B96,B96)&gt;1,"No","Yes"))</f>
        <v>Yes</v>
      </c>
      <c r="R96" s="61" t="str">
        <f aca="false">IF(E96="","",IF(Q96="No","Duplicate of an earlier response",IF(L96="Not on SITES","Site not on SITES",IF(N(G96)&gt;N(F96),"Present is more than enrolled",IF(OR(I96&lt;1,I96&gt;5),"Score outside 1 to 5","")))))</f>
        <v/>
      </c>
    </row>
    <row r="97" customFormat="false" ht="15" hidden="false" customHeight="false" outlineLevel="0" collapsed="false">
      <c r="A97" s="52" t="n">
        <v>45936.804375</v>
      </c>
      <c r="B97" s="53" t="s">
        <v>109</v>
      </c>
      <c r="C97" s="53" t="s">
        <v>110</v>
      </c>
      <c r="D97" s="53" t="s">
        <v>107</v>
      </c>
      <c r="E97" s="54" t="n">
        <v>45936</v>
      </c>
      <c r="F97" s="55" t="n">
        <v>20</v>
      </c>
      <c r="G97" s="55" t="n">
        <v>16</v>
      </c>
      <c r="H97" s="55" t="n">
        <v>60</v>
      </c>
      <c r="I97" s="56" t="n">
        <v>3.8</v>
      </c>
      <c r="J97" s="53" t="s">
        <v>166</v>
      </c>
      <c r="K97" s="53"/>
      <c r="L97" s="57" t="str">
        <f aca="false">IF(C97="","",IFERROR(INDEX(site_ID,MATCH(C97,site_Name,0)),"Not on SITES"))</f>
        <v>LW-113</v>
      </c>
      <c r="M97" s="58" t="n">
        <f aca="false">IF(E97="","",DATE(YEAR(E97),MONTH(E97),1))</f>
        <v>45931</v>
      </c>
      <c r="N97" s="57" t="str">
        <f aca="false">IF(E97="","","FY"&amp;(YEAR(E97)+IF(AND(FYStart&gt;1,MONTH(E97)&gt;=FYStart),1,0))&amp;" Q"&amp;(INT(MOD(MONTH(E97)-FYStart,12)/3)+1))</f>
        <v>FY2026 Q2</v>
      </c>
      <c r="O97" s="59" t="n">
        <f aca="false">IF(OR(E97="",N(F97)=0),"",G97/F97)</f>
        <v>0.8</v>
      </c>
      <c r="P97" s="60" t="n">
        <f aca="false">IF(E97="","",ROUND(N(G97)*N(H97)/60,1))</f>
        <v>16</v>
      </c>
      <c r="Q97" s="57" t="str">
        <f aca="false">IF(E97="","",IF(COUNTIFS($C$2:C97,C97,$E$2:E97,E97,$B$2:B97,B97)&gt;1,"No","Yes"))</f>
        <v>Yes</v>
      </c>
      <c r="R97" s="61" t="str">
        <f aca="false">IF(E97="","",IF(Q97="No","Duplicate of an earlier response",IF(L97="Not on SITES","Site not on SITES",IF(N(G97)&gt;N(F97),"Present is more than enrolled",IF(OR(I97&lt;1,I97&gt;5),"Score outside 1 to 5","")))))</f>
        <v/>
      </c>
    </row>
    <row r="98" customFormat="false" ht="15" hidden="false" customHeight="false" outlineLevel="0" collapsed="false">
      <c r="A98" s="52" t="n">
        <v>45936.8449189815</v>
      </c>
      <c r="B98" s="53" t="s">
        <v>111</v>
      </c>
      <c r="C98" s="53" t="s">
        <v>112</v>
      </c>
      <c r="D98" s="53" t="s">
        <v>113</v>
      </c>
      <c r="E98" s="54" t="n">
        <v>45936</v>
      </c>
      <c r="F98" s="55" t="n">
        <v>15</v>
      </c>
      <c r="G98" s="55" t="n">
        <v>13</v>
      </c>
      <c r="H98" s="55" t="n">
        <v>60</v>
      </c>
      <c r="I98" s="56" t="n">
        <v>3.3</v>
      </c>
      <c r="J98" s="53" t="s">
        <v>165</v>
      </c>
      <c r="K98" s="53"/>
      <c r="L98" s="57" t="str">
        <f aca="false">IF(C98="","",IFERROR(INDEX(site_ID,MATCH(C98,site_Name,0)),"Not on SITES"))</f>
        <v>LW-120</v>
      </c>
      <c r="M98" s="58" t="n">
        <f aca="false">IF(E98="","",DATE(YEAR(E98),MONTH(E98),1))</f>
        <v>45931</v>
      </c>
      <c r="N98" s="57" t="str">
        <f aca="false">IF(E98="","","FY"&amp;(YEAR(E98)+IF(AND(FYStart&gt;1,MONTH(E98)&gt;=FYStart),1,0))&amp;" Q"&amp;(INT(MOD(MONTH(E98)-FYStart,12)/3)+1))</f>
        <v>FY2026 Q2</v>
      </c>
      <c r="O98" s="59" t="n">
        <f aca="false">IF(OR(E98="",N(F98)=0),"",G98/F98)</f>
        <v>0.866666666666667</v>
      </c>
      <c r="P98" s="60" t="n">
        <f aca="false">IF(E98="","",ROUND(N(G98)*N(H98)/60,1))</f>
        <v>13</v>
      </c>
      <c r="Q98" s="57" t="str">
        <f aca="false">IF(E98="","",IF(COUNTIFS($C$2:C98,C98,$E$2:E98,E98,$B$2:B98,B98)&gt;1,"No","Yes"))</f>
        <v>Yes</v>
      </c>
      <c r="R98" s="61" t="str">
        <f aca="false">IF(E98="","",IF(Q98="No","Duplicate of an earlier response",IF(L98="Not on SITES","Site not on SITES",IF(N(G98)&gt;N(F98),"Present is more than enrolled",IF(OR(I98&lt;1,I98&gt;5),"Score outside 1 to 5","")))))</f>
        <v/>
      </c>
    </row>
    <row r="99" customFormat="false" ht="15" hidden="false" customHeight="false" outlineLevel="0" collapsed="false">
      <c r="A99" s="52" t="n">
        <v>45937.6831597222</v>
      </c>
      <c r="B99" s="53" t="s">
        <v>132</v>
      </c>
      <c r="C99" s="53" t="s">
        <v>133</v>
      </c>
      <c r="D99" s="53" t="s">
        <v>116</v>
      </c>
      <c r="E99" s="54" t="n">
        <v>45937</v>
      </c>
      <c r="F99" s="55" t="n">
        <v>17</v>
      </c>
      <c r="G99" s="55" t="n">
        <v>15</v>
      </c>
      <c r="H99" s="55" t="n">
        <v>90</v>
      </c>
      <c r="I99" s="56" t="n">
        <v>3.1</v>
      </c>
      <c r="J99" s="53" t="s">
        <v>123</v>
      </c>
      <c r="K99" s="53"/>
      <c r="L99" s="57" t="str">
        <f aca="false">IF(C99="","",IFERROR(INDEX(site_ID,MATCH(C99,site_Name,0)),"Not on SITES"))</f>
        <v>LW-109</v>
      </c>
      <c r="M99" s="58" t="n">
        <f aca="false">IF(E99="","",DATE(YEAR(E99),MONTH(E99),1))</f>
        <v>45931</v>
      </c>
      <c r="N99" s="57" t="str">
        <f aca="false">IF(E99="","","FY"&amp;(YEAR(E99)+IF(AND(FYStart&gt;1,MONTH(E99)&gt;=FYStart),1,0))&amp;" Q"&amp;(INT(MOD(MONTH(E99)-FYStart,12)/3)+1))</f>
        <v>FY2026 Q2</v>
      </c>
      <c r="O99" s="59" t="n">
        <f aca="false">IF(OR(E99="",N(F99)=0),"",G99/F99)</f>
        <v>0.882352941176471</v>
      </c>
      <c r="P99" s="60" t="n">
        <f aca="false">IF(E99="","",ROUND(N(G99)*N(H99)/60,1))</f>
        <v>22.5</v>
      </c>
      <c r="Q99" s="57" t="str">
        <f aca="false">IF(E99="","",IF(COUNTIFS($C$2:C99,C99,$E$2:E99,E99,$B$2:B99,B99)&gt;1,"No","Yes"))</f>
        <v>Yes</v>
      </c>
      <c r="R99" s="61" t="str">
        <f aca="false">IF(E99="","",IF(Q99="No","Duplicate of an earlier response",IF(L99="Not on SITES","Site not on SITES",IF(N(G99)&gt;N(F99),"Present is more than enrolled",IF(OR(I99&lt;1,I99&gt;5),"Score outside 1 to 5","")))))</f>
        <v/>
      </c>
    </row>
    <row r="100" customFormat="false" ht="15" hidden="false" customHeight="false" outlineLevel="0" collapsed="false">
      <c r="A100" s="52" t="n">
        <v>45937.7245717593</v>
      </c>
      <c r="B100" s="53" t="s">
        <v>121</v>
      </c>
      <c r="C100" s="53" t="s">
        <v>122</v>
      </c>
      <c r="D100" s="53" t="s">
        <v>116</v>
      </c>
      <c r="E100" s="54" t="n">
        <v>45937</v>
      </c>
      <c r="F100" s="55" t="n">
        <v>15</v>
      </c>
      <c r="G100" s="55" t="n">
        <v>13</v>
      </c>
      <c r="H100" s="55" t="n">
        <v>90</v>
      </c>
      <c r="I100" s="56" t="n">
        <v>3.1</v>
      </c>
      <c r="J100" s="53" t="s">
        <v>134</v>
      </c>
      <c r="K100" s="53"/>
      <c r="L100" s="57" t="str">
        <f aca="false">IF(C100="","",IFERROR(INDEX(site_ID,MATCH(C100,site_Name,0)),"Not on SITES"))</f>
        <v>LW-116</v>
      </c>
      <c r="M100" s="58" t="n">
        <f aca="false">IF(E100="","",DATE(YEAR(E100),MONTH(E100),1))</f>
        <v>45931</v>
      </c>
      <c r="N100" s="57" t="str">
        <f aca="false">IF(E100="","","FY"&amp;(YEAR(E100)+IF(AND(FYStart&gt;1,MONTH(E100)&gt;=FYStart),1,0))&amp;" Q"&amp;(INT(MOD(MONTH(E100)-FYStart,12)/3)+1))</f>
        <v>FY2026 Q2</v>
      </c>
      <c r="O100" s="59" t="n">
        <f aca="false">IF(OR(E100="",N(F100)=0),"",G100/F100)</f>
        <v>0.866666666666667</v>
      </c>
      <c r="P100" s="60" t="n">
        <f aca="false">IF(E100="","",ROUND(N(G100)*N(H100)/60,1))</f>
        <v>19.5</v>
      </c>
      <c r="Q100" s="57" t="str">
        <f aca="false">IF(E100="","",IF(COUNTIFS($C$2:C100,C100,$E$2:E100,E100,$B$2:B100,B100)&gt;1,"No","Yes"))</f>
        <v>Yes</v>
      </c>
      <c r="R100" s="61" t="str">
        <f aca="false">IF(E100="","",IF(Q100="No","Duplicate of an earlier response",IF(L100="Not on SITES","Site not on SITES",IF(N(G100)&gt;N(F100),"Present is more than enrolled",IF(OR(I100&lt;1,I100&gt;5),"Score outside 1 to 5","")))))</f>
        <v/>
      </c>
    </row>
    <row r="101" customFormat="false" ht="15" hidden="false" customHeight="false" outlineLevel="0" collapsed="false">
      <c r="A101" s="52" t="n">
        <v>45937.7405439815</v>
      </c>
      <c r="B101" s="53" t="s">
        <v>121</v>
      </c>
      <c r="C101" s="53" t="s">
        <v>127</v>
      </c>
      <c r="D101" s="53" t="s">
        <v>107</v>
      </c>
      <c r="E101" s="54" t="n">
        <v>45937</v>
      </c>
      <c r="F101" s="55" t="n">
        <v>16</v>
      </c>
      <c r="G101" s="55" t="n">
        <v>14</v>
      </c>
      <c r="H101" s="55" t="n">
        <v>75</v>
      </c>
      <c r="I101" s="56" t="n">
        <v>3.4</v>
      </c>
      <c r="J101" s="53" t="s">
        <v>128</v>
      </c>
      <c r="K101" s="53"/>
      <c r="L101" s="57" t="str">
        <f aca="false">IF(C101="","",IFERROR(INDEX(site_ID,MATCH(C101,site_Name,0)),"Not on SITES"))</f>
        <v>LW-108</v>
      </c>
      <c r="M101" s="58" t="n">
        <f aca="false">IF(E101="","",DATE(YEAR(E101),MONTH(E101),1))</f>
        <v>45931</v>
      </c>
      <c r="N101" s="57" t="str">
        <f aca="false">IF(E101="","","FY"&amp;(YEAR(E101)+IF(AND(FYStart&gt;1,MONTH(E101)&gt;=FYStart),1,0))&amp;" Q"&amp;(INT(MOD(MONTH(E101)-FYStart,12)/3)+1))</f>
        <v>FY2026 Q2</v>
      </c>
      <c r="O101" s="59" t="n">
        <f aca="false">IF(OR(E101="",N(F101)=0),"",G101/F101)</f>
        <v>0.875</v>
      </c>
      <c r="P101" s="60" t="n">
        <f aca="false">IF(E101="","",ROUND(N(G101)*N(H101)/60,1))</f>
        <v>17.5</v>
      </c>
      <c r="Q101" s="57" t="str">
        <f aca="false">IF(E101="","",IF(COUNTIFS($C$2:C101,C101,$E$2:E101,E101,$B$2:B101,B101)&gt;1,"No","Yes"))</f>
        <v>Yes</v>
      </c>
      <c r="R101" s="61" t="str">
        <f aca="false">IF(E101="","",IF(Q101="No","Duplicate of an earlier response",IF(L101="Not on SITES","Site not on SITES",IF(N(G101)&gt;N(F101),"Present is more than enrolled",IF(OR(I101&lt;1,I101&gt;5),"Score outside 1 to 5","")))))</f>
        <v/>
      </c>
    </row>
    <row r="102" customFormat="false" ht="15" hidden="false" customHeight="false" outlineLevel="0" collapsed="false">
      <c r="A102" s="52" t="n">
        <v>45937.7415972222</v>
      </c>
      <c r="B102" s="53" t="s">
        <v>129</v>
      </c>
      <c r="C102" s="53" t="s">
        <v>130</v>
      </c>
      <c r="D102" s="53" t="s">
        <v>113</v>
      </c>
      <c r="E102" s="54" t="n">
        <v>45937</v>
      </c>
      <c r="F102" s="55" t="n">
        <v>17</v>
      </c>
      <c r="G102" s="55" t="n">
        <v>14</v>
      </c>
      <c r="H102" s="55" t="n">
        <v>90</v>
      </c>
      <c r="I102" s="56" t="n">
        <v>3.1</v>
      </c>
      <c r="J102" s="53" t="s">
        <v>165</v>
      </c>
      <c r="K102" s="53"/>
      <c r="L102" s="57" t="str">
        <f aca="false">IF(C102="","",IFERROR(INDEX(site_ID,MATCH(C102,site_Name,0)),"Not on SITES"))</f>
        <v>LW-107</v>
      </c>
      <c r="M102" s="58" t="n">
        <f aca="false">IF(E102="","",DATE(YEAR(E102),MONTH(E102),1))</f>
        <v>45931</v>
      </c>
      <c r="N102" s="57" t="str">
        <f aca="false">IF(E102="","","FY"&amp;(YEAR(E102)+IF(AND(FYStart&gt;1,MONTH(E102)&gt;=FYStart),1,0))&amp;" Q"&amp;(INT(MOD(MONTH(E102)-FYStart,12)/3)+1))</f>
        <v>FY2026 Q2</v>
      </c>
      <c r="O102" s="59" t="n">
        <f aca="false">IF(OR(E102="",N(F102)=0),"",G102/F102)</f>
        <v>0.823529411764706</v>
      </c>
      <c r="P102" s="60" t="n">
        <f aca="false">IF(E102="","",ROUND(N(G102)*N(H102)/60,1))</f>
        <v>21</v>
      </c>
      <c r="Q102" s="57" t="str">
        <f aca="false">IF(E102="","",IF(COUNTIFS($C$2:C102,C102,$E$2:E102,E102,$B$2:B102,B102)&gt;1,"No","Yes"))</f>
        <v>Yes</v>
      </c>
      <c r="R102" s="61" t="str">
        <f aca="false">IF(E102="","",IF(Q102="No","Duplicate of an earlier response",IF(L102="Not on SITES","Site not on SITES",IF(N(G102)&gt;N(F102),"Present is more than enrolled",IF(OR(I102&lt;1,I102&gt;5),"Score outside 1 to 5","")))))</f>
        <v/>
      </c>
    </row>
    <row r="103" customFormat="false" ht="15" hidden="false" customHeight="false" outlineLevel="0" collapsed="false">
      <c r="A103" s="52" t="n">
        <v>45937.8632291667</v>
      </c>
      <c r="B103" s="53" t="s">
        <v>124</v>
      </c>
      <c r="C103" s="53" t="s">
        <v>125</v>
      </c>
      <c r="D103" s="53" t="s">
        <v>119</v>
      </c>
      <c r="E103" s="54" t="n">
        <v>45937</v>
      </c>
      <c r="F103" s="55" t="n">
        <v>16</v>
      </c>
      <c r="G103" s="55" t="n">
        <v>13</v>
      </c>
      <c r="H103" s="55" t="n">
        <v>60</v>
      </c>
      <c r="I103" s="56" t="n">
        <v>2.7</v>
      </c>
      <c r="J103" s="53" t="s">
        <v>120</v>
      </c>
      <c r="K103" s="53"/>
      <c r="L103" s="57" t="str">
        <f aca="false">IF(C103="","",IFERROR(INDEX(site_ID,MATCH(C103,site_Name,0)),"Not on SITES"))</f>
        <v>LW-106</v>
      </c>
      <c r="M103" s="58" t="n">
        <f aca="false">IF(E103="","",DATE(YEAR(E103),MONTH(E103),1))</f>
        <v>45931</v>
      </c>
      <c r="N103" s="57" t="str">
        <f aca="false">IF(E103="","","FY"&amp;(YEAR(E103)+IF(AND(FYStart&gt;1,MONTH(E103)&gt;=FYStart),1,0))&amp;" Q"&amp;(INT(MOD(MONTH(E103)-FYStart,12)/3)+1))</f>
        <v>FY2026 Q2</v>
      </c>
      <c r="O103" s="59" t="n">
        <f aca="false">IF(OR(E103="",N(F103)=0),"",G103/F103)</f>
        <v>0.8125</v>
      </c>
      <c r="P103" s="60" t="n">
        <f aca="false">IF(E103="","",ROUND(N(G103)*N(H103)/60,1))</f>
        <v>13</v>
      </c>
      <c r="Q103" s="57" t="str">
        <f aca="false">IF(E103="","",IF(COUNTIFS($C$2:C103,C103,$E$2:E103,E103,$B$2:B103,B103)&gt;1,"No","Yes"))</f>
        <v>Yes</v>
      </c>
      <c r="R103" s="61" t="str">
        <f aca="false">IF(E103="","",IF(Q103="No","Duplicate of an earlier response",IF(L103="Not on SITES","Site not on SITES",IF(N(G103)&gt;N(F103),"Present is more than enrolled",IF(OR(I103&lt;1,I103&gt;5),"Score outside 1 to 5","")))))</f>
        <v/>
      </c>
    </row>
    <row r="104" customFormat="false" ht="15" hidden="false" customHeight="false" outlineLevel="0" collapsed="false">
      <c r="A104" s="52" t="n">
        <v>45938.6855439815</v>
      </c>
      <c r="B104" s="53" t="s">
        <v>140</v>
      </c>
      <c r="C104" s="53" t="s">
        <v>142</v>
      </c>
      <c r="D104" s="53" t="s">
        <v>113</v>
      </c>
      <c r="E104" s="54" t="n">
        <v>45938</v>
      </c>
      <c r="F104" s="55" t="n">
        <v>17</v>
      </c>
      <c r="G104" s="55" t="n">
        <v>16</v>
      </c>
      <c r="H104" s="55" t="n">
        <v>60</v>
      </c>
      <c r="I104" s="56" t="n">
        <v>3</v>
      </c>
      <c r="J104" s="53" t="s">
        <v>131</v>
      </c>
      <c r="K104" s="53"/>
      <c r="L104" s="57" t="str">
        <f aca="false">IF(C104="","",IFERROR(INDEX(site_ID,MATCH(C104,site_Name,0)),"Not on SITES"))</f>
        <v>LW-102</v>
      </c>
      <c r="M104" s="58" t="n">
        <f aca="false">IF(E104="","",DATE(YEAR(E104),MONTH(E104),1))</f>
        <v>45931</v>
      </c>
      <c r="N104" s="57" t="str">
        <f aca="false">IF(E104="","","FY"&amp;(YEAR(E104)+IF(AND(FYStart&gt;1,MONTH(E104)&gt;=FYStart),1,0))&amp;" Q"&amp;(INT(MOD(MONTH(E104)-FYStart,12)/3)+1))</f>
        <v>FY2026 Q2</v>
      </c>
      <c r="O104" s="59" t="n">
        <f aca="false">IF(OR(E104="",N(F104)=0),"",G104/F104)</f>
        <v>0.941176470588235</v>
      </c>
      <c r="P104" s="60" t="n">
        <f aca="false">IF(E104="","",ROUND(N(G104)*N(H104)/60,1))</f>
        <v>16</v>
      </c>
      <c r="Q104" s="57" t="str">
        <f aca="false">IF(E104="","",IF(COUNTIFS($C$2:C104,C104,$E$2:E104,E104,$B$2:B104,B104)&gt;1,"No","Yes"))</f>
        <v>Yes</v>
      </c>
      <c r="R104" s="61" t="str">
        <f aca="false">IF(E104="","",IF(Q104="No","Duplicate of an earlier response",IF(L104="Not on SITES","Site not on SITES",IF(N(G104)&gt;N(F104),"Present is more than enrolled",IF(OR(I104&lt;1,I104&gt;5),"Score outside 1 to 5","")))))</f>
        <v/>
      </c>
    </row>
    <row r="105" customFormat="false" ht="15" hidden="false" customHeight="false" outlineLevel="0" collapsed="false">
      <c r="A105" s="52" t="n">
        <v>45938.713287037</v>
      </c>
      <c r="B105" s="53" t="s">
        <v>124</v>
      </c>
      <c r="C105" s="53" t="s">
        <v>137</v>
      </c>
      <c r="D105" s="53" t="s">
        <v>138</v>
      </c>
      <c r="E105" s="54" t="n">
        <v>45938</v>
      </c>
      <c r="F105" s="55" t="n">
        <v>18</v>
      </c>
      <c r="G105" s="55" t="n">
        <v>17</v>
      </c>
      <c r="H105" s="55" t="n">
        <v>90</v>
      </c>
      <c r="I105" s="56" t="n">
        <v>3.2</v>
      </c>
      <c r="J105" s="53" t="s">
        <v>163</v>
      </c>
      <c r="K105" s="53"/>
      <c r="L105" s="57" t="str">
        <f aca="false">IF(C105="","",IFERROR(INDEX(site_ID,MATCH(C105,site_Name,0)),"Not on SITES"))</f>
        <v>LW-115</v>
      </c>
      <c r="M105" s="58" t="n">
        <f aca="false">IF(E105="","",DATE(YEAR(E105),MONTH(E105),1))</f>
        <v>45931</v>
      </c>
      <c r="N105" s="57" t="str">
        <f aca="false">IF(E105="","","FY"&amp;(YEAR(E105)+IF(AND(FYStart&gt;1,MONTH(E105)&gt;=FYStart),1,0))&amp;" Q"&amp;(INT(MOD(MONTH(E105)-FYStart,12)/3)+1))</f>
        <v>FY2026 Q2</v>
      </c>
      <c r="O105" s="59" t="n">
        <f aca="false">IF(OR(E105="",N(F105)=0),"",G105/F105)</f>
        <v>0.944444444444444</v>
      </c>
      <c r="P105" s="60" t="n">
        <f aca="false">IF(E105="","",ROUND(N(G105)*N(H105)/60,1))</f>
        <v>25.5</v>
      </c>
      <c r="Q105" s="57" t="str">
        <f aca="false">IF(E105="","",IF(COUNTIFS($C$2:C105,C105,$E$2:E105,E105,$B$2:B105,B105)&gt;1,"No","Yes"))</f>
        <v>Yes</v>
      </c>
      <c r="R105" s="61" t="str">
        <f aca="false">IF(E105="","",IF(Q105="No","Duplicate of an earlier response",IF(L105="Not on SITES","Site not on SITES",IF(N(G105)&gt;N(F105),"Present is more than enrolled",IF(OR(I105&lt;1,I105&gt;5),"Score outside 1 to 5","")))))</f>
        <v/>
      </c>
    </row>
    <row r="106" customFormat="false" ht="15" hidden="false" customHeight="false" outlineLevel="0" collapsed="false">
      <c r="A106" s="52" t="n">
        <v>45938.7315972222</v>
      </c>
      <c r="B106" s="53" t="s">
        <v>140</v>
      </c>
      <c r="C106" s="53" t="s">
        <v>141</v>
      </c>
      <c r="D106" s="53" t="s">
        <v>116</v>
      </c>
      <c r="E106" s="54" t="n">
        <v>45938</v>
      </c>
      <c r="F106" s="55" t="n">
        <v>11</v>
      </c>
      <c r="G106" s="55" t="n">
        <v>9</v>
      </c>
      <c r="H106" s="55" t="n">
        <v>90</v>
      </c>
      <c r="I106" s="56" t="n">
        <v>3.4</v>
      </c>
      <c r="J106" s="53" t="s">
        <v>117</v>
      </c>
      <c r="K106" s="53"/>
      <c r="L106" s="57" t="str">
        <f aca="false">IF(C106="","",IFERROR(INDEX(site_ID,MATCH(C106,site_Name,0)),"Not on SITES"))</f>
        <v>LW-118</v>
      </c>
      <c r="M106" s="58" t="n">
        <f aca="false">IF(E106="","",DATE(YEAR(E106),MONTH(E106),1))</f>
        <v>45931</v>
      </c>
      <c r="N106" s="57" t="str">
        <f aca="false">IF(E106="","","FY"&amp;(YEAR(E106)+IF(AND(FYStart&gt;1,MONTH(E106)&gt;=FYStart),1,0))&amp;" Q"&amp;(INT(MOD(MONTH(E106)-FYStart,12)/3)+1))</f>
        <v>FY2026 Q2</v>
      </c>
      <c r="O106" s="59" t="n">
        <f aca="false">IF(OR(E106="",N(F106)=0),"",G106/F106)</f>
        <v>0.818181818181818</v>
      </c>
      <c r="P106" s="60" t="n">
        <f aca="false">IF(E106="","",ROUND(N(G106)*N(H106)/60,1))</f>
        <v>13.5</v>
      </c>
      <c r="Q106" s="57" t="str">
        <f aca="false">IF(E106="","",IF(COUNTIFS($C$2:C106,C106,$E$2:E106,E106,$B$2:B106,B106)&gt;1,"No","Yes"))</f>
        <v>Yes</v>
      </c>
      <c r="R106" s="61" t="str">
        <f aca="false">IF(E106="","",IF(Q106="No","Duplicate of an earlier response",IF(L106="Not on SITES","Site not on SITES",IF(N(G106)&gt;N(F106),"Present is more than enrolled",IF(OR(I106&lt;1,I106&gt;5),"Score outside 1 to 5","")))))</f>
        <v/>
      </c>
    </row>
    <row r="107" customFormat="false" ht="15" hidden="false" customHeight="false" outlineLevel="0" collapsed="false">
      <c r="A107" s="52" t="n">
        <v>45938.7346412037</v>
      </c>
      <c r="B107" s="53" t="s">
        <v>132</v>
      </c>
      <c r="C107" s="53" t="s">
        <v>145</v>
      </c>
      <c r="D107" s="53" t="s">
        <v>119</v>
      </c>
      <c r="E107" s="54" t="n">
        <v>45938</v>
      </c>
      <c r="F107" s="55" t="n">
        <v>18</v>
      </c>
      <c r="G107" s="55" t="n">
        <v>16</v>
      </c>
      <c r="H107" s="55" t="n">
        <v>75</v>
      </c>
      <c r="I107" s="56" t="n">
        <v>3.7</v>
      </c>
      <c r="J107" s="53" t="s">
        <v>159</v>
      </c>
      <c r="K107" s="53"/>
      <c r="L107" s="57" t="str">
        <f aca="false">IF(C107="","",IFERROR(INDEX(site_ID,MATCH(C107,site_Name,0)),"Not on SITES"))</f>
        <v>LW-101</v>
      </c>
      <c r="M107" s="58" t="n">
        <f aca="false">IF(E107="","",DATE(YEAR(E107),MONTH(E107),1))</f>
        <v>45931</v>
      </c>
      <c r="N107" s="57" t="str">
        <f aca="false">IF(E107="","","FY"&amp;(YEAR(E107)+IF(AND(FYStart&gt;1,MONTH(E107)&gt;=FYStart),1,0))&amp;" Q"&amp;(INT(MOD(MONTH(E107)-FYStart,12)/3)+1))</f>
        <v>FY2026 Q2</v>
      </c>
      <c r="O107" s="59" t="n">
        <f aca="false">IF(OR(E107="",N(F107)=0),"",G107/F107)</f>
        <v>0.888888888888889</v>
      </c>
      <c r="P107" s="60" t="n">
        <f aca="false">IF(E107="","",ROUND(N(G107)*N(H107)/60,1))</f>
        <v>20</v>
      </c>
      <c r="Q107" s="57" t="str">
        <f aca="false">IF(E107="","",IF(COUNTIFS($C$2:C107,C107,$E$2:E107,E107,$B$2:B107,B107)&gt;1,"No","Yes"))</f>
        <v>Yes</v>
      </c>
      <c r="R107" s="61" t="str">
        <f aca="false">IF(E107="","",IF(Q107="No","Duplicate of an earlier response",IF(L107="Not on SITES","Site not on SITES",IF(N(G107)&gt;N(F107),"Present is more than enrolled",IF(OR(I107&lt;1,I107&gt;5),"Score outside 1 to 5","")))))</f>
        <v/>
      </c>
    </row>
    <row r="108" customFormat="false" ht="15" hidden="false" customHeight="false" outlineLevel="0" collapsed="false">
      <c r="A108" s="52" t="n">
        <v>45938.7613541667</v>
      </c>
      <c r="B108" s="53" t="s">
        <v>111</v>
      </c>
      <c r="C108" s="53" t="s">
        <v>112</v>
      </c>
      <c r="D108" s="53" t="s">
        <v>113</v>
      </c>
      <c r="E108" s="54" t="n">
        <v>45938</v>
      </c>
      <c r="F108" s="55" t="n">
        <v>15</v>
      </c>
      <c r="G108" s="55" t="n">
        <v>12</v>
      </c>
      <c r="H108" s="55" t="n">
        <v>60</v>
      </c>
      <c r="I108" s="56" t="n">
        <v>3.5</v>
      </c>
      <c r="J108" s="53" t="s">
        <v>165</v>
      </c>
      <c r="K108" s="53"/>
      <c r="L108" s="57" t="str">
        <f aca="false">IF(C108="","",IFERROR(INDEX(site_ID,MATCH(C108,site_Name,0)),"Not on SITES"))</f>
        <v>LW-120</v>
      </c>
      <c r="M108" s="58" t="n">
        <f aca="false">IF(E108="","",DATE(YEAR(E108),MONTH(E108),1))</f>
        <v>45931</v>
      </c>
      <c r="N108" s="57" t="str">
        <f aca="false">IF(E108="","","FY"&amp;(YEAR(E108)+IF(AND(FYStart&gt;1,MONTH(E108)&gt;=FYStart),1,0))&amp;" Q"&amp;(INT(MOD(MONTH(E108)-FYStart,12)/3)+1))</f>
        <v>FY2026 Q2</v>
      </c>
      <c r="O108" s="59" t="n">
        <f aca="false">IF(OR(E108="",N(F108)=0),"",G108/F108)</f>
        <v>0.8</v>
      </c>
      <c r="P108" s="60" t="n">
        <f aca="false">IF(E108="","",ROUND(N(G108)*N(H108)/60,1))</f>
        <v>12</v>
      </c>
      <c r="Q108" s="57" t="str">
        <f aca="false">IF(E108="","",IF(COUNTIFS($C$2:C108,C108,$E$2:E108,E108,$B$2:B108,B108)&gt;1,"No","Yes"))</f>
        <v>Yes</v>
      </c>
      <c r="R108" s="61" t="str">
        <f aca="false">IF(E108="","",IF(Q108="No","Duplicate of an earlier response",IF(L108="Not on SITES","Site not on SITES",IF(N(G108)&gt;N(F108),"Present is more than enrolled",IF(OR(I108&lt;1,I108&gt;5),"Score outside 1 to 5","")))))</f>
        <v/>
      </c>
    </row>
    <row r="109" customFormat="false" ht="15" hidden="false" customHeight="false" outlineLevel="0" collapsed="false">
      <c r="A109" s="52" t="n">
        <v>45938.7793171296</v>
      </c>
      <c r="B109" s="53" t="s">
        <v>105</v>
      </c>
      <c r="C109" s="53" t="s">
        <v>115</v>
      </c>
      <c r="D109" s="53" t="s">
        <v>116</v>
      </c>
      <c r="E109" s="54" t="n">
        <v>45936</v>
      </c>
      <c r="F109" s="55" t="n">
        <v>16</v>
      </c>
      <c r="G109" s="55" t="n">
        <v>14</v>
      </c>
      <c r="H109" s="55" t="n">
        <v>60</v>
      </c>
      <c r="I109" s="56" t="n">
        <v>3.2</v>
      </c>
      <c r="J109" s="53" t="s">
        <v>117</v>
      </c>
      <c r="K109" s="53" t="s">
        <v>158</v>
      </c>
      <c r="L109" s="57" t="str">
        <f aca="false">IF(C109="","",IFERROR(INDEX(site_ID,MATCH(C109,site_Name,0)),"Not on SITES"))</f>
        <v>LW-119</v>
      </c>
      <c r="M109" s="58" t="n">
        <f aca="false">IF(E109="","",DATE(YEAR(E109),MONTH(E109),1))</f>
        <v>45931</v>
      </c>
      <c r="N109" s="57" t="str">
        <f aca="false">IF(E109="","","FY"&amp;(YEAR(E109)+IF(AND(FYStart&gt;1,MONTH(E109)&gt;=FYStart),1,0))&amp;" Q"&amp;(INT(MOD(MONTH(E109)-FYStart,12)/3)+1))</f>
        <v>FY2026 Q2</v>
      </c>
      <c r="O109" s="59" t="n">
        <f aca="false">IF(OR(E109="",N(F109)=0),"",G109/F109)</f>
        <v>0.875</v>
      </c>
      <c r="P109" s="60" t="n">
        <f aca="false">IF(E109="","",ROUND(N(G109)*N(H109)/60,1))</f>
        <v>14</v>
      </c>
      <c r="Q109" s="57" t="str">
        <f aca="false">IF(E109="","",IF(COUNTIFS($C$2:C109,C109,$E$2:E109,E109,$B$2:B109,B109)&gt;1,"No","Yes"))</f>
        <v>Yes</v>
      </c>
      <c r="R109" s="61" t="str">
        <f aca="false">IF(E109="","",IF(Q109="No","Duplicate of an earlier response",IF(L109="Not on SITES","Site not on SITES",IF(N(G109)&gt;N(F109),"Present is more than enrolled",IF(OR(I109&lt;1,I109&gt;5),"Score outside 1 to 5","")))))</f>
        <v/>
      </c>
    </row>
    <row r="110" customFormat="false" ht="15" hidden="false" customHeight="false" outlineLevel="0" collapsed="false">
      <c r="A110" s="52" t="n">
        <v>45939.6559259259</v>
      </c>
      <c r="B110" s="53" t="s">
        <v>140</v>
      </c>
      <c r="C110" s="53" t="s">
        <v>151</v>
      </c>
      <c r="D110" s="53" t="s">
        <v>138</v>
      </c>
      <c r="E110" s="54" t="n">
        <v>45939</v>
      </c>
      <c r="F110" s="55" t="n">
        <v>14</v>
      </c>
      <c r="G110" s="55" t="n">
        <v>10</v>
      </c>
      <c r="H110" s="55" t="n">
        <v>90</v>
      </c>
      <c r="I110" s="56" t="n">
        <v>3.4</v>
      </c>
      <c r="J110" s="53" t="s">
        <v>152</v>
      </c>
      <c r="K110" s="53"/>
      <c r="L110" s="57" t="str">
        <f aca="false">IF(C110="","",IFERROR(INDEX(site_ID,MATCH(C110,site_Name,0)),"Not on SITES"))</f>
        <v>LW-110</v>
      </c>
      <c r="M110" s="58" t="n">
        <f aca="false">IF(E110="","",DATE(YEAR(E110),MONTH(E110),1))</f>
        <v>45931</v>
      </c>
      <c r="N110" s="57" t="str">
        <f aca="false">IF(E110="","","FY"&amp;(YEAR(E110)+IF(AND(FYStart&gt;1,MONTH(E110)&gt;=FYStart),1,0))&amp;" Q"&amp;(INT(MOD(MONTH(E110)-FYStart,12)/3)+1))</f>
        <v>FY2026 Q2</v>
      </c>
      <c r="O110" s="59" t="n">
        <f aca="false">IF(OR(E110="",N(F110)=0),"",G110/F110)</f>
        <v>0.714285714285714</v>
      </c>
      <c r="P110" s="60" t="n">
        <f aca="false">IF(E110="","",ROUND(N(G110)*N(H110)/60,1))</f>
        <v>15</v>
      </c>
      <c r="Q110" s="57" t="str">
        <f aca="false">IF(E110="","",IF(COUNTIFS($C$2:C110,C110,$E$2:E110,E110,$B$2:B110,B110)&gt;1,"No","Yes"))</f>
        <v>Yes</v>
      </c>
      <c r="R110" s="61" t="str">
        <f aca="false">IF(E110="","",IF(Q110="No","Duplicate of an earlier response",IF(L110="Not on SITES","Site not on SITES",IF(N(G110)&gt;N(F110),"Present is more than enrolled",IF(OR(I110&lt;1,I110&gt;5),"Score outside 1 to 5","")))))</f>
        <v/>
      </c>
    </row>
    <row r="111" customFormat="false" ht="15" hidden="false" customHeight="false" outlineLevel="0" collapsed="false">
      <c r="A111" s="52" t="n">
        <v>45939.6599074074</v>
      </c>
      <c r="B111" s="53" t="s">
        <v>124</v>
      </c>
      <c r="C111" s="53" t="s">
        <v>154</v>
      </c>
      <c r="D111" s="53" t="s">
        <v>116</v>
      </c>
      <c r="E111" s="54" t="n">
        <v>45939</v>
      </c>
      <c r="F111" s="55" t="n">
        <v>17</v>
      </c>
      <c r="G111" s="55" t="n">
        <v>16</v>
      </c>
      <c r="H111" s="55" t="n">
        <v>60</v>
      </c>
      <c r="I111" s="56" t="n">
        <v>3.3</v>
      </c>
      <c r="J111" s="53" t="s">
        <v>160</v>
      </c>
      <c r="K111" s="53"/>
      <c r="L111" s="57" t="str">
        <f aca="false">IF(C111="","",IFERROR(INDEX(site_ID,MATCH(C111,site_Name,0)),"Not on SITES"))</f>
        <v>LW-114</v>
      </c>
      <c r="M111" s="58" t="n">
        <f aca="false">IF(E111="","",DATE(YEAR(E111),MONTH(E111),1))</f>
        <v>45931</v>
      </c>
      <c r="N111" s="57" t="str">
        <f aca="false">IF(E111="","","FY"&amp;(YEAR(E111)+IF(AND(FYStart&gt;1,MONTH(E111)&gt;=FYStart),1,0))&amp;" Q"&amp;(INT(MOD(MONTH(E111)-FYStart,12)/3)+1))</f>
        <v>FY2026 Q2</v>
      </c>
      <c r="O111" s="59" t="n">
        <f aca="false">IF(OR(E111="",N(F111)=0),"",G111/F111)</f>
        <v>0.941176470588235</v>
      </c>
      <c r="P111" s="60" t="n">
        <f aca="false">IF(E111="","",ROUND(N(G111)*N(H111)/60,1))</f>
        <v>16</v>
      </c>
      <c r="Q111" s="57" t="str">
        <f aca="false">IF(E111="","",IF(COUNTIFS($C$2:C111,C111,$E$2:E111,E111,$B$2:B111,B111)&gt;1,"No","Yes"))</f>
        <v>Yes</v>
      </c>
      <c r="R111" s="61" t="str">
        <f aca="false">IF(E111="","",IF(Q111="No","Duplicate of an earlier response",IF(L111="Not on SITES","Site not on SITES",IF(N(G111)&gt;N(F111),"Present is more than enrolled",IF(OR(I111&lt;1,I111&gt;5),"Score outside 1 to 5","")))))</f>
        <v/>
      </c>
    </row>
    <row r="112" customFormat="false" ht="15" hidden="false" customHeight="false" outlineLevel="0" collapsed="false">
      <c r="A112" s="52" t="n">
        <v>45939.704375</v>
      </c>
      <c r="B112" s="53" t="s">
        <v>111</v>
      </c>
      <c r="C112" s="53" t="s">
        <v>149</v>
      </c>
      <c r="D112" s="53" t="s">
        <v>113</v>
      </c>
      <c r="E112" s="54" t="n">
        <v>45939</v>
      </c>
      <c r="F112" s="55" t="n">
        <v>21</v>
      </c>
      <c r="G112" s="55" t="n">
        <v>19</v>
      </c>
      <c r="H112" s="55" t="n">
        <v>60</v>
      </c>
      <c r="I112" s="56" t="n">
        <v>3.3</v>
      </c>
      <c r="J112" s="53" t="s">
        <v>114</v>
      </c>
      <c r="K112" s="53"/>
      <c r="L112" s="57" t="str">
        <f aca="false">IF(C112="","",IFERROR(INDEX(site_ID,MATCH(C112,site_Name,0)),"Not on SITES"))</f>
        <v>LW-112</v>
      </c>
      <c r="M112" s="58" t="n">
        <f aca="false">IF(E112="","",DATE(YEAR(E112),MONTH(E112),1))</f>
        <v>45931</v>
      </c>
      <c r="N112" s="57" t="str">
        <f aca="false">IF(E112="","","FY"&amp;(YEAR(E112)+IF(AND(FYStart&gt;1,MONTH(E112)&gt;=FYStart),1,0))&amp;" Q"&amp;(INT(MOD(MONTH(E112)-FYStart,12)/3)+1))</f>
        <v>FY2026 Q2</v>
      </c>
      <c r="O112" s="59" t="n">
        <f aca="false">IF(OR(E112="",N(F112)=0),"",G112/F112)</f>
        <v>0.904761904761905</v>
      </c>
      <c r="P112" s="60" t="n">
        <f aca="false">IF(E112="","",ROUND(N(G112)*N(H112)/60,1))</f>
        <v>19</v>
      </c>
      <c r="Q112" s="57" t="str">
        <f aca="false">IF(E112="","",IF(COUNTIFS($C$2:C112,C112,$E$2:E112,E112,$B$2:B112,B112)&gt;1,"No","Yes"))</f>
        <v>Yes</v>
      </c>
      <c r="R112" s="61" t="str">
        <f aca="false">IF(E112="","",IF(Q112="No","Duplicate of an earlier response",IF(L112="Not on SITES","Site not on SITES",IF(N(G112)&gt;N(F112),"Present is more than enrolled",IF(OR(I112&lt;1,I112&gt;5),"Score outside 1 to 5","")))))</f>
        <v/>
      </c>
    </row>
    <row r="113" customFormat="false" ht="15" hidden="false" customHeight="false" outlineLevel="0" collapsed="false">
      <c r="A113" s="52" t="n">
        <v>45939.7232523148</v>
      </c>
      <c r="B113" s="53" t="s">
        <v>111</v>
      </c>
      <c r="C113" s="53" t="s">
        <v>148</v>
      </c>
      <c r="D113" s="53" t="s">
        <v>116</v>
      </c>
      <c r="E113" s="54" t="n">
        <v>45939</v>
      </c>
      <c r="F113" s="55" t="n">
        <v>16</v>
      </c>
      <c r="G113" s="55" t="n">
        <v>13</v>
      </c>
      <c r="H113" s="55" t="n">
        <v>75</v>
      </c>
      <c r="I113" s="56" t="n">
        <v>3.3</v>
      </c>
      <c r="J113" s="53" t="s">
        <v>153</v>
      </c>
      <c r="K113" s="53"/>
      <c r="L113" s="57" t="str">
        <f aca="false">IF(C113="","",IFERROR(INDEX(site_ID,MATCH(C113,site_Name,0)),"Not on SITES"))</f>
        <v>LW-104</v>
      </c>
      <c r="M113" s="58" t="n">
        <f aca="false">IF(E113="","",DATE(YEAR(E113),MONTH(E113),1))</f>
        <v>45931</v>
      </c>
      <c r="N113" s="57" t="str">
        <f aca="false">IF(E113="","","FY"&amp;(YEAR(E113)+IF(AND(FYStart&gt;1,MONTH(E113)&gt;=FYStart),1,0))&amp;" Q"&amp;(INT(MOD(MONTH(E113)-FYStart,12)/3)+1))</f>
        <v>FY2026 Q2</v>
      </c>
      <c r="O113" s="59" t="n">
        <f aca="false">IF(OR(E113="",N(F113)=0),"",G113/F113)</f>
        <v>0.8125</v>
      </c>
      <c r="P113" s="60" t="n">
        <f aca="false">IF(E113="","",ROUND(N(G113)*N(H113)/60,1))</f>
        <v>16.3</v>
      </c>
      <c r="Q113" s="57" t="str">
        <f aca="false">IF(E113="","",IF(COUNTIFS($C$2:C113,C113,$E$2:E113,E113,$B$2:B113,B113)&gt;1,"No","Yes"))</f>
        <v>Yes</v>
      </c>
      <c r="R113" s="61" t="str">
        <f aca="false">IF(E113="","",IF(Q113="No","Duplicate of an earlier response",IF(L113="Not on SITES","Site not on SITES",IF(N(G113)&gt;N(F113),"Present is more than enrolled",IF(OR(I113&lt;1,I113&gt;5),"Score outside 1 to 5","")))))</f>
        <v/>
      </c>
    </row>
    <row r="114" customFormat="false" ht="15" hidden="false" customHeight="false" outlineLevel="0" collapsed="false">
      <c r="A114" s="52" t="n">
        <v>45939.7540625</v>
      </c>
      <c r="B114" s="53" t="s">
        <v>132</v>
      </c>
      <c r="C114" s="53" t="s">
        <v>150</v>
      </c>
      <c r="D114" s="53" t="s">
        <v>138</v>
      </c>
      <c r="E114" s="54" t="n">
        <v>45939</v>
      </c>
      <c r="F114" s="55" t="n">
        <v>20</v>
      </c>
      <c r="G114" s="55" t="n">
        <v>19</v>
      </c>
      <c r="H114" s="55" t="n">
        <v>90</v>
      </c>
      <c r="I114" s="56" t="n">
        <v>3.2</v>
      </c>
      <c r="J114" s="53" t="s">
        <v>152</v>
      </c>
      <c r="K114" s="53"/>
      <c r="L114" s="57" t="str">
        <f aca="false">IF(C114="","",IFERROR(INDEX(site_ID,MATCH(C114,site_Name,0)),"Not on SITES"))</f>
        <v>LW-117</v>
      </c>
      <c r="M114" s="58" t="n">
        <f aca="false">IF(E114="","",DATE(YEAR(E114),MONTH(E114),1))</f>
        <v>45931</v>
      </c>
      <c r="N114" s="57" t="str">
        <f aca="false">IF(E114="","","FY"&amp;(YEAR(E114)+IF(AND(FYStart&gt;1,MONTH(E114)&gt;=FYStart),1,0))&amp;" Q"&amp;(INT(MOD(MONTH(E114)-FYStart,12)/3)+1))</f>
        <v>FY2026 Q2</v>
      </c>
      <c r="O114" s="59" t="n">
        <f aca="false">IF(OR(E114="",N(F114)=0),"",G114/F114)</f>
        <v>0.95</v>
      </c>
      <c r="P114" s="60" t="n">
        <f aca="false">IF(E114="","",ROUND(N(G114)*N(H114)/60,1))</f>
        <v>28.5</v>
      </c>
      <c r="Q114" s="57" t="str">
        <f aca="false">IF(E114="","",IF(COUNTIFS($C$2:C114,C114,$E$2:E114,E114,$B$2:B114,B114)&gt;1,"No","Yes"))</f>
        <v>Yes</v>
      </c>
      <c r="R114" s="61" t="str">
        <f aca="false">IF(E114="","",IF(Q114="No","Duplicate of an earlier response",IF(L114="Not on SITES","Site not on SITES",IF(N(G114)&gt;N(F114),"Present is more than enrolled",IF(OR(I114&lt;1,I114&gt;5),"Score outside 1 to 5","")))))</f>
        <v/>
      </c>
    </row>
    <row r="115" customFormat="false" ht="15" hidden="false" customHeight="false" outlineLevel="0" collapsed="false">
      <c r="A115" s="52" t="n">
        <v>45939.7715277778</v>
      </c>
      <c r="B115" s="53" t="s">
        <v>121</v>
      </c>
      <c r="C115" s="53" t="s">
        <v>122</v>
      </c>
      <c r="D115" s="53" t="s">
        <v>116</v>
      </c>
      <c r="E115" s="54" t="n">
        <v>45939</v>
      </c>
      <c r="F115" s="55" t="n">
        <v>15</v>
      </c>
      <c r="G115" s="55" t="n">
        <v>12</v>
      </c>
      <c r="H115" s="55" t="n">
        <v>60</v>
      </c>
      <c r="I115" s="56" t="n">
        <v>3.2</v>
      </c>
      <c r="J115" s="53" t="s">
        <v>160</v>
      </c>
      <c r="K115" s="53"/>
      <c r="L115" s="57" t="str">
        <f aca="false">IF(C115="","",IFERROR(INDEX(site_ID,MATCH(C115,site_Name,0)),"Not on SITES"))</f>
        <v>LW-116</v>
      </c>
      <c r="M115" s="58" t="n">
        <f aca="false">IF(E115="","",DATE(YEAR(E115),MONTH(E115),1))</f>
        <v>45931</v>
      </c>
      <c r="N115" s="57" t="str">
        <f aca="false">IF(E115="","","FY"&amp;(YEAR(E115)+IF(AND(FYStart&gt;1,MONTH(E115)&gt;=FYStart),1,0))&amp;" Q"&amp;(INT(MOD(MONTH(E115)-FYStart,12)/3)+1))</f>
        <v>FY2026 Q2</v>
      </c>
      <c r="O115" s="59" t="n">
        <f aca="false">IF(OR(E115="",N(F115)=0),"",G115/F115)</f>
        <v>0.8</v>
      </c>
      <c r="P115" s="60" t="n">
        <f aca="false">IF(E115="","",ROUND(N(G115)*N(H115)/60,1))</f>
        <v>12</v>
      </c>
      <c r="Q115" s="57" t="str">
        <f aca="false">IF(E115="","",IF(COUNTIFS($C$2:C115,C115,$E$2:E115,E115,$B$2:B115,B115)&gt;1,"No","Yes"))</f>
        <v>Yes</v>
      </c>
      <c r="R115" s="61" t="str">
        <f aca="false">IF(E115="","",IF(Q115="No","Duplicate of an earlier response",IF(L115="Not on SITES","Site not on SITES",IF(N(G115)&gt;N(F115),"Present is more than enrolled",IF(OR(I115&lt;1,I115&gt;5),"Score outside 1 to 5","")))))</f>
        <v/>
      </c>
    </row>
    <row r="116" customFormat="false" ht="15" hidden="false" customHeight="false" outlineLevel="0" collapsed="false">
      <c r="A116" s="52" t="n">
        <v>45940.6557060185</v>
      </c>
      <c r="B116" s="53" t="s">
        <v>129</v>
      </c>
      <c r="C116" s="53" t="s">
        <v>137</v>
      </c>
      <c r="D116" s="53" t="s">
        <v>138</v>
      </c>
      <c r="E116" s="54" t="n">
        <v>45940</v>
      </c>
      <c r="F116" s="55" t="n">
        <v>19</v>
      </c>
      <c r="G116" s="55" t="n">
        <v>17</v>
      </c>
      <c r="H116" s="55" t="n">
        <v>90</v>
      </c>
      <c r="I116" s="56" t="n">
        <v>3.3</v>
      </c>
      <c r="J116" s="53" t="s">
        <v>139</v>
      </c>
      <c r="K116" s="53"/>
      <c r="L116" s="57" t="str">
        <f aca="false">IF(C116="","",IFERROR(INDEX(site_ID,MATCH(C116,site_Name,0)),"Not on SITES"))</f>
        <v>LW-115</v>
      </c>
      <c r="M116" s="58" t="n">
        <f aca="false">IF(E116="","",DATE(YEAR(E116),MONTH(E116),1))</f>
        <v>45931</v>
      </c>
      <c r="N116" s="57" t="str">
        <f aca="false">IF(E116="","","FY"&amp;(YEAR(E116)+IF(AND(FYStart&gt;1,MONTH(E116)&gt;=FYStart),1,0))&amp;" Q"&amp;(INT(MOD(MONTH(E116)-FYStart,12)/3)+1))</f>
        <v>FY2026 Q2</v>
      </c>
      <c r="O116" s="59" t="n">
        <f aca="false">IF(OR(E116="",N(F116)=0),"",G116/F116)</f>
        <v>0.894736842105263</v>
      </c>
      <c r="P116" s="60" t="n">
        <f aca="false">IF(E116="","",ROUND(N(G116)*N(H116)/60,1))</f>
        <v>25.5</v>
      </c>
      <c r="Q116" s="57" t="str">
        <f aca="false">IF(E116="","",IF(COUNTIFS($C$2:C116,C116,$E$2:E116,E116,$B$2:B116,B116)&gt;1,"No","Yes"))</f>
        <v>Yes</v>
      </c>
      <c r="R116" s="61" t="str">
        <f aca="false">IF(E116="","",IF(Q116="No","Duplicate of an earlier response",IF(L116="Not on SITES","Site not on SITES",IF(N(G116)&gt;N(F116),"Present is more than enrolled",IF(OR(I116&lt;1,I116&gt;5),"Score outside 1 to 5","")))))</f>
        <v/>
      </c>
    </row>
    <row r="117" customFormat="false" ht="15" hidden="false" customHeight="false" outlineLevel="0" collapsed="false">
      <c r="A117" s="52" t="n">
        <v>45940.6686458333</v>
      </c>
      <c r="B117" s="53" t="s">
        <v>105</v>
      </c>
      <c r="C117" s="53" t="s">
        <v>118</v>
      </c>
      <c r="D117" s="53" t="s">
        <v>119</v>
      </c>
      <c r="E117" s="54" t="n">
        <v>45938</v>
      </c>
      <c r="F117" s="55" t="n">
        <v>20</v>
      </c>
      <c r="G117" s="55" t="n">
        <v>16</v>
      </c>
      <c r="H117" s="55" t="n">
        <v>60</v>
      </c>
      <c r="I117" s="56" t="n">
        <v>2.9</v>
      </c>
      <c r="J117" s="53" t="s">
        <v>144</v>
      </c>
      <c r="K117" s="53"/>
      <c r="L117" s="57" t="str">
        <f aca="false">IF(C117="","",IFERROR(INDEX(site_ID,MATCH(C117,site_Name,0)),"Not on SITES"))</f>
        <v>LW-111</v>
      </c>
      <c r="M117" s="58" t="n">
        <f aca="false">IF(E117="","",DATE(YEAR(E117),MONTH(E117),1))</f>
        <v>45931</v>
      </c>
      <c r="N117" s="57" t="str">
        <f aca="false">IF(E117="","","FY"&amp;(YEAR(E117)+IF(AND(FYStart&gt;1,MONTH(E117)&gt;=FYStart),1,0))&amp;" Q"&amp;(INT(MOD(MONTH(E117)-FYStart,12)/3)+1))</f>
        <v>FY2026 Q2</v>
      </c>
      <c r="O117" s="59" t="n">
        <f aca="false">IF(OR(E117="",N(F117)=0),"",G117/F117)</f>
        <v>0.8</v>
      </c>
      <c r="P117" s="60" t="n">
        <f aca="false">IF(E117="","",ROUND(N(G117)*N(H117)/60,1))</f>
        <v>16</v>
      </c>
      <c r="Q117" s="57" t="str">
        <f aca="false">IF(E117="","",IF(COUNTIFS($C$2:C117,C117,$E$2:E117,E117,$B$2:B117,B117)&gt;1,"No","Yes"))</f>
        <v>Yes</v>
      </c>
      <c r="R117" s="61" t="str">
        <f aca="false">IF(E117="","",IF(Q117="No","Duplicate of an earlier response",IF(L117="Not on SITES","Site not on SITES",IF(N(G117)&gt;N(F117),"Present is more than enrolled",IF(OR(I117&lt;1,I117&gt;5),"Score outside 1 to 5","")))))</f>
        <v/>
      </c>
    </row>
    <row r="118" customFormat="false" ht="15" hidden="false" customHeight="false" outlineLevel="0" collapsed="false">
      <c r="A118" s="52" t="n">
        <v>45940.779849537</v>
      </c>
      <c r="B118" s="53" t="s">
        <v>109</v>
      </c>
      <c r="C118" s="53" t="s">
        <v>146</v>
      </c>
      <c r="D118" s="53" t="s">
        <v>138</v>
      </c>
      <c r="E118" s="54" t="n">
        <v>45939</v>
      </c>
      <c r="F118" s="55" t="n">
        <v>14</v>
      </c>
      <c r="G118" s="55" t="n">
        <v>14</v>
      </c>
      <c r="H118" s="55" t="n">
        <v>90</v>
      </c>
      <c r="I118" s="56" t="n">
        <v>3.3</v>
      </c>
      <c r="J118" s="53" t="s">
        <v>164</v>
      </c>
      <c r="K118" s="53"/>
      <c r="L118" s="57" t="str">
        <f aca="false">IF(C118="","",IFERROR(INDEX(site_ID,MATCH(C118,site_Name,0)),"Not on SITES"))</f>
        <v>LW-105</v>
      </c>
      <c r="M118" s="58" t="n">
        <f aca="false">IF(E118="","",DATE(YEAR(E118),MONTH(E118),1))</f>
        <v>45931</v>
      </c>
      <c r="N118" s="57" t="str">
        <f aca="false">IF(E118="","","FY"&amp;(YEAR(E118)+IF(AND(FYStart&gt;1,MONTH(E118)&gt;=FYStart),1,0))&amp;" Q"&amp;(INT(MOD(MONTH(E118)-FYStart,12)/3)+1))</f>
        <v>FY2026 Q2</v>
      </c>
      <c r="O118" s="59" t="n">
        <f aca="false">IF(OR(E118="",N(F118)=0),"",G118/F118)</f>
        <v>1</v>
      </c>
      <c r="P118" s="60" t="n">
        <f aca="false">IF(E118="","",ROUND(N(G118)*N(H118)/60,1))</f>
        <v>21</v>
      </c>
      <c r="Q118" s="57" t="str">
        <f aca="false">IF(E118="","",IF(COUNTIFS($C$2:C118,C118,$E$2:E118,E118,$B$2:B118,B118)&gt;1,"No","Yes"))</f>
        <v>Yes</v>
      </c>
      <c r="R118" s="61" t="str">
        <f aca="false">IF(E118="","",IF(Q118="No","Duplicate of an earlier response",IF(L118="Not on SITES","Site not on SITES",IF(N(G118)&gt;N(F118),"Present is more than enrolled",IF(OR(I118&lt;1,I118&gt;5),"Score outside 1 to 5","")))))</f>
        <v/>
      </c>
    </row>
    <row r="119" customFormat="false" ht="15" hidden="false" customHeight="false" outlineLevel="0" collapsed="false">
      <c r="A119" s="52" t="n">
        <v>45943.6588657407</v>
      </c>
      <c r="B119" s="53" t="s">
        <v>105</v>
      </c>
      <c r="C119" s="53" t="s">
        <v>118</v>
      </c>
      <c r="D119" s="53" t="s">
        <v>119</v>
      </c>
      <c r="E119" s="54" t="n">
        <v>45943</v>
      </c>
      <c r="F119" s="55" t="n">
        <v>20</v>
      </c>
      <c r="G119" s="55" t="n">
        <v>17</v>
      </c>
      <c r="H119" s="55" t="n">
        <v>60</v>
      </c>
      <c r="I119" s="56" t="n">
        <v>3.4</v>
      </c>
      <c r="J119" s="53" t="s">
        <v>126</v>
      </c>
      <c r="K119" s="53"/>
      <c r="L119" s="57" t="str">
        <f aca="false">IF(C119="","",IFERROR(INDEX(site_ID,MATCH(C119,site_Name,0)),"Not on SITES"))</f>
        <v>LW-111</v>
      </c>
      <c r="M119" s="58" t="n">
        <f aca="false">IF(E119="","",DATE(YEAR(E119),MONTH(E119),1))</f>
        <v>45931</v>
      </c>
      <c r="N119" s="57" t="str">
        <f aca="false">IF(E119="","","FY"&amp;(YEAR(E119)+IF(AND(FYStart&gt;1,MONTH(E119)&gt;=FYStart),1,0))&amp;" Q"&amp;(INT(MOD(MONTH(E119)-FYStart,12)/3)+1))</f>
        <v>FY2026 Q2</v>
      </c>
      <c r="O119" s="59" t="n">
        <f aca="false">IF(OR(E119="",N(F119)=0),"",G119/F119)</f>
        <v>0.85</v>
      </c>
      <c r="P119" s="60" t="n">
        <f aca="false">IF(E119="","",ROUND(N(G119)*N(H119)/60,1))</f>
        <v>17</v>
      </c>
      <c r="Q119" s="57" t="str">
        <f aca="false">IF(E119="","",IF(COUNTIFS($C$2:C119,C119,$E$2:E119,E119,$B$2:B119,B119)&gt;1,"No","Yes"))</f>
        <v>Yes</v>
      </c>
      <c r="R119" s="61" t="str">
        <f aca="false">IF(E119="","",IF(Q119="No","Duplicate of an earlier response",IF(L119="Not on SITES","Site not on SITES",IF(N(G119)&gt;N(F119),"Present is more than enrolled",IF(OR(I119&lt;1,I119&gt;5),"Score outside 1 to 5","")))))</f>
        <v/>
      </c>
    </row>
    <row r="120" customFormat="false" ht="15" hidden="false" customHeight="false" outlineLevel="0" collapsed="false">
      <c r="A120" s="52" t="n">
        <v>45943.7461689815</v>
      </c>
      <c r="B120" s="53" t="s">
        <v>129</v>
      </c>
      <c r="C120" s="53" t="s">
        <v>106</v>
      </c>
      <c r="D120" s="53" t="s">
        <v>107</v>
      </c>
      <c r="E120" s="54" t="n">
        <v>45943</v>
      </c>
      <c r="F120" s="55" t="n">
        <v>16</v>
      </c>
      <c r="G120" s="55" t="n">
        <v>12</v>
      </c>
      <c r="H120" s="55" t="n">
        <v>75</v>
      </c>
      <c r="I120" s="56" t="n">
        <v>3.3</v>
      </c>
      <c r="J120" s="53" t="s">
        <v>108</v>
      </c>
      <c r="K120" s="53"/>
      <c r="L120" s="57" t="str">
        <f aca="false">IF(C120="","",IFERROR(INDEX(site_ID,MATCH(C120,site_Name,0)),"Not on SITES"))</f>
        <v>LW-103</v>
      </c>
      <c r="M120" s="58" t="n">
        <f aca="false">IF(E120="","",DATE(YEAR(E120),MONTH(E120),1))</f>
        <v>45931</v>
      </c>
      <c r="N120" s="57" t="str">
        <f aca="false">IF(E120="","","FY"&amp;(YEAR(E120)+IF(AND(FYStart&gt;1,MONTH(E120)&gt;=FYStart),1,0))&amp;" Q"&amp;(INT(MOD(MONTH(E120)-FYStart,12)/3)+1))</f>
        <v>FY2026 Q2</v>
      </c>
      <c r="O120" s="59" t="n">
        <f aca="false">IF(OR(E120="",N(F120)=0),"",G120/F120)</f>
        <v>0.75</v>
      </c>
      <c r="P120" s="60" t="n">
        <f aca="false">IF(E120="","",ROUND(N(G120)*N(H120)/60,1))</f>
        <v>15</v>
      </c>
      <c r="Q120" s="57" t="str">
        <f aca="false">IF(E120="","",IF(COUNTIFS($C$2:C120,C120,$E$2:E120,E120,$B$2:B120,B120)&gt;1,"No","Yes"))</f>
        <v>Yes</v>
      </c>
      <c r="R120" s="61" t="str">
        <f aca="false">IF(E120="","",IF(Q120="No","Duplicate of an earlier response",IF(L120="Not on SITES","Site not on SITES",IF(N(G120)&gt;N(F120),"Present is more than enrolled",IF(OR(I120&lt;1,I120&gt;5),"Score outside 1 to 5","")))))</f>
        <v/>
      </c>
    </row>
    <row r="121" customFormat="false" ht="15" hidden="false" customHeight="false" outlineLevel="0" collapsed="false">
      <c r="A121" s="52" t="n">
        <v>45943.7744675926</v>
      </c>
      <c r="B121" s="53" t="s">
        <v>109</v>
      </c>
      <c r="C121" s="53" t="s">
        <v>110</v>
      </c>
      <c r="D121" s="53" t="s">
        <v>107</v>
      </c>
      <c r="E121" s="54" t="n">
        <v>45943</v>
      </c>
      <c r="F121" s="55" t="n">
        <v>20</v>
      </c>
      <c r="G121" s="55" t="n">
        <v>17</v>
      </c>
      <c r="H121" s="55" t="n">
        <v>75</v>
      </c>
      <c r="I121" s="56" t="n">
        <v>3.5</v>
      </c>
      <c r="J121" s="53" t="s">
        <v>156</v>
      </c>
      <c r="K121" s="53"/>
      <c r="L121" s="57" t="str">
        <f aca="false">IF(C121="","",IFERROR(INDEX(site_ID,MATCH(C121,site_Name,0)),"Not on SITES"))</f>
        <v>LW-113</v>
      </c>
      <c r="M121" s="58" t="n">
        <f aca="false">IF(E121="","",DATE(YEAR(E121),MONTH(E121),1))</f>
        <v>45931</v>
      </c>
      <c r="N121" s="57" t="str">
        <f aca="false">IF(E121="","","FY"&amp;(YEAR(E121)+IF(AND(FYStart&gt;1,MONTH(E121)&gt;=FYStart),1,0))&amp;" Q"&amp;(INT(MOD(MONTH(E121)-FYStart,12)/3)+1))</f>
        <v>FY2026 Q2</v>
      </c>
      <c r="O121" s="59" t="n">
        <f aca="false">IF(OR(E121="",N(F121)=0),"",G121/F121)</f>
        <v>0.85</v>
      </c>
      <c r="P121" s="60" t="n">
        <f aca="false">IF(E121="","",ROUND(N(G121)*N(H121)/60,1))</f>
        <v>21.3</v>
      </c>
      <c r="Q121" s="57" t="str">
        <f aca="false">IF(E121="","",IF(COUNTIFS($C$2:C121,C121,$E$2:E121,E121,$B$2:B121,B121)&gt;1,"No","Yes"))</f>
        <v>Yes</v>
      </c>
      <c r="R121" s="61" t="str">
        <f aca="false">IF(E121="","",IF(Q121="No","Duplicate of an earlier response",IF(L121="Not on SITES","Site not on SITES",IF(N(G121)&gt;N(F121),"Present is more than enrolled",IF(OR(I121&lt;1,I121&gt;5),"Score outside 1 to 5","")))))</f>
        <v/>
      </c>
    </row>
    <row r="122" customFormat="false" ht="15" hidden="false" customHeight="false" outlineLevel="0" collapsed="false">
      <c r="A122" s="52" t="n">
        <v>45943.8153472222</v>
      </c>
      <c r="B122" s="53" t="s">
        <v>109</v>
      </c>
      <c r="C122" s="53" t="s">
        <v>112</v>
      </c>
      <c r="D122" s="53" t="s">
        <v>113</v>
      </c>
      <c r="E122" s="54" t="n">
        <v>45943</v>
      </c>
      <c r="F122" s="55" t="n">
        <v>15</v>
      </c>
      <c r="G122" s="55" t="n">
        <v>14</v>
      </c>
      <c r="H122" s="55" t="n">
        <v>60</v>
      </c>
      <c r="I122" s="56" t="n">
        <v>3.3</v>
      </c>
      <c r="J122" s="53" t="s">
        <v>165</v>
      </c>
      <c r="K122" s="53"/>
      <c r="L122" s="57" t="str">
        <f aca="false">IF(C122="","",IFERROR(INDEX(site_ID,MATCH(C122,site_Name,0)),"Not on SITES"))</f>
        <v>LW-120</v>
      </c>
      <c r="M122" s="58" t="n">
        <f aca="false">IF(E122="","",DATE(YEAR(E122),MONTH(E122),1))</f>
        <v>45931</v>
      </c>
      <c r="N122" s="57" t="str">
        <f aca="false">IF(E122="","","FY"&amp;(YEAR(E122)+IF(AND(FYStart&gt;1,MONTH(E122)&gt;=FYStart),1,0))&amp;" Q"&amp;(INT(MOD(MONTH(E122)-FYStart,12)/3)+1))</f>
        <v>FY2026 Q2</v>
      </c>
      <c r="O122" s="59" t="n">
        <f aca="false">IF(OR(E122="",N(F122)=0),"",G122/F122)</f>
        <v>0.933333333333333</v>
      </c>
      <c r="P122" s="60" t="n">
        <f aca="false">IF(E122="","",ROUND(N(G122)*N(H122)/60,1))</f>
        <v>14</v>
      </c>
      <c r="Q122" s="57" t="str">
        <f aca="false">IF(E122="","",IF(COUNTIFS($C$2:C122,C122,$E$2:E122,E122,$B$2:B122,B122)&gt;1,"No","Yes"))</f>
        <v>Yes</v>
      </c>
      <c r="R122" s="61" t="str">
        <f aca="false">IF(E122="","",IF(Q122="No","Duplicate of an earlier response",IF(L122="Not on SITES","Site not on SITES",IF(N(G122)&gt;N(F122),"Present is more than enrolled",IF(OR(I122&lt;1,I122&gt;5),"Score outside 1 to 5","")))))</f>
        <v/>
      </c>
    </row>
    <row r="123" customFormat="false" ht="15" hidden="false" customHeight="false" outlineLevel="0" collapsed="false">
      <c r="A123" s="52" t="n">
        <v>45944.6376388889</v>
      </c>
      <c r="B123" s="53" t="s">
        <v>132</v>
      </c>
      <c r="C123" s="53" t="s">
        <v>133</v>
      </c>
      <c r="D123" s="53" t="s">
        <v>116</v>
      </c>
      <c r="E123" s="54" t="n">
        <v>45944</v>
      </c>
      <c r="F123" s="55" t="n">
        <v>17</v>
      </c>
      <c r="G123" s="55" t="n">
        <v>13</v>
      </c>
      <c r="H123" s="55" t="n">
        <v>90</v>
      </c>
      <c r="I123" s="56" t="n">
        <v>3</v>
      </c>
      <c r="J123" s="53" t="s">
        <v>160</v>
      </c>
      <c r="K123" s="53" t="s">
        <v>161</v>
      </c>
      <c r="L123" s="57" t="str">
        <f aca="false">IF(C123="","",IFERROR(INDEX(site_ID,MATCH(C123,site_Name,0)),"Not on SITES"))</f>
        <v>LW-109</v>
      </c>
      <c r="M123" s="58" t="n">
        <f aca="false">IF(E123="","",DATE(YEAR(E123),MONTH(E123),1))</f>
        <v>45931</v>
      </c>
      <c r="N123" s="57" t="str">
        <f aca="false">IF(E123="","","FY"&amp;(YEAR(E123)+IF(AND(FYStart&gt;1,MONTH(E123)&gt;=FYStart),1,0))&amp;" Q"&amp;(INT(MOD(MONTH(E123)-FYStart,12)/3)+1))</f>
        <v>FY2026 Q2</v>
      </c>
      <c r="O123" s="59" t="n">
        <f aca="false">IF(OR(E123="",N(F123)=0),"",G123/F123)</f>
        <v>0.764705882352941</v>
      </c>
      <c r="P123" s="60" t="n">
        <f aca="false">IF(E123="","",ROUND(N(G123)*N(H123)/60,1))</f>
        <v>19.5</v>
      </c>
      <c r="Q123" s="57" t="str">
        <f aca="false">IF(E123="","",IF(COUNTIFS($C$2:C123,C123,$E$2:E123,E123,$B$2:B123,B123)&gt;1,"No","Yes"))</f>
        <v>Yes</v>
      </c>
      <c r="R123" s="61" t="str">
        <f aca="false">IF(E123="","",IF(Q123="No","Duplicate of an earlier response",IF(L123="Not on SITES","Site not on SITES",IF(N(G123)&gt;N(F123),"Present is more than enrolled",IF(OR(I123&lt;1,I123&gt;5),"Score outside 1 to 5","")))))</f>
        <v/>
      </c>
    </row>
    <row r="124" customFormat="false" ht="15" hidden="false" customHeight="false" outlineLevel="0" collapsed="false">
      <c r="A124" s="52" t="n">
        <v>45944.6531134259</v>
      </c>
      <c r="B124" s="53" t="s">
        <v>129</v>
      </c>
      <c r="C124" s="53" t="s">
        <v>130</v>
      </c>
      <c r="D124" s="53" t="s">
        <v>113</v>
      </c>
      <c r="E124" s="54" t="n">
        <v>45944</v>
      </c>
      <c r="F124" s="55" t="n">
        <v>17</v>
      </c>
      <c r="G124" s="55" t="n">
        <v>15</v>
      </c>
      <c r="H124" s="55" t="n">
        <v>90</v>
      </c>
      <c r="I124" s="56" t="n">
        <v>3.1</v>
      </c>
      <c r="J124" s="53" t="s">
        <v>165</v>
      </c>
      <c r="K124" s="53"/>
      <c r="L124" s="57" t="str">
        <f aca="false">IF(C124="","",IFERROR(INDEX(site_ID,MATCH(C124,site_Name,0)),"Not on SITES"))</f>
        <v>LW-107</v>
      </c>
      <c r="M124" s="58" t="n">
        <f aca="false">IF(E124="","",DATE(YEAR(E124),MONTH(E124),1))</f>
        <v>45931</v>
      </c>
      <c r="N124" s="57" t="str">
        <f aca="false">IF(E124="","","FY"&amp;(YEAR(E124)+IF(AND(FYStart&gt;1,MONTH(E124)&gt;=FYStart),1,0))&amp;" Q"&amp;(INT(MOD(MONTH(E124)-FYStart,12)/3)+1))</f>
        <v>FY2026 Q2</v>
      </c>
      <c r="O124" s="59" t="n">
        <f aca="false">IF(OR(E124="",N(F124)=0),"",G124/F124)</f>
        <v>0.882352941176471</v>
      </c>
      <c r="P124" s="60" t="n">
        <f aca="false">IF(E124="","",ROUND(N(G124)*N(H124)/60,1))</f>
        <v>22.5</v>
      </c>
      <c r="Q124" s="57" t="str">
        <f aca="false">IF(E124="","",IF(COUNTIFS($C$2:C124,C124,$E$2:E124,E124,$B$2:B124,B124)&gt;1,"No","Yes"))</f>
        <v>Yes</v>
      </c>
      <c r="R124" s="61" t="str">
        <f aca="false">IF(E124="","",IF(Q124="No","Duplicate of an earlier response",IF(L124="Not on SITES","Site not on SITES",IF(N(G124)&gt;N(F124),"Present is more than enrolled",IF(OR(I124&lt;1,I124&gt;5),"Score outside 1 to 5","")))))</f>
        <v/>
      </c>
    </row>
    <row r="125" customFormat="false" ht="15" hidden="false" customHeight="false" outlineLevel="0" collapsed="false">
      <c r="A125" s="52" t="n">
        <v>45944.7346064815</v>
      </c>
      <c r="B125" s="53" t="s">
        <v>124</v>
      </c>
      <c r="C125" s="53" t="s">
        <v>125</v>
      </c>
      <c r="D125" s="53" t="s">
        <v>119</v>
      </c>
      <c r="E125" s="54" t="n">
        <v>45944</v>
      </c>
      <c r="F125" s="55" t="n">
        <v>17</v>
      </c>
      <c r="G125" s="55" t="n">
        <v>15</v>
      </c>
      <c r="H125" s="55" t="n">
        <v>60</v>
      </c>
      <c r="I125" s="56" t="n">
        <v>3.2</v>
      </c>
      <c r="J125" s="53" t="s">
        <v>157</v>
      </c>
      <c r="K125" s="53"/>
      <c r="L125" s="57" t="str">
        <f aca="false">IF(C125="","",IFERROR(INDEX(site_ID,MATCH(C125,site_Name,0)),"Not on SITES"))</f>
        <v>LW-106</v>
      </c>
      <c r="M125" s="58" t="n">
        <f aca="false">IF(E125="","",DATE(YEAR(E125),MONTH(E125),1))</f>
        <v>45931</v>
      </c>
      <c r="N125" s="57" t="str">
        <f aca="false">IF(E125="","","FY"&amp;(YEAR(E125)+IF(AND(FYStart&gt;1,MONTH(E125)&gt;=FYStart),1,0))&amp;" Q"&amp;(INT(MOD(MONTH(E125)-FYStart,12)/3)+1))</f>
        <v>FY2026 Q2</v>
      </c>
      <c r="O125" s="59" t="n">
        <f aca="false">IF(OR(E125="",N(F125)=0),"",G125/F125)</f>
        <v>0.882352941176471</v>
      </c>
      <c r="P125" s="60" t="n">
        <f aca="false">IF(E125="","",ROUND(N(G125)*N(H125)/60,1))</f>
        <v>15</v>
      </c>
      <c r="Q125" s="57" t="str">
        <f aca="false">IF(E125="","",IF(COUNTIFS($C$2:C125,C125,$E$2:E125,E125,$B$2:B125,B125)&gt;1,"No","Yes"))</f>
        <v>Yes</v>
      </c>
      <c r="R125" s="61" t="str">
        <f aca="false">IF(E125="","",IF(Q125="No","Duplicate of an earlier response",IF(L125="Not on SITES","Site not on SITES",IF(N(G125)&gt;N(F125),"Present is more than enrolled",IF(OR(I125&lt;1,I125&gt;5),"Score outside 1 to 5","")))))</f>
        <v/>
      </c>
    </row>
    <row r="126" customFormat="false" ht="15" hidden="false" customHeight="false" outlineLevel="0" collapsed="false">
      <c r="A126" s="52" t="n">
        <v>45944.8599421296</v>
      </c>
      <c r="B126" s="53" t="s">
        <v>121</v>
      </c>
      <c r="C126" s="53" t="s">
        <v>127</v>
      </c>
      <c r="D126" s="53" t="s">
        <v>107</v>
      </c>
      <c r="E126" s="54" t="n">
        <v>45944</v>
      </c>
      <c r="F126" s="55" t="n">
        <v>16</v>
      </c>
      <c r="G126" s="55" t="n">
        <v>12</v>
      </c>
      <c r="H126" s="55" t="n">
        <v>60</v>
      </c>
      <c r="I126" s="56" t="n">
        <v>3.7</v>
      </c>
      <c r="J126" s="53" t="s">
        <v>128</v>
      </c>
      <c r="K126" s="53"/>
      <c r="L126" s="57" t="str">
        <f aca="false">IF(C126="","",IFERROR(INDEX(site_ID,MATCH(C126,site_Name,0)),"Not on SITES"))</f>
        <v>LW-108</v>
      </c>
      <c r="M126" s="58" t="n">
        <f aca="false">IF(E126="","",DATE(YEAR(E126),MONTH(E126),1))</f>
        <v>45931</v>
      </c>
      <c r="N126" s="57" t="str">
        <f aca="false">IF(E126="","","FY"&amp;(YEAR(E126)+IF(AND(FYStart&gt;1,MONTH(E126)&gt;=FYStart),1,0))&amp;" Q"&amp;(INT(MOD(MONTH(E126)-FYStart,12)/3)+1))</f>
        <v>FY2026 Q2</v>
      </c>
      <c r="O126" s="59" t="n">
        <f aca="false">IF(OR(E126="",N(F126)=0),"",G126/F126)</f>
        <v>0.75</v>
      </c>
      <c r="P126" s="60" t="n">
        <f aca="false">IF(E126="","",ROUND(N(G126)*N(H126)/60,1))</f>
        <v>12</v>
      </c>
      <c r="Q126" s="57" t="str">
        <f aca="false">IF(E126="","",IF(COUNTIFS($C$2:C126,C126,$E$2:E126,E126,$B$2:B126,B126)&gt;1,"No","Yes"))</f>
        <v>Yes</v>
      </c>
      <c r="R126" s="61" t="str">
        <f aca="false">IF(E126="","",IF(Q126="No","Duplicate of an earlier response",IF(L126="Not on SITES","Site not on SITES",IF(N(G126)&gt;N(F126),"Present is more than enrolled",IF(OR(I126&lt;1,I126&gt;5),"Score outside 1 to 5","")))))</f>
        <v/>
      </c>
    </row>
    <row r="127" customFormat="false" ht="15" hidden="false" customHeight="false" outlineLevel="0" collapsed="false">
      <c r="A127" s="52" t="n">
        <v>45945.6518171296</v>
      </c>
      <c r="B127" s="53" t="s">
        <v>132</v>
      </c>
      <c r="C127" s="53" t="s">
        <v>145</v>
      </c>
      <c r="D127" s="53" t="s">
        <v>119</v>
      </c>
      <c r="E127" s="54" t="n">
        <v>45945</v>
      </c>
      <c r="F127" s="55" t="n">
        <v>19</v>
      </c>
      <c r="G127" s="55" t="n">
        <v>14</v>
      </c>
      <c r="H127" s="55" t="n">
        <v>90</v>
      </c>
      <c r="I127" s="56" t="n">
        <v>3.2</v>
      </c>
      <c r="J127" s="53" t="s">
        <v>162</v>
      </c>
      <c r="K127" s="53"/>
      <c r="L127" s="57" t="str">
        <f aca="false">IF(C127="","",IFERROR(INDEX(site_ID,MATCH(C127,site_Name,0)),"Not on SITES"))</f>
        <v>LW-101</v>
      </c>
      <c r="M127" s="58" t="n">
        <f aca="false">IF(E127="","",DATE(YEAR(E127),MONTH(E127),1))</f>
        <v>45931</v>
      </c>
      <c r="N127" s="57" t="str">
        <f aca="false">IF(E127="","","FY"&amp;(YEAR(E127)+IF(AND(FYStart&gt;1,MONTH(E127)&gt;=FYStart),1,0))&amp;" Q"&amp;(INT(MOD(MONTH(E127)-FYStart,12)/3)+1))</f>
        <v>FY2026 Q2</v>
      </c>
      <c r="O127" s="59" t="n">
        <f aca="false">IF(OR(E127="",N(F127)=0),"",G127/F127)</f>
        <v>0.736842105263158</v>
      </c>
      <c r="P127" s="60" t="n">
        <f aca="false">IF(E127="","",ROUND(N(G127)*N(H127)/60,1))</f>
        <v>21</v>
      </c>
      <c r="Q127" s="57" t="str">
        <f aca="false">IF(E127="","",IF(COUNTIFS($C$2:C127,C127,$E$2:E127,E127,$B$2:B127,B127)&gt;1,"No","Yes"))</f>
        <v>Yes</v>
      </c>
      <c r="R127" s="61" t="str">
        <f aca="false">IF(E127="","",IF(Q127="No","Duplicate of an earlier response",IF(L127="Not on SITES","Site not on SITES",IF(N(G127)&gt;N(F127),"Present is more than enrolled",IF(OR(I127&lt;1,I127&gt;5),"Score outside 1 to 5","")))))</f>
        <v/>
      </c>
    </row>
    <row r="128" customFormat="false" ht="15" hidden="false" customHeight="false" outlineLevel="0" collapsed="false">
      <c r="A128" s="52" t="n">
        <v>45945.6679398148</v>
      </c>
      <c r="B128" s="53" t="s">
        <v>111</v>
      </c>
      <c r="C128" s="53" t="s">
        <v>112</v>
      </c>
      <c r="D128" s="53" t="s">
        <v>113</v>
      </c>
      <c r="E128" s="54" t="n">
        <v>45945</v>
      </c>
      <c r="F128" s="55" t="n">
        <v>15</v>
      </c>
      <c r="G128" s="55" t="n">
        <v>14</v>
      </c>
      <c r="H128" s="55" t="n">
        <v>60</v>
      </c>
      <c r="I128" s="56" t="n">
        <v>3</v>
      </c>
      <c r="J128" s="53" t="s">
        <v>131</v>
      </c>
      <c r="K128" s="53"/>
      <c r="L128" s="57" t="str">
        <f aca="false">IF(C128="","",IFERROR(INDEX(site_ID,MATCH(C128,site_Name,0)),"Not on SITES"))</f>
        <v>LW-120</v>
      </c>
      <c r="M128" s="58" t="n">
        <f aca="false">IF(E128="","",DATE(YEAR(E128),MONTH(E128),1))</f>
        <v>45931</v>
      </c>
      <c r="N128" s="57" t="str">
        <f aca="false">IF(E128="","","FY"&amp;(YEAR(E128)+IF(AND(FYStart&gt;1,MONTH(E128)&gt;=FYStart),1,0))&amp;" Q"&amp;(INT(MOD(MONTH(E128)-FYStart,12)/3)+1))</f>
        <v>FY2026 Q2</v>
      </c>
      <c r="O128" s="59" t="n">
        <f aca="false">IF(OR(E128="",N(F128)=0),"",G128/F128)</f>
        <v>0.933333333333333</v>
      </c>
      <c r="P128" s="60" t="n">
        <f aca="false">IF(E128="","",ROUND(N(G128)*N(H128)/60,1))</f>
        <v>14</v>
      </c>
      <c r="Q128" s="57" t="str">
        <f aca="false">IF(E128="","",IF(COUNTIFS($C$2:C128,C128,$E$2:E128,E128,$B$2:B128,B128)&gt;1,"No","Yes"))</f>
        <v>Yes</v>
      </c>
      <c r="R128" s="61" t="str">
        <f aca="false">IF(E128="","",IF(Q128="No","Duplicate of an earlier response",IF(L128="Not on SITES","Site not on SITES",IF(N(G128)&gt;N(F128),"Present is more than enrolled",IF(OR(I128&lt;1,I128&gt;5),"Score outside 1 to 5","")))))</f>
        <v/>
      </c>
    </row>
    <row r="129" customFormat="false" ht="15" hidden="false" customHeight="false" outlineLevel="0" collapsed="false">
      <c r="A129" s="52" t="n">
        <v>45945.6786574074</v>
      </c>
      <c r="B129" s="53" t="s">
        <v>105</v>
      </c>
      <c r="C129" s="53" t="s">
        <v>118</v>
      </c>
      <c r="D129" s="53" t="s">
        <v>119</v>
      </c>
      <c r="E129" s="54" t="n">
        <v>45945</v>
      </c>
      <c r="F129" s="55" t="n">
        <v>20</v>
      </c>
      <c r="G129" s="55" t="n">
        <v>17</v>
      </c>
      <c r="H129" s="55" t="n">
        <v>90</v>
      </c>
      <c r="I129" s="56" t="n">
        <v>3.3</v>
      </c>
      <c r="J129" s="53" t="s">
        <v>144</v>
      </c>
      <c r="K129" s="53"/>
      <c r="L129" s="57" t="str">
        <f aca="false">IF(C129="","",IFERROR(INDEX(site_ID,MATCH(C129,site_Name,0)),"Not on SITES"))</f>
        <v>LW-111</v>
      </c>
      <c r="M129" s="58" t="n">
        <f aca="false">IF(E129="","",DATE(YEAR(E129),MONTH(E129),1))</f>
        <v>45931</v>
      </c>
      <c r="N129" s="57" t="str">
        <f aca="false">IF(E129="","","FY"&amp;(YEAR(E129)+IF(AND(FYStart&gt;1,MONTH(E129)&gt;=FYStart),1,0))&amp;" Q"&amp;(INT(MOD(MONTH(E129)-FYStart,12)/3)+1))</f>
        <v>FY2026 Q2</v>
      </c>
      <c r="O129" s="59" t="n">
        <f aca="false">IF(OR(E129="",N(F129)=0),"",G129/F129)</f>
        <v>0.85</v>
      </c>
      <c r="P129" s="60" t="n">
        <f aca="false">IF(E129="","",ROUND(N(G129)*N(H129)/60,1))</f>
        <v>25.5</v>
      </c>
      <c r="Q129" s="57" t="str">
        <f aca="false">IF(E129="","",IF(COUNTIFS($C$2:C129,C129,$E$2:E129,E129,$B$2:B129,B129)&gt;1,"No","Yes"))</f>
        <v>Yes</v>
      </c>
      <c r="R129" s="61" t="str">
        <f aca="false">IF(E129="","",IF(Q129="No","Duplicate of an earlier response",IF(L129="Not on SITES","Site not on SITES",IF(N(G129)&gt;N(F129),"Present is more than enrolled",IF(OR(I129&lt;1,I129&gt;5),"Score outside 1 to 5","")))))</f>
        <v/>
      </c>
    </row>
    <row r="130" customFormat="false" ht="15" hidden="false" customHeight="false" outlineLevel="0" collapsed="false">
      <c r="A130" s="52" t="n">
        <v>45945.7094212963</v>
      </c>
      <c r="B130" s="53" t="s">
        <v>105</v>
      </c>
      <c r="C130" s="53" t="s">
        <v>115</v>
      </c>
      <c r="D130" s="53" t="s">
        <v>116</v>
      </c>
      <c r="E130" s="54" t="n">
        <v>45943</v>
      </c>
      <c r="F130" s="55" t="n">
        <v>16</v>
      </c>
      <c r="G130" s="55" t="n">
        <v>14</v>
      </c>
      <c r="H130" s="55" t="n">
        <v>90</v>
      </c>
      <c r="I130" s="56" t="n">
        <v>3.1</v>
      </c>
      <c r="J130" s="53" t="s">
        <v>123</v>
      </c>
      <c r="K130" s="53"/>
      <c r="L130" s="57" t="str">
        <f aca="false">IF(C130="","",IFERROR(INDEX(site_ID,MATCH(C130,site_Name,0)),"Not on SITES"))</f>
        <v>LW-119</v>
      </c>
      <c r="M130" s="58" t="n">
        <f aca="false">IF(E130="","",DATE(YEAR(E130),MONTH(E130),1))</f>
        <v>45931</v>
      </c>
      <c r="N130" s="57" t="str">
        <f aca="false">IF(E130="","","FY"&amp;(YEAR(E130)+IF(AND(FYStart&gt;1,MONTH(E130)&gt;=FYStart),1,0))&amp;" Q"&amp;(INT(MOD(MONTH(E130)-FYStart,12)/3)+1))</f>
        <v>FY2026 Q2</v>
      </c>
      <c r="O130" s="59" t="n">
        <f aca="false">IF(OR(E130="",N(F130)=0),"",G130/F130)</f>
        <v>0.875</v>
      </c>
      <c r="P130" s="60" t="n">
        <f aca="false">IF(E130="","",ROUND(N(G130)*N(H130)/60,1))</f>
        <v>21</v>
      </c>
      <c r="Q130" s="57" t="str">
        <f aca="false">IF(E130="","",IF(COUNTIFS($C$2:C130,C130,$E$2:E130,E130,$B$2:B130,B130)&gt;1,"No","Yes"))</f>
        <v>Yes</v>
      </c>
      <c r="R130" s="61" t="str">
        <f aca="false">IF(E130="","",IF(Q130="No","Duplicate of an earlier response",IF(L130="Not on SITES","Site not on SITES",IF(N(G130)&gt;N(F130),"Present is more than enrolled",IF(OR(I130&lt;1,I130&gt;5),"Score outside 1 to 5","")))))</f>
        <v/>
      </c>
    </row>
    <row r="131" customFormat="false" ht="15" hidden="false" customHeight="false" outlineLevel="0" collapsed="false">
      <c r="A131" s="52" t="n">
        <v>45945.7638773148</v>
      </c>
      <c r="B131" s="53" t="s">
        <v>129</v>
      </c>
      <c r="C131" s="53" t="s">
        <v>137</v>
      </c>
      <c r="D131" s="53" t="s">
        <v>138</v>
      </c>
      <c r="E131" s="54" t="n">
        <v>45945</v>
      </c>
      <c r="F131" s="55" t="n">
        <v>19</v>
      </c>
      <c r="G131" s="55" t="n">
        <v>18</v>
      </c>
      <c r="H131" s="55" t="n">
        <v>90</v>
      </c>
      <c r="I131" s="56" t="n">
        <v>3.6</v>
      </c>
      <c r="J131" s="53" t="s">
        <v>139</v>
      </c>
      <c r="K131" s="53"/>
      <c r="L131" s="57" t="str">
        <f aca="false">IF(C131="","",IFERROR(INDEX(site_ID,MATCH(C131,site_Name,0)),"Not on SITES"))</f>
        <v>LW-115</v>
      </c>
      <c r="M131" s="58" t="n">
        <f aca="false">IF(E131="","",DATE(YEAR(E131),MONTH(E131),1))</f>
        <v>45931</v>
      </c>
      <c r="N131" s="57" t="str">
        <f aca="false">IF(E131="","","FY"&amp;(YEAR(E131)+IF(AND(FYStart&gt;1,MONTH(E131)&gt;=FYStart),1,0))&amp;" Q"&amp;(INT(MOD(MONTH(E131)-FYStart,12)/3)+1))</f>
        <v>FY2026 Q2</v>
      </c>
      <c r="O131" s="59" t="n">
        <f aca="false">IF(OR(E131="",N(F131)=0),"",G131/F131)</f>
        <v>0.947368421052632</v>
      </c>
      <c r="P131" s="60" t="n">
        <f aca="false">IF(E131="","",ROUND(N(G131)*N(H131)/60,1))</f>
        <v>27</v>
      </c>
      <c r="Q131" s="57" t="str">
        <f aca="false">IF(E131="","",IF(COUNTIFS($C$2:C131,C131,$E$2:E131,E131,$B$2:B131,B131)&gt;1,"No","Yes"))</f>
        <v>Yes</v>
      </c>
      <c r="R131" s="61" t="str">
        <f aca="false">IF(E131="","",IF(Q131="No","Duplicate of an earlier response",IF(L131="Not on SITES","Site not on SITES",IF(N(G131)&gt;N(F131),"Present is more than enrolled",IF(OR(I131&lt;1,I131&gt;5),"Score outside 1 to 5","")))))</f>
        <v/>
      </c>
    </row>
    <row r="132" customFormat="false" ht="15" hidden="false" customHeight="false" outlineLevel="0" collapsed="false">
      <c r="A132" s="52" t="n">
        <v>45945.7922569444</v>
      </c>
      <c r="B132" s="53" t="s">
        <v>140</v>
      </c>
      <c r="C132" s="53" t="s">
        <v>141</v>
      </c>
      <c r="D132" s="53" t="s">
        <v>116</v>
      </c>
      <c r="E132" s="54" t="n">
        <v>45945</v>
      </c>
      <c r="F132" s="55" t="n">
        <v>11</v>
      </c>
      <c r="G132" s="55" t="n">
        <v>9</v>
      </c>
      <c r="H132" s="55" t="n">
        <v>60</v>
      </c>
      <c r="I132" s="56" t="n">
        <v>3.4</v>
      </c>
      <c r="J132" s="53" t="s">
        <v>134</v>
      </c>
      <c r="K132" s="53"/>
      <c r="L132" s="57" t="str">
        <f aca="false">IF(C132="","",IFERROR(INDEX(site_ID,MATCH(C132,site_Name,0)),"Not on SITES"))</f>
        <v>LW-118</v>
      </c>
      <c r="M132" s="58" t="n">
        <f aca="false">IF(E132="","",DATE(YEAR(E132),MONTH(E132),1))</f>
        <v>45931</v>
      </c>
      <c r="N132" s="57" t="str">
        <f aca="false">IF(E132="","","FY"&amp;(YEAR(E132)+IF(AND(FYStart&gt;1,MONTH(E132)&gt;=FYStart),1,0))&amp;" Q"&amp;(INT(MOD(MONTH(E132)-FYStart,12)/3)+1))</f>
        <v>FY2026 Q2</v>
      </c>
      <c r="O132" s="59" t="n">
        <f aca="false">IF(OR(E132="",N(F132)=0),"",G132/F132)</f>
        <v>0.818181818181818</v>
      </c>
      <c r="P132" s="60" t="n">
        <f aca="false">IF(E132="","",ROUND(N(G132)*N(H132)/60,1))</f>
        <v>9</v>
      </c>
      <c r="Q132" s="57" t="str">
        <f aca="false">IF(E132="","",IF(COUNTIFS($C$2:C132,C132,$E$2:E132,E132,$B$2:B132,B132)&gt;1,"No","Yes"))</f>
        <v>Yes</v>
      </c>
      <c r="R132" s="61" t="str">
        <f aca="false">IF(E132="","",IF(Q132="No","Duplicate of an earlier response",IF(L132="Not on SITES","Site not on SITES",IF(N(G132)&gt;N(F132),"Present is more than enrolled",IF(OR(I132&lt;1,I132&gt;5),"Score outside 1 to 5","")))))</f>
        <v/>
      </c>
    </row>
    <row r="133" customFormat="false" ht="15" hidden="false" customHeight="false" outlineLevel="0" collapsed="false">
      <c r="A133" s="52" t="n">
        <v>45945.8299421296</v>
      </c>
      <c r="B133" s="53" t="s">
        <v>140</v>
      </c>
      <c r="C133" s="53" t="s">
        <v>142</v>
      </c>
      <c r="D133" s="53" t="s">
        <v>113</v>
      </c>
      <c r="E133" s="54" t="n">
        <v>45945</v>
      </c>
      <c r="F133" s="55" t="n">
        <v>17</v>
      </c>
      <c r="G133" s="55" t="n">
        <v>16</v>
      </c>
      <c r="H133" s="55" t="n">
        <v>60</v>
      </c>
      <c r="I133" s="56" t="n">
        <v>2.7</v>
      </c>
      <c r="J133" s="53" t="s">
        <v>131</v>
      </c>
      <c r="K133" s="53"/>
      <c r="L133" s="57" t="str">
        <f aca="false">IF(C133="","",IFERROR(INDEX(site_ID,MATCH(C133,site_Name,0)),"Not on SITES"))</f>
        <v>LW-102</v>
      </c>
      <c r="M133" s="58" t="n">
        <f aca="false">IF(E133="","",DATE(YEAR(E133),MONTH(E133),1))</f>
        <v>45931</v>
      </c>
      <c r="N133" s="57" t="str">
        <f aca="false">IF(E133="","","FY"&amp;(YEAR(E133)+IF(AND(FYStart&gt;1,MONTH(E133)&gt;=FYStart),1,0))&amp;" Q"&amp;(INT(MOD(MONTH(E133)-FYStart,12)/3)+1))</f>
        <v>FY2026 Q2</v>
      </c>
      <c r="O133" s="59" t="n">
        <f aca="false">IF(OR(E133="",N(F133)=0),"",G133/F133)</f>
        <v>0.941176470588235</v>
      </c>
      <c r="P133" s="60" t="n">
        <f aca="false">IF(E133="","",ROUND(N(G133)*N(H133)/60,1))</f>
        <v>16</v>
      </c>
      <c r="Q133" s="57" t="str">
        <f aca="false">IF(E133="","",IF(COUNTIFS($C$2:C133,C133,$E$2:E133,E133,$B$2:B133,B133)&gt;1,"No","Yes"))</f>
        <v>Yes</v>
      </c>
      <c r="R133" s="61" t="str">
        <f aca="false">IF(E133="","",IF(Q133="No","Duplicate of an earlier response",IF(L133="Not on SITES","Site not on SITES",IF(N(G133)&gt;N(F133),"Present is more than enrolled",IF(OR(I133&lt;1,I133&gt;5),"Score outside 1 to 5","")))))</f>
        <v/>
      </c>
    </row>
    <row r="134" customFormat="false" ht="15" hidden="false" customHeight="false" outlineLevel="0" collapsed="false">
      <c r="A134" s="52" t="n">
        <v>45946.6363078704</v>
      </c>
      <c r="B134" s="53" t="s">
        <v>111</v>
      </c>
      <c r="C134" s="53" t="s">
        <v>149</v>
      </c>
      <c r="D134" s="53" t="s">
        <v>113</v>
      </c>
      <c r="E134" s="54" t="n">
        <v>45946</v>
      </c>
      <c r="F134" s="55" t="n">
        <v>21</v>
      </c>
      <c r="G134" s="55" t="n">
        <v>20</v>
      </c>
      <c r="H134" s="55" t="n">
        <v>90</v>
      </c>
      <c r="I134" s="56" t="n">
        <v>3.5</v>
      </c>
      <c r="J134" s="53" t="s">
        <v>165</v>
      </c>
      <c r="K134" s="53"/>
      <c r="L134" s="57" t="str">
        <f aca="false">IF(C134="","",IFERROR(INDEX(site_ID,MATCH(C134,site_Name,0)),"Not on SITES"))</f>
        <v>LW-112</v>
      </c>
      <c r="M134" s="58" t="n">
        <f aca="false">IF(E134="","",DATE(YEAR(E134),MONTH(E134),1))</f>
        <v>45931</v>
      </c>
      <c r="N134" s="57" t="str">
        <f aca="false">IF(E134="","","FY"&amp;(YEAR(E134)+IF(AND(FYStart&gt;1,MONTH(E134)&gt;=FYStart),1,0))&amp;" Q"&amp;(INT(MOD(MONTH(E134)-FYStart,12)/3)+1))</f>
        <v>FY2026 Q2</v>
      </c>
      <c r="O134" s="59" t="n">
        <f aca="false">IF(OR(E134="",N(F134)=0),"",G134/F134)</f>
        <v>0.952380952380952</v>
      </c>
      <c r="P134" s="60" t="n">
        <f aca="false">IF(E134="","",ROUND(N(G134)*N(H134)/60,1))</f>
        <v>30</v>
      </c>
      <c r="Q134" s="57" t="str">
        <f aca="false">IF(E134="","",IF(COUNTIFS($C$2:C134,C134,$E$2:E134,E134,$B$2:B134,B134)&gt;1,"No","Yes"))</f>
        <v>Yes</v>
      </c>
      <c r="R134" s="61" t="str">
        <f aca="false">IF(E134="","",IF(Q134="No","Duplicate of an earlier response",IF(L134="Not on SITES","Site not on SITES",IF(N(G134)&gt;N(F134),"Present is more than enrolled",IF(OR(I134&lt;1,I134&gt;5),"Score outside 1 to 5","")))))</f>
        <v/>
      </c>
    </row>
    <row r="135" customFormat="false" ht="15" hidden="false" customHeight="false" outlineLevel="0" collapsed="false">
      <c r="A135" s="52" t="n">
        <v>45946.6647569445</v>
      </c>
      <c r="B135" s="53" t="s">
        <v>132</v>
      </c>
      <c r="C135" s="53" t="s">
        <v>150</v>
      </c>
      <c r="D135" s="53" t="s">
        <v>138</v>
      </c>
      <c r="E135" s="54" t="n">
        <v>45946</v>
      </c>
      <c r="F135" s="55" t="n">
        <v>20</v>
      </c>
      <c r="G135" s="55" t="n">
        <v>18</v>
      </c>
      <c r="H135" s="55" t="n">
        <v>90</v>
      </c>
      <c r="I135" s="56" t="n">
        <v>3.5</v>
      </c>
      <c r="J135" s="53" t="s">
        <v>139</v>
      </c>
      <c r="K135" s="53"/>
      <c r="L135" s="57" t="str">
        <f aca="false">IF(C135="","",IFERROR(INDEX(site_ID,MATCH(C135,site_Name,0)),"Not on SITES"))</f>
        <v>LW-117</v>
      </c>
      <c r="M135" s="58" t="n">
        <f aca="false">IF(E135="","",DATE(YEAR(E135),MONTH(E135),1))</f>
        <v>45931</v>
      </c>
      <c r="N135" s="57" t="str">
        <f aca="false">IF(E135="","","FY"&amp;(YEAR(E135)+IF(AND(FYStart&gt;1,MONTH(E135)&gt;=FYStart),1,0))&amp;" Q"&amp;(INT(MOD(MONTH(E135)-FYStart,12)/3)+1))</f>
        <v>FY2026 Q2</v>
      </c>
      <c r="O135" s="59" t="n">
        <f aca="false">IF(OR(E135="",N(F135)=0),"",G135/F135)</f>
        <v>0.9</v>
      </c>
      <c r="P135" s="60" t="n">
        <f aca="false">IF(E135="","",ROUND(N(G135)*N(H135)/60,1))</f>
        <v>27</v>
      </c>
      <c r="Q135" s="57" t="str">
        <f aca="false">IF(E135="","",IF(COUNTIFS($C$2:C135,C135,$E$2:E135,E135,$B$2:B135,B135)&gt;1,"No","Yes"))</f>
        <v>Yes</v>
      </c>
      <c r="R135" s="61" t="str">
        <f aca="false">IF(E135="","",IF(Q135="No","Duplicate of an earlier response",IF(L135="Not on SITES","Site not on SITES",IF(N(G135)&gt;N(F135),"Present is more than enrolled",IF(OR(I135&lt;1,I135&gt;5),"Score outside 1 to 5","")))))</f>
        <v/>
      </c>
    </row>
    <row r="136" customFormat="false" ht="15" hidden="false" customHeight="false" outlineLevel="0" collapsed="false">
      <c r="A136" s="52" t="n">
        <v>45946.7003472222</v>
      </c>
      <c r="B136" s="53" t="s">
        <v>121</v>
      </c>
      <c r="C136" s="53" t="s">
        <v>122</v>
      </c>
      <c r="D136" s="53" t="s">
        <v>116</v>
      </c>
      <c r="E136" s="54" t="n">
        <v>45946</v>
      </c>
      <c r="F136" s="55" t="n">
        <v>16</v>
      </c>
      <c r="G136" s="55" t="n">
        <v>13</v>
      </c>
      <c r="H136" s="55" t="n">
        <v>90</v>
      </c>
      <c r="I136" s="56" t="n">
        <v>2.9</v>
      </c>
      <c r="J136" s="53" t="s">
        <v>123</v>
      </c>
      <c r="K136" s="53"/>
      <c r="L136" s="57" t="str">
        <f aca="false">IF(C136="","",IFERROR(INDEX(site_ID,MATCH(C136,site_Name,0)),"Not on SITES"))</f>
        <v>LW-116</v>
      </c>
      <c r="M136" s="58" t="n">
        <f aca="false">IF(E136="","",DATE(YEAR(E136),MONTH(E136),1))</f>
        <v>45931</v>
      </c>
      <c r="N136" s="57" t="str">
        <f aca="false">IF(E136="","","FY"&amp;(YEAR(E136)+IF(AND(FYStart&gt;1,MONTH(E136)&gt;=FYStart),1,0))&amp;" Q"&amp;(INT(MOD(MONTH(E136)-FYStart,12)/3)+1))</f>
        <v>FY2026 Q2</v>
      </c>
      <c r="O136" s="59" t="n">
        <f aca="false">IF(OR(E136="",N(F136)=0),"",G136/F136)</f>
        <v>0.8125</v>
      </c>
      <c r="P136" s="60" t="n">
        <f aca="false">IF(E136="","",ROUND(N(G136)*N(H136)/60,1))</f>
        <v>19.5</v>
      </c>
      <c r="Q136" s="57" t="str">
        <f aca="false">IF(E136="","",IF(COUNTIFS($C$2:C136,C136,$E$2:E136,E136,$B$2:B136,B136)&gt;1,"No","Yes"))</f>
        <v>Yes</v>
      </c>
      <c r="R136" s="61" t="str">
        <f aca="false">IF(E136="","",IF(Q136="No","Duplicate of an earlier response",IF(L136="Not on SITES","Site not on SITES",IF(N(G136)&gt;N(F136),"Present is more than enrolled",IF(OR(I136&lt;1,I136&gt;5),"Score outside 1 to 5","")))))</f>
        <v/>
      </c>
    </row>
    <row r="137" customFormat="false" ht="15" hidden="false" customHeight="false" outlineLevel="0" collapsed="false">
      <c r="A137" s="52" t="n">
        <v>45946.8379861111</v>
      </c>
      <c r="B137" s="53" t="s">
        <v>140</v>
      </c>
      <c r="C137" s="53" t="s">
        <v>151</v>
      </c>
      <c r="D137" s="53" t="s">
        <v>138</v>
      </c>
      <c r="E137" s="54" t="n">
        <v>45946</v>
      </c>
      <c r="F137" s="55" t="n">
        <v>14</v>
      </c>
      <c r="G137" s="55" t="n">
        <v>11</v>
      </c>
      <c r="H137" s="55" t="n">
        <v>90</v>
      </c>
      <c r="I137" s="56" t="n">
        <v>3.4</v>
      </c>
      <c r="J137" s="53" t="s">
        <v>163</v>
      </c>
      <c r="K137" s="53" t="s">
        <v>161</v>
      </c>
      <c r="L137" s="57" t="str">
        <f aca="false">IF(C137="","",IFERROR(INDEX(site_ID,MATCH(C137,site_Name,0)),"Not on SITES"))</f>
        <v>LW-110</v>
      </c>
      <c r="M137" s="58" t="n">
        <f aca="false">IF(E137="","",DATE(YEAR(E137),MONTH(E137),1))</f>
        <v>45931</v>
      </c>
      <c r="N137" s="57" t="str">
        <f aca="false">IF(E137="","","FY"&amp;(YEAR(E137)+IF(AND(FYStart&gt;1,MONTH(E137)&gt;=FYStart),1,0))&amp;" Q"&amp;(INT(MOD(MONTH(E137)-FYStart,12)/3)+1))</f>
        <v>FY2026 Q2</v>
      </c>
      <c r="O137" s="59" t="n">
        <f aca="false">IF(OR(E137="",N(F137)=0),"",G137/F137)</f>
        <v>0.785714285714286</v>
      </c>
      <c r="P137" s="60" t="n">
        <f aca="false">IF(E137="","",ROUND(N(G137)*N(H137)/60,1))</f>
        <v>16.5</v>
      </c>
      <c r="Q137" s="57" t="str">
        <f aca="false">IF(E137="","",IF(COUNTIFS($C$2:C137,C137,$E$2:E137,E137,$B$2:B137,B137)&gt;1,"No","Yes"))</f>
        <v>Yes</v>
      </c>
      <c r="R137" s="61" t="str">
        <f aca="false">IF(E137="","",IF(Q137="No","Duplicate of an earlier response",IF(L137="Not on SITES","Site not on SITES",IF(N(G137)&gt;N(F137),"Present is more than enrolled",IF(OR(I137&lt;1,I137&gt;5),"Score outside 1 to 5","")))))</f>
        <v/>
      </c>
    </row>
    <row r="138" customFormat="false" ht="15" hidden="false" customHeight="false" outlineLevel="0" collapsed="false">
      <c r="A138" s="52" t="n">
        <v>45947.6570023148</v>
      </c>
      <c r="B138" s="53" t="s">
        <v>140</v>
      </c>
      <c r="C138" s="53" t="s">
        <v>141</v>
      </c>
      <c r="D138" s="53" t="s">
        <v>116</v>
      </c>
      <c r="E138" s="54" t="n">
        <v>45947</v>
      </c>
      <c r="F138" s="55" t="n">
        <v>12</v>
      </c>
      <c r="G138" s="55" t="n">
        <v>10</v>
      </c>
      <c r="H138" s="55" t="n">
        <v>75</v>
      </c>
      <c r="I138" s="56" t="n">
        <v>3.8</v>
      </c>
      <c r="J138" s="53" t="s">
        <v>117</v>
      </c>
      <c r="K138" s="53"/>
      <c r="L138" s="57" t="str">
        <f aca="false">IF(C138="","",IFERROR(INDEX(site_ID,MATCH(C138,site_Name,0)),"Not on SITES"))</f>
        <v>LW-118</v>
      </c>
      <c r="M138" s="58" t="n">
        <f aca="false">IF(E138="","",DATE(YEAR(E138),MONTH(E138),1))</f>
        <v>45931</v>
      </c>
      <c r="N138" s="57" t="str">
        <f aca="false">IF(E138="","","FY"&amp;(YEAR(E138)+IF(AND(FYStart&gt;1,MONTH(E138)&gt;=FYStart),1,0))&amp;" Q"&amp;(INT(MOD(MONTH(E138)-FYStart,12)/3)+1))</f>
        <v>FY2026 Q2</v>
      </c>
      <c r="O138" s="59" t="n">
        <f aca="false">IF(OR(E138="",N(F138)=0),"",G138/F138)</f>
        <v>0.833333333333333</v>
      </c>
      <c r="P138" s="60" t="n">
        <f aca="false">IF(E138="","",ROUND(N(G138)*N(H138)/60,1))</f>
        <v>12.5</v>
      </c>
      <c r="Q138" s="57" t="str">
        <f aca="false">IF(E138="","",IF(COUNTIFS($C$2:C138,C138,$E$2:E138,E138,$B$2:B138,B138)&gt;1,"No","Yes"))</f>
        <v>Yes</v>
      </c>
      <c r="R138" s="61" t="str">
        <f aca="false">IF(E138="","",IF(Q138="No","Duplicate of an earlier response",IF(L138="Not on SITES","Site not on SITES",IF(N(G138)&gt;N(F138),"Present is more than enrolled",IF(OR(I138&lt;1,I138&gt;5),"Score outside 1 to 5","")))))</f>
        <v/>
      </c>
    </row>
    <row r="139" customFormat="false" ht="15" hidden="false" customHeight="false" outlineLevel="0" collapsed="false">
      <c r="A139" s="52" t="n">
        <v>45947.7791550926</v>
      </c>
      <c r="B139" s="53" t="s">
        <v>129</v>
      </c>
      <c r="C139" s="53" t="s">
        <v>137</v>
      </c>
      <c r="D139" s="53" t="s">
        <v>138</v>
      </c>
      <c r="E139" s="54" t="n">
        <v>45947</v>
      </c>
      <c r="F139" s="55" t="n">
        <v>20</v>
      </c>
      <c r="G139" s="55" t="n">
        <v>19</v>
      </c>
      <c r="H139" s="55" t="n">
        <v>90</v>
      </c>
      <c r="I139" s="56" t="n">
        <v>3.3</v>
      </c>
      <c r="J139" s="53" t="s">
        <v>152</v>
      </c>
      <c r="K139" s="53" t="s">
        <v>167</v>
      </c>
      <c r="L139" s="57" t="str">
        <f aca="false">IF(C139="","",IFERROR(INDEX(site_ID,MATCH(C139,site_Name,0)),"Not on SITES"))</f>
        <v>LW-115</v>
      </c>
      <c r="M139" s="58" t="n">
        <f aca="false">IF(E139="","",DATE(YEAR(E139),MONTH(E139),1))</f>
        <v>45931</v>
      </c>
      <c r="N139" s="57" t="str">
        <f aca="false">IF(E139="","","FY"&amp;(YEAR(E139)+IF(AND(FYStart&gt;1,MONTH(E139)&gt;=FYStart),1,0))&amp;" Q"&amp;(INT(MOD(MONTH(E139)-FYStart,12)/3)+1))</f>
        <v>FY2026 Q2</v>
      </c>
      <c r="O139" s="59" t="n">
        <f aca="false">IF(OR(E139="",N(F139)=0),"",G139/F139)</f>
        <v>0.95</v>
      </c>
      <c r="P139" s="60" t="n">
        <f aca="false">IF(E139="","",ROUND(N(G139)*N(H139)/60,1))</f>
        <v>28.5</v>
      </c>
      <c r="Q139" s="57" t="str">
        <f aca="false">IF(E139="","",IF(COUNTIFS($C$2:C139,C139,$E$2:E139,E139,$B$2:B139,B139)&gt;1,"No","Yes"))</f>
        <v>Yes</v>
      </c>
      <c r="R139" s="61" t="str">
        <f aca="false">IF(E139="","",IF(Q139="No","Duplicate of an earlier response",IF(L139="Not on SITES","Site not on SITES",IF(N(G139)&gt;N(F139),"Present is more than enrolled",IF(OR(I139&lt;1,I139&gt;5),"Score outside 1 to 5","")))))</f>
        <v/>
      </c>
    </row>
    <row r="140" customFormat="false" ht="15" hidden="false" customHeight="false" outlineLevel="0" collapsed="false">
      <c r="A140" s="52" t="n">
        <v>45949.7666087963</v>
      </c>
      <c r="B140" s="53" t="s">
        <v>124</v>
      </c>
      <c r="C140" s="53" t="s">
        <v>154</v>
      </c>
      <c r="D140" s="53" t="s">
        <v>116</v>
      </c>
      <c r="E140" s="54" t="n">
        <v>45946</v>
      </c>
      <c r="F140" s="55" t="n">
        <v>18</v>
      </c>
      <c r="G140" s="55" t="n">
        <v>16</v>
      </c>
      <c r="H140" s="55" t="n">
        <v>60</v>
      </c>
      <c r="I140" s="56" t="n">
        <v>3.1</v>
      </c>
      <c r="J140" s="53" t="s">
        <v>123</v>
      </c>
      <c r="K140" s="53"/>
      <c r="L140" s="57" t="str">
        <f aca="false">IF(C140="","",IFERROR(INDEX(site_ID,MATCH(C140,site_Name,0)),"Not on SITES"))</f>
        <v>LW-114</v>
      </c>
      <c r="M140" s="58" t="n">
        <f aca="false">IF(E140="","",DATE(YEAR(E140),MONTH(E140),1))</f>
        <v>45931</v>
      </c>
      <c r="N140" s="57" t="str">
        <f aca="false">IF(E140="","","FY"&amp;(YEAR(E140)+IF(AND(FYStart&gt;1,MONTH(E140)&gt;=FYStart),1,0))&amp;" Q"&amp;(INT(MOD(MONTH(E140)-FYStart,12)/3)+1))</f>
        <v>FY2026 Q2</v>
      </c>
      <c r="O140" s="59" t="n">
        <f aca="false">IF(OR(E140="",N(F140)=0),"",G140/F140)</f>
        <v>0.888888888888889</v>
      </c>
      <c r="P140" s="60" t="n">
        <f aca="false">IF(E140="","",ROUND(N(G140)*N(H140)/60,1))</f>
        <v>16</v>
      </c>
      <c r="Q140" s="57" t="str">
        <f aca="false">IF(E140="","",IF(COUNTIFS($C$2:C140,C140,$E$2:E140,E140,$B$2:B140,B140)&gt;1,"No","Yes"))</f>
        <v>Yes</v>
      </c>
      <c r="R140" s="61" t="str">
        <f aca="false">IF(E140="","",IF(Q140="No","Duplicate of an earlier response",IF(L140="Not on SITES","Site not on SITES",IF(N(G140)&gt;N(F140),"Present is more than enrolled",IF(OR(I140&lt;1,I140&gt;5),"Score outside 1 to 5","")))))</f>
        <v/>
      </c>
    </row>
    <row r="141" customFormat="false" ht="15" hidden="false" customHeight="false" outlineLevel="0" collapsed="false">
      <c r="A141" s="52" t="n">
        <v>45949.7954398148</v>
      </c>
      <c r="B141" s="53" t="s">
        <v>109</v>
      </c>
      <c r="C141" s="53" t="s">
        <v>146</v>
      </c>
      <c r="D141" s="53" t="s">
        <v>138</v>
      </c>
      <c r="E141" s="54" t="n">
        <v>45946</v>
      </c>
      <c r="F141" s="55" t="n">
        <v>14</v>
      </c>
      <c r="G141" s="55" t="n">
        <v>13</v>
      </c>
      <c r="H141" s="55" t="n">
        <v>90</v>
      </c>
      <c r="I141" s="56" t="n">
        <v>3.4</v>
      </c>
      <c r="J141" s="53" t="s">
        <v>164</v>
      </c>
      <c r="K141" s="53"/>
      <c r="L141" s="57" t="str">
        <f aca="false">IF(C141="","",IFERROR(INDEX(site_ID,MATCH(C141,site_Name,0)),"Not on SITES"))</f>
        <v>LW-105</v>
      </c>
      <c r="M141" s="58" t="n">
        <f aca="false">IF(E141="","",DATE(YEAR(E141),MONTH(E141),1))</f>
        <v>45931</v>
      </c>
      <c r="N141" s="57" t="str">
        <f aca="false">IF(E141="","","FY"&amp;(YEAR(E141)+IF(AND(FYStart&gt;1,MONTH(E141)&gt;=FYStart),1,0))&amp;" Q"&amp;(INT(MOD(MONTH(E141)-FYStart,12)/3)+1))</f>
        <v>FY2026 Q2</v>
      </c>
      <c r="O141" s="59" t="n">
        <f aca="false">IF(OR(E141="",N(F141)=0),"",G141/F141)</f>
        <v>0.928571428571429</v>
      </c>
      <c r="P141" s="60" t="n">
        <f aca="false">IF(E141="","",ROUND(N(G141)*N(H141)/60,1))</f>
        <v>19.5</v>
      </c>
      <c r="Q141" s="57" t="str">
        <f aca="false">IF(E141="","",IF(COUNTIFS($C$2:C141,C141,$E$2:E141,E141,$B$2:B141,B141)&gt;1,"No","Yes"))</f>
        <v>Yes</v>
      </c>
      <c r="R141" s="61" t="str">
        <f aca="false">IF(E141="","",IF(Q141="No","Duplicate of an earlier response",IF(L141="Not on SITES","Site not on SITES",IF(N(G141)&gt;N(F141),"Present is more than enrolled",IF(OR(I141&lt;1,I141&gt;5),"Score outside 1 to 5","")))))</f>
        <v/>
      </c>
    </row>
    <row r="142" customFormat="false" ht="15" hidden="false" customHeight="false" outlineLevel="0" collapsed="false">
      <c r="A142" s="52" t="n">
        <v>45949.8218981482</v>
      </c>
      <c r="B142" s="53" t="s">
        <v>111</v>
      </c>
      <c r="C142" s="53" t="s">
        <v>148</v>
      </c>
      <c r="D142" s="53" t="s">
        <v>116</v>
      </c>
      <c r="E142" s="54" t="n">
        <v>45946</v>
      </c>
      <c r="F142" s="55" t="n">
        <v>16</v>
      </c>
      <c r="G142" s="55" t="n">
        <v>13</v>
      </c>
      <c r="H142" s="55" t="n">
        <v>60</v>
      </c>
      <c r="I142" s="56" t="n">
        <v>3.3</v>
      </c>
      <c r="J142" s="53" t="s">
        <v>160</v>
      </c>
      <c r="K142" s="53"/>
      <c r="L142" s="57" t="str">
        <f aca="false">IF(C142="","",IFERROR(INDEX(site_ID,MATCH(C142,site_Name,0)),"Not on SITES"))</f>
        <v>LW-104</v>
      </c>
      <c r="M142" s="58" t="n">
        <f aca="false">IF(E142="","",DATE(YEAR(E142),MONTH(E142),1))</f>
        <v>45931</v>
      </c>
      <c r="N142" s="57" t="str">
        <f aca="false">IF(E142="","","FY"&amp;(YEAR(E142)+IF(AND(FYStart&gt;1,MONTH(E142)&gt;=FYStart),1,0))&amp;" Q"&amp;(INT(MOD(MONTH(E142)-FYStart,12)/3)+1))</f>
        <v>FY2026 Q2</v>
      </c>
      <c r="O142" s="59" t="n">
        <f aca="false">IF(OR(E142="",N(F142)=0),"",G142/F142)</f>
        <v>0.8125</v>
      </c>
      <c r="P142" s="60" t="n">
        <f aca="false">IF(E142="","",ROUND(N(G142)*N(H142)/60,1))</f>
        <v>13</v>
      </c>
      <c r="Q142" s="57" t="str">
        <f aca="false">IF(E142="","",IF(COUNTIFS($C$2:C142,C142,$E$2:E142,E142,$B$2:B142,B142)&gt;1,"No","Yes"))</f>
        <v>Yes</v>
      </c>
      <c r="R142" s="61" t="str">
        <f aca="false">IF(E142="","",IF(Q142="No","Duplicate of an earlier response",IF(L142="Not on SITES","Site not on SITES",IF(N(G142)&gt;N(F142),"Present is more than enrolled",IF(OR(I142&lt;1,I142&gt;5),"Score outside 1 to 5","")))))</f>
        <v/>
      </c>
    </row>
    <row r="143" customFormat="false" ht="15" hidden="false" customHeight="false" outlineLevel="0" collapsed="false">
      <c r="A143" s="52" t="n">
        <v>45950.7805208333</v>
      </c>
      <c r="B143" s="53" t="s">
        <v>105</v>
      </c>
      <c r="C143" s="53" t="s">
        <v>106</v>
      </c>
      <c r="D143" s="53" t="s">
        <v>107</v>
      </c>
      <c r="E143" s="54" t="n">
        <v>45950</v>
      </c>
      <c r="F143" s="55" t="n">
        <v>16</v>
      </c>
      <c r="G143" s="55" t="n">
        <v>12</v>
      </c>
      <c r="H143" s="55" t="n">
        <v>60</v>
      </c>
      <c r="I143" s="56" t="n">
        <v>3.5</v>
      </c>
      <c r="J143" s="53" t="s">
        <v>156</v>
      </c>
      <c r="K143" s="53"/>
      <c r="L143" s="57" t="str">
        <f aca="false">IF(C143="","",IFERROR(INDEX(site_ID,MATCH(C143,site_Name,0)),"Not on SITES"))</f>
        <v>LW-103</v>
      </c>
      <c r="M143" s="58" t="n">
        <f aca="false">IF(E143="","",DATE(YEAR(E143),MONTH(E143),1))</f>
        <v>45931</v>
      </c>
      <c r="N143" s="57" t="str">
        <f aca="false">IF(E143="","","FY"&amp;(YEAR(E143)+IF(AND(FYStart&gt;1,MONTH(E143)&gt;=FYStart),1,0))&amp;" Q"&amp;(INT(MOD(MONTH(E143)-FYStart,12)/3)+1))</f>
        <v>FY2026 Q2</v>
      </c>
      <c r="O143" s="59" t="n">
        <f aca="false">IF(OR(E143="",N(F143)=0),"",G143/F143)</f>
        <v>0.75</v>
      </c>
      <c r="P143" s="60" t="n">
        <f aca="false">IF(E143="","",ROUND(N(G143)*N(H143)/60,1))</f>
        <v>12</v>
      </c>
      <c r="Q143" s="57" t="str">
        <f aca="false">IF(E143="","",IF(COUNTIFS($C$2:C143,C143,$E$2:E143,E143,$B$2:B143,B143)&gt;1,"No","Yes"))</f>
        <v>Yes</v>
      </c>
      <c r="R143" s="61" t="str">
        <f aca="false">IF(E143="","",IF(Q143="No","Duplicate of an earlier response",IF(L143="Not on SITES","Site not on SITES",IF(N(G143)&gt;N(F143),"Present is more than enrolled",IF(OR(I143&lt;1,I143&gt;5),"Score outside 1 to 5","")))))</f>
        <v/>
      </c>
    </row>
    <row r="144" customFormat="false" ht="15" hidden="false" customHeight="false" outlineLevel="0" collapsed="false">
      <c r="A144" s="52" t="n">
        <v>45950.8201157407</v>
      </c>
      <c r="B144" s="53" t="s">
        <v>109</v>
      </c>
      <c r="C144" s="53" t="s">
        <v>110</v>
      </c>
      <c r="D144" s="53" t="s">
        <v>107</v>
      </c>
      <c r="E144" s="54" t="n">
        <v>45950</v>
      </c>
      <c r="F144" s="55" t="n">
        <v>21</v>
      </c>
      <c r="G144" s="55" t="n">
        <v>16</v>
      </c>
      <c r="H144" s="55" t="n">
        <v>60</v>
      </c>
      <c r="I144" s="56" t="n">
        <v>3.6</v>
      </c>
      <c r="J144" s="53" t="s">
        <v>155</v>
      </c>
      <c r="K144" s="53"/>
      <c r="L144" s="57" t="str">
        <f aca="false">IF(C144="","",IFERROR(INDEX(site_ID,MATCH(C144,site_Name,0)),"Not on SITES"))</f>
        <v>LW-113</v>
      </c>
      <c r="M144" s="58" t="n">
        <f aca="false">IF(E144="","",DATE(YEAR(E144),MONTH(E144),1))</f>
        <v>45931</v>
      </c>
      <c r="N144" s="57" t="str">
        <f aca="false">IF(E144="","","FY"&amp;(YEAR(E144)+IF(AND(FYStart&gt;1,MONTH(E144)&gt;=FYStart),1,0))&amp;" Q"&amp;(INT(MOD(MONTH(E144)-FYStart,12)/3)+1))</f>
        <v>FY2026 Q2</v>
      </c>
      <c r="O144" s="59" t="n">
        <f aca="false">IF(OR(E144="",N(F144)=0),"",G144/F144)</f>
        <v>0.761904761904762</v>
      </c>
      <c r="P144" s="60" t="n">
        <f aca="false">IF(E144="","",ROUND(N(G144)*N(H144)/60,1))</f>
        <v>16</v>
      </c>
      <c r="Q144" s="57" t="str">
        <f aca="false">IF(E144="","",IF(COUNTIFS($C$2:C144,C144,$E$2:E144,E144,$B$2:B144,B144)&gt;1,"No","Yes"))</f>
        <v>Yes</v>
      </c>
      <c r="R144" s="61" t="str">
        <f aca="false">IF(E144="","",IF(Q144="No","Duplicate of an earlier response",IF(L144="Not on SITES","Site not on SITES",IF(N(G144)&gt;N(F144),"Present is more than enrolled",IF(OR(I144&lt;1,I144&gt;5),"Score outside 1 to 5","")))))</f>
        <v/>
      </c>
    </row>
    <row r="145" customFormat="false" ht="15" hidden="false" customHeight="false" outlineLevel="0" collapsed="false">
      <c r="A145" s="52" t="n">
        <v>45950.822962963</v>
      </c>
      <c r="B145" s="53" t="s">
        <v>111</v>
      </c>
      <c r="C145" s="53" t="s">
        <v>112</v>
      </c>
      <c r="D145" s="53" t="s">
        <v>113</v>
      </c>
      <c r="E145" s="54" t="n">
        <v>45950</v>
      </c>
      <c r="F145" s="55" t="n">
        <v>15</v>
      </c>
      <c r="G145" s="55" t="n">
        <v>11</v>
      </c>
      <c r="H145" s="55" t="n">
        <v>60</v>
      </c>
      <c r="I145" s="56" t="n">
        <v>3.2</v>
      </c>
      <c r="J145" s="53" t="s">
        <v>114</v>
      </c>
      <c r="K145" s="53"/>
      <c r="L145" s="57" t="str">
        <f aca="false">IF(C145="","",IFERROR(INDEX(site_ID,MATCH(C145,site_Name,0)),"Not on SITES"))</f>
        <v>LW-120</v>
      </c>
      <c r="M145" s="58" t="n">
        <f aca="false">IF(E145="","",DATE(YEAR(E145),MONTH(E145),1))</f>
        <v>45931</v>
      </c>
      <c r="N145" s="57" t="str">
        <f aca="false">IF(E145="","","FY"&amp;(YEAR(E145)+IF(AND(FYStart&gt;1,MONTH(E145)&gt;=FYStart),1,0))&amp;" Q"&amp;(INT(MOD(MONTH(E145)-FYStart,12)/3)+1))</f>
        <v>FY2026 Q2</v>
      </c>
      <c r="O145" s="59" t="n">
        <f aca="false">IF(OR(E145="",N(F145)=0),"",G145/F145)</f>
        <v>0.733333333333333</v>
      </c>
      <c r="P145" s="60" t="n">
        <f aca="false">IF(E145="","",ROUND(N(G145)*N(H145)/60,1))</f>
        <v>11</v>
      </c>
      <c r="Q145" s="57" t="str">
        <f aca="false">IF(E145="","",IF(COUNTIFS($C$2:C145,C145,$E$2:E145,E145,$B$2:B145,B145)&gt;1,"No","Yes"))</f>
        <v>Yes</v>
      </c>
      <c r="R145" s="61" t="str">
        <f aca="false">IF(E145="","",IF(Q145="No","Duplicate of an earlier response",IF(L145="Not on SITES","Site not on SITES",IF(N(G145)&gt;N(F145),"Present is more than enrolled",IF(OR(I145&lt;1,I145&gt;5),"Score outside 1 to 5","")))))</f>
        <v/>
      </c>
    </row>
    <row r="146" customFormat="false" ht="15" hidden="false" customHeight="false" outlineLevel="0" collapsed="false">
      <c r="A146" s="52" t="n">
        <v>45950.8371990741</v>
      </c>
      <c r="B146" s="53" t="s">
        <v>105</v>
      </c>
      <c r="C146" s="53" t="s">
        <v>115</v>
      </c>
      <c r="D146" s="53" t="s">
        <v>116</v>
      </c>
      <c r="E146" s="54" t="n">
        <v>45950</v>
      </c>
      <c r="F146" s="55" t="n">
        <v>16</v>
      </c>
      <c r="G146" s="55" t="n">
        <v>14</v>
      </c>
      <c r="H146" s="55" t="n">
        <v>75</v>
      </c>
      <c r="I146" s="56" t="n">
        <v>3.5</v>
      </c>
      <c r="J146" s="53" t="s">
        <v>123</v>
      </c>
      <c r="K146" s="53"/>
      <c r="L146" s="57" t="str">
        <f aca="false">IF(C146="","",IFERROR(INDEX(site_ID,MATCH(C146,site_Name,0)),"Not on SITES"))</f>
        <v>LW-119</v>
      </c>
      <c r="M146" s="58" t="n">
        <f aca="false">IF(E146="","",DATE(YEAR(E146),MONTH(E146),1))</f>
        <v>45931</v>
      </c>
      <c r="N146" s="57" t="str">
        <f aca="false">IF(E146="","","FY"&amp;(YEAR(E146)+IF(AND(FYStart&gt;1,MONTH(E146)&gt;=FYStart),1,0))&amp;" Q"&amp;(INT(MOD(MONTH(E146)-FYStart,12)/3)+1))</f>
        <v>FY2026 Q2</v>
      </c>
      <c r="O146" s="59" t="n">
        <f aca="false">IF(OR(E146="",N(F146)=0),"",G146/F146)</f>
        <v>0.875</v>
      </c>
      <c r="P146" s="60" t="n">
        <f aca="false">IF(E146="","",ROUND(N(G146)*N(H146)/60,1))</f>
        <v>17.5</v>
      </c>
      <c r="Q146" s="57" t="str">
        <f aca="false">IF(E146="","",IF(COUNTIFS($C$2:C146,C146,$E$2:E146,E146,$B$2:B146,B146)&gt;1,"No","Yes"))</f>
        <v>Yes</v>
      </c>
      <c r="R146" s="61" t="str">
        <f aca="false">IF(E146="","",IF(Q146="No","Duplicate of an earlier response",IF(L146="Not on SITES","Site not on SITES",IF(N(G146)&gt;N(F146),"Present is more than enrolled",IF(OR(I146&lt;1,I146&gt;5),"Score outside 1 to 5","")))))</f>
        <v/>
      </c>
    </row>
    <row r="147" customFormat="false" ht="15" hidden="false" customHeight="false" outlineLevel="0" collapsed="false">
      <c r="A147" s="52" t="n">
        <v>45950.8527546296</v>
      </c>
      <c r="B147" s="53" t="s">
        <v>105</v>
      </c>
      <c r="C147" s="53" t="s">
        <v>118</v>
      </c>
      <c r="D147" s="53" t="s">
        <v>119</v>
      </c>
      <c r="E147" s="54" t="n">
        <v>45950</v>
      </c>
      <c r="F147" s="55" t="n">
        <v>21</v>
      </c>
      <c r="G147" s="55" t="n">
        <v>18</v>
      </c>
      <c r="H147" s="55" t="n">
        <v>90</v>
      </c>
      <c r="I147" s="56" t="n">
        <v>3.2</v>
      </c>
      <c r="J147" s="53" t="s">
        <v>162</v>
      </c>
      <c r="K147" s="53"/>
      <c r="L147" s="57" t="str">
        <f aca="false">IF(C147="","",IFERROR(INDEX(site_ID,MATCH(C147,site_Name,0)),"Not on SITES"))</f>
        <v>LW-111</v>
      </c>
      <c r="M147" s="58" t="n">
        <f aca="false">IF(E147="","",DATE(YEAR(E147),MONTH(E147),1))</f>
        <v>45931</v>
      </c>
      <c r="N147" s="57" t="str">
        <f aca="false">IF(E147="","","FY"&amp;(YEAR(E147)+IF(AND(FYStart&gt;1,MONTH(E147)&gt;=FYStart),1,0))&amp;" Q"&amp;(INT(MOD(MONTH(E147)-FYStart,12)/3)+1))</f>
        <v>FY2026 Q2</v>
      </c>
      <c r="O147" s="59" t="n">
        <f aca="false">IF(OR(E147="",N(F147)=0),"",G147/F147)</f>
        <v>0.857142857142857</v>
      </c>
      <c r="P147" s="60" t="n">
        <f aca="false">IF(E147="","",ROUND(N(G147)*N(H147)/60,1))</f>
        <v>27</v>
      </c>
      <c r="Q147" s="57" t="str">
        <f aca="false">IF(E147="","",IF(COUNTIFS($C$2:C147,C147,$E$2:E147,E147,$B$2:B147,B147)&gt;1,"No","Yes"))</f>
        <v>Yes</v>
      </c>
      <c r="R147" s="61" t="str">
        <f aca="false">IF(E147="","",IF(Q147="No","Duplicate of an earlier response",IF(L147="Not on SITES","Site not on SITES",IF(N(G147)&gt;N(F147),"Present is more than enrolled",IF(OR(I147&lt;1,I147&gt;5),"Score outside 1 to 5","")))))</f>
        <v/>
      </c>
    </row>
    <row r="148" customFormat="false" ht="15" hidden="false" customHeight="false" outlineLevel="0" collapsed="false">
      <c r="A148" s="52" t="n">
        <v>45951.7216087963</v>
      </c>
      <c r="B148" s="53" t="s">
        <v>121</v>
      </c>
      <c r="C148" s="53" t="s">
        <v>127</v>
      </c>
      <c r="D148" s="53" t="s">
        <v>107</v>
      </c>
      <c r="E148" s="54" t="n">
        <v>45951</v>
      </c>
      <c r="F148" s="55" t="n">
        <v>16</v>
      </c>
      <c r="G148" s="55" t="n">
        <v>14</v>
      </c>
      <c r="H148" s="55" t="n">
        <v>75</v>
      </c>
      <c r="I148" s="56" t="n">
        <v>3.6</v>
      </c>
      <c r="J148" s="53" t="s">
        <v>128</v>
      </c>
      <c r="K148" s="53" t="s">
        <v>168</v>
      </c>
      <c r="L148" s="57" t="str">
        <f aca="false">IF(C148="","",IFERROR(INDEX(site_ID,MATCH(C148,site_Name,0)),"Not on SITES"))</f>
        <v>LW-108</v>
      </c>
      <c r="M148" s="58" t="n">
        <f aca="false">IF(E148="","",DATE(YEAR(E148),MONTH(E148),1))</f>
        <v>45931</v>
      </c>
      <c r="N148" s="57" t="str">
        <f aca="false">IF(E148="","","FY"&amp;(YEAR(E148)+IF(AND(FYStart&gt;1,MONTH(E148)&gt;=FYStart),1,0))&amp;" Q"&amp;(INT(MOD(MONTH(E148)-FYStart,12)/3)+1))</f>
        <v>FY2026 Q2</v>
      </c>
      <c r="O148" s="59" t="n">
        <f aca="false">IF(OR(E148="",N(F148)=0),"",G148/F148)</f>
        <v>0.875</v>
      </c>
      <c r="P148" s="60" t="n">
        <f aca="false">IF(E148="","",ROUND(N(G148)*N(H148)/60,1))</f>
        <v>17.5</v>
      </c>
      <c r="Q148" s="57" t="str">
        <f aca="false">IF(E148="","",IF(COUNTIFS($C$2:C148,C148,$E$2:E148,E148,$B$2:B148,B148)&gt;1,"No","Yes"))</f>
        <v>Yes</v>
      </c>
      <c r="R148" s="61" t="str">
        <f aca="false">IF(E148="","",IF(Q148="No","Duplicate of an earlier response",IF(L148="Not on SITES","Site not on SITES",IF(N(G148)&gt;N(F148),"Present is more than enrolled",IF(OR(I148&lt;1,I148&gt;5),"Score outside 1 to 5","")))))</f>
        <v/>
      </c>
    </row>
    <row r="149" customFormat="false" ht="15" hidden="false" customHeight="false" outlineLevel="0" collapsed="false">
      <c r="A149" s="52" t="n">
        <v>45951.7634143519</v>
      </c>
      <c r="B149" s="53" t="s">
        <v>129</v>
      </c>
      <c r="C149" s="53" t="s">
        <v>130</v>
      </c>
      <c r="D149" s="53" t="s">
        <v>113</v>
      </c>
      <c r="E149" s="54" t="n">
        <v>45951</v>
      </c>
      <c r="F149" s="55" t="n">
        <v>17</v>
      </c>
      <c r="G149" s="55" t="n">
        <v>14</v>
      </c>
      <c r="H149" s="55" t="n">
        <v>90</v>
      </c>
      <c r="I149" s="56" t="n">
        <v>2.9</v>
      </c>
      <c r="J149" s="53" t="s">
        <v>136</v>
      </c>
      <c r="K149" s="53"/>
      <c r="L149" s="57" t="str">
        <f aca="false">IF(C149="","",IFERROR(INDEX(site_ID,MATCH(C149,site_Name,0)),"Not on SITES"))</f>
        <v>LW-107</v>
      </c>
      <c r="M149" s="58" t="n">
        <f aca="false">IF(E149="","",DATE(YEAR(E149),MONTH(E149),1))</f>
        <v>45931</v>
      </c>
      <c r="N149" s="57" t="str">
        <f aca="false">IF(E149="","","FY"&amp;(YEAR(E149)+IF(AND(FYStart&gt;1,MONTH(E149)&gt;=FYStart),1,0))&amp;" Q"&amp;(INT(MOD(MONTH(E149)-FYStart,12)/3)+1))</f>
        <v>FY2026 Q2</v>
      </c>
      <c r="O149" s="59" t="n">
        <f aca="false">IF(OR(E149="",N(F149)=0),"",G149/F149)</f>
        <v>0.823529411764706</v>
      </c>
      <c r="P149" s="60" t="n">
        <f aca="false">IF(E149="","",ROUND(N(G149)*N(H149)/60,1))</f>
        <v>21</v>
      </c>
      <c r="Q149" s="57" t="str">
        <f aca="false">IF(E149="","",IF(COUNTIFS($C$2:C149,C149,$E$2:E149,E149,$B$2:B149,B149)&gt;1,"No","Yes"))</f>
        <v>Yes</v>
      </c>
      <c r="R149" s="61" t="str">
        <f aca="false">IF(E149="","",IF(Q149="No","Duplicate of an earlier response",IF(L149="Not on SITES","Site not on SITES",IF(N(G149)&gt;N(F149),"Present is more than enrolled",IF(OR(I149&lt;1,I149&gt;5),"Score outside 1 to 5","")))))</f>
        <v/>
      </c>
    </row>
    <row r="150" customFormat="false" ht="15" hidden="false" customHeight="false" outlineLevel="0" collapsed="false">
      <c r="A150" s="52" t="n">
        <v>45951.8007986111</v>
      </c>
      <c r="B150" s="53" t="s">
        <v>121</v>
      </c>
      <c r="C150" s="53" t="s">
        <v>122</v>
      </c>
      <c r="D150" s="53" t="s">
        <v>116</v>
      </c>
      <c r="E150" s="54" t="n">
        <v>45951</v>
      </c>
      <c r="F150" s="55" t="n">
        <v>16</v>
      </c>
      <c r="G150" s="55" t="n">
        <v>13</v>
      </c>
      <c r="H150" s="55" t="n">
        <v>60</v>
      </c>
      <c r="I150" s="56" t="n">
        <v>3.2</v>
      </c>
      <c r="J150" s="53" t="s">
        <v>160</v>
      </c>
      <c r="K150" s="53"/>
      <c r="L150" s="57" t="str">
        <f aca="false">IF(C150="","",IFERROR(INDEX(site_ID,MATCH(C150,site_Name,0)),"Not on SITES"))</f>
        <v>LW-116</v>
      </c>
      <c r="M150" s="58" t="n">
        <f aca="false">IF(E150="","",DATE(YEAR(E150),MONTH(E150),1))</f>
        <v>45931</v>
      </c>
      <c r="N150" s="57" t="str">
        <f aca="false">IF(E150="","","FY"&amp;(YEAR(E150)+IF(AND(FYStart&gt;1,MONTH(E150)&gt;=FYStart),1,0))&amp;" Q"&amp;(INT(MOD(MONTH(E150)-FYStart,12)/3)+1))</f>
        <v>FY2026 Q2</v>
      </c>
      <c r="O150" s="59" t="n">
        <f aca="false">IF(OR(E150="",N(F150)=0),"",G150/F150)</f>
        <v>0.8125</v>
      </c>
      <c r="P150" s="60" t="n">
        <f aca="false">IF(E150="","",ROUND(N(G150)*N(H150)/60,1))</f>
        <v>13</v>
      </c>
      <c r="Q150" s="57" t="str">
        <f aca="false">IF(E150="","",IF(COUNTIFS($C$2:C150,C150,$E$2:E150,E150,$B$2:B150,B150)&gt;1,"No","Yes"))</f>
        <v>Yes</v>
      </c>
      <c r="R150" s="61" t="str">
        <f aca="false">IF(E150="","",IF(Q150="No","Duplicate of an earlier response",IF(L150="Not on SITES","Site not on SITES",IF(N(G150)&gt;N(F150),"Present is more than enrolled",IF(OR(I150&lt;1,I150&gt;5),"Score outside 1 to 5","")))))</f>
        <v/>
      </c>
    </row>
    <row r="151" customFormat="false" ht="15" hidden="false" customHeight="false" outlineLevel="0" collapsed="false">
      <c r="A151" s="52" t="n">
        <v>45951.811400463</v>
      </c>
      <c r="B151" s="53" t="s">
        <v>124</v>
      </c>
      <c r="C151" s="53" t="s">
        <v>125</v>
      </c>
      <c r="D151" s="53" t="s">
        <v>119</v>
      </c>
      <c r="E151" s="54" t="n">
        <v>45951</v>
      </c>
      <c r="F151" s="55" t="n">
        <v>18</v>
      </c>
      <c r="G151" s="55" t="n">
        <v>13</v>
      </c>
      <c r="H151" s="55" t="n">
        <v>60</v>
      </c>
      <c r="I151" s="56" t="n">
        <v>3.3</v>
      </c>
      <c r="J151" s="53" t="s">
        <v>126</v>
      </c>
      <c r="K151" s="53"/>
      <c r="L151" s="57" t="str">
        <f aca="false">IF(C151="","",IFERROR(INDEX(site_ID,MATCH(C151,site_Name,0)),"Not on SITES"))</f>
        <v>LW-106</v>
      </c>
      <c r="M151" s="58" t="n">
        <f aca="false">IF(E151="","",DATE(YEAR(E151),MONTH(E151),1))</f>
        <v>45931</v>
      </c>
      <c r="N151" s="57" t="str">
        <f aca="false">IF(E151="","","FY"&amp;(YEAR(E151)+IF(AND(FYStart&gt;1,MONTH(E151)&gt;=FYStart),1,0))&amp;" Q"&amp;(INT(MOD(MONTH(E151)-FYStart,12)/3)+1))</f>
        <v>FY2026 Q2</v>
      </c>
      <c r="O151" s="59" t="n">
        <f aca="false">IF(OR(E151="",N(F151)=0),"",G151/F151)</f>
        <v>0.722222222222222</v>
      </c>
      <c r="P151" s="60" t="n">
        <f aca="false">IF(E151="","",ROUND(N(G151)*N(H151)/60,1))</f>
        <v>13</v>
      </c>
      <c r="Q151" s="57" t="str">
        <f aca="false">IF(E151="","",IF(COUNTIFS($C$2:C151,C151,$E$2:E151,E151,$B$2:B151,B151)&gt;1,"No","Yes"))</f>
        <v>Yes</v>
      </c>
      <c r="R151" s="61" t="str">
        <f aca="false">IF(E151="","",IF(Q151="No","Duplicate of an earlier response",IF(L151="Not on SITES","Site not on SITES",IF(N(G151)&gt;N(F151),"Present is more than enrolled",IF(OR(I151&lt;1,I151&gt;5),"Score outside 1 to 5","")))))</f>
        <v/>
      </c>
    </row>
    <row r="152" customFormat="false" ht="15" hidden="false" customHeight="false" outlineLevel="0" collapsed="false">
      <c r="A152" s="52" t="n">
        <v>45951.8295717593</v>
      </c>
      <c r="B152" s="53" t="s">
        <v>132</v>
      </c>
      <c r="C152" s="53" t="s">
        <v>133</v>
      </c>
      <c r="D152" s="53" t="s">
        <v>116</v>
      </c>
      <c r="E152" s="54" t="n">
        <v>45951</v>
      </c>
      <c r="F152" s="55" t="n">
        <v>18</v>
      </c>
      <c r="G152" s="55" t="n">
        <v>17</v>
      </c>
      <c r="H152" s="55" t="n">
        <v>90</v>
      </c>
      <c r="I152" s="56" t="n">
        <v>3</v>
      </c>
      <c r="J152" s="53" t="s">
        <v>134</v>
      </c>
      <c r="K152" s="53"/>
      <c r="L152" s="57" t="str">
        <f aca="false">IF(C152="","",IFERROR(INDEX(site_ID,MATCH(C152,site_Name,0)),"Not on SITES"))</f>
        <v>LW-109</v>
      </c>
      <c r="M152" s="58" t="n">
        <f aca="false">IF(E152="","",DATE(YEAR(E152),MONTH(E152),1))</f>
        <v>45931</v>
      </c>
      <c r="N152" s="57" t="str">
        <f aca="false">IF(E152="","","FY"&amp;(YEAR(E152)+IF(AND(FYStart&gt;1,MONTH(E152)&gt;=FYStart),1,0))&amp;" Q"&amp;(INT(MOD(MONTH(E152)-FYStart,12)/3)+1))</f>
        <v>FY2026 Q2</v>
      </c>
      <c r="O152" s="59" t="n">
        <f aca="false">IF(OR(E152="",N(F152)=0),"",G152/F152)</f>
        <v>0.944444444444444</v>
      </c>
      <c r="P152" s="60" t="n">
        <f aca="false">IF(E152="","",ROUND(N(G152)*N(H152)/60,1))</f>
        <v>25.5</v>
      </c>
      <c r="Q152" s="57" t="str">
        <f aca="false">IF(E152="","",IF(COUNTIFS($C$2:C152,C152,$E$2:E152,E152,$B$2:B152,B152)&gt;1,"No","Yes"))</f>
        <v>Yes</v>
      </c>
      <c r="R152" s="61" t="str">
        <f aca="false">IF(E152="","",IF(Q152="No","Duplicate of an earlier response",IF(L152="Not on SITES","Site not on SITES",IF(N(G152)&gt;N(F152),"Present is more than enrolled",IF(OR(I152&lt;1,I152&gt;5),"Score outside 1 to 5","")))))</f>
        <v/>
      </c>
    </row>
    <row r="153" customFormat="false" ht="15" hidden="false" customHeight="false" outlineLevel="0" collapsed="false">
      <c r="A153" s="52" t="n">
        <v>45952.6919212963</v>
      </c>
      <c r="B153" s="53" t="s">
        <v>140</v>
      </c>
      <c r="C153" s="53" t="s">
        <v>141</v>
      </c>
      <c r="D153" s="53" t="s">
        <v>116</v>
      </c>
      <c r="E153" s="54" t="n">
        <v>45952</v>
      </c>
      <c r="F153" s="55" t="n">
        <v>12</v>
      </c>
      <c r="G153" s="55" t="n">
        <v>10</v>
      </c>
      <c r="H153" s="55" t="n">
        <v>60</v>
      </c>
      <c r="I153" s="56" t="n">
        <v>3.3</v>
      </c>
      <c r="J153" s="53" t="s">
        <v>123</v>
      </c>
      <c r="K153" s="53" t="s">
        <v>135</v>
      </c>
      <c r="L153" s="57" t="str">
        <f aca="false">IF(C153="","",IFERROR(INDEX(site_ID,MATCH(C153,site_Name,0)),"Not on SITES"))</f>
        <v>LW-118</v>
      </c>
      <c r="M153" s="58" t="n">
        <f aca="false">IF(E153="","",DATE(YEAR(E153),MONTH(E153),1))</f>
        <v>45931</v>
      </c>
      <c r="N153" s="57" t="str">
        <f aca="false">IF(E153="","","FY"&amp;(YEAR(E153)+IF(AND(FYStart&gt;1,MONTH(E153)&gt;=FYStart),1,0))&amp;" Q"&amp;(INT(MOD(MONTH(E153)-FYStart,12)/3)+1))</f>
        <v>FY2026 Q2</v>
      </c>
      <c r="O153" s="59" t="n">
        <f aca="false">IF(OR(E153="",N(F153)=0),"",G153/F153)</f>
        <v>0.833333333333333</v>
      </c>
      <c r="P153" s="60" t="n">
        <f aca="false">IF(E153="","",ROUND(N(G153)*N(H153)/60,1))</f>
        <v>10</v>
      </c>
      <c r="Q153" s="57" t="str">
        <f aca="false">IF(E153="","",IF(COUNTIFS($C$2:C153,C153,$E$2:E153,E153,$B$2:B153,B153)&gt;1,"No","Yes"))</f>
        <v>Yes</v>
      </c>
      <c r="R153" s="61" t="str">
        <f aca="false">IF(E153="","",IF(Q153="No","Duplicate of an earlier response",IF(L153="Not on SITES","Site not on SITES",IF(N(G153)&gt;N(F153),"Present is more than enrolled",IF(OR(I153&lt;1,I153&gt;5),"Score outside 1 to 5","")))))</f>
        <v/>
      </c>
    </row>
    <row r="154" customFormat="false" ht="15" hidden="false" customHeight="false" outlineLevel="0" collapsed="false">
      <c r="A154" s="52" t="n">
        <v>45952.7468055556</v>
      </c>
      <c r="B154" s="53" t="s">
        <v>132</v>
      </c>
      <c r="C154" s="53" t="s">
        <v>145</v>
      </c>
      <c r="D154" s="53" t="s">
        <v>119</v>
      </c>
      <c r="E154" s="54" t="n">
        <v>45952</v>
      </c>
      <c r="F154" s="55" t="n">
        <v>19</v>
      </c>
      <c r="G154" s="55" t="n">
        <v>16</v>
      </c>
      <c r="H154" s="55" t="n">
        <v>60</v>
      </c>
      <c r="I154" s="56" t="n">
        <v>3.3</v>
      </c>
      <c r="J154" s="53" t="s">
        <v>120</v>
      </c>
      <c r="K154" s="53"/>
      <c r="L154" s="57" t="str">
        <f aca="false">IF(C154="","",IFERROR(INDEX(site_ID,MATCH(C154,site_Name,0)),"Not on SITES"))</f>
        <v>LW-101</v>
      </c>
      <c r="M154" s="58" t="n">
        <f aca="false">IF(E154="","",DATE(YEAR(E154),MONTH(E154),1))</f>
        <v>45931</v>
      </c>
      <c r="N154" s="57" t="str">
        <f aca="false">IF(E154="","","FY"&amp;(YEAR(E154)+IF(AND(FYStart&gt;1,MONTH(E154)&gt;=FYStart),1,0))&amp;" Q"&amp;(INT(MOD(MONTH(E154)-FYStart,12)/3)+1))</f>
        <v>FY2026 Q2</v>
      </c>
      <c r="O154" s="59" t="n">
        <f aca="false">IF(OR(E154="",N(F154)=0),"",G154/F154)</f>
        <v>0.842105263157895</v>
      </c>
      <c r="P154" s="60" t="n">
        <f aca="false">IF(E154="","",ROUND(N(G154)*N(H154)/60,1))</f>
        <v>16</v>
      </c>
      <c r="Q154" s="57" t="str">
        <f aca="false">IF(E154="","",IF(COUNTIFS($C$2:C154,C154,$E$2:E154,E154,$B$2:B154,B154)&gt;1,"No","Yes"))</f>
        <v>Yes</v>
      </c>
      <c r="R154" s="61" t="str">
        <f aca="false">IF(E154="","",IF(Q154="No","Duplicate of an earlier response",IF(L154="Not on SITES","Site not on SITES",IF(N(G154)&gt;N(F154),"Present is more than enrolled",IF(OR(I154&lt;1,I154&gt;5),"Score outside 1 to 5","")))))</f>
        <v/>
      </c>
    </row>
    <row r="155" customFormat="false" ht="15" hidden="false" customHeight="false" outlineLevel="0" collapsed="false">
      <c r="A155" s="52" t="n">
        <v>45952.7674537037</v>
      </c>
      <c r="B155" s="53" t="s">
        <v>105</v>
      </c>
      <c r="C155" s="53" t="s">
        <v>118</v>
      </c>
      <c r="D155" s="53" t="s">
        <v>119</v>
      </c>
      <c r="E155" s="54" t="n">
        <v>45952</v>
      </c>
      <c r="F155" s="55" t="n">
        <v>21</v>
      </c>
      <c r="G155" s="55" t="n">
        <v>16</v>
      </c>
      <c r="H155" s="55" t="n">
        <v>60</v>
      </c>
      <c r="I155" s="56" t="n">
        <v>3.3</v>
      </c>
      <c r="J155" s="53" t="s">
        <v>162</v>
      </c>
      <c r="K155" s="53"/>
      <c r="L155" s="57" t="str">
        <f aca="false">IF(C155="","",IFERROR(INDEX(site_ID,MATCH(C155,site_Name,0)),"Not on SITES"))</f>
        <v>LW-111</v>
      </c>
      <c r="M155" s="58" t="n">
        <f aca="false">IF(E155="","",DATE(YEAR(E155),MONTH(E155),1))</f>
        <v>45931</v>
      </c>
      <c r="N155" s="57" t="str">
        <f aca="false">IF(E155="","","FY"&amp;(YEAR(E155)+IF(AND(FYStart&gt;1,MONTH(E155)&gt;=FYStart),1,0))&amp;" Q"&amp;(INT(MOD(MONTH(E155)-FYStart,12)/3)+1))</f>
        <v>FY2026 Q2</v>
      </c>
      <c r="O155" s="59" t="n">
        <f aca="false">IF(OR(E155="",N(F155)=0),"",G155/F155)</f>
        <v>0.761904761904762</v>
      </c>
      <c r="P155" s="60" t="n">
        <f aca="false">IF(E155="","",ROUND(N(G155)*N(H155)/60,1))</f>
        <v>16</v>
      </c>
      <c r="Q155" s="57" t="str">
        <f aca="false">IF(E155="","",IF(COUNTIFS($C$2:C155,C155,$E$2:E155,E155,$B$2:B155,B155)&gt;1,"No","Yes"))</f>
        <v>Yes</v>
      </c>
      <c r="R155" s="61" t="str">
        <f aca="false">IF(E155="","",IF(Q155="No","Duplicate of an earlier response",IF(L155="Not on SITES","Site not on SITES",IF(N(G155)&gt;N(F155),"Present is more than enrolled",IF(OR(I155&lt;1,I155&gt;5),"Score outside 1 to 5","")))))</f>
        <v/>
      </c>
    </row>
    <row r="156" customFormat="false" ht="15" hidden="false" customHeight="false" outlineLevel="0" collapsed="false">
      <c r="A156" s="52" t="n">
        <v>45952.8234375</v>
      </c>
      <c r="B156" s="53" t="s">
        <v>111</v>
      </c>
      <c r="C156" s="53" t="s">
        <v>112</v>
      </c>
      <c r="D156" s="53" t="s">
        <v>113</v>
      </c>
      <c r="E156" s="54" t="n">
        <v>45952</v>
      </c>
      <c r="F156" s="55" t="n">
        <v>16</v>
      </c>
      <c r="G156" s="55" t="n">
        <v>15</v>
      </c>
      <c r="H156" s="55" t="n">
        <v>60</v>
      </c>
      <c r="I156" s="56" t="n">
        <v>3.1</v>
      </c>
      <c r="J156" s="53" t="s">
        <v>114</v>
      </c>
      <c r="K156" s="53"/>
      <c r="L156" s="57" t="str">
        <f aca="false">IF(C156="","",IFERROR(INDEX(site_ID,MATCH(C156,site_Name,0)),"Not on SITES"))</f>
        <v>LW-120</v>
      </c>
      <c r="M156" s="58" t="n">
        <f aca="false">IF(E156="","",DATE(YEAR(E156),MONTH(E156),1))</f>
        <v>45931</v>
      </c>
      <c r="N156" s="57" t="str">
        <f aca="false">IF(E156="","","FY"&amp;(YEAR(E156)+IF(AND(FYStart&gt;1,MONTH(E156)&gt;=FYStart),1,0))&amp;" Q"&amp;(INT(MOD(MONTH(E156)-FYStart,12)/3)+1))</f>
        <v>FY2026 Q2</v>
      </c>
      <c r="O156" s="59" t="n">
        <f aca="false">IF(OR(E156="",N(F156)=0),"",G156/F156)</f>
        <v>0.9375</v>
      </c>
      <c r="P156" s="60" t="n">
        <f aca="false">IF(E156="","",ROUND(N(G156)*N(H156)/60,1))</f>
        <v>15</v>
      </c>
      <c r="Q156" s="57" t="str">
        <f aca="false">IF(E156="","",IF(COUNTIFS($C$2:C156,C156,$E$2:E156,E156,$B$2:B156,B156)&gt;1,"No","Yes"))</f>
        <v>Yes</v>
      </c>
      <c r="R156" s="61" t="str">
        <f aca="false">IF(E156="","",IF(Q156="No","Duplicate of an earlier response",IF(L156="Not on SITES","Site not on SITES",IF(N(G156)&gt;N(F156),"Present is more than enrolled",IF(OR(I156&lt;1,I156&gt;5),"Score outside 1 to 5","")))))</f>
        <v/>
      </c>
    </row>
    <row r="157" customFormat="false" ht="15" hidden="false" customHeight="false" outlineLevel="0" collapsed="false">
      <c r="A157" s="52" t="n">
        <v>45952.8347337963</v>
      </c>
      <c r="B157" s="53" t="s">
        <v>140</v>
      </c>
      <c r="C157" s="53" t="s">
        <v>142</v>
      </c>
      <c r="D157" s="53" t="s">
        <v>113</v>
      </c>
      <c r="E157" s="54" t="n">
        <v>45952</v>
      </c>
      <c r="F157" s="55" t="n">
        <v>18</v>
      </c>
      <c r="G157" s="55" t="n">
        <v>17</v>
      </c>
      <c r="H157" s="55" t="n">
        <v>75</v>
      </c>
      <c r="I157" s="56" t="n">
        <v>2.9</v>
      </c>
      <c r="J157" s="53" t="s">
        <v>165</v>
      </c>
      <c r="K157" s="53" t="s">
        <v>168</v>
      </c>
      <c r="L157" s="57" t="str">
        <f aca="false">IF(C157="","",IFERROR(INDEX(site_ID,MATCH(C157,site_Name,0)),"Not on SITES"))</f>
        <v>LW-102</v>
      </c>
      <c r="M157" s="58" t="n">
        <f aca="false">IF(E157="","",DATE(YEAR(E157),MONTH(E157),1))</f>
        <v>45931</v>
      </c>
      <c r="N157" s="57" t="str">
        <f aca="false">IF(E157="","","FY"&amp;(YEAR(E157)+IF(AND(FYStart&gt;1,MONTH(E157)&gt;=FYStart),1,0))&amp;" Q"&amp;(INT(MOD(MONTH(E157)-FYStart,12)/3)+1))</f>
        <v>FY2026 Q2</v>
      </c>
      <c r="O157" s="59" t="n">
        <f aca="false">IF(OR(E157="",N(F157)=0),"",G157/F157)</f>
        <v>0.944444444444444</v>
      </c>
      <c r="P157" s="60" t="n">
        <f aca="false">IF(E157="","",ROUND(N(G157)*N(H157)/60,1))</f>
        <v>21.3</v>
      </c>
      <c r="Q157" s="57" t="str">
        <f aca="false">IF(E157="","",IF(COUNTIFS($C$2:C157,C157,$E$2:E157,E157,$B$2:B157,B157)&gt;1,"No","Yes"))</f>
        <v>Yes</v>
      </c>
      <c r="R157" s="61" t="str">
        <f aca="false">IF(E157="","",IF(Q157="No","Duplicate of an earlier response",IF(L157="Not on SITES","Site not on SITES",IF(N(G157)&gt;N(F157),"Present is more than enrolled",IF(OR(I157&lt;1,I157&gt;5),"Score outside 1 to 5","")))))</f>
        <v/>
      </c>
    </row>
    <row r="158" customFormat="false" ht="15" hidden="false" customHeight="false" outlineLevel="0" collapsed="false">
      <c r="A158" s="52" t="n">
        <v>45952.8474884259</v>
      </c>
      <c r="B158" s="53" t="s">
        <v>129</v>
      </c>
      <c r="C158" s="53" t="s">
        <v>137</v>
      </c>
      <c r="D158" s="53" t="s">
        <v>138</v>
      </c>
      <c r="E158" s="54" t="n">
        <v>45952</v>
      </c>
      <c r="F158" s="55" t="n">
        <v>20</v>
      </c>
      <c r="G158" s="55" t="n">
        <v>18</v>
      </c>
      <c r="H158" s="55" t="n">
        <v>90</v>
      </c>
      <c r="I158" s="56" t="n">
        <v>3.7</v>
      </c>
      <c r="J158" s="53" t="s">
        <v>139</v>
      </c>
      <c r="K158" s="53"/>
      <c r="L158" s="57" t="str">
        <f aca="false">IF(C158="","",IFERROR(INDEX(site_ID,MATCH(C158,site_Name,0)),"Not on SITES"))</f>
        <v>LW-115</v>
      </c>
      <c r="M158" s="58" t="n">
        <f aca="false">IF(E158="","",DATE(YEAR(E158),MONTH(E158),1))</f>
        <v>45931</v>
      </c>
      <c r="N158" s="57" t="str">
        <f aca="false">IF(E158="","","FY"&amp;(YEAR(E158)+IF(AND(FYStart&gt;1,MONTH(E158)&gt;=FYStart),1,0))&amp;" Q"&amp;(INT(MOD(MONTH(E158)-FYStart,12)/3)+1))</f>
        <v>FY2026 Q2</v>
      </c>
      <c r="O158" s="59" t="n">
        <f aca="false">IF(OR(E158="",N(F158)=0),"",G158/F158)</f>
        <v>0.9</v>
      </c>
      <c r="P158" s="60" t="n">
        <f aca="false">IF(E158="","",ROUND(N(G158)*N(H158)/60,1))</f>
        <v>27</v>
      </c>
      <c r="Q158" s="57" t="str">
        <f aca="false">IF(E158="","",IF(COUNTIFS($C$2:C158,C158,$E$2:E158,E158,$B$2:B158,B158)&gt;1,"No","Yes"))</f>
        <v>Yes</v>
      </c>
      <c r="R158" s="61" t="str">
        <f aca="false">IF(E158="","",IF(Q158="No","Duplicate of an earlier response",IF(L158="Not on SITES","Site not on SITES",IF(N(G158)&gt;N(F158),"Present is more than enrolled",IF(OR(I158&lt;1,I158&gt;5),"Score outside 1 to 5","")))))</f>
        <v/>
      </c>
    </row>
    <row r="159" customFormat="false" ht="15" hidden="false" customHeight="false" outlineLevel="0" collapsed="false">
      <c r="A159" s="52" t="n">
        <v>45953.6716203704</v>
      </c>
      <c r="B159" s="53" t="s">
        <v>132</v>
      </c>
      <c r="C159" s="53" t="s">
        <v>150</v>
      </c>
      <c r="D159" s="53" t="s">
        <v>138</v>
      </c>
      <c r="E159" s="54" t="n">
        <v>45953</v>
      </c>
      <c r="F159" s="55" t="n">
        <v>21</v>
      </c>
      <c r="G159" s="55" t="n">
        <v>18</v>
      </c>
      <c r="H159" s="55" t="n">
        <v>90</v>
      </c>
      <c r="I159" s="56" t="n">
        <v>3.4</v>
      </c>
      <c r="J159" s="53" t="s">
        <v>139</v>
      </c>
      <c r="K159" s="53"/>
      <c r="L159" s="57" t="str">
        <f aca="false">IF(C159="","",IFERROR(INDEX(site_ID,MATCH(C159,site_Name,0)),"Not on SITES"))</f>
        <v>LW-117</v>
      </c>
      <c r="M159" s="58" t="n">
        <f aca="false">IF(E159="","",DATE(YEAR(E159),MONTH(E159),1))</f>
        <v>45931</v>
      </c>
      <c r="N159" s="57" t="str">
        <f aca="false">IF(E159="","","FY"&amp;(YEAR(E159)+IF(AND(FYStart&gt;1,MONTH(E159)&gt;=FYStart),1,0))&amp;" Q"&amp;(INT(MOD(MONTH(E159)-FYStart,12)/3)+1))</f>
        <v>FY2026 Q2</v>
      </c>
      <c r="O159" s="59" t="n">
        <f aca="false">IF(OR(E159="",N(F159)=0),"",G159/F159)</f>
        <v>0.857142857142857</v>
      </c>
      <c r="P159" s="60" t="n">
        <f aca="false">IF(E159="","",ROUND(N(G159)*N(H159)/60,1))</f>
        <v>27</v>
      </c>
      <c r="Q159" s="57" t="str">
        <f aca="false">IF(E159="","",IF(COUNTIFS($C$2:C159,C159,$E$2:E159,E159,$B$2:B159,B159)&gt;1,"No","Yes"))</f>
        <v>Yes</v>
      </c>
      <c r="R159" s="61" t="str">
        <f aca="false">IF(E159="","",IF(Q159="No","Duplicate of an earlier response",IF(L159="Not on SITES","Site not on SITES",IF(N(G159)&gt;N(F159),"Present is more than enrolled",IF(OR(I159&lt;1,I159&gt;5),"Score outside 1 to 5","")))))</f>
        <v/>
      </c>
    </row>
    <row r="160" customFormat="false" ht="15" hidden="false" customHeight="false" outlineLevel="0" collapsed="false">
      <c r="A160" s="52" t="n">
        <v>45953.6911226852</v>
      </c>
      <c r="B160" s="53" t="s">
        <v>140</v>
      </c>
      <c r="C160" s="53" t="s">
        <v>151</v>
      </c>
      <c r="D160" s="53" t="s">
        <v>138</v>
      </c>
      <c r="E160" s="54" t="n">
        <v>45953</v>
      </c>
      <c r="F160" s="55" t="n">
        <v>14</v>
      </c>
      <c r="G160" s="55" t="n">
        <v>11</v>
      </c>
      <c r="H160" s="55" t="n">
        <v>90</v>
      </c>
      <c r="I160" s="56" t="n">
        <v>3.2</v>
      </c>
      <c r="J160" s="53" t="s">
        <v>163</v>
      </c>
      <c r="K160" s="53"/>
      <c r="L160" s="57" t="str">
        <f aca="false">IF(C160="","",IFERROR(INDEX(site_ID,MATCH(C160,site_Name,0)),"Not on SITES"))</f>
        <v>LW-110</v>
      </c>
      <c r="M160" s="58" t="n">
        <f aca="false">IF(E160="","",DATE(YEAR(E160),MONTH(E160),1))</f>
        <v>45931</v>
      </c>
      <c r="N160" s="57" t="str">
        <f aca="false">IF(E160="","","FY"&amp;(YEAR(E160)+IF(AND(FYStart&gt;1,MONTH(E160)&gt;=FYStart),1,0))&amp;" Q"&amp;(INT(MOD(MONTH(E160)-FYStart,12)/3)+1))</f>
        <v>FY2026 Q2</v>
      </c>
      <c r="O160" s="59" t="n">
        <f aca="false">IF(OR(E160="",N(F160)=0),"",G160/F160)</f>
        <v>0.785714285714286</v>
      </c>
      <c r="P160" s="60" t="n">
        <f aca="false">IF(E160="","",ROUND(N(G160)*N(H160)/60,1))</f>
        <v>16.5</v>
      </c>
      <c r="Q160" s="57" t="str">
        <f aca="false">IF(E160="","",IF(COUNTIFS($C$2:C160,C160,$E$2:E160,E160,$B$2:B160,B160)&gt;1,"No","Yes"))</f>
        <v>Yes</v>
      </c>
      <c r="R160" s="61" t="str">
        <f aca="false">IF(E160="","",IF(Q160="No","Duplicate of an earlier response",IF(L160="Not on SITES","Site not on SITES",IF(N(G160)&gt;N(F160),"Present is more than enrolled",IF(OR(I160&lt;1,I160&gt;5),"Score outside 1 to 5","")))))</f>
        <v/>
      </c>
    </row>
    <row r="161" customFormat="false" ht="15" hidden="false" customHeight="false" outlineLevel="0" collapsed="false">
      <c r="A161" s="52" t="n">
        <v>45953.6940625</v>
      </c>
      <c r="B161" s="53" t="s">
        <v>111</v>
      </c>
      <c r="C161" s="53" t="s">
        <v>148</v>
      </c>
      <c r="D161" s="53" t="s">
        <v>116</v>
      </c>
      <c r="E161" s="54" t="n">
        <v>45953</v>
      </c>
      <c r="F161" s="55" t="n">
        <v>16</v>
      </c>
      <c r="G161" s="55" t="n">
        <v>12</v>
      </c>
      <c r="H161" s="55" t="n">
        <v>90</v>
      </c>
      <c r="I161" s="56" t="n">
        <v>3.1</v>
      </c>
      <c r="J161" s="53" t="s">
        <v>160</v>
      </c>
      <c r="K161" s="53"/>
      <c r="L161" s="57" t="str">
        <f aca="false">IF(C161="","",IFERROR(INDEX(site_ID,MATCH(C161,site_Name,0)),"Not on SITES"))</f>
        <v>LW-104</v>
      </c>
      <c r="M161" s="58" t="n">
        <f aca="false">IF(E161="","",DATE(YEAR(E161),MONTH(E161),1))</f>
        <v>45931</v>
      </c>
      <c r="N161" s="57" t="str">
        <f aca="false">IF(E161="","","FY"&amp;(YEAR(E161)+IF(AND(FYStart&gt;1,MONTH(E161)&gt;=FYStart),1,0))&amp;" Q"&amp;(INT(MOD(MONTH(E161)-FYStart,12)/3)+1))</f>
        <v>FY2026 Q2</v>
      </c>
      <c r="O161" s="59" t="n">
        <f aca="false">IF(OR(E161="",N(F161)=0),"",G161/F161)</f>
        <v>0.75</v>
      </c>
      <c r="P161" s="60" t="n">
        <f aca="false">IF(E161="","",ROUND(N(G161)*N(H161)/60,1))</f>
        <v>18</v>
      </c>
      <c r="Q161" s="57" t="str">
        <f aca="false">IF(E161="","",IF(COUNTIFS($C$2:C161,C161,$E$2:E161,E161,$B$2:B161,B161)&gt;1,"No","Yes"))</f>
        <v>Yes</v>
      </c>
      <c r="R161" s="61" t="str">
        <f aca="false">IF(E161="","",IF(Q161="No","Duplicate of an earlier response",IF(L161="Not on SITES","Site not on SITES",IF(N(G161)&gt;N(F161),"Present is more than enrolled",IF(OR(I161&lt;1,I161&gt;5),"Score outside 1 to 5","")))))</f>
        <v/>
      </c>
    </row>
    <row r="162" customFormat="false" ht="15" hidden="false" customHeight="false" outlineLevel="0" collapsed="false">
      <c r="A162" s="52" t="n">
        <v>45953.6986458333</v>
      </c>
      <c r="B162" s="53" t="s">
        <v>109</v>
      </c>
      <c r="C162" s="53" t="s">
        <v>146</v>
      </c>
      <c r="D162" s="53" t="s">
        <v>138</v>
      </c>
      <c r="E162" s="54" t="n">
        <v>45953</v>
      </c>
      <c r="F162" s="55" t="n">
        <v>15</v>
      </c>
      <c r="G162" s="55" t="n">
        <v>12</v>
      </c>
      <c r="H162" s="55" t="n">
        <v>90</v>
      </c>
      <c r="I162" s="56" t="n">
        <v>3.5</v>
      </c>
      <c r="J162" s="53" t="s">
        <v>139</v>
      </c>
      <c r="K162" s="53"/>
      <c r="L162" s="57" t="str">
        <f aca="false">IF(C162="","",IFERROR(INDEX(site_ID,MATCH(C162,site_Name,0)),"Not on SITES"))</f>
        <v>LW-105</v>
      </c>
      <c r="M162" s="58" t="n">
        <f aca="false">IF(E162="","",DATE(YEAR(E162),MONTH(E162),1))</f>
        <v>45931</v>
      </c>
      <c r="N162" s="57" t="str">
        <f aca="false">IF(E162="","","FY"&amp;(YEAR(E162)+IF(AND(FYStart&gt;1,MONTH(E162)&gt;=FYStart),1,0))&amp;" Q"&amp;(INT(MOD(MONTH(E162)-FYStart,12)/3)+1))</f>
        <v>FY2026 Q2</v>
      </c>
      <c r="O162" s="59" t="n">
        <f aca="false">IF(OR(E162="",N(F162)=0),"",G162/F162)</f>
        <v>0.8</v>
      </c>
      <c r="P162" s="60" t="n">
        <f aca="false">IF(E162="","",ROUND(N(G162)*N(H162)/60,1))</f>
        <v>18</v>
      </c>
      <c r="Q162" s="57" t="str">
        <f aca="false">IF(E162="","",IF(COUNTIFS($C$2:C162,C162,$E$2:E162,E162,$B$2:B162,B162)&gt;1,"No","Yes"))</f>
        <v>Yes</v>
      </c>
      <c r="R162" s="61" t="str">
        <f aca="false">IF(E162="","",IF(Q162="No","Duplicate of an earlier response",IF(L162="Not on SITES","Site not on SITES",IF(N(G162)&gt;N(F162),"Present is more than enrolled",IF(OR(I162&lt;1,I162&gt;5),"Score outside 1 to 5","")))))</f>
        <v/>
      </c>
    </row>
    <row r="163" customFormat="false" ht="15" hidden="false" customHeight="false" outlineLevel="0" collapsed="false">
      <c r="A163" s="52" t="n">
        <v>45953.7317476852</v>
      </c>
      <c r="B163" s="53" t="s">
        <v>121</v>
      </c>
      <c r="C163" s="53" t="s">
        <v>122</v>
      </c>
      <c r="D163" s="53" t="s">
        <v>116</v>
      </c>
      <c r="E163" s="54" t="n">
        <v>45953</v>
      </c>
      <c r="F163" s="55" t="n">
        <v>16</v>
      </c>
      <c r="G163" s="55" t="n">
        <v>13</v>
      </c>
      <c r="H163" s="55" t="n">
        <v>75</v>
      </c>
      <c r="I163" s="56" t="n">
        <v>3.7</v>
      </c>
      <c r="J163" s="53" t="s">
        <v>117</v>
      </c>
      <c r="K163" s="53"/>
      <c r="L163" s="57" t="str">
        <f aca="false">IF(C163="","",IFERROR(INDEX(site_ID,MATCH(C163,site_Name,0)),"Not on SITES"))</f>
        <v>LW-116</v>
      </c>
      <c r="M163" s="58" t="n">
        <f aca="false">IF(E163="","",DATE(YEAR(E163),MONTH(E163),1))</f>
        <v>45931</v>
      </c>
      <c r="N163" s="57" t="str">
        <f aca="false">IF(E163="","","FY"&amp;(YEAR(E163)+IF(AND(FYStart&gt;1,MONTH(E163)&gt;=FYStart),1,0))&amp;" Q"&amp;(INT(MOD(MONTH(E163)-FYStart,12)/3)+1))</f>
        <v>FY2026 Q2</v>
      </c>
      <c r="O163" s="59" t="n">
        <f aca="false">IF(OR(E163="",N(F163)=0),"",G163/F163)</f>
        <v>0.8125</v>
      </c>
      <c r="P163" s="60" t="n">
        <f aca="false">IF(E163="","",ROUND(N(G163)*N(H163)/60,1))</f>
        <v>16.3</v>
      </c>
      <c r="Q163" s="57" t="str">
        <f aca="false">IF(E163="","",IF(COUNTIFS($C$2:C163,C163,$E$2:E163,E163,$B$2:B163,B163)&gt;1,"No","Yes"))</f>
        <v>Yes</v>
      </c>
      <c r="R163" s="61" t="str">
        <f aca="false">IF(E163="","",IF(Q163="No","Duplicate of an earlier response",IF(L163="Not on SITES","Site not on SITES",IF(N(G163)&gt;N(F163),"Present is more than enrolled",IF(OR(I163&lt;1,I163&gt;5),"Score outside 1 to 5","")))))</f>
        <v/>
      </c>
    </row>
    <row r="164" customFormat="false" ht="15" hidden="false" customHeight="false" outlineLevel="0" collapsed="false">
      <c r="A164" s="52" t="n">
        <v>45953.7376736111</v>
      </c>
      <c r="B164" s="53" t="s">
        <v>124</v>
      </c>
      <c r="C164" s="53" t="s">
        <v>154</v>
      </c>
      <c r="D164" s="53" t="s">
        <v>116</v>
      </c>
      <c r="E164" s="54" t="n">
        <v>45953</v>
      </c>
      <c r="F164" s="55" t="n">
        <v>18</v>
      </c>
      <c r="G164" s="55" t="n">
        <v>16</v>
      </c>
      <c r="H164" s="55" t="n">
        <v>60</v>
      </c>
      <c r="I164" s="56" t="n">
        <v>3.3</v>
      </c>
      <c r="J164" s="53" t="s">
        <v>117</v>
      </c>
      <c r="K164" s="53"/>
      <c r="L164" s="57" t="str">
        <f aca="false">IF(C164="","",IFERROR(INDEX(site_ID,MATCH(C164,site_Name,0)),"Not on SITES"))</f>
        <v>LW-114</v>
      </c>
      <c r="M164" s="58" t="n">
        <f aca="false">IF(E164="","",DATE(YEAR(E164),MONTH(E164),1))</f>
        <v>45931</v>
      </c>
      <c r="N164" s="57" t="str">
        <f aca="false">IF(E164="","","FY"&amp;(YEAR(E164)+IF(AND(FYStart&gt;1,MONTH(E164)&gt;=FYStart),1,0))&amp;" Q"&amp;(INT(MOD(MONTH(E164)-FYStart,12)/3)+1))</f>
        <v>FY2026 Q2</v>
      </c>
      <c r="O164" s="59" t="n">
        <f aca="false">IF(OR(E164="",N(F164)=0),"",G164/F164)</f>
        <v>0.888888888888889</v>
      </c>
      <c r="P164" s="60" t="n">
        <f aca="false">IF(E164="","",ROUND(N(G164)*N(H164)/60,1))</f>
        <v>16</v>
      </c>
      <c r="Q164" s="57" t="str">
        <f aca="false">IF(E164="","",IF(COUNTIFS($C$2:C164,C164,$E$2:E164,E164,$B$2:B164,B164)&gt;1,"No","Yes"))</f>
        <v>Yes</v>
      </c>
      <c r="R164" s="61" t="str">
        <f aca="false">IF(E164="","",IF(Q164="No","Duplicate of an earlier response",IF(L164="Not on SITES","Site not on SITES",IF(N(G164)&gt;N(F164),"Present is more than enrolled",IF(OR(I164&lt;1,I164&gt;5),"Score outside 1 to 5","")))))</f>
        <v/>
      </c>
    </row>
    <row r="165" customFormat="false" ht="15" hidden="false" customHeight="false" outlineLevel="0" collapsed="false">
      <c r="A165" s="52" t="n">
        <v>45953.7381134259</v>
      </c>
      <c r="B165" s="53" t="s">
        <v>111</v>
      </c>
      <c r="C165" s="53" t="s">
        <v>149</v>
      </c>
      <c r="D165" s="53" t="s">
        <v>113</v>
      </c>
      <c r="E165" s="54" t="n">
        <v>45953</v>
      </c>
      <c r="F165" s="55" t="n">
        <v>21</v>
      </c>
      <c r="G165" s="55" t="n">
        <v>20</v>
      </c>
      <c r="H165" s="55" t="n">
        <v>60</v>
      </c>
      <c r="I165" s="56" t="n">
        <v>3.2</v>
      </c>
      <c r="J165" s="53" t="s">
        <v>136</v>
      </c>
      <c r="K165" s="53"/>
      <c r="L165" s="57" t="str">
        <f aca="false">IF(C165="","",IFERROR(INDEX(site_ID,MATCH(C165,site_Name,0)),"Not on SITES"))</f>
        <v>LW-112</v>
      </c>
      <c r="M165" s="58" t="n">
        <f aca="false">IF(E165="","",DATE(YEAR(E165),MONTH(E165),1))</f>
        <v>45931</v>
      </c>
      <c r="N165" s="57" t="str">
        <f aca="false">IF(E165="","","FY"&amp;(YEAR(E165)+IF(AND(FYStart&gt;1,MONTH(E165)&gt;=FYStart),1,0))&amp;" Q"&amp;(INT(MOD(MONTH(E165)-FYStart,12)/3)+1))</f>
        <v>FY2026 Q2</v>
      </c>
      <c r="O165" s="59" t="n">
        <f aca="false">IF(OR(E165="",N(F165)=0),"",G165/F165)</f>
        <v>0.952380952380952</v>
      </c>
      <c r="P165" s="60" t="n">
        <f aca="false">IF(E165="","",ROUND(N(G165)*N(H165)/60,1))</f>
        <v>20</v>
      </c>
      <c r="Q165" s="57" t="str">
        <f aca="false">IF(E165="","",IF(COUNTIFS($C$2:C165,C165,$E$2:E165,E165,$B$2:B165,B165)&gt;1,"No","Yes"))</f>
        <v>Yes</v>
      </c>
      <c r="R165" s="61" t="str">
        <f aca="false">IF(E165="","",IF(Q165="No","Duplicate of an earlier response",IF(L165="Not on SITES","Site not on SITES",IF(N(G165)&gt;N(F165),"Present is more than enrolled",IF(OR(I165&lt;1,I165&gt;5),"Score outside 1 to 5","")))))</f>
        <v/>
      </c>
    </row>
    <row r="166" customFormat="false" ht="15" hidden="false" customHeight="false" outlineLevel="0" collapsed="false">
      <c r="A166" s="52" t="n">
        <v>45954.7430092593</v>
      </c>
      <c r="B166" s="53" t="s">
        <v>124</v>
      </c>
      <c r="C166" s="53" t="s">
        <v>141</v>
      </c>
      <c r="D166" s="53" t="s">
        <v>116</v>
      </c>
      <c r="E166" s="54" t="n">
        <v>45954</v>
      </c>
      <c r="F166" s="55" t="n">
        <v>12</v>
      </c>
      <c r="G166" s="55" t="n">
        <v>10</v>
      </c>
      <c r="H166" s="55" t="n">
        <v>60</v>
      </c>
      <c r="I166" s="56" t="n">
        <v>3.5</v>
      </c>
      <c r="J166" s="53" t="s">
        <v>153</v>
      </c>
      <c r="K166" s="53"/>
      <c r="L166" s="57" t="str">
        <f aca="false">IF(C166="","",IFERROR(INDEX(site_ID,MATCH(C166,site_Name,0)),"Not on SITES"))</f>
        <v>LW-118</v>
      </c>
      <c r="M166" s="58" t="n">
        <f aca="false">IF(E166="","",DATE(YEAR(E166),MONTH(E166),1))</f>
        <v>45931</v>
      </c>
      <c r="N166" s="57" t="str">
        <f aca="false">IF(E166="","","FY"&amp;(YEAR(E166)+IF(AND(FYStart&gt;1,MONTH(E166)&gt;=FYStart),1,0))&amp;" Q"&amp;(INT(MOD(MONTH(E166)-FYStart,12)/3)+1))</f>
        <v>FY2026 Q2</v>
      </c>
      <c r="O166" s="59" t="n">
        <f aca="false">IF(OR(E166="",N(F166)=0),"",G166/F166)</f>
        <v>0.833333333333333</v>
      </c>
      <c r="P166" s="60" t="n">
        <f aca="false">IF(E166="","",ROUND(N(G166)*N(H166)/60,1))</f>
        <v>10</v>
      </c>
      <c r="Q166" s="57" t="str">
        <f aca="false">IF(E166="","",IF(COUNTIFS($C$2:C166,C166,$E$2:E166,E166,$B$2:B166,B166)&gt;1,"No","Yes"))</f>
        <v>Yes</v>
      </c>
      <c r="R166" s="61" t="str">
        <f aca="false">IF(E166="","",IF(Q166="No","Duplicate of an earlier response",IF(L166="Not on SITES","Site not on SITES",IF(N(G166)&gt;N(F166),"Present is more than enrolled",IF(OR(I166&lt;1,I166&gt;5),"Score outside 1 to 5","")))))</f>
        <v/>
      </c>
    </row>
    <row r="167" customFormat="false" ht="15" hidden="false" customHeight="false" outlineLevel="0" collapsed="false">
      <c r="A167" s="52" t="n">
        <v>45954.7566319444</v>
      </c>
      <c r="B167" s="53" t="s">
        <v>129</v>
      </c>
      <c r="C167" s="53" t="s">
        <v>137</v>
      </c>
      <c r="D167" s="53" t="s">
        <v>138</v>
      </c>
      <c r="E167" s="54" t="n">
        <v>45954</v>
      </c>
      <c r="F167" s="55" t="n">
        <v>20</v>
      </c>
      <c r="G167" s="55" t="n">
        <v>19</v>
      </c>
      <c r="H167" s="55" t="n">
        <v>90</v>
      </c>
      <c r="I167" s="56" t="n">
        <v>3.5</v>
      </c>
      <c r="J167" s="53" t="s">
        <v>164</v>
      </c>
      <c r="K167" s="53"/>
      <c r="L167" s="57" t="str">
        <f aca="false">IF(C167="","",IFERROR(INDEX(site_ID,MATCH(C167,site_Name,0)),"Not on SITES"))</f>
        <v>LW-115</v>
      </c>
      <c r="M167" s="58" t="n">
        <f aca="false">IF(E167="","",DATE(YEAR(E167),MONTH(E167),1))</f>
        <v>45931</v>
      </c>
      <c r="N167" s="57" t="str">
        <f aca="false">IF(E167="","","FY"&amp;(YEAR(E167)+IF(AND(FYStart&gt;1,MONTH(E167)&gt;=FYStart),1,0))&amp;" Q"&amp;(INT(MOD(MONTH(E167)-FYStart,12)/3)+1))</f>
        <v>FY2026 Q2</v>
      </c>
      <c r="O167" s="59" t="n">
        <f aca="false">IF(OR(E167="",N(F167)=0),"",G167/F167)</f>
        <v>0.95</v>
      </c>
      <c r="P167" s="60" t="n">
        <f aca="false">IF(E167="","",ROUND(N(G167)*N(H167)/60,1))</f>
        <v>28.5</v>
      </c>
      <c r="Q167" s="57" t="str">
        <f aca="false">IF(E167="","",IF(COUNTIFS($C$2:C167,C167,$E$2:E167,E167,$B$2:B167,B167)&gt;1,"No","Yes"))</f>
        <v>Yes</v>
      </c>
      <c r="R167" s="61" t="str">
        <f aca="false">IF(E167="","",IF(Q167="No","Duplicate of an earlier response",IF(L167="Not on SITES","Site not on SITES",IF(N(G167)&gt;N(F167),"Present is more than enrolled",IF(OR(I167&lt;1,I167&gt;5),"Score outside 1 to 5","")))))</f>
        <v/>
      </c>
    </row>
    <row r="168" customFormat="false" ht="15" hidden="false" customHeight="false" outlineLevel="0" collapsed="false">
      <c r="A168" s="52" t="n">
        <v>45957.6534722222</v>
      </c>
      <c r="B168" s="53" t="s">
        <v>105</v>
      </c>
      <c r="C168" s="53" t="s">
        <v>106</v>
      </c>
      <c r="D168" s="53" t="s">
        <v>107</v>
      </c>
      <c r="E168" s="54" t="n">
        <v>45957</v>
      </c>
      <c r="F168" s="55" t="n">
        <v>16</v>
      </c>
      <c r="G168" s="55" t="n">
        <v>13</v>
      </c>
      <c r="H168" s="55" t="n">
        <v>60</v>
      </c>
      <c r="I168" s="56" t="n">
        <v>3.3</v>
      </c>
      <c r="J168" s="53" t="s">
        <v>166</v>
      </c>
      <c r="K168" s="53"/>
      <c r="L168" s="57" t="str">
        <f aca="false">IF(C168="","",IFERROR(INDEX(site_ID,MATCH(C168,site_Name,0)),"Not on SITES"))</f>
        <v>LW-103</v>
      </c>
      <c r="M168" s="58" t="n">
        <f aca="false">IF(E168="","",DATE(YEAR(E168),MONTH(E168),1))</f>
        <v>45931</v>
      </c>
      <c r="N168" s="57" t="str">
        <f aca="false">IF(E168="","","FY"&amp;(YEAR(E168)+IF(AND(FYStart&gt;1,MONTH(E168)&gt;=FYStart),1,0))&amp;" Q"&amp;(INT(MOD(MONTH(E168)-FYStart,12)/3)+1))</f>
        <v>FY2026 Q2</v>
      </c>
      <c r="O168" s="59" t="n">
        <f aca="false">IF(OR(E168="",N(F168)=0),"",G168/F168)</f>
        <v>0.8125</v>
      </c>
      <c r="P168" s="60" t="n">
        <f aca="false">IF(E168="","",ROUND(N(G168)*N(H168)/60,1))</f>
        <v>13</v>
      </c>
      <c r="Q168" s="57" t="str">
        <f aca="false">IF(E168="","",IF(COUNTIFS($C$2:C168,C168,$E$2:E168,E168,$B$2:B168,B168)&gt;1,"No","Yes"))</f>
        <v>Yes</v>
      </c>
      <c r="R168" s="61" t="str">
        <f aca="false">IF(E168="","",IF(Q168="No","Duplicate of an earlier response",IF(L168="Not on SITES","Site not on SITES",IF(N(G168)&gt;N(F168),"Present is more than enrolled",IF(OR(I168&lt;1,I168&gt;5),"Score outside 1 to 5","")))))</f>
        <v/>
      </c>
    </row>
    <row r="169" customFormat="false" ht="15" hidden="false" customHeight="false" outlineLevel="0" collapsed="false">
      <c r="A169" s="52" t="n">
        <v>45957.6672916667</v>
      </c>
      <c r="B169" s="53" t="s">
        <v>105</v>
      </c>
      <c r="C169" s="53" t="s">
        <v>118</v>
      </c>
      <c r="D169" s="53" t="s">
        <v>119</v>
      </c>
      <c r="E169" s="54" t="n">
        <v>45957</v>
      </c>
      <c r="F169" s="55" t="n">
        <v>21</v>
      </c>
      <c r="G169" s="55" t="n">
        <v>16</v>
      </c>
      <c r="H169" s="55" t="n">
        <v>75</v>
      </c>
      <c r="I169" s="56" t="n">
        <v>3</v>
      </c>
      <c r="J169" s="53" t="s">
        <v>120</v>
      </c>
      <c r="K169" s="53"/>
      <c r="L169" s="57" t="str">
        <f aca="false">IF(C169="","",IFERROR(INDEX(site_ID,MATCH(C169,site_Name,0)),"Not on SITES"))</f>
        <v>LW-111</v>
      </c>
      <c r="M169" s="58" t="n">
        <f aca="false">IF(E169="","",DATE(YEAR(E169),MONTH(E169),1))</f>
        <v>45931</v>
      </c>
      <c r="N169" s="57" t="str">
        <f aca="false">IF(E169="","","FY"&amp;(YEAR(E169)+IF(AND(FYStart&gt;1,MONTH(E169)&gt;=FYStart),1,0))&amp;" Q"&amp;(INT(MOD(MONTH(E169)-FYStart,12)/3)+1))</f>
        <v>FY2026 Q2</v>
      </c>
      <c r="O169" s="59" t="n">
        <f aca="false">IF(OR(E169="",N(F169)=0),"",G169/F169)</f>
        <v>0.761904761904762</v>
      </c>
      <c r="P169" s="60" t="n">
        <f aca="false">IF(E169="","",ROUND(N(G169)*N(H169)/60,1))</f>
        <v>20</v>
      </c>
      <c r="Q169" s="57" t="str">
        <f aca="false">IF(E169="","",IF(COUNTIFS($C$2:C169,C169,$E$2:E169,E169,$B$2:B169,B169)&gt;1,"No","Yes"))</f>
        <v>Yes</v>
      </c>
      <c r="R169" s="61" t="str">
        <f aca="false">IF(E169="","",IF(Q169="No","Duplicate of an earlier response",IF(L169="Not on SITES","Site not on SITES",IF(N(G169)&gt;N(F169),"Present is more than enrolled",IF(OR(I169&lt;1,I169&gt;5),"Score outside 1 to 5","")))))</f>
        <v/>
      </c>
    </row>
    <row r="170" customFormat="false" ht="15" hidden="false" customHeight="false" outlineLevel="0" collapsed="false">
      <c r="A170" s="52" t="n">
        <v>45957.8044444445</v>
      </c>
      <c r="B170" s="53" t="s">
        <v>111</v>
      </c>
      <c r="C170" s="53" t="s">
        <v>112</v>
      </c>
      <c r="D170" s="53" t="s">
        <v>113</v>
      </c>
      <c r="E170" s="54" t="n">
        <v>45957</v>
      </c>
      <c r="F170" s="55" t="n">
        <v>16</v>
      </c>
      <c r="G170" s="55" t="n">
        <v>14</v>
      </c>
      <c r="H170" s="55" t="n">
        <v>75</v>
      </c>
      <c r="I170" s="56" t="n">
        <v>3.4</v>
      </c>
      <c r="J170" s="53" t="s">
        <v>131</v>
      </c>
      <c r="K170" s="53"/>
      <c r="L170" s="57" t="str">
        <f aca="false">IF(C170="","",IFERROR(INDEX(site_ID,MATCH(C170,site_Name,0)),"Not on SITES"))</f>
        <v>LW-120</v>
      </c>
      <c r="M170" s="58" t="n">
        <f aca="false">IF(E170="","",DATE(YEAR(E170),MONTH(E170),1))</f>
        <v>45931</v>
      </c>
      <c r="N170" s="57" t="str">
        <f aca="false">IF(E170="","","FY"&amp;(YEAR(E170)+IF(AND(FYStart&gt;1,MONTH(E170)&gt;=FYStart),1,0))&amp;" Q"&amp;(INT(MOD(MONTH(E170)-FYStart,12)/3)+1))</f>
        <v>FY2026 Q2</v>
      </c>
      <c r="O170" s="59" t="n">
        <f aca="false">IF(OR(E170="",N(F170)=0),"",G170/F170)</f>
        <v>0.875</v>
      </c>
      <c r="P170" s="60" t="n">
        <f aca="false">IF(E170="","",ROUND(N(G170)*N(H170)/60,1))</f>
        <v>17.5</v>
      </c>
      <c r="Q170" s="57" t="str">
        <f aca="false">IF(E170="","",IF(COUNTIFS($C$2:C170,C170,$E$2:E170,E170,$B$2:B170,B170)&gt;1,"No","Yes"))</f>
        <v>Yes</v>
      </c>
      <c r="R170" s="61" t="str">
        <f aca="false">IF(E170="","",IF(Q170="No","Duplicate of an earlier response",IF(L170="Not on SITES","Site not on SITES",IF(N(G170)&gt;N(F170),"Present is more than enrolled",IF(OR(I170&lt;1,I170&gt;5),"Score outside 1 to 5","")))))</f>
        <v/>
      </c>
    </row>
    <row r="171" customFormat="false" ht="15" hidden="false" customHeight="false" outlineLevel="0" collapsed="false">
      <c r="A171" s="52" t="n">
        <v>45957.8099537037</v>
      </c>
      <c r="B171" s="53" t="s">
        <v>109</v>
      </c>
      <c r="C171" s="53" t="s">
        <v>110</v>
      </c>
      <c r="D171" s="53" t="s">
        <v>107</v>
      </c>
      <c r="E171" s="54" t="n">
        <v>45957</v>
      </c>
      <c r="F171" s="55" t="n">
        <v>22</v>
      </c>
      <c r="G171" s="55" t="n">
        <v>15</v>
      </c>
      <c r="H171" s="55" t="n">
        <v>60</v>
      </c>
      <c r="I171" s="56" t="n">
        <v>3.3</v>
      </c>
      <c r="J171" s="53" t="s">
        <v>166</v>
      </c>
      <c r="K171" s="53"/>
      <c r="L171" s="57" t="str">
        <f aca="false">IF(C171="","",IFERROR(INDEX(site_ID,MATCH(C171,site_Name,0)),"Not on SITES"))</f>
        <v>LW-113</v>
      </c>
      <c r="M171" s="58" t="n">
        <f aca="false">IF(E171="","",DATE(YEAR(E171),MONTH(E171),1))</f>
        <v>45931</v>
      </c>
      <c r="N171" s="57" t="str">
        <f aca="false">IF(E171="","","FY"&amp;(YEAR(E171)+IF(AND(FYStart&gt;1,MONTH(E171)&gt;=FYStart),1,0))&amp;" Q"&amp;(INT(MOD(MONTH(E171)-FYStart,12)/3)+1))</f>
        <v>FY2026 Q2</v>
      </c>
      <c r="O171" s="59" t="n">
        <f aca="false">IF(OR(E171="",N(F171)=0),"",G171/F171)</f>
        <v>0.681818181818182</v>
      </c>
      <c r="P171" s="60" t="n">
        <f aca="false">IF(E171="","",ROUND(N(G171)*N(H171)/60,1))</f>
        <v>15</v>
      </c>
      <c r="Q171" s="57" t="str">
        <f aca="false">IF(E171="","",IF(COUNTIFS($C$2:C171,C171,$E$2:E171,E171,$B$2:B171,B171)&gt;1,"No","Yes"))</f>
        <v>Yes</v>
      </c>
      <c r="R171" s="61" t="str">
        <f aca="false">IF(E171="","",IF(Q171="No","Duplicate of an earlier response",IF(L171="Not on SITES","Site not on SITES",IF(N(G171)&gt;N(F171),"Present is more than enrolled",IF(OR(I171&lt;1,I171&gt;5),"Score outside 1 to 5","")))))</f>
        <v/>
      </c>
    </row>
    <row r="172" customFormat="false" ht="15" hidden="false" customHeight="false" outlineLevel="0" collapsed="false">
      <c r="A172" s="52" t="n">
        <v>45958.6407291667</v>
      </c>
      <c r="B172" s="53" t="s">
        <v>124</v>
      </c>
      <c r="C172" s="53" t="s">
        <v>125</v>
      </c>
      <c r="D172" s="53" t="s">
        <v>119</v>
      </c>
      <c r="E172" s="54" t="n">
        <v>45958</v>
      </c>
      <c r="F172" s="55" t="n">
        <v>18</v>
      </c>
      <c r="G172" s="55" t="n">
        <v>15</v>
      </c>
      <c r="H172" s="55" t="n">
        <v>60</v>
      </c>
      <c r="I172" s="56" t="n">
        <v>2.9</v>
      </c>
      <c r="J172" s="53" t="s">
        <v>162</v>
      </c>
      <c r="K172" s="53"/>
      <c r="L172" s="57" t="str">
        <f aca="false">IF(C172="","",IFERROR(INDEX(site_ID,MATCH(C172,site_Name,0)),"Not on SITES"))</f>
        <v>LW-106</v>
      </c>
      <c r="M172" s="58" t="n">
        <f aca="false">IF(E172="","",DATE(YEAR(E172),MONTH(E172),1))</f>
        <v>45931</v>
      </c>
      <c r="N172" s="57" t="str">
        <f aca="false">IF(E172="","","FY"&amp;(YEAR(E172)+IF(AND(FYStart&gt;1,MONTH(E172)&gt;=FYStart),1,0))&amp;" Q"&amp;(INT(MOD(MONTH(E172)-FYStart,12)/3)+1))</f>
        <v>FY2026 Q2</v>
      </c>
      <c r="O172" s="59" t="n">
        <f aca="false">IF(OR(E172="",N(F172)=0),"",G172/F172)</f>
        <v>0.833333333333333</v>
      </c>
      <c r="P172" s="60" t="n">
        <f aca="false">IF(E172="","",ROUND(N(G172)*N(H172)/60,1))</f>
        <v>15</v>
      </c>
      <c r="Q172" s="57" t="str">
        <f aca="false">IF(E172="","",IF(COUNTIFS($C$2:C172,C172,$E$2:E172,E172,$B$2:B172,B172)&gt;1,"No","Yes"))</f>
        <v>Yes</v>
      </c>
      <c r="R172" s="61" t="str">
        <f aca="false">IF(E172="","",IF(Q172="No","Duplicate of an earlier response",IF(L172="Not on SITES","Site not on SITES",IF(N(G172)&gt;N(F172),"Present is more than enrolled",IF(OR(I172&lt;1,I172&gt;5),"Score outside 1 to 5","")))))</f>
        <v/>
      </c>
    </row>
    <row r="173" customFormat="false" ht="15" hidden="false" customHeight="false" outlineLevel="0" collapsed="false">
      <c r="A173" s="52" t="n">
        <v>45958.6858796296</v>
      </c>
      <c r="B173" s="53" t="s">
        <v>129</v>
      </c>
      <c r="C173" s="53" t="s">
        <v>130</v>
      </c>
      <c r="D173" s="53" t="s">
        <v>113</v>
      </c>
      <c r="E173" s="54" t="n">
        <v>45958</v>
      </c>
      <c r="F173" s="55" t="n">
        <v>17</v>
      </c>
      <c r="G173" s="55" t="n">
        <v>16</v>
      </c>
      <c r="H173" s="55" t="n">
        <v>60</v>
      </c>
      <c r="I173" s="56" t="n">
        <v>2.9</v>
      </c>
      <c r="J173" s="53" t="s">
        <v>143</v>
      </c>
      <c r="K173" s="53"/>
      <c r="L173" s="57" t="str">
        <f aca="false">IF(C173="","",IFERROR(INDEX(site_ID,MATCH(C173,site_Name,0)),"Not on SITES"))</f>
        <v>LW-107</v>
      </c>
      <c r="M173" s="58" t="n">
        <f aca="false">IF(E173="","",DATE(YEAR(E173),MONTH(E173),1))</f>
        <v>45931</v>
      </c>
      <c r="N173" s="57" t="str">
        <f aca="false">IF(E173="","","FY"&amp;(YEAR(E173)+IF(AND(FYStart&gt;1,MONTH(E173)&gt;=FYStart),1,0))&amp;" Q"&amp;(INT(MOD(MONTH(E173)-FYStart,12)/3)+1))</f>
        <v>FY2026 Q2</v>
      </c>
      <c r="O173" s="59" t="n">
        <f aca="false">IF(OR(E173="",N(F173)=0),"",G173/F173)</f>
        <v>0.941176470588235</v>
      </c>
      <c r="P173" s="60" t="n">
        <f aca="false">IF(E173="","",ROUND(N(G173)*N(H173)/60,1))</f>
        <v>16</v>
      </c>
      <c r="Q173" s="57" t="str">
        <f aca="false">IF(E173="","",IF(COUNTIFS($C$2:C173,C173,$E$2:E173,E173,$B$2:B173,B173)&gt;1,"No","Yes"))</f>
        <v>Yes</v>
      </c>
      <c r="R173" s="61" t="str">
        <f aca="false">IF(E173="","",IF(Q173="No","Duplicate of an earlier response",IF(L173="Not on SITES","Site not on SITES",IF(N(G173)&gt;N(F173),"Present is more than enrolled",IF(OR(I173&lt;1,I173&gt;5),"Score outside 1 to 5","")))))</f>
        <v/>
      </c>
    </row>
    <row r="174" customFormat="false" ht="15" hidden="false" customHeight="false" outlineLevel="0" collapsed="false">
      <c r="A174" s="52" t="n">
        <v>45958.7136805556</v>
      </c>
      <c r="B174" s="53" t="s">
        <v>121</v>
      </c>
      <c r="C174" s="53" t="s">
        <v>122</v>
      </c>
      <c r="D174" s="53" t="s">
        <v>116</v>
      </c>
      <c r="E174" s="54" t="n">
        <v>45958</v>
      </c>
      <c r="F174" s="55" t="n">
        <v>16</v>
      </c>
      <c r="G174" s="55" t="n">
        <v>14</v>
      </c>
      <c r="H174" s="55" t="n">
        <v>60</v>
      </c>
      <c r="I174" s="56" t="n">
        <v>3.1</v>
      </c>
      <c r="J174" s="53" t="s">
        <v>123</v>
      </c>
      <c r="K174" s="53"/>
      <c r="L174" s="57" t="str">
        <f aca="false">IF(C174="","",IFERROR(INDEX(site_ID,MATCH(C174,site_Name,0)),"Not on SITES"))</f>
        <v>LW-116</v>
      </c>
      <c r="M174" s="58" t="n">
        <f aca="false">IF(E174="","",DATE(YEAR(E174),MONTH(E174),1))</f>
        <v>45931</v>
      </c>
      <c r="N174" s="57" t="str">
        <f aca="false">IF(E174="","","FY"&amp;(YEAR(E174)+IF(AND(FYStart&gt;1,MONTH(E174)&gt;=FYStart),1,0))&amp;" Q"&amp;(INT(MOD(MONTH(E174)-FYStart,12)/3)+1))</f>
        <v>FY2026 Q2</v>
      </c>
      <c r="O174" s="59" t="n">
        <f aca="false">IF(OR(E174="",N(F174)=0),"",G174/F174)</f>
        <v>0.875</v>
      </c>
      <c r="P174" s="60" t="n">
        <f aca="false">IF(E174="","",ROUND(N(G174)*N(H174)/60,1))</f>
        <v>14</v>
      </c>
      <c r="Q174" s="57" t="str">
        <f aca="false">IF(E174="","",IF(COUNTIFS($C$2:C174,C174,$E$2:E174,E174,$B$2:B174,B174)&gt;1,"No","Yes"))</f>
        <v>Yes</v>
      </c>
      <c r="R174" s="61" t="str">
        <f aca="false">IF(E174="","",IF(Q174="No","Duplicate of an earlier response",IF(L174="Not on SITES","Site not on SITES",IF(N(G174)&gt;N(F174),"Present is more than enrolled",IF(OR(I174&lt;1,I174&gt;5),"Score outside 1 to 5","")))))</f>
        <v/>
      </c>
    </row>
    <row r="175" customFormat="false" ht="15" hidden="false" customHeight="false" outlineLevel="0" collapsed="false">
      <c r="A175" s="52" t="n">
        <v>45958.7723263889</v>
      </c>
      <c r="B175" s="53" t="s">
        <v>132</v>
      </c>
      <c r="C175" s="53" t="s">
        <v>133</v>
      </c>
      <c r="D175" s="53" t="s">
        <v>116</v>
      </c>
      <c r="E175" s="54" t="n">
        <v>45958</v>
      </c>
      <c r="F175" s="55" t="n">
        <v>18</v>
      </c>
      <c r="G175" s="55" t="n">
        <v>15</v>
      </c>
      <c r="H175" s="55" t="n">
        <v>75</v>
      </c>
      <c r="I175" s="56" t="n">
        <v>3</v>
      </c>
      <c r="J175" s="53" t="s">
        <v>160</v>
      </c>
      <c r="K175" s="53"/>
      <c r="L175" s="57" t="str">
        <f aca="false">IF(C175="","",IFERROR(INDEX(site_ID,MATCH(C175,site_Name,0)),"Not on SITES"))</f>
        <v>LW-109</v>
      </c>
      <c r="M175" s="58" t="n">
        <f aca="false">IF(E175="","",DATE(YEAR(E175),MONTH(E175),1))</f>
        <v>45931</v>
      </c>
      <c r="N175" s="57" t="str">
        <f aca="false">IF(E175="","","FY"&amp;(YEAR(E175)+IF(AND(FYStart&gt;1,MONTH(E175)&gt;=FYStart),1,0))&amp;" Q"&amp;(INT(MOD(MONTH(E175)-FYStart,12)/3)+1))</f>
        <v>FY2026 Q2</v>
      </c>
      <c r="O175" s="59" t="n">
        <f aca="false">IF(OR(E175="",N(F175)=0),"",G175/F175)</f>
        <v>0.833333333333333</v>
      </c>
      <c r="P175" s="60" t="n">
        <f aca="false">IF(E175="","",ROUND(N(G175)*N(H175)/60,1))</f>
        <v>18.8</v>
      </c>
      <c r="Q175" s="57" t="str">
        <f aca="false">IF(E175="","",IF(COUNTIFS($C$2:C175,C175,$E$2:E175,E175,$B$2:B175,B175)&gt;1,"No","Yes"))</f>
        <v>Yes</v>
      </c>
      <c r="R175" s="61" t="str">
        <f aca="false">IF(E175="","",IF(Q175="No","Duplicate of an earlier response",IF(L175="Not on SITES","Site not on SITES",IF(N(G175)&gt;N(F175),"Present is more than enrolled",IF(OR(I175&lt;1,I175&gt;5),"Score outside 1 to 5","")))))</f>
        <v/>
      </c>
    </row>
    <row r="176" customFormat="false" ht="15" hidden="false" customHeight="false" outlineLevel="0" collapsed="false">
      <c r="A176" s="52" t="n">
        <v>45958.7800925926</v>
      </c>
      <c r="B176" s="53" t="s">
        <v>121</v>
      </c>
      <c r="C176" s="53" t="s">
        <v>127</v>
      </c>
      <c r="D176" s="53" t="s">
        <v>107</v>
      </c>
      <c r="E176" s="54" t="n">
        <v>45958</v>
      </c>
      <c r="F176" s="55" t="n">
        <v>16</v>
      </c>
      <c r="G176" s="55" t="n">
        <v>13</v>
      </c>
      <c r="H176" s="55" t="n">
        <v>60</v>
      </c>
      <c r="I176" s="56" t="n">
        <v>3.5</v>
      </c>
      <c r="J176" s="53" t="s">
        <v>155</v>
      </c>
      <c r="K176" s="53"/>
      <c r="L176" s="57" t="str">
        <f aca="false">IF(C176="","",IFERROR(INDEX(site_ID,MATCH(C176,site_Name,0)),"Not on SITES"))</f>
        <v>LW-108</v>
      </c>
      <c r="M176" s="58" t="n">
        <f aca="false">IF(E176="","",DATE(YEAR(E176),MONTH(E176),1))</f>
        <v>45931</v>
      </c>
      <c r="N176" s="57" t="str">
        <f aca="false">IF(E176="","","FY"&amp;(YEAR(E176)+IF(AND(FYStart&gt;1,MONTH(E176)&gt;=FYStart),1,0))&amp;" Q"&amp;(INT(MOD(MONTH(E176)-FYStart,12)/3)+1))</f>
        <v>FY2026 Q2</v>
      </c>
      <c r="O176" s="59" t="n">
        <f aca="false">IF(OR(E176="",N(F176)=0),"",G176/F176)</f>
        <v>0.8125</v>
      </c>
      <c r="P176" s="60" t="n">
        <f aca="false">IF(E176="","",ROUND(N(G176)*N(H176)/60,1))</f>
        <v>13</v>
      </c>
      <c r="Q176" s="57" t="str">
        <f aca="false">IF(E176="","",IF(COUNTIFS($C$2:C176,C176,$E$2:E176,E176,$B$2:B176,B176)&gt;1,"No","Yes"))</f>
        <v>Yes</v>
      </c>
      <c r="R176" s="61" t="str">
        <f aca="false">IF(E176="","",IF(Q176="No","Duplicate of an earlier response",IF(L176="Not on SITES","Site not on SITES",IF(N(G176)&gt;N(F176),"Present is more than enrolled",IF(OR(I176&lt;1,I176&gt;5),"Score outside 1 to 5","")))))</f>
        <v/>
      </c>
    </row>
    <row r="177" customFormat="false" ht="15" hidden="false" customHeight="false" outlineLevel="0" collapsed="false">
      <c r="A177" s="52" t="n">
        <v>45958.8673263889</v>
      </c>
      <c r="B177" s="53" t="s">
        <v>105</v>
      </c>
      <c r="C177" s="53" t="s">
        <v>115</v>
      </c>
      <c r="D177" s="53" t="s">
        <v>116</v>
      </c>
      <c r="E177" s="54" t="n">
        <v>45957</v>
      </c>
      <c r="F177" s="55" t="n">
        <v>16</v>
      </c>
      <c r="G177" s="55" t="n">
        <v>13</v>
      </c>
      <c r="H177" s="55" t="n">
        <v>60</v>
      </c>
      <c r="I177" s="56" t="n">
        <v>3.1</v>
      </c>
      <c r="J177" s="53" t="s">
        <v>160</v>
      </c>
      <c r="K177" s="53"/>
      <c r="L177" s="57" t="str">
        <f aca="false">IF(C177="","",IFERROR(INDEX(site_ID,MATCH(C177,site_Name,0)),"Not on SITES"))</f>
        <v>LW-119</v>
      </c>
      <c r="M177" s="58" t="n">
        <f aca="false">IF(E177="","",DATE(YEAR(E177),MONTH(E177),1))</f>
        <v>45931</v>
      </c>
      <c r="N177" s="57" t="str">
        <f aca="false">IF(E177="","","FY"&amp;(YEAR(E177)+IF(AND(FYStart&gt;1,MONTH(E177)&gt;=FYStart),1,0))&amp;" Q"&amp;(INT(MOD(MONTH(E177)-FYStart,12)/3)+1))</f>
        <v>FY2026 Q2</v>
      </c>
      <c r="O177" s="59" t="n">
        <f aca="false">IF(OR(E177="",N(F177)=0),"",G177/F177)</f>
        <v>0.8125</v>
      </c>
      <c r="P177" s="60" t="n">
        <f aca="false">IF(E177="","",ROUND(N(G177)*N(H177)/60,1))</f>
        <v>13</v>
      </c>
      <c r="Q177" s="57" t="str">
        <f aca="false">IF(E177="","",IF(COUNTIFS($C$2:C177,C177,$E$2:E177,E177,$B$2:B177,B177)&gt;1,"No","Yes"))</f>
        <v>Yes</v>
      </c>
      <c r="R177" s="61" t="str">
        <f aca="false">IF(E177="","",IF(Q177="No","Duplicate of an earlier response",IF(L177="Not on SITES","Site not on SITES",IF(N(G177)&gt;N(F177),"Present is more than enrolled",IF(OR(I177&lt;1,I177&gt;5),"Score outside 1 to 5","")))))</f>
        <v/>
      </c>
    </row>
    <row r="178" customFormat="false" ht="15" hidden="false" customHeight="false" outlineLevel="0" collapsed="false">
      <c r="A178" s="52" t="n">
        <v>45959.6917824074</v>
      </c>
      <c r="B178" s="53" t="s">
        <v>140</v>
      </c>
      <c r="C178" s="53" t="s">
        <v>141</v>
      </c>
      <c r="D178" s="53" t="s">
        <v>116</v>
      </c>
      <c r="E178" s="54" t="n">
        <v>45959</v>
      </c>
      <c r="F178" s="55" t="n">
        <v>12</v>
      </c>
      <c r="G178" s="55" t="n">
        <v>12</v>
      </c>
      <c r="H178" s="55" t="n">
        <v>60</v>
      </c>
      <c r="I178" s="56" t="n">
        <v>3.8</v>
      </c>
      <c r="J178" s="53" t="s">
        <v>123</v>
      </c>
      <c r="K178" s="53"/>
      <c r="L178" s="57" t="str">
        <f aca="false">IF(C178="","",IFERROR(INDEX(site_ID,MATCH(C178,site_Name,0)),"Not on SITES"))</f>
        <v>LW-118</v>
      </c>
      <c r="M178" s="58" t="n">
        <f aca="false">IF(E178="","",DATE(YEAR(E178),MONTH(E178),1))</f>
        <v>45931</v>
      </c>
      <c r="N178" s="57" t="str">
        <f aca="false">IF(E178="","","FY"&amp;(YEAR(E178)+IF(AND(FYStart&gt;1,MONTH(E178)&gt;=FYStart),1,0))&amp;" Q"&amp;(INT(MOD(MONTH(E178)-FYStart,12)/3)+1))</f>
        <v>FY2026 Q2</v>
      </c>
      <c r="O178" s="59" t="n">
        <f aca="false">IF(OR(E178="",N(F178)=0),"",G178/F178)</f>
        <v>1</v>
      </c>
      <c r="P178" s="60" t="n">
        <f aca="false">IF(E178="","",ROUND(N(G178)*N(H178)/60,1))</f>
        <v>12</v>
      </c>
      <c r="Q178" s="57" t="str">
        <f aca="false">IF(E178="","",IF(COUNTIFS($C$2:C178,C178,$E$2:E178,E178,$B$2:B178,B178)&gt;1,"No","Yes"))</f>
        <v>Yes</v>
      </c>
      <c r="R178" s="61" t="str">
        <f aca="false">IF(E178="","",IF(Q178="No","Duplicate of an earlier response",IF(L178="Not on SITES","Site not on SITES",IF(N(G178)&gt;N(F178),"Present is more than enrolled",IF(OR(I178&lt;1,I178&gt;5),"Score outside 1 to 5","")))))</f>
        <v/>
      </c>
    </row>
    <row r="179" customFormat="false" ht="15" hidden="false" customHeight="false" outlineLevel="0" collapsed="false">
      <c r="A179" s="52" t="n">
        <v>45959.7301157407</v>
      </c>
      <c r="B179" s="53" t="s">
        <v>129</v>
      </c>
      <c r="C179" s="53" t="s">
        <v>137</v>
      </c>
      <c r="D179" s="53" t="s">
        <v>138</v>
      </c>
      <c r="E179" s="54" t="n">
        <v>45959</v>
      </c>
      <c r="F179" s="55" t="n">
        <v>20</v>
      </c>
      <c r="G179" s="55" t="n">
        <v>17</v>
      </c>
      <c r="H179" s="55" t="n">
        <v>90</v>
      </c>
      <c r="I179" s="56" t="n">
        <v>3.5</v>
      </c>
      <c r="J179" s="53" t="s">
        <v>164</v>
      </c>
      <c r="K179" s="53"/>
      <c r="L179" s="57" t="str">
        <f aca="false">IF(C179="","",IFERROR(INDEX(site_ID,MATCH(C179,site_Name,0)),"Not on SITES"))</f>
        <v>LW-115</v>
      </c>
      <c r="M179" s="58" t="n">
        <f aca="false">IF(E179="","",DATE(YEAR(E179),MONTH(E179),1))</f>
        <v>45931</v>
      </c>
      <c r="N179" s="57" t="str">
        <f aca="false">IF(E179="","","FY"&amp;(YEAR(E179)+IF(AND(FYStart&gt;1,MONTH(E179)&gt;=FYStart),1,0))&amp;" Q"&amp;(INT(MOD(MONTH(E179)-FYStart,12)/3)+1))</f>
        <v>FY2026 Q2</v>
      </c>
      <c r="O179" s="59" t="n">
        <f aca="false">IF(OR(E179="",N(F179)=0),"",G179/F179)</f>
        <v>0.85</v>
      </c>
      <c r="P179" s="60" t="n">
        <f aca="false">IF(E179="","",ROUND(N(G179)*N(H179)/60,1))</f>
        <v>25.5</v>
      </c>
      <c r="Q179" s="57" t="str">
        <f aca="false">IF(E179="","",IF(COUNTIFS($C$2:C179,C179,$E$2:E179,E179,$B$2:B179,B179)&gt;1,"No","Yes"))</f>
        <v>Yes</v>
      </c>
      <c r="R179" s="61" t="str">
        <f aca="false">IF(E179="","",IF(Q179="No","Duplicate of an earlier response",IF(L179="Not on SITES","Site not on SITES",IF(N(G179)&gt;N(F179),"Present is more than enrolled",IF(OR(I179&lt;1,I179&gt;5),"Score outside 1 to 5","")))))</f>
        <v/>
      </c>
    </row>
    <row r="180" customFormat="false" ht="15" hidden="false" customHeight="false" outlineLevel="0" collapsed="false">
      <c r="A180" s="52" t="n">
        <v>45959.7504166667</v>
      </c>
      <c r="B180" s="53" t="s">
        <v>111</v>
      </c>
      <c r="C180" s="53" t="s">
        <v>112</v>
      </c>
      <c r="D180" s="53" t="s">
        <v>113</v>
      </c>
      <c r="E180" s="54" t="n">
        <v>45959</v>
      </c>
      <c r="F180" s="55" t="n">
        <v>16</v>
      </c>
      <c r="G180" s="55" t="n">
        <v>15</v>
      </c>
      <c r="H180" s="55" t="n">
        <v>60</v>
      </c>
      <c r="I180" s="56" t="n">
        <v>3.3</v>
      </c>
      <c r="J180" s="53" t="s">
        <v>114</v>
      </c>
      <c r="K180" s="53"/>
      <c r="L180" s="57" t="str">
        <f aca="false">IF(C180="","",IFERROR(INDEX(site_ID,MATCH(C180,site_Name,0)),"Not on SITES"))</f>
        <v>LW-120</v>
      </c>
      <c r="M180" s="58" t="n">
        <f aca="false">IF(E180="","",DATE(YEAR(E180),MONTH(E180),1))</f>
        <v>45931</v>
      </c>
      <c r="N180" s="57" t="str">
        <f aca="false">IF(E180="","","FY"&amp;(YEAR(E180)+IF(AND(FYStart&gt;1,MONTH(E180)&gt;=FYStart),1,0))&amp;" Q"&amp;(INT(MOD(MONTH(E180)-FYStart,12)/3)+1))</f>
        <v>FY2026 Q2</v>
      </c>
      <c r="O180" s="59" t="n">
        <f aca="false">IF(OR(E180="",N(F180)=0),"",G180/F180)</f>
        <v>0.9375</v>
      </c>
      <c r="P180" s="60" t="n">
        <f aca="false">IF(E180="","",ROUND(N(G180)*N(H180)/60,1))</f>
        <v>15</v>
      </c>
      <c r="Q180" s="57" t="str">
        <f aca="false">IF(E180="","",IF(COUNTIFS($C$2:C180,C180,$E$2:E180,E180,$B$2:B180,B180)&gt;1,"No","Yes"))</f>
        <v>Yes</v>
      </c>
      <c r="R180" s="61" t="str">
        <f aca="false">IF(E180="","",IF(Q180="No","Duplicate of an earlier response",IF(L180="Not on SITES","Site not on SITES",IF(N(G180)&gt;N(F180),"Present is more than enrolled",IF(OR(I180&lt;1,I180&gt;5),"Score outside 1 to 5","")))))</f>
        <v/>
      </c>
    </row>
    <row r="181" customFormat="false" ht="15" hidden="false" customHeight="false" outlineLevel="0" collapsed="false">
      <c r="A181" s="52" t="n">
        <v>45959.868125</v>
      </c>
      <c r="B181" s="53" t="s">
        <v>132</v>
      </c>
      <c r="C181" s="53" t="s">
        <v>145</v>
      </c>
      <c r="D181" s="53" t="s">
        <v>119</v>
      </c>
      <c r="E181" s="54" t="n">
        <v>45959</v>
      </c>
      <c r="F181" s="55" t="n">
        <v>19</v>
      </c>
      <c r="G181" s="55" t="n">
        <v>16</v>
      </c>
      <c r="H181" s="55" t="n">
        <v>90</v>
      </c>
      <c r="I181" s="56" t="n">
        <v>2.9</v>
      </c>
      <c r="J181" s="53" t="s">
        <v>157</v>
      </c>
      <c r="K181" s="53"/>
      <c r="L181" s="57" t="str">
        <f aca="false">IF(C181="","",IFERROR(INDEX(site_ID,MATCH(C181,site_Name,0)),"Not on SITES"))</f>
        <v>LW-101</v>
      </c>
      <c r="M181" s="58" t="n">
        <f aca="false">IF(E181="","",DATE(YEAR(E181),MONTH(E181),1))</f>
        <v>45931</v>
      </c>
      <c r="N181" s="57" t="str">
        <f aca="false">IF(E181="","","FY"&amp;(YEAR(E181)+IF(AND(FYStart&gt;1,MONTH(E181)&gt;=FYStart),1,0))&amp;" Q"&amp;(INT(MOD(MONTH(E181)-FYStart,12)/3)+1))</f>
        <v>FY2026 Q2</v>
      </c>
      <c r="O181" s="59" t="n">
        <f aca="false">IF(OR(E181="",N(F181)=0),"",G181/F181)</f>
        <v>0.842105263157895</v>
      </c>
      <c r="P181" s="60" t="n">
        <f aca="false">IF(E181="","",ROUND(N(G181)*N(H181)/60,1))</f>
        <v>24</v>
      </c>
      <c r="Q181" s="57" t="str">
        <f aca="false">IF(E181="","",IF(COUNTIFS($C$2:C181,C181,$E$2:E181,E181,$B$2:B181,B181)&gt;1,"No","Yes"))</f>
        <v>Yes</v>
      </c>
      <c r="R181" s="61" t="str">
        <f aca="false">IF(E181="","",IF(Q181="No","Duplicate of an earlier response",IF(L181="Not on SITES","Site not on SITES",IF(N(G181)&gt;N(F181),"Present is more than enrolled",IF(OR(I181&lt;1,I181&gt;5),"Score outside 1 to 5","")))))</f>
        <v/>
      </c>
    </row>
    <row r="182" customFormat="false" ht="15" hidden="false" customHeight="false" outlineLevel="0" collapsed="false">
      <c r="A182" s="52" t="n">
        <v>45959.8693865741</v>
      </c>
      <c r="B182" s="53" t="s">
        <v>105</v>
      </c>
      <c r="C182" s="53" t="s">
        <v>118</v>
      </c>
      <c r="D182" s="53" t="s">
        <v>119</v>
      </c>
      <c r="E182" s="54" t="n">
        <v>45959</v>
      </c>
      <c r="F182" s="55" t="n">
        <v>22</v>
      </c>
      <c r="G182" s="55" t="n">
        <v>19</v>
      </c>
      <c r="H182" s="55" t="n">
        <v>90</v>
      </c>
      <c r="I182" s="56" t="n">
        <v>3.3</v>
      </c>
      <c r="J182" s="53" t="s">
        <v>162</v>
      </c>
      <c r="K182" s="53"/>
      <c r="L182" s="57" t="str">
        <f aca="false">IF(C182="","",IFERROR(INDEX(site_ID,MATCH(C182,site_Name,0)),"Not on SITES"))</f>
        <v>LW-111</v>
      </c>
      <c r="M182" s="58" t="n">
        <f aca="false">IF(E182="","",DATE(YEAR(E182),MONTH(E182),1))</f>
        <v>45931</v>
      </c>
      <c r="N182" s="57" t="str">
        <f aca="false">IF(E182="","","FY"&amp;(YEAR(E182)+IF(AND(FYStart&gt;1,MONTH(E182)&gt;=FYStart),1,0))&amp;" Q"&amp;(INT(MOD(MONTH(E182)-FYStart,12)/3)+1))</f>
        <v>FY2026 Q2</v>
      </c>
      <c r="O182" s="59" t="n">
        <f aca="false">IF(OR(E182="",N(F182)=0),"",G182/F182)</f>
        <v>0.863636363636364</v>
      </c>
      <c r="P182" s="60" t="n">
        <f aca="false">IF(E182="","",ROUND(N(G182)*N(H182)/60,1))</f>
        <v>28.5</v>
      </c>
      <c r="Q182" s="57" t="str">
        <f aca="false">IF(E182="","",IF(COUNTIFS($C$2:C182,C182,$E$2:E182,E182,$B$2:B182,B182)&gt;1,"No","Yes"))</f>
        <v>Yes</v>
      </c>
      <c r="R182" s="61" t="str">
        <f aca="false">IF(E182="","",IF(Q182="No","Duplicate of an earlier response",IF(L182="Not on SITES","Site not on SITES",IF(N(G182)&gt;N(F182),"Present is more than enrolled",IF(OR(I182&lt;1,I182&gt;5),"Score outside 1 to 5","")))))</f>
        <v/>
      </c>
    </row>
    <row r="183" customFormat="false" ht="15" hidden="false" customHeight="false" outlineLevel="0" collapsed="false">
      <c r="A183" s="52" t="n">
        <v>45960.6263310185</v>
      </c>
      <c r="B183" s="53" t="s">
        <v>111</v>
      </c>
      <c r="C183" s="53" t="s">
        <v>149</v>
      </c>
      <c r="D183" s="53" t="s">
        <v>113</v>
      </c>
      <c r="E183" s="54" t="n">
        <v>45960</v>
      </c>
      <c r="F183" s="55" t="n">
        <v>21</v>
      </c>
      <c r="G183" s="55" t="n">
        <v>17</v>
      </c>
      <c r="H183" s="55" t="n">
        <v>75</v>
      </c>
      <c r="I183" s="56" t="n">
        <v>3.5</v>
      </c>
      <c r="J183" s="53" t="s">
        <v>114</v>
      </c>
      <c r="K183" s="53"/>
      <c r="L183" s="57" t="str">
        <f aca="false">IF(C183="","",IFERROR(INDEX(site_ID,MATCH(C183,site_Name,0)),"Not on SITES"))</f>
        <v>LW-112</v>
      </c>
      <c r="M183" s="58" t="n">
        <f aca="false">IF(E183="","",DATE(YEAR(E183),MONTH(E183),1))</f>
        <v>45931</v>
      </c>
      <c r="N183" s="57" t="str">
        <f aca="false">IF(E183="","","FY"&amp;(YEAR(E183)+IF(AND(FYStart&gt;1,MONTH(E183)&gt;=FYStart),1,0))&amp;" Q"&amp;(INT(MOD(MONTH(E183)-FYStart,12)/3)+1))</f>
        <v>FY2026 Q2</v>
      </c>
      <c r="O183" s="59" t="n">
        <f aca="false">IF(OR(E183="",N(F183)=0),"",G183/F183)</f>
        <v>0.80952380952381</v>
      </c>
      <c r="P183" s="60" t="n">
        <f aca="false">IF(E183="","",ROUND(N(G183)*N(H183)/60,1))</f>
        <v>21.3</v>
      </c>
      <c r="Q183" s="57" t="str">
        <f aca="false">IF(E183="","",IF(COUNTIFS($C$2:C183,C183,$E$2:E183,E183,$B$2:B183,B183)&gt;1,"No","Yes"))</f>
        <v>Yes</v>
      </c>
      <c r="R183" s="61" t="str">
        <f aca="false">IF(E183="","",IF(Q183="No","Duplicate of an earlier response",IF(L183="Not on SITES","Site not on SITES",IF(N(G183)&gt;N(F183),"Present is more than enrolled",IF(OR(I183&lt;1,I183&gt;5),"Score outside 1 to 5","")))))</f>
        <v/>
      </c>
    </row>
    <row r="184" customFormat="false" ht="15" hidden="false" customHeight="false" outlineLevel="0" collapsed="false">
      <c r="A184" s="52" t="n">
        <v>45960.6644791667</v>
      </c>
      <c r="B184" s="53" t="s">
        <v>121</v>
      </c>
      <c r="C184" s="53" t="s">
        <v>122</v>
      </c>
      <c r="D184" s="53" t="s">
        <v>116</v>
      </c>
      <c r="E184" s="54" t="n">
        <v>45960</v>
      </c>
      <c r="F184" s="55" t="n">
        <v>16</v>
      </c>
      <c r="G184" s="55" t="n">
        <v>13</v>
      </c>
      <c r="H184" s="55" t="n">
        <v>90</v>
      </c>
      <c r="I184" s="56" t="n">
        <v>2.7</v>
      </c>
      <c r="J184" s="53" t="s">
        <v>160</v>
      </c>
      <c r="K184" s="53"/>
      <c r="L184" s="57" t="str">
        <f aca="false">IF(C184="","",IFERROR(INDEX(site_ID,MATCH(C184,site_Name,0)),"Not on SITES"))</f>
        <v>LW-116</v>
      </c>
      <c r="M184" s="58" t="n">
        <f aca="false">IF(E184="","",DATE(YEAR(E184),MONTH(E184),1))</f>
        <v>45931</v>
      </c>
      <c r="N184" s="57" t="str">
        <f aca="false">IF(E184="","","FY"&amp;(YEAR(E184)+IF(AND(FYStart&gt;1,MONTH(E184)&gt;=FYStart),1,0))&amp;" Q"&amp;(INT(MOD(MONTH(E184)-FYStart,12)/3)+1))</f>
        <v>FY2026 Q2</v>
      </c>
      <c r="O184" s="59" t="n">
        <f aca="false">IF(OR(E184="",N(F184)=0),"",G184/F184)</f>
        <v>0.8125</v>
      </c>
      <c r="P184" s="60" t="n">
        <f aca="false">IF(E184="","",ROUND(N(G184)*N(H184)/60,1))</f>
        <v>19.5</v>
      </c>
      <c r="Q184" s="57" t="str">
        <f aca="false">IF(E184="","",IF(COUNTIFS($C$2:C184,C184,$E$2:E184,E184,$B$2:B184,B184)&gt;1,"No","Yes"))</f>
        <v>Yes</v>
      </c>
      <c r="R184" s="61" t="str">
        <f aca="false">IF(E184="","",IF(Q184="No","Duplicate of an earlier response",IF(L184="Not on SITES","Site not on SITES",IF(N(G184)&gt;N(F184),"Present is more than enrolled",IF(OR(I184&lt;1,I184&gt;5),"Score outside 1 to 5","")))))</f>
        <v/>
      </c>
    </row>
    <row r="185" customFormat="false" ht="15" hidden="false" customHeight="false" outlineLevel="0" collapsed="false">
      <c r="A185" s="52" t="n">
        <v>45960.6714583333</v>
      </c>
      <c r="B185" s="53" t="s">
        <v>140</v>
      </c>
      <c r="C185" s="53" t="s">
        <v>151</v>
      </c>
      <c r="D185" s="53" t="s">
        <v>138</v>
      </c>
      <c r="E185" s="54" t="n">
        <v>45960</v>
      </c>
      <c r="F185" s="55" t="n">
        <v>14</v>
      </c>
      <c r="G185" s="55" t="n">
        <v>13</v>
      </c>
      <c r="H185" s="55" t="n">
        <v>90</v>
      </c>
      <c r="I185" s="56" t="n">
        <v>3.1</v>
      </c>
      <c r="J185" s="53" t="s">
        <v>139</v>
      </c>
      <c r="K185" s="53"/>
      <c r="L185" s="57" t="str">
        <f aca="false">IF(C185="","",IFERROR(INDEX(site_ID,MATCH(C185,site_Name,0)),"Not on SITES"))</f>
        <v>LW-110</v>
      </c>
      <c r="M185" s="58" t="n">
        <f aca="false">IF(E185="","",DATE(YEAR(E185),MONTH(E185),1))</f>
        <v>45931</v>
      </c>
      <c r="N185" s="57" t="str">
        <f aca="false">IF(E185="","","FY"&amp;(YEAR(E185)+IF(AND(FYStart&gt;1,MONTH(E185)&gt;=FYStart),1,0))&amp;" Q"&amp;(INT(MOD(MONTH(E185)-FYStart,12)/3)+1))</f>
        <v>FY2026 Q2</v>
      </c>
      <c r="O185" s="59" t="n">
        <f aca="false">IF(OR(E185="",N(F185)=0),"",G185/F185)</f>
        <v>0.928571428571429</v>
      </c>
      <c r="P185" s="60" t="n">
        <f aca="false">IF(E185="","",ROUND(N(G185)*N(H185)/60,1))</f>
        <v>19.5</v>
      </c>
      <c r="Q185" s="57" t="str">
        <f aca="false">IF(E185="","",IF(COUNTIFS($C$2:C185,C185,$E$2:E185,E185,$B$2:B185,B185)&gt;1,"No","Yes"))</f>
        <v>Yes</v>
      </c>
      <c r="R185" s="61" t="str">
        <f aca="false">IF(E185="","",IF(Q185="No","Duplicate of an earlier response",IF(L185="Not on SITES","Site not on SITES",IF(N(G185)&gt;N(F185),"Present is more than enrolled",IF(OR(I185&lt;1,I185&gt;5),"Score outside 1 to 5","")))))</f>
        <v/>
      </c>
    </row>
    <row r="186" customFormat="false" ht="15" hidden="false" customHeight="false" outlineLevel="0" collapsed="false">
      <c r="A186" s="52" t="n">
        <v>45960.6722106482</v>
      </c>
      <c r="B186" s="53" t="s">
        <v>111</v>
      </c>
      <c r="C186" s="53" t="s">
        <v>148</v>
      </c>
      <c r="D186" s="53" t="s">
        <v>116</v>
      </c>
      <c r="E186" s="54" t="n">
        <v>45960</v>
      </c>
      <c r="F186" s="55" t="n">
        <v>16</v>
      </c>
      <c r="G186" s="55" t="n">
        <v>12</v>
      </c>
      <c r="H186" s="55" t="n">
        <v>90</v>
      </c>
      <c r="I186" s="56" t="n">
        <v>3.4</v>
      </c>
      <c r="J186" s="53" t="s">
        <v>160</v>
      </c>
      <c r="K186" s="53"/>
      <c r="L186" s="57" t="str">
        <f aca="false">IF(C186="","",IFERROR(INDEX(site_ID,MATCH(C186,site_Name,0)),"Not on SITES"))</f>
        <v>LW-104</v>
      </c>
      <c r="M186" s="58" t="n">
        <f aca="false">IF(E186="","",DATE(YEAR(E186),MONTH(E186),1))</f>
        <v>45931</v>
      </c>
      <c r="N186" s="57" t="str">
        <f aca="false">IF(E186="","","FY"&amp;(YEAR(E186)+IF(AND(FYStart&gt;1,MONTH(E186)&gt;=FYStart),1,0))&amp;" Q"&amp;(INT(MOD(MONTH(E186)-FYStart,12)/3)+1))</f>
        <v>FY2026 Q2</v>
      </c>
      <c r="O186" s="59" t="n">
        <f aca="false">IF(OR(E186="",N(F186)=0),"",G186/F186)</f>
        <v>0.75</v>
      </c>
      <c r="P186" s="60" t="n">
        <f aca="false">IF(E186="","",ROUND(N(G186)*N(H186)/60,1))</f>
        <v>18</v>
      </c>
      <c r="Q186" s="57" t="str">
        <f aca="false">IF(E186="","",IF(COUNTIFS($C$2:C186,C186,$E$2:E186,E186,$B$2:B186,B186)&gt;1,"No","Yes"))</f>
        <v>Yes</v>
      </c>
      <c r="R186" s="61" t="str">
        <f aca="false">IF(E186="","",IF(Q186="No","Duplicate of an earlier response",IF(L186="Not on SITES","Site not on SITES",IF(N(G186)&gt;N(F186),"Present is more than enrolled",IF(OR(I186&lt;1,I186&gt;5),"Score outside 1 to 5","")))))</f>
        <v/>
      </c>
    </row>
    <row r="187" customFormat="false" ht="15" hidden="false" customHeight="false" outlineLevel="0" collapsed="false">
      <c r="A187" s="52" t="n">
        <v>45960.7203819445</v>
      </c>
      <c r="B187" s="53" t="s">
        <v>109</v>
      </c>
      <c r="C187" s="53" t="s">
        <v>146</v>
      </c>
      <c r="D187" s="53" t="s">
        <v>138</v>
      </c>
      <c r="E187" s="54" t="n">
        <v>45960</v>
      </c>
      <c r="F187" s="55" t="n">
        <v>15</v>
      </c>
      <c r="G187" s="55" t="n">
        <v>12</v>
      </c>
      <c r="H187" s="55" t="n">
        <v>90</v>
      </c>
      <c r="I187" s="56" t="n">
        <v>2.9</v>
      </c>
      <c r="J187" s="53" t="s">
        <v>152</v>
      </c>
      <c r="K187" s="53"/>
      <c r="L187" s="57" t="str">
        <f aca="false">IF(C187="","",IFERROR(INDEX(site_ID,MATCH(C187,site_Name,0)),"Not on SITES"))</f>
        <v>LW-105</v>
      </c>
      <c r="M187" s="58" t="n">
        <f aca="false">IF(E187="","",DATE(YEAR(E187),MONTH(E187),1))</f>
        <v>45931</v>
      </c>
      <c r="N187" s="57" t="str">
        <f aca="false">IF(E187="","","FY"&amp;(YEAR(E187)+IF(AND(FYStart&gt;1,MONTH(E187)&gt;=FYStart),1,0))&amp;" Q"&amp;(INT(MOD(MONTH(E187)-FYStart,12)/3)+1))</f>
        <v>FY2026 Q2</v>
      </c>
      <c r="O187" s="59" t="n">
        <f aca="false">IF(OR(E187="",N(F187)=0),"",G187/F187)</f>
        <v>0.8</v>
      </c>
      <c r="P187" s="60" t="n">
        <f aca="false">IF(E187="","",ROUND(N(G187)*N(H187)/60,1))</f>
        <v>18</v>
      </c>
      <c r="Q187" s="57" t="str">
        <f aca="false">IF(E187="","",IF(COUNTIFS($C$2:C187,C187,$E$2:E187,E187,$B$2:B187,B187)&gt;1,"No","Yes"))</f>
        <v>Yes</v>
      </c>
      <c r="R187" s="61" t="str">
        <f aca="false">IF(E187="","",IF(Q187="No","Duplicate of an earlier response",IF(L187="Not on SITES","Site not on SITES",IF(N(G187)&gt;N(F187),"Present is more than enrolled",IF(OR(I187&lt;1,I187&gt;5),"Score outside 1 to 5","")))))</f>
        <v/>
      </c>
    </row>
    <row r="188" customFormat="false" ht="15" hidden="false" customHeight="false" outlineLevel="0" collapsed="false">
      <c r="A188" s="52" t="n">
        <v>45961.6281018519</v>
      </c>
      <c r="B188" s="53" t="s">
        <v>140</v>
      </c>
      <c r="C188" s="53" t="s">
        <v>141</v>
      </c>
      <c r="D188" s="53" t="s">
        <v>116</v>
      </c>
      <c r="E188" s="54" t="n">
        <v>45961</v>
      </c>
      <c r="F188" s="55" t="n">
        <v>13</v>
      </c>
      <c r="G188" s="55" t="n">
        <v>11</v>
      </c>
      <c r="H188" s="55" t="n">
        <v>90</v>
      </c>
      <c r="I188" s="56" t="n">
        <v>3.5</v>
      </c>
      <c r="J188" s="53" t="s">
        <v>134</v>
      </c>
      <c r="K188" s="53"/>
      <c r="L188" s="57" t="str">
        <f aca="false">IF(C188="","",IFERROR(INDEX(site_ID,MATCH(C188,site_Name,0)),"Not on SITES"))</f>
        <v>LW-118</v>
      </c>
      <c r="M188" s="58" t="n">
        <f aca="false">IF(E188="","",DATE(YEAR(E188),MONTH(E188),1))</f>
        <v>45931</v>
      </c>
      <c r="N188" s="57" t="str">
        <f aca="false">IF(E188="","","FY"&amp;(YEAR(E188)+IF(AND(FYStart&gt;1,MONTH(E188)&gt;=FYStart),1,0))&amp;" Q"&amp;(INT(MOD(MONTH(E188)-FYStart,12)/3)+1))</f>
        <v>FY2026 Q2</v>
      </c>
      <c r="O188" s="59" t="n">
        <f aca="false">IF(OR(E188="",N(F188)=0),"",G188/F188)</f>
        <v>0.846153846153846</v>
      </c>
      <c r="P188" s="60" t="n">
        <f aca="false">IF(E188="","",ROUND(N(G188)*N(H188)/60,1))</f>
        <v>16.5</v>
      </c>
      <c r="Q188" s="57" t="str">
        <f aca="false">IF(E188="","",IF(COUNTIFS($C$2:C188,C188,$E$2:E188,E188,$B$2:B188,B188)&gt;1,"No","Yes"))</f>
        <v>Yes</v>
      </c>
      <c r="R188" s="61" t="str">
        <f aca="false">IF(E188="","",IF(Q188="No","Duplicate of an earlier response",IF(L188="Not on SITES","Site not on SITES",IF(N(G188)&gt;N(F188),"Present is more than enrolled",IF(OR(I188&lt;1,I188&gt;5),"Score outside 1 to 5","")))))</f>
        <v/>
      </c>
    </row>
    <row r="189" customFormat="false" ht="15" hidden="false" customHeight="false" outlineLevel="0" collapsed="false">
      <c r="A189" s="52" t="n">
        <v>45961.7094675926</v>
      </c>
      <c r="B189" s="53" t="s">
        <v>129</v>
      </c>
      <c r="C189" s="53" t="s">
        <v>137</v>
      </c>
      <c r="D189" s="53" t="s">
        <v>138</v>
      </c>
      <c r="E189" s="54" t="n">
        <v>45961</v>
      </c>
      <c r="F189" s="55" t="n">
        <v>20</v>
      </c>
      <c r="G189" s="55" t="n">
        <v>18</v>
      </c>
      <c r="H189" s="55" t="n">
        <v>90</v>
      </c>
      <c r="I189" s="56" t="n">
        <v>3.1</v>
      </c>
      <c r="J189" s="53" t="s">
        <v>164</v>
      </c>
      <c r="K189" s="53"/>
      <c r="L189" s="57" t="str">
        <f aca="false">IF(C189="","",IFERROR(INDEX(site_ID,MATCH(C189,site_Name,0)),"Not on SITES"))</f>
        <v>LW-115</v>
      </c>
      <c r="M189" s="58" t="n">
        <f aca="false">IF(E189="","",DATE(YEAR(E189),MONTH(E189),1))</f>
        <v>45931</v>
      </c>
      <c r="N189" s="57" t="str">
        <f aca="false">IF(E189="","","FY"&amp;(YEAR(E189)+IF(AND(FYStart&gt;1,MONTH(E189)&gt;=FYStart),1,0))&amp;" Q"&amp;(INT(MOD(MONTH(E189)-FYStart,12)/3)+1))</f>
        <v>FY2026 Q2</v>
      </c>
      <c r="O189" s="59" t="n">
        <f aca="false">IF(OR(E189="",N(F189)=0),"",G189/F189)</f>
        <v>0.9</v>
      </c>
      <c r="P189" s="60" t="n">
        <f aca="false">IF(E189="","",ROUND(N(G189)*N(H189)/60,1))</f>
        <v>27</v>
      </c>
      <c r="Q189" s="57" t="str">
        <f aca="false">IF(E189="","",IF(COUNTIFS($C$2:C189,C189,$E$2:E189,E189,$B$2:B189,B189)&gt;1,"No","Yes"))</f>
        <v>Yes</v>
      </c>
      <c r="R189" s="61" t="str">
        <f aca="false">IF(E189="","",IF(Q189="No","Duplicate of an earlier response",IF(L189="Not on SITES","Site not on SITES",IF(N(G189)&gt;N(F189),"Present is more than enrolled",IF(OR(I189&lt;1,I189&gt;5),"Score outside 1 to 5","")))))</f>
        <v/>
      </c>
    </row>
    <row r="190" customFormat="false" ht="15" hidden="false" customHeight="false" outlineLevel="0" collapsed="false">
      <c r="A190" s="52" t="n">
        <v>45961.754212963</v>
      </c>
      <c r="B190" s="53" t="s">
        <v>140</v>
      </c>
      <c r="C190" s="53" t="s">
        <v>142</v>
      </c>
      <c r="D190" s="53" t="s">
        <v>113</v>
      </c>
      <c r="E190" s="54" t="n">
        <v>45959</v>
      </c>
      <c r="F190" s="55" t="n">
        <v>18</v>
      </c>
      <c r="G190" s="55" t="n">
        <v>18</v>
      </c>
      <c r="H190" s="55" t="n">
        <v>90</v>
      </c>
      <c r="I190" s="56" t="n">
        <v>3.1</v>
      </c>
      <c r="J190" s="53" t="s">
        <v>136</v>
      </c>
      <c r="K190" s="53"/>
      <c r="L190" s="57" t="str">
        <f aca="false">IF(C190="","",IFERROR(INDEX(site_ID,MATCH(C190,site_Name,0)),"Not on SITES"))</f>
        <v>LW-102</v>
      </c>
      <c r="M190" s="58" t="n">
        <f aca="false">IF(E190="","",DATE(YEAR(E190),MONTH(E190),1))</f>
        <v>45931</v>
      </c>
      <c r="N190" s="57" t="str">
        <f aca="false">IF(E190="","","FY"&amp;(YEAR(E190)+IF(AND(FYStart&gt;1,MONTH(E190)&gt;=FYStart),1,0))&amp;" Q"&amp;(INT(MOD(MONTH(E190)-FYStart,12)/3)+1))</f>
        <v>FY2026 Q2</v>
      </c>
      <c r="O190" s="59" t="n">
        <f aca="false">IF(OR(E190="",N(F190)=0),"",G190/F190)</f>
        <v>1</v>
      </c>
      <c r="P190" s="60" t="n">
        <f aca="false">IF(E190="","",ROUND(N(G190)*N(H190)/60,1))</f>
        <v>27</v>
      </c>
      <c r="Q190" s="57" t="str">
        <f aca="false">IF(E190="","",IF(COUNTIFS($C$2:C190,C190,$E$2:E190,E190,$B$2:B190,B190)&gt;1,"No","Yes"))</f>
        <v>Yes</v>
      </c>
      <c r="R190" s="61" t="str">
        <f aca="false">IF(E190="","",IF(Q190="No","Duplicate of an earlier response",IF(L190="Not on SITES","Site not on SITES",IF(N(G190)&gt;N(F190),"Present is more than enrolled",IF(OR(I190&lt;1,I190&gt;5),"Score outside 1 to 5","")))))</f>
        <v/>
      </c>
    </row>
    <row r="191" customFormat="false" ht="15" hidden="false" customHeight="false" outlineLevel="0" collapsed="false">
      <c r="A191" s="52" t="n">
        <v>45963.7678240741</v>
      </c>
      <c r="B191" s="53" t="s">
        <v>124</v>
      </c>
      <c r="C191" s="53" t="s">
        <v>154</v>
      </c>
      <c r="D191" s="53" t="s">
        <v>116</v>
      </c>
      <c r="E191" s="54" t="n">
        <v>45960</v>
      </c>
      <c r="F191" s="55" t="n">
        <v>18</v>
      </c>
      <c r="G191" s="55" t="n">
        <v>14</v>
      </c>
      <c r="H191" s="55" t="n">
        <v>75</v>
      </c>
      <c r="I191" s="56" t="n">
        <v>3.6</v>
      </c>
      <c r="J191" s="53" t="s">
        <v>160</v>
      </c>
      <c r="K191" s="53" t="s">
        <v>167</v>
      </c>
      <c r="L191" s="57" t="str">
        <f aca="false">IF(C191="","",IFERROR(INDEX(site_ID,MATCH(C191,site_Name,0)),"Not on SITES"))</f>
        <v>LW-114</v>
      </c>
      <c r="M191" s="58" t="n">
        <f aca="false">IF(E191="","",DATE(YEAR(E191),MONTH(E191),1))</f>
        <v>45931</v>
      </c>
      <c r="N191" s="57" t="str">
        <f aca="false">IF(E191="","","FY"&amp;(YEAR(E191)+IF(AND(FYStart&gt;1,MONTH(E191)&gt;=FYStart),1,0))&amp;" Q"&amp;(INT(MOD(MONTH(E191)-FYStart,12)/3)+1))</f>
        <v>FY2026 Q2</v>
      </c>
      <c r="O191" s="59" t="n">
        <f aca="false">IF(OR(E191="",N(F191)=0),"",G191/F191)</f>
        <v>0.777777777777778</v>
      </c>
      <c r="P191" s="60" t="n">
        <f aca="false">IF(E191="","",ROUND(N(G191)*N(H191)/60,1))</f>
        <v>17.5</v>
      </c>
      <c r="Q191" s="57" t="str">
        <f aca="false">IF(E191="","",IF(COUNTIFS($C$2:C191,C191,$E$2:E191,E191,$B$2:B191,B191)&gt;1,"No","Yes"))</f>
        <v>Yes</v>
      </c>
      <c r="R191" s="61" t="str">
        <f aca="false">IF(E191="","",IF(Q191="No","Duplicate of an earlier response",IF(L191="Not on SITES","Site not on SITES",IF(N(G191)&gt;N(F191),"Present is more than enrolled",IF(OR(I191&lt;1,I191&gt;5),"Score outside 1 to 5","")))))</f>
        <v/>
      </c>
    </row>
    <row r="192" customFormat="false" ht="15" hidden="false" customHeight="false" outlineLevel="0" collapsed="false">
      <c r="A192" s="52" t="n">
        <v>45964.6432291667</v>
      </c>
      <c r="B192" s="53" t="s">
        <v>105</v>
      </c>
      <c r="C192" s="53" t="s">
        <v>106</v>
      </c>
      <c r="D192" s="53" t="s">
        <v>107</v>
      </c>
      <c r="E192" s="54" t="n">
        <v>45964</v>
      </c>
      <c r="F192" s="55" t="n">
        <v>16</v>
      </c>
      <c r="G192" s="55" t="n">
        <v>12</v>
      </c>
      <c r="H192" s="55" t="n">
        <v>60</v>
      </c>
      <c r="I192" s="56" t="n">
        <v>3.5</v>
      </c>
      <c r="J192" s="53" t="s">
        <v>108</v>
      </c>
      <c r="K192" s="53"/>
      <c r="L192" s="57" t="str">
        <f aca="false">IF(C192="","",IFERROR(INDEX(site_ID,MATCH(C192,site_Name,0)),"Not on SITES"))</f>
        <v>LW-103</v>
      </c>
      <c r="M192" s="58" t="n">
        <f aca="false">IF(E192="","",DATE(YEAR(E192),MONTH(E192),1))</f>
        <v>45962</v>
      </c>
      <c r="N192" s="57" t="str">
        <f aca="false">IF(E192="","","FY"&amp;(YEAR(E192)+IF(AND(FYStart&gt;1,MONTH(E192)&gt;=FYStart),1,0))&amp;" Q"&amp;(INT(MOD(MONTH(E192)-FYStart,12)/3)+1))</f>
        <v>FY2026 Q2</v>
      </c>
      <c r="O192" s="59" t="n">
        <f aca="false">IF(OR(E192="",N(F192)=0),"",G192/F192)</f>
        <v>0.75</v>
      </c>
      <c r="P192" s="60" t="n">
        <f aca="false">IF(E192="","",ROUND(N(G192)*N(H192)/60,1))</f>
        <v>12</v>
      </c>
      <c r="Q192" s="57" t="str">
        <f aca="false">IF(E192="","",IF(COUNTIFS($C$2:C192,C192,$E$2:E192,E192,$B$2:B192,B192)&gt;1,"No","Yes"))</f>
        <v>Yes</v>
      </c>
      <c r="R192" s="61" t="str">
        <f aca="false">IF(E192="","",IF(Q192="No","Duplicate of an earlier response",IF(L192="Not on SITES","Site not on SITES",IF(N(G192)&gt;N(F192),"Present is more than enrolled",IF(OR(I192&lt;1,I192&gt;5),"Score outside 1 to 5","")))))</f>
        <v/>
      </c>
    </row>
    <row r="193" customFormat="false" ht="15" hidden="false" customHeight="false" outlineLevel="0" collapsed="false">
      <c r="A193" s="52" t="n">
        <v>45964.6860532407</v>
      </c>
      <c r="B193" s="53" t="s">
        <v>109</v>
      </c>
      <c r="C193" s="53" t="s">
        <v>110</v>
      </c>
      <c r="D193" s="53" t="s">
        <v>107</v>
      </c>
      <c r="E193" s="54" t="n">
        <v>45964</v>
      </c>
      <c r="F193" s="55" t="n">
        <v>22</v>
      </c>
      <c r="G193" s="55" t="n">
        <v>18</v>
      </c>
      <c r="H193" s="55" t="n">
        <v>60</v>
      </c>
      <c r="I193" s="56" t="n">
        <v>4</v>
      </c>
      <c r="J193" s="53" t="s">
        <v>166</v>
      </c>
      <c r="K193" s="53" t="s">
        <v>167</v>
      </c>
      <c r="L193" s="57" t="str">
        <f aca="false">IF(C193="","",IFERROR(INDEX(site_ID,MATCH(C193,site_Name,0)),"Not on SITES"))</f>
        <v>LW-113</v>
      </c>
      <c r="M193" s="58" t="n">
        <f aca="false">IF(E193="","",DATE(YEAR(E193),MONTH(E193),1))</f>
        <v>45962</v>
      </c>
      <c r="N193" s="57" t="str">
        <f aca="false">IF(E193="","","FY"&amp;(YEAR(E193)+IF(AND(FYStart&gt;1,MONTH(E193)&gt;=FYStart),1,0))&amp;" Q"&amp;(INT(MOD(MONTH(E193)-FYStart,12)/3)+1))</f>
        <v>FY2026 Q2</v>
      </c>
      <c r="O193" s="59" t="n">
        <f aca="false">IF(OR(E193="",N(F193)=0),"",G193/F193)</f>
        <v>0.818181818181818</v>
      </c>
      <c r="P193" s="60" t="n">
        <f aca="false">IF(E193="","",ROUND(N(G193)*N(H193)/60,1))</f>
        <v>18</v>
      </c>
      <c r="Q193" s="57" t="str">
        <f aca="false">IF(E193="","",IF(COUNTIFS($C$2:C193,C193,$E$2:E193,E193,$B$2:B193,B193)&gt;1,"No","Yes"))</f>
        <v>Yes</v>
      </c>
      <c r="R193" s="61" t="str">
        <f aca="false">IF(E193="","",IF(Q193="No","Duplicate of an earlier response",IF(L193="Not on SITES","Site not on SITES",IF(N(G193)&gt;N(F193),"Present is more than enrolled",IF(OR(I193&lt;1,I193&gt;5),"Score outside 1 to 5","")))))</f>
        <v/>
      </c>
    </row>
    <row r="194" customFormat="false" ht="15" hidden="false" customHeight="false" outlineLevel="0" collapsed="false">
      <c r="A194" s="52" t="n">
        <v>45964.6882175926</v>
      </c>
      <c r="B194" s="53" t="s">
        <v>105</v>
      </c>
      <c r="C194" s="53" t="s">
        <v>115</v>
      </c>
      <c r="D194" s="53" t="s">
        <v>116</v>
      </c>
      <c r="E194" s="54" t="n">
        <v>45964</v>
      </c>
      <c r="F194" s="55" t="n">
        <v>16</v>
      </c>
      <c r="G194" s="55" t="n">
        <v>15</v>
      </c>
      <c r="H194" s="55" t="n">
        <v>60</v>
      </c>
      <c r="I194" s="56" t="n">
        <v>2.8</v>
      </c>
      <c r="J194" s="53" t="s">
        <v>153</v>
      </c>
      <c r="K194" s="53"/>
      <c r="L194" s="57" t="str">
        <f aca="false">IF(C194="","",IFERROR(INDEX(site_ID,MATCH(C194,site_Name,0)),"Not on SITES"))</f>
        <v>LW-119</v>
      </c>
      <c r="M194" s="58" t="n">
        <f aca="false">IF(E194="","",DATE(YEAR(E194),MONTH(E194),1))</f>
        <v>45962</v>
      </c>
      <c r="N194" s="57" t="str">
        <f aca="false">IF(E194="","","FY"&amp;(YEAR(E194)+IF(AND(FYStart&gt;1,MONTH(E194)&gt;=FYStart),1,0))&amp;" Q"&amp;(INT(MOD(MONTH(E194)-FYStart,12)/3)+1))</f>
        <v>FY2026 Q2</v>
      </c>
      <c r="O194" s="59" t="n">
        <f aca="false">IF(OR(E194="",N(F194)=0),"",G194/F194)</f>
        <v>0.9375</v>
      </c>
      <c r="P194" s="60" t="n">
        <f aca="false">IF(E194="","",ROUND(N(G194)*N(H194)/60,1))</f>
        <v>15</v>
      </c>
      <c r="Q194" s="57" t="str">
        <f aca="false">IF(E194="","",IF(COUNTIFS($C$2:C194,C194,$E$2:E194,E194,$B$2:B194,B194)&gt;1,"No","Yes"))</f>
        <v>Yes</v>
      </c>
      <c r="R194" s="61" t="str">
        <f aca="false">IF(E194="","",IF(Q194="No","Duplicate of an earlier response",IF(L194="Not on SITES","Site not on SITES",IF(N(G194)&gt;N(F194),"Present is more than enrolled",IF(OR(I194&lt;1,I194&gt;5),"Score outside 1 to 5","")))))</f>
        <v/>
      </c>
    </row>
    <row r="195" customFormat="false" ht="15" hidden="false" customHeight="false" outlineLevel="0" collapsed="false">
      <c r="A195" s="52" t="n">
        <v>45964.8473958333</v>
      </c>
      <c r="B195" s="53" t="s">
        <v>105</v>
      </c>
      <c r="C195" s="53" t="s">
        <v>118</v>
      </c>
      <c r="D195" s="53" t="s">
        <v>119</v>
      </c>
      <c r="E195" s="54" t="n">
        <v>45964</v>
      </c>
      <c r="F195" s="55" t="n">
        <v>22</v>
      </c>
      <c r="G195" s="55" t="n">
        <v>18</v>
      </c>
      <c r="H195" s="55" t="n">
        <v>90</v>
      </c>
      <c r="I195" s="56" t="n">
        <v>3.5</v>
      </c>
      <c r="J195" s="53" t="s">
        <v>120</v>
      </c>
      <c r="K195" s="53"/>
      <c r="L195" s="57" t="str">
        <f aca="false">IF(C195="","",IFERROR(INDEX(site_ID,MATCH(C195,site_Name,0)),"Not on SITES"))</f>
        <v>LW-111</v>
      </c>
      <c r="M195" s="58" t="n">
        <f aca="false">IF(E195="","",DATE(YEAR(E195),MONTH(E195),1))</f>
        <v>45962</v>
      </c>
      <c r="N195" s="57" t="str">
        <f aca="false">IF(E195="","","FY"&amp;(YEAR(E195)+IF(AND(FYStart&gt;1,MONTH(E195)&gt;=FYStart),1,0))&amp;" Q"&amp;(INT(MOD(MONTH(E195)-FYStart,12)/3)+1))</f>
        <v>FY2026 Q2</v>
      </c>
      <c r="O195" s="59" t="n">
        <f aca="false">IF(OR(E195="",N(F195)=0),"",G195/F195)</f>
        <v>0.818181818181818</v>
      </c>
      <c r="P195" s="60" t="n">
        <f aca="false">IF(E195="","",ROUND(N(G195)*N(H195)/60,1))</f>
        <v>27</v>
      </c>
      <c r="Q195" s="57" t="str">
        <f aca="false">IF(E195="","",IF(COUNTIFS($C$2:C195,C195,$E$2:E195,E195,$B$2:B195,B195)&gt;1,"No","Yes"))</f>
        <v>Yes</v>
      </c>
      <c r="R195" s="61" t="str">
        <f aca="false">IF(E195="","",IF(Q195="No","Duplicate of an earlier response",IF(L195="Not on SITES","Site not on SITES",IF(N(G195)&gt;N(F195),"Present is more than enrolled",IF(OR(I195&lt;1,I195&gt;5),"Score outside 1 to 5","")))))</f>
        <v/>
      </c>
    </row>
    <row r="196" customFormat="false" ht="15" hidden="false" customHeight="false" outlineLevel="0" collapsed="false">
      <c r="A196" s="52" t="n">
        <v>45964.8643981482</v>
      </c>
      <c r="B196" s="53" t="s">
        <v>140</v>
      </c>
      <c r="C196" s="53" t="s">
        <v>112</v>
      </c>
      <c r="D196" s="53" t="s">
        <v>113</v>
      </c>
      <c r="E196" s="54" t="n">
        <v>45964</v>
      </c>
      <c r="F196" s="55" t="n">
        <v>16</v>
      </c>
      <c r="G196" s="55" t="n">
        <v>14</v>
      </c>
      <c r="H196" s="55" t="n">
        <v>90</v>
      </c>
      <c r="I196" s="56" t="n">
        <v>2.9</v>
      </c>
      <c r="J196" s="53" t="s">
        <v>131</v>
      </c>
      <c r="K196" s="53"/>
      <c r="L196" s="57" t="str">
        <f aca="false">IF(C196="","",IFERROR(INDEX(site_ID,MATCH(C196,site_Name,0)),"Not on SITES"))</f>
        <v>LW-120</v>
      </c>
      <c r="M196" s="58" t="n">
        <f aca="false">IF(E196="","",DATE(YEAR(E196),MONTH(E196),1))</f>
        <v>45962</v>
      </c>
      <c r="N196" s="57" t="str">
        <f aca="false">IF(E196="","","FY"&amp;(YEAR(E196)+IF(AND(FYStart&gt;1,MONTH(E196)&gt;=FYStart),1,0))&amp;" Q"&amp;(INT(MOD(MONTH(E196)-FYStart,12)/3)+1))</f>
        <v>FY2026 Q2</v>
      </c>
      <c r="O196" s="59" t="n">
        <f aca="false">IF(OR(E196="",N(F196)=0),"",G196/F196)</f>
        <v>0.875</v>
      </c>
      <c r="P196" s="60" t="n">
        <f aca="false">IF(E196="","",ROUND(N(G196)*N(H196)/60,1))</f>
        <v>21</v>
      </c>
      <c r="Q196" s="57" t="str">
        <f aca="false">IF(E196="","",IF(COUNTIFS($C$2:C196,C196,$E$2:E196,E196,$B$2:B196,B196)&gt;1,"No","Yes"))</f>
        <v>Yes</v>
      </c>
      <c r="R196" s="61" t="str">
        <f aca="false">IF(E196="","",IF(Q196="No","Duplicate of an earlier response",IF(L196="Not on SITES","Site not on SITES",IF(N(G196)&gt;N(F196),"Present is more than enrolled",IF(OR(I196&lt;1,I196&gt;5),"Score outside 1 to 5","")))))</f>
        <v/>
      </c>
    </row>
    <row r="197" customFormat="false" ht="15" hidden="false" customHeight="false" outlineLevel="0" collapsed="false">
      <c r="A197" s="52" t="n">
        <v>45965.6850115741</v>
      </c>
      <c r="B197" s="53" t="s">
        <v>121</v>
      </c>
      <c r="C197" s="53" t="s">
        <v>127</v>
      </c>
      <c r="D197" s="53" t="s">
        <v>107</v>
      </c>
      <c r="E197" s="54" t="n">
        <v>45965</v>
      </c>
      <c r="F197" s="55" t="n">
        <v>16</v>
      </c>
      <c r="G197" s="55" t="n">
        <v>15</v>
      </c>
      <c r="H197" s="55" t="n">
        <v>60</v>
      </c>
      <c r="I197" s="56" t="n">
        <v>3.7</v>
      </c>
      <c r="J197" s="53" t="s">
        <v>108</v>
      </c>
      <c r="K197" s="53"/>
      <c r="L197" s="57" t="str">
        <f aca="false">IF(C197="","",IFERROR(INDEX(site_ID,MATCH(C197,site_Name,0)),"Not on SITES"))</f>
        <v>LW-108</v>
      </c>
      <c r="M197" s="58" t="n">
        <f aca="false">IF(E197="","",DATE(YEAR(E197),MONTH(E197),1))</f>
        <v>45962</v>
      </c>
      <c r="N197" s="57" t="str">
        <f aca="false">IF(E197="","","FY"&amp;(YEAR(E197)+IF(AND(FYStart&gt;1,MONTH(E197)&gt;=FYStart),1,0))&amp;" Q"&amp;(INT(MOD(MONTH(E197)-FYStart,12)/3)+1))</f>
        <v>FY2026 Q2</v>
      </c>
      <c r="O197" s="59" t="n">
        <f aca="false">IF(OR(E197="",N(F197)=0),"",G197/F197)</f>
        <v>0.9375</v>
      </c>
      <c r="P197" s="60" t="n">
        <f aca="false">IF(E197="","",ROUND(N(G197)*N(H197)/60,1))</f>
        <v>15</v>
      </c>
      <c r="Q197" s="57" t="str">
        <f aca="false">IF(E197="","",IF(COUNTIFS($C$2:C197,C197,$E$2:E197,E197,$B$2:B197,B197)&gt;1,"No","Yes"))</f>
        <v>Yes</v>
      </c>
      <c r="R197" s="61" t="str">
        <f aca="false">IF(E197="","",IF(Q197="No","Duplicate of an earlier response",IF(L197="Not on SITES","Site not on SITES",IF(N(G197)&gt;N(F197),"Present is more than enrolled",IF(OR(I197&lt;1,I197&gt;5),"Score outside 1 to 5","")))))</f>
        <v/>
      </c>
    </row>
    <row r="198" customFormat="false" ht="15" hidden="false" customHeight="false" outlineLevel="0" collapsed="false">
      <c r="A198" s="52" t="n">
        <v>45965.7324537037</v>
      </c>
      <c r="B198" s="53" t="s">
        <v>129</v>
      </c>
      <c r="C198" s="53" t="s">
        <v>130</v>
      </c>
      <c r="D198" s="53" t="s">
        <v>113</v>
      </c>
      <c r="E198" s="54" t="n">
        <v>45965</v>
      </c>
      <c r="F198" s="55" t="n">
        <v>17</v>
      </c>
      <c r="G198" s="55" t="n">
        <v>16</v>
      </c>
      <c r="H198" s="55" t="n">
        <v>60</v>
      </c>
      <c r="I198" s="56" t="n">
        <v>2.7</v>
      </c>
      <c r="J198" s="53" t="s">
        <v>131</v>
      </c>
      <c r="K198" s="53"/>
      <c r="L198" s="57" t="str">
        <f aca="false">IF(C198="","",IFERROR(INDEX(site_ID,MATCH(C198,site_Name,0)),"Not on SITES"))</f>
        <v>LW-107</v>
      </c>
      <c r="M198" s="58" t="n">
        <f aca="false">IF(E198="","",DATE(YEAR(E198),MONTH(E198),1))</f>
        <v>45962</v>
      </c>
      <c r="N198" s="57" t="str">
        <f aca="false">IF(E198="","","FY"&amp;(YEAR(E198)+IF(AND(FYStart&gt;1,MONTH(E198)&gt;=FYStart),1,0))&amp;" Q"&amp;(INT(MOD(MONTH(E198)-FYStart,12)/3)+1))</f>
        <v>FY2026 Q2</v>
      </c>
      <c r="O198" s="59" t="n">
        <f aca="false">IF(OR(E198="",N(F198)=0),"",G198/F198)</f>
        <v>0.941176470588235</v>
      </c>
      <c r="P198" s="60" t="n">
        <f aca="false">IF(E198="","",ROUND(N(G198)*N(H198)/60,1))</f>
        <v>16</v>
      </c>
      <c r="Q198" s="57" t="str">
        <f aca="false">IF(E198="","",IF(COUNTIFS($C$2:C198,C198,$E$2:E198,E198,$B$2:B198,B198)&gt;1,"No","Yes"))</f>
        <v>Yes</v>
      </c>
      <c r="R198" s="61" t="str">
        <f aca="false">IF(E198="","",IF(Q198="No","Duplicate of an earlier response",IF(L198="Not on SITES","Site not on SITES",IF(N(G198)&gt;N(F198),"Present is more than enrolled",IF(OR(I198&lt;1,I198&gt;5),"Score outside 1 to 5","")))))</f>
        <v/>
      </c>
    </row>
    <row r="199" customFormat="false" ht="15" hidden="false" customHeight="false" outlineLevel="0" collapsed="false">
      <c r="A199" s="52" t="n">
        <v>45965.8127546296</v>
      </c>
      <c r="B199" s="53" t="s">
        <v>132</v>
      </c>
      <c r="C199" s="53" t="s">
        <v>133</v>
      </c>
      <c r="D199" s="53" t="s">
        <v>116</v>
      </c>
      <c r="E199" s="54" t="n">
        <v>45965</v>
      </c>
      <c r="F199" s="55" t="n">
        <v>18</v>
      </c>
      <c r="G199" s="55" t="n">
        <v>14</v>
      </c>
      <c r="H199" s="55" t="n">
        <v>60</v>
      </c>
      <c r="I199" s="56" t="n">
        <v>3.4</v>
      </c>
      <c r="J199" s="53" t="s">
        <v>153</v>
      </c>
      <c r="K199" s="53"/>
      <c r="L199" s="57" t="str">
        <f aca="false">IF(C199="","",IFERROR(INDEX(site_ID,MATCH(C199,site_Name,0)),"Not on SITES"))</f>
        <v>LW-109</v>
      </c>
      <c r="M199" s="58" t="n">
        <f aca="false">IF(E199="","",DATE(YEAR(E199),MONTH(E199),1))</f>
        <v>45962</v>
      </c>
      <c r="N199" s="57" t="str">
        <f aca="false">IF(E199="","","FY"&amp;(YEAR(E199)+IF(AND(FYStart&gt;1,MONTH(E199)&gt;=FYStart),1,0))&amp;" Q"&amp;(INT(MOD(MONTH(E199)-FYStart,12)/3)+1))</f>
        <v>FY2026 Q2</v>
      </c>
      <c r="O199" s="59" t="n">
        <f aca="false">IF(OR(E199="",N(F199)=0),"",G199/F199)</f>
        <v>0.777777777777778</v>
      </c>
      <c r="P199" s="60" t="n">
        <f aca="false">IF(E199="","",ROUND(N(G199)*N(H199)/60,1))</f>
        <v>14</v>
      </c>
      <c r="Q199" s="57" t="str">
        <f aca="false">IF(E199="","",IF(COUNTIFS($C$2:C199,C199,$E$2:E199,E199,$B$2:B199,B199)&gt;1,"No","Yes"))</f>
        <v>Yes</v>
      </c>
      <c r="R199" s="61" t="str">
        <f aca="false">IF(E199="","",IF(Q199="No","Duplicate of an earlier response",IF(L199="Not on SITES","Site not on SITES",IF(N(G199)&gt;N(F199),"Present is more than enrolled",IF(OR(I199&lt;1,I199&gt;5),"Score outside 1 to 5","")))))</f>
        <v/>
      </c>
    </row>
    <row r="200" customFormat="false" ht="15" hidden="false" customHeight="false" outlineLevel="0" collapsed="false">
      <c r="A200" s="52" t="n">
        <v>45965.8723611111</v>
      </c>
      <c r="B200" s="53" t="s">
        <v>121</v>
      </c>
      <c r="C200" s="53" t="s">
        <v>122</v>
      </c>
      <c r="D200" s="53" t="s">
        <v>116</v>
      </c>
      <c r="E200" s="54" t="n">
        <v>45965</v>
      </c>
      <c r="F200" s="55" t="n">
        <v>16</v>
      </c>
      <c r="G200" s="55" t="n">
        <v>13</v>
      </c>
      <c r="H200" s="55" t="n">
        <v>75</v>
      </c>
      <c r="I200" s="56" t="n">
        <v>3.4</v>
      </c>
      <c r="J200" s="53" t="s">
        <v>160</v>
      </c>
      <c r="K200" s="53"/>
      <c r="L200" s="57" t="str">
        <f aca="false">IF(C200="","",IFERROR(INDEX(site_ID,MATCH(C200,site_Name,0)),"Not on SITES"))</f>
        <v>LW-116</v>
      </c>
      <c r="M200" s="58" t="n">
        <f aca="false">IF(E200="","",DATE(YEAR(E200),MONTH(E200),1))</f>
        <v>45962</v>
      </c>
      <c r="N200" s="57" t="str">
        <f aca="false">IF(E200="","","FY"&amp;(YEAR(E200)+IF(AND(FYStart&gt;1,MONTH(E200)&gt;=FYStart),1,0))&amp;" Q"&amp;(INT(MOD(MONTH(E200)-FYStart,12)/3)+1))</f>
        <v>FY2026 Q2</v>
      </c>
      <c r="O200" s="59" t="n">
        <f aca="false">IF(OR(E200="",N(F200)=0),"",G200/F200)</f>
        <v>0.8125</v>
      </c>
      <c r="P200" s="60" t="n">
        <f aca="false">IF(E200="","",ROUND(N(G200)*N(H200)/60,1))</f>
        <v>16.3</v>
      </c>
      <c r="Q200" s="57" t="str">
        <f aca="false">IF(E200="","",IF(COUNTIFS($C$2:C200,C200,$E$2:E200,E200,$B$2:B200,B200)&gt;1,"No","Yes"))</f>
        <v>Yes</v>
      </c>
      <c r="R200" s="61" t="str">
        <f aca="false">IF(E200="","",IF(Q200="No","Duplicate of an earlier response",IF(L200="Not on SITES","Site not on SITES",IF(N(G200)&gt;N(F200),"Present is more than enrolled",IF(OR(I200&lt;1,I200&gt;5),"Score outside 1 to 5","")))))</f>
        <v/>
      </c>
    </row>
    <row r="201" customFormat="false" ht="15" hidden="false" customHeight="false" outlineLevel="0" collapsed="false">
      <c r="A201" s="52" t="n">
        <v>45966.6599421296</v>
      </c>
      <c r="B201" s="53" t="s">
        <v>111</v>
      </c>
      <c r="C201" s="53" t="s">
        <v>112</v>
      </c>
      <c r="D201" s="53" t="s">
        <v>113</v>
      </c>
      <c r="E201" s="54" t="n">
        <v>45966</v>
      </c>
      <c r="F201" s="55" t="n">
        <v>16</v>
      </c>
      <c r="G201" s="55" t="n">
        <v>14</v>
      </c>
      <c r="H201" s="55" t="n">
        <v>75</v>
      </c>
      <c r="I201" s="56" t="n">
        <v>3</v>
      </c>
      <c r="J201" s="53" t="s">
        <v>143</v>
      </c>
      <c r="K201" s="53"/>
      <c r="L201" s="57" t="str">
        <f aca="false">IF(C201="","",IFERROR(INDEX(site_ID,MATCH(C201,site_Name,0)),"Not on SITES"))</f>
        <v>LW-120</v>
      </c>
      <c r="M201" s="58" t="n">
        <f aca="false">IF(E201="","",DATE(YEAR(E201),MONTH(E201),1))</f>
        <v>45962</v>
      </c>
      <c r="N201" s="57" t="str">
        <f aca="false">IF(E201="","","FY"&amp;(YEAR(E201)+IF(AND(FYStart&gt;1,MONTH(E201)&gt;=FYStart),1,0))&amp;" Q"&amp;(INT(MOD(MONTH(E201)-FYStart,12)/3)+1))</f>
        <v>FY2026 Q2</v>
      </c>
      <c r="O201" s="59" t="n">
        <f aca="false">IF(OR(E201="",N(F201)=0),"",G201/F201)</f>
        <v>0.875</v>
      </c>
      <c r="P201" s="60" t="n">
        <f aca="false">IF(E201="","",ROUND(N(G201)*N(H201)/60,1))</f>
        <v>17.5</v>
      </c>
      <c r="Q201" s="57" t="str">
        <f aca="false">IF(E201="","",IF(COUNTIFS($C$2:C201,C201,$E$2:E201,E201,$B$2:B201,B201)&gt;1,"No","Yes"))</f>
        <v>Yes</v>
      </c>
      <c r="R201" s="61" t="str">
        <f aca="false">IF(E201="","",IF(Q201="No","Duplicate of an earlier response",IF(L201="Not on SITES","Site not on SITES",IF(N(G201)&gt;N(F201),"Present is more than enrolled",IF(OR(I201&lt;1,I201&gt;5),"Score outside 1 to 5","")))))</f>
        <v/>
      </c>
    </row>
    <row r="202" customFormat="false" ht="15" hidden="false" customHeight="false" outlineLevel="0" collapsed="false">
      <c r="A202" s="52" t="n">
        <v>45966.6652430556</v>
      </c>
      <c r="B202" s="53" t="s">
        <v>105</v>
      </c>
      <c r="C202" s="53" t="s">
        <v>118</v>
      </c>
      <c r="D202" s="53" t="s">
        <v>119</v>
      </c>
      <c r="E202" s="54" t="n">
        <v>45966</v>
      </c>
      <c r="F202" s="55" t="n">
        <v>22</v>
      </c>
      <c r="G202" s="55" t="n">
        <v>16</v>
      </c>
      <c r="H202" s="55" t="n">
        <v>75</v>
      </c>
      <c r="I202" s="56" t="n">
        <v>2.9</v>
      </c>
      <c r="J202" s="53" t="s">
        <v>159</v>
      </c>
      <c r="K202" s="53"/>
      <c r="L202" s="57" t="str">
        <f aca="false">IF(C202="","",IFERROR(INDEX(site_ID,MATCH(C202,site_Name,0)),"Not on SITES"))</f>
        <v>LW-111</v>
      </c>
      <c r="M202" s="58" t="n">
        <f aca="false">IF(E202="","",DATE(YEAR(E202),MONTH(E202),1))</f>
        <v>45962</v>
      </c>
      <c r="N202" s="57" t="str">
        <f aca="false">IF(E202="","","FY"&amp;(YEAR(E202)+IF(AND(FYStart&gt;1,MONTH(E202)&gt;=FYStart),1,0))&amp;" Q"&amp;(INT(MOD(MONTH(E202)-FYStart,12)/3)+1))</f>
        <v>FY2026 Q2</v>
      </c>
      <c r="O202" s="59" t="n">
        <f aca="false">IF(OR(E202="",N(F202)=0),"",G202/F202)</f>
        <v>0.727272727272727</v>
      </c>
      <c r="P202" s="60" t="n">
        <f aca="false">IF(E202="","",ROUND(N(G202)*N(H202)/60,1))</f>
        <v>20</v>
      </c>
      <c r="Q202" s="57" t="str">
        <f aca="false">IF(E202="","",IF(COUNTIFS($C$2:C202,C202,$E$2:E202,E202,$B$2:B202,B202)&gt;1,"No","Yes"))</f>
        <v>Yes</v>
      </c>
      <c r="R202" s="61" t="str">
        <f aca="false">IF(E202="","",IF(Q202="No","Duplicate of an earlier response",IF(L202="Not on SITES","Site not on SITES",IF(N(G202)&gt;N(F202),"Present is more than enrolled",IF(OR(I202&lt;1,I202&gt;5),"Score outside 1 to 5","")))))</f>
        <v/>
      </c>
    </row>
    <row r="203" customFormat="false" ht="15" hidden="false" customHeight="false" outlineLevel="0" collapsed="false">
      <c r="A203" s="52" t="n">
        <v>45966.803599537</v>
      </c>
      <c r="B203" s="53" t="s">
        <v>129</v>
      </c>
      <c r="C203" s="53" t="s">
        <v>137</v>
      </c>
      <c r="D203" s="53" t="s">
        <v>138</v>
      </c>
      <c r="E203" s="54" t="n">
        <v>45966</v>
      </c>
      <c r="F203" s="55" t="n">
        <v>20</v>
      </c>
      <c r="G203" s="55" t="n">
        <v>18</v>
      </c>
      <c r="H203" s="55" t="n">
        <v>90</v>
      </c>
      <c r="I203" s="56" t="n">
        <v>3.6</v>
      </c>
      <c r="J203" s="53" t="s">
        <v>163</v>
      </c>
      <c r="K203" s="53"/>
      <c r="L203" s="57" t="str">
        <f aca="false">IF(C203="","",IFERROR(INDEX(site_ID,MATCH(C203,site_Name,0)),"Not on SITES"))</f>
        <v>LW-115</v>
      </c>
      <c r="M203" s="58" t="n">
        <f aca="false">IF(E203="","",DATE(YEAR(E203),MONTH(E203),1))</f>
        <v>45962</v>
      </c>
      <c r="N203" s="57" t="str">
        <f aca="false">IF(E203="","","FY"&amp;(YEAR(E203)+IF(AND(FYStart&gt;1,MONTH(E203)&gt;=FYStart),1,0))&amp;" Q"&amp;(INT(MOD(MONTH(E203)-FYStart,12)/3)+1))</f>
        <v>FY2026 Q2</v>
      </c>
      <c r="O203" s="59" t="n">
        <f aca="false">IF(OR(E203="",N(F203)=0),"",G203/F203)</f>
        <v>0.9</v>
      </c>
      <c r="P203" s="60" t="n">
        <f aca="false">IF(E203="","",ROUND(N(G203)*N(H203)/60,1))</f>
        <v>27</v>
      </c>
      <c r="Q203" s="57" t="str">
        <f aca="false">IF(E203="","",IF(COUNTIFS($C$2:C203,C203,$E$2:E203,E203,$B$2:B203,B203)&gt;1,"No","Yes"))</f>
        <v>Yes</v>
      </c>
      <c r="R203" s="61" t="str">
        <f aca="false">IF(E203="","",IF(Q203="No","Duplicate of an earlier response",IF(L203="Not on SITES","Site not on SITES",IF(N(G203)&gt;N(F203),"Present is more than enrolled",IF(OR(I203&lt;1,I203&gt;5),"Score outside 1 to 5","")))))</f>
        <v/>
      </c>
    </row>
    <row r="204" customFormat="false" ht="15" hidden="false" customHeight="false" outlineLevel="0" collapsed="false">
      <c r="A204" s="52" t="n">
        <v>45966.8340393519</v>
      </c>
      <c r="B204" s="53" t="s">
        <v>140</v>
      </c>
      <c r="C204" s="53" t="s">
        <v>141</v>
      </c>
      <c r="D204" s="53" t="s">
        <v>116</v>
      </c>
      <c r="E204" s="54" t="n">
        <v>45966</v>
      </c>
      <c r="F204" s="55" t="n">
        <v>13</v>
      </c>
      <c r="G204" s="55" t="n">
        <v>12</v>
      </c>
      <c r="H204" s="55" t="n">
        <v>60</v>
      </c>
      <c r="I204" s="56" t="n">
        <v>3.8</v>
      </c>
      <c r="J204" s="53" t="s">
        <v>134</v>
      </c>
      <c r="K204" s="53"/>
      <c r="L204" s="57" t="str">
        <f aca="false">IF(C204="","",IFERROR(INDEX(site_ID,MATCH(C204,site_Name,0)),"Not on SITES"))</f>
        <v>LW-118</v>
      </c>
      <c r="M204" s="58" t="n">
        <f aca="false">IF(E204="","",DATE(YEAR(E204),MONTH(E204),1))</f>
        <v>45962</v>
      </c>
      <c r="N204" s="57" t="str">
        <f aca="false">IF(E204="","","FY"&amp;(YEAR(E204)+IF(AND(FYStart&gt;1,MONTH(E204)&gt;=FYStart),1,0))&amp;" Q"&amp;(INT(MOD(MONTH(E204)-FYStart,12)/3)+1))</f>
        <v>FY2026 Q2</v>
      </c>
      <c r="O204" s="59" t="n">
        <f aca="false">IF(OR(E204="",N(F204)=0),"",G204/F204)</f>
        <v>0.923076923076923</v>
      </c>
      <c r="P204" s="60" t="n">
        <f aca="false">IF(E204="","",ROUND(N(G204)*N(H204)/60,1))</f>
        <v>12</v>
      </c>
      <c r="Q204" s="57" t="str">
        <f aca="false">IF(E204="","",IF(COUNTIFS($C$2:C204,C204,$E$2:E204,E204,$B$2:B204,B204)&gt;1,"No","Yes"))</f>
        <v>Yes</v>
      </c>
      <c r="R204" s="61" t="str">
        <f aca="false">IF(E204="","",IF(Q204="No","Duplicate of an earlier response",IF(L204="Not on SITES","Site not on SITES",IF(N(G204)&gt;N(F204),"Present is more than enrolled",IF(OR(I204&lt;1,I204&gt;5),"Score outside 1 to 5","")))))</f>
        <v/>
      </c>
    </row>
    <row r="205" customFormat="false" ht="15" hidden="false" customHeight="false" outlineLevel="0" collapsed="false">
      <c r="A205" s="52" t="n">
        <v>45966.8375</v>
      </c>
      <c r="B205" s="53" t="s">
        <v>129</v>
      </c>
      <c r="C205" s="53" t="s">
        <v>145</v>
      </c>
      <c r="D205" s="53" t="s">
        <v>119</v>
      </c>
      <c r="E205" s="54" t="n">
        <v>45966</v>
      </c>
      <c r="F205" s="55" t="n">
        <v>19</v>
      </c>
      <c r="G205" s="55" t="n">
        <v>14</v>
      </c>
      <c r="H205" s="55" t="n">
        <v>90</v>
      </c>
      <c r="I205" s="56" t="n">
        <v>3.4</v>
      </c>
      <c r="J205" s="53" t="s">
        <v>162</v>
      </c>
      <c r="K205" s="53"/>
      <c r="L205" s="57" t="str">
        <f aca="false">IF(C205="","",IFERROR(INDEX(site_ID,MATCH(C205,site_Name,0)),"Not on SITES"))</f>
        <v>LW-101</v>
      </c>
      <c r="M205" s="58" t="n">
        <f aca="false">IF(E205="","",DATE(YEAR(E205),MONTH(E205),1))</f>
        <v>45962</v>
      </c>
      <c r="N205" s="57" t="str">
        <f aca="false">IF(E205="","","FY"&amp;(YEAR(E205)+IF(AND(FYStart&gt;1,MONTH(E205)&gt;=FYStart),1,0))&amp;" Q"&amp;(INT(MOD(MONTH(E205)-FYStart,12)/3)+1))</f>
        <v>FY2026 Q2</v>
      </c>
      <c r="O205" s="59" t="n">
        <f aca="false">IF(OR(E205="",N(F205)=0),"",G205/F205)</f>
        <v>0.736842105263158</v>
      </c>
      <c r="P205" s="60" t="n">
        <f aca="false">IF(E205="","",ROUND(N(G205)*N(H205)/60,1))</f>
        <v>21</v>
      </c>
      <c r="Q205" s="57" t="str">
        <f aca="false">IF(E205="","",IF(COUNTIFS($C$2:C205,C205,$E$2:E205,E205,$B$2:B205,B205)&gt;1,"No","Yes"))</f>
        <v>Yes</v>
      </c>
      <c r="R205" s="61" t="str">
        <f aca="false">IF(E205="","",IF(Q205="No","Duplicate of an earlier response",IF(L205="Not on SITES","Site not on SITES",IF(N(G205)&gt;N(F205),"Present is more than enrolled",IF(OR(I205&lt;1,I205&gt;5),"Score outside 1 to 5","")))))</f>
        <v/>
      </c>
    </row>
    <row r="206" customFormat="false" ht="15" hidden="false" customHeight="false" outlineLevel="0" collapsed="false">
      <c r="A206" s="52" t="n">
        <v>45967.6577199074</v>
      </c>
      <c r="B206" s="53" t="s">
        <v>124</v>
      </c>
      <c r="C206" s="53" t="s">
        <v>154</v>
      </c>
      <c r="D206" s="53" t="s">
        <v>116</v>
      </c>
      <c r="E206" s="54" t="n">
        <v>45967</v>
      </c>
      <c r="F206" s="55" t="n">
        <v>18</v>
      </c>
      <c r="G206" s="55" t="n">
        <v>16</v>
      </c>
      <c r="H206" s="55" t="n">
        <v>75</v>
      </c>
      <c r="I206" s="56" t="n">
        <v>3.9</v>
      </c>
      <c r="J206" s="53" t="s">
        <v>117</v>
      </c>
      <c r="K206" s="53"/>
      <c r="L206" s="57" t="str">
        <f aca="false">IF(C206="","",IFERROR(INDEX(site_ID,MATCH(C206,site_Name,0)),"Not on SITES"))</f>
        <v>LW-114</v>
      </c>
      <c r="M206" s="58" t="n">
        <f aca="false">IF(E206="","",DATE(YEAR(E206),MONTH(E206),1))</f>
        <v>45962</v>
      </c>
      <c r="N206" s="57" t="str">
        <f aca="false">IF(E206="","","FY"&amp;(YEAR(E206)+IF(AND(FYStart&gt;1,MONTH(E206)&gt;=FYStart),1,0))&amp;" Q"&amp;(INT(MOD(MONTH(E206)-FYStart,12)/3)+1))</f>
        <v>FY2026 Q2</v>
      </c>
      <c r="O206" s="59" t="n">
        <f aca="false">IF(OR(E206="",N(F206)=0),"",G206/F206)</f>
        <v>0.888888888888889</v>
      </c>
      <c r="P206" s="60" t="n">
        <f aca="false">IF(E206="","",ROUND(N(G206)*N(H206)/60,1))</f>
        <v>20</v>
      </c>
      <c r="Q206" s="57" t="str">
        <f aca="false">IF(E206="","",IF(COUNTIFS($C$2:C206,C206,$E$2:E206,E206,$B$2:B206,B206)&gt;1,"No","Yes"))</f>
        <v>Yes</v>
      </c>
      <c r="R206" s="61" t="str">
        <f aca="false">IF(E206="","",IF(Q206="No","Duplicate of an earlier response",IF(L206="Not on SITES","Site not on SITES",IF(N(G206)&gt;N(F206),"Present is more than enrolled",IF(OR(I206&lt;1,I206&gt;5),"Score outside 1 to 5","")))))</f>
        <v/>
      </c>
    </row>
    <row r="207" customFormat="false" ht="15" hidden="false" customHeight="false" outlineLevel="0" collapsed="false">
      <c r="A207" s="52" t="n">
        <v>45967.6961342593</v>
      </c>
      <c r="B207" s="53" t="s">
        <v>111</v>
      </c>
      <c r="C207" s="53" t="s">
        <v>149</v>
      </c>
      <c r="D207" s="53" t="s">
        <v>113</v>
      </c>
      <c r="E207" s="54" t="n">
        <v>45967</v>
      </c>
      <c r="F207" s="55" t="n">
        <v>21</v>
      </c>
      <c r="G207" s="55" t="n">
        <v>18</v>
      </c>
      <c r="H207" s="55" t="n">
        <v>90</v>
      </c>
      <c r="I207" s="56" t="n">
        <v>3.4</v>
      </c>
      <c r="J207" s="53" t="s">
        <v>143</v>
      </c>
      <c r="K207" s="53"/>
      <c r="L207" s="57" t="str">
        <f aca="false">IF(C207="","",IFERROR(INDEX(site_ID,MATCH(C207,site_Name,0)),"Not on SITES"))</f>
        <v>LW-112</v>
      </c>
      <c r="M207" s="58" t="n">
        <f aca="false">IF(E207="","",DATE(YEAR(E207),MONTH(E207),1))</f>
        <v>45962</v>
      </c>
      <c r="N207" s="57" t="str">
        <f aca="false">IF(E207="","","FY"&amp;(YEAR(E207)+IF(AND(FYStart&gt;1,MONTH(E207)&gt;=FYStart),1,0))&amp;" Q"&amp;(INT(MOD(MONTH(E207)-FYStart,12)/3)+1))</f>
        <v>FY2026 Q2</v>
      </c>
      <c r="O207" s="59" t="n">
        <f aca="false">IF(OR(E207="",N(F207)=0),"",G207/F207)</f>
        <v>0.857142857142857</v>
      </c>
      <c r="P207" s="60" t="n">
        <f aca="false">IF(E207="","",ROUND(N(G207)*N(H207)/60,1))</f>
        <v>27</v>
      </c>
      <c r="Q207" s="57" t="str">
        <f aca="false">IF(E207="","",IF(COUNTIFS($C$2:C207,C207,$E$2:E207,E207,$B$2:B207,B207)&gt;1,"No","Yes"))</f>
        <v>Yes</v>
      </c>
      <c r="R207" s="61" t="str">
        <f aca="false">IF(E207="","",IF(Q207="No","Duplicate of an earlier response",IF(L207="Not on SITES","Site not on SITES",IF(N(G207)&gt;N(F207),"Present is more than enrolled",IF(OR(I207&lt;1,I207&gt;5),"Score outside 1 to 5","")))))</f>
        <v/>
      </c>
    </row>
    <row r="208" customFormat="false" ht="15" hidden="false" customHeight="false" outlineLevel="0" collapsed="false">
      <c r="A208" s="52" t="n">
        <v>45967.7233333333</v>
      </c>
      <c r="B208" s="53" t="s">
        <v>132</v>
      </c>
      <c r="C208" s="53" t="s">
        <v>142</v>
      </c>
      <c r="D208" s="53" t="s">
        <v>113</v>
      </c>
      <c r="E208" s="54" t="n">
        <v>45966</v>
      </c>
      <c r="F208" s="55" t="n">
        <v>18</v>
      </c>
      <c r="G208" s="55" t="n">
        <v>17</v>
      </c>
      <c r="H208" s="55" t="n">
        <v>90</v>
      </c>
      <c r="I208" s="56" t="n">
        <v>3.5</v>
      </c>
      <c r="J208" s="53" t="s">
        <v>143</v>
      </c>
      <c r="K208" s="53"/>
      <c r="L208" s="57" t="str">
        <f aca="false">IF(C208="","",IFERROR(INDEX(site_ID,MATCH(C208,site_Name,0)),"Not on SITES"))</f>
        <v>LW-102</v>
      </c>
      <c r="M208" s="58" t="n">
        <f aca="false">IF(E208="","",DATE(YEAR(E208),MONTH(E208),1))</f>
        <v>45962</v>
      </c>
      <c r="N208" s="57" t="str">
        <f aca="false">IF(E208="","","FY"&amp;(YEAR(E208)+IF(AND(FYStart&gt;1,MONTH(E208)&gt;=FYStart),1,0))&amp;" Q"&amp;(INT(MOD(MONTH(E208)-FYStart,12)/3)+1))</f>
        <v>FY2026 Q2</v>
      </c>
      <c r="O208" s="59" t="n">
        <f aca="false">IF(OR(E208="",N(F208)=0),"",G208/F208)</f>
        <v>0.944444444444444</v>
      </c>
      <c r="P208" s="60" t="n">
        <f aca="false">IF(E208="","",ROUND(N(G208)*N(H208)/60,1))</f>
        <v>25.5</v>
      </c>
      <c r="Q208" s="57" t="str">
        <f aca="false">IF(E208="","",IF(COUNTIFS($C$2:C208,C208,$E$2:E208,E208,$B$2:B208,B208)&gt;1,"No","Yes"))</f>
        <v>Yes</v>
      </c>
      <c r="R208" s="61" t="str">
        <f aca="false">IF(E208="","",IF(Q208="No","Duplicate of an earlier response",IF(L208="Not on SITES","Site not on SITES",IF(N(G208)&gt;N(F208),"Present is more than enrolled",IF(OR(I208&lt;1,I208&gt;5),"Score outside 1 to 5","")))))</f>
        <v/>
      </c>
    </row>
    <row r="209" customFormat="false" ht="15" hidden="false" customHeight="false" outlineLevel="0" collapsed="false">
      <c r="A209" s="52" t="n">
        <v>45967.7488657407</v>
      </c>
      <c r="B209" s="53" t="s">
        <v>121</v>
      </c>
      <c r="C209" s="53" t="s">
        <v>122</v>
      </c>
      <c r="D209" s="53" t="s">
        <v>116</v>
      </c>
      <c r="E209" s="54" t="n">
        <v>45967</v>
      </c>
      <c r="F209" s="55" t="n">
        <v>16</v>
      </c>
      <c r="G209" s="55" t="n">
        <v>13</v>
      </c>
      <c r="H209" s="55" t="n">
        <v>75</v>
      </c>
      <c r="I209" s="56" t="n">
        <v>3.3</v>
      </c>
      <c r="J209" s="53" t="s">
        <v>123</v>
      </c>
      <c r="K209" s="53"/>
      <c r="L209" s="57" t="str">
        <f aca="false">IF(C209="","",IFERROR(INDEX(site_ID,MATCH(C209,site_Name,0)),"Not on SITES"))</f>
        <v>LW-116</v>
      </c>
      <c r="M209" s="58" t="n">
        <f aca="false">IF(E209="","",DATE(YEAR(E209),MONTH(E209),1))</f>
        <v>45962</v>
      </c>
      <c r="N209" s="57" t="str">
        <f aca="false">IF(E209="","","FY"&amp;(YEAR(E209)+IF(AND(FYStart&gt;1,MONTH(E209)&gt;=FYStart),1,0))&amp;" Q"&amp;(INT(MOD(MONTH(E209)-FYStart,12)/3)+1))</f>
        <v>FY2026 Q2</v>
      </c>
      <c r="O209" s="59" t="n">
        <f aca="false">IF(OR(E209="",N(F209)=0),"",G209/F209)</f>
        <v>0.8125</v>
      </c>
      <c r="P209" s="60" t="n">
        <f aca="false">IF(E209="","",ROUND(N(G209)*N(H209)/60,1))</f>
        <v>16.3</v>
      </c>
      <c r="Q209" s="57" t="str">
        <f aca="false">IF(E209="","",IF(COUNTIFS($C$2:C209,C209,$E$2:E209,E209,$B$2:B209,B209)&gt;1,"No","Yes"))</f>
        <v>Yes</v>
      </c>
      <c r="R209" s="61" t="str">
        <f aca="false">IF(E209="","",IF(Q209="No","Duplicate of an earlier response",IF(L209="Not on SITES","Site not on SITES",IF(N(G209)&gt;N(F209),"Present is more than enrolled",IF(OR(I209&lt;1,I209&gt;5),"Score outside 1 to 5","")))))</f>
        <v/>
      </c>
    </row>
    <row r="210" customFormat="false" ht="15" hidden="false" customHeight="false" outlineLevel="0" collapsed="false">
      <c r="A210" s="52" t="n">
        <v>45967.7634490741</v>
      </c>
      <c r="B210" s="53" t="s">
        <v>140</v>
      </c>
      <c r="C210" s="53" t="s">
        <v>151</v>
      </c>
      <c r="D210" s="53" t="s">
        <v>138</v>
      </c>
      <c r="E210" s="54" t="n">
        <v>45967</v>
      </c>
      <c r="F210" s="55" t="n">
        <v>14</v>
      </c>
      <c r="G210" s="55" t="n">
        <v>12</v>
      </c>
      <c r="H210" s="55" t="n">
        <v>90</v>
      </c>
      <c r="I210" s="56" t="n">
        <v>3.4</v>
      </c>
      <c r="J210" s="53" t="s">
        <v>139</v>
      </c>
      <c r="K210" s="53"/>
      <c r="L210" s="57" t="str">
        <f aca="false">IF(C210="","",IFERROR(INDEX(site_ID,MATCH(C210,site_Name,0)),"Not on SITES"))</f>
        <v>LW-110</v>
      </c>
      <c r="M210" s="58" t="n">
        <f aca="false">IF(E210="","",DATE(YEAR(E210),MONTH(E210),1))</f>
        <v>45962</v>
      </c>
      <c r="N210" s="57" t="str">
        <f aca="false">IF(E210="","","FY"&amp;(YEAR(E210)+IF(AND(FYStart&gt;1,MONTH(E210)&gt;=FYStart),1,0))&amp;" Q"&amp;(INT(MOD(MONTH(E210)-FYStart,12)/3)+1))</f>
        <v>FY2026 Q2</v>
      </c>
      <c r="O210" s="59" t="n">
        <f aca="false">IF(OR(E210="",N(F210)=0),"",G210/F210)</f>
        <v>0.857142857142857</v>
      </c>
      <c r="P210" s="60" t="n">
        <f aca="false">IF(E210="","",ROUND(N(G210)*N(H210)/60,1))</f>
        <v>18</v>
      </c>
      <c r="Q210" s="57" t="str">
        <f aca="false">IF(E210="","",IF(COUNTIFS($C$2:C210,C210,$E$2:E210,E210,$B$2:B210,B210)&gt;1,"No","Yes"))</f>
        <v>Yes</v>
      </c>
      <c r="R210" s="61" t="str">
        <f aca="false">IF(E210="","",IF(Q210="No","Duplicate of an earlier response",IF(L210="Not on SITES","Site not on SITES",IF(N(G210)&gt;N(F210),"Present is more than enrolled",IF(OR(I210&lt;1,I210&gt;5),"Score outside 1 to 5","")))))</f>
        <v/>
      </c>
    </row>
    <row r="211" customFormat="false" ht="15" hidden="false" customHeight="false" outlineLevel="0" collapsed="false">
      <c r="A211" s="52" t="n">
        <v>45967.8482638889</v>
      </c>
      <c r="B211" s="53" t="s">
        <v>111</v>
      </c>
      <c r="C211" s="53" t="s">
        <v>148</v>
      </c>
      <c r="D211" s="53" t="s">
        <v>116</v>
      </c>
      <c r="E211" s="54" t="n">
        <v>45967</v>
      </c>
      <c r="F211" s="55" t="n">
        <v>16</v>
      </c>
      <c r="G211" s="55" t="n">
        <v>13</v>
      </c>
      <c r="H211" s="55" t="n">
        <v>75</v>
      </c>
      <c r="I211" s="56" t="n">
        <v>2.9</v>
      </c>
      <c r="J211" s="53" t="s">
        <v>134</v>
      </c>
      <c r="K211" s="53" t="s">
        <v>135</v>
      </c>
      <c r="L211" s="57" t="str">
        <f aca="false">IF(C211="","",IFERROR(INDEX(site_ID,MATCH(C211,site_Name,0)),"Not on SITES"))</f>
        <v>LW-104</v>
      </c>
      <c r="M211" s="58" t="n">
        <f aca="false">IF(E211="","",DATE(YEAR(E211),MONTH(E211),1))</f>
        <v>45962</v>
      </c>
      <c r="N211" s="57" t="str">
        <f aca="false">IF(E211="","","FY"&amp;(YEAR(E211)+IF(AND(FYStart&gt;1,MONTH(E211)&gt;=FYStart),1,0))&amp;" Q"&amp;(INT(MOD(MONTH(E211)-FYStart,12)/3)+1))</f>
        <v>FY2026 Q2</v>
      </c>
      <c r="O211" s="59" t="n">
        <f aca="false">IF(OR(E211="",N(F211)=0),"",G211/F211)</f>
        <v>0.8125</v>
      </c>
      <c r="P211" s="60" t="n">
        <f aca="false">IF(E211="","",ROUND(N(G211)*N(H211)/60,1))</f>
        <v>16.3</v>
      </c>
      <c r="Q211" s="57" t="str">
        <f aca="false">IF(E211="","",IF(COUNTIFS($C$2:C211,C211,$E$2:E211,E211,$B$2:B211,B211)&gt;1,"No","Yes"))</f>
        <v>Yes</v>
      </c>
      <c r="R211" s="61" t="str">
        <f aca="false">IF(E211="","",IF(Q211="No","Duplicate of an earlier response",IF(L211="Not on SITES","Site not on SITES",IF(N(G211)&gt;N(F211),"Present is more than enrolled",IF(OR(I211&lt;1,I211&gt;5),"Score outside 1 to 5","")))))</f>
        <v/>
      </c>
    </row>
    <row r="212" customFormat="false" ht="15" hidden="false" customHeight="false" outlineLevel="0" collapsed="false">
      <c r="A212" s="52" t="n">
        <v>45967.8514583333</v>
      </c>
      <c r="B212" s="53" t="s">
        <v>109</v>
      </c>
      <c r="C212" s="53" t="s">
        <v>146</v>
      </c>
      <c r="D212" s="53" t="s">
        <v>138</v>
      </c>
      <c r="E212" s="54" t="n">
        <v>45967</v>
      </c>
      <c r="F212" s="55" t="n">
        <v>15</v>
      </c>
      <c r="G212" s="55" t="n">
        <v>14</v>
      </c>
      <c r="H212" s="55" t="n">
        <v>90</v>
      </c>
      <c r="I212" s="56" t="n">
        <v>3.5</v>
      </c>
      <c r="J212" s="53" t="s">
        <v>152</v>
      </c>
      <c r="K212" s="53"/>
      <c r="L212" s="57" t="str">
        <f aca="false">IF(C212="","",IFERROR(INDEX(site_ID,MATCH(C212,site_Name,0)),"Not on SITES"))</f>
        <v>LW-105</v>
      </c>
      <c r="M212" s="58" t="n">
        <f aca="false">IF(E212="","",DATE(YEAR(E212),MONTH(E212),1))</f>
        <v>45962</v>
      </c>
      <c r="N212" s="57" t="str">
        <f aca="false">IF(E212="","","FY"&amp;(YEAR(E212)+IF(AND(FYStart&gt;1,MONTH(E212)&gt;=FYStart),1,0))&amp;" Q"&amp;(INT(MOD(MONTH(E212)-FYStart,12)/3)+1))</f>
        <v>FY2026 Q2</v>
      </c>
      <c r="O212" s="59" t="n">
        <f aca="false">IF(OR(E212="",N(F212)=0),"",G212/F212)</f>
        <v>0.933333333333333</v>
      </c>
      <c r="P212" s="60" t="n">
        <f aca="false">IF(E212="","",ROUND(N(G212)*N(H212)/60,1))</f>
        <v>21</v>
      </c>
      <c r="Q212" s="57" t="str">
        <f aca="false">IF(E212="","",IF(COUNTIFS($C$2:C212,C212,$E$2:E212,E212,$B$2:B212,B212)&gt;1,"No","Yes"))</f>
        <v>Yes</v>
      </c>
      <c r="R212" s="61" t="str">
        <f aca="false">IF(E212="","",IF(Q212="No","Duplicate of an earlier response",IF(L212="Not on SITES","Site not on SITES",IF(N(G212)&gt;N(F212),"Present is more than enrolled",IF(OR(I212&lt;1,I212&gt;5),"Score outside 1 to 5","")))))</f>
        <v/>
      </c>
    </row>
    <row r="213" customFormat="false" ht="15" hidden="false" customHeight="false" outlineLevel="0" collapsed="false">
      <c r="A213" s="52" t="n">
        <v>45968.7016203704</v>
      </c>
      <c r="B213" s="53" t="s">
        <v>129</v>
      </c>
      <c r="C213" s="53" t="s">
        <v>137</v>
      </c>
      <c r="D213" s="53" t="s">
        <v>138</v>
      </c>
      <c r="E213" s="54" t="n">
        <v>45968</v>
      </c>
      <c r="F213" s="55" t="n">
        <v>20</v>
      </c>
      <c r="G213" s="55" t="n">
        <v>18</v>
      </c>
      <c r="H213" s="55" t="n">
        <v>90</v>
      </c>
      <c r="I213" s="56" t="n">
        <v>3.8</v>
      </c>
      <c r="J213" s="53" t="s">
        <v>163</v>
      </c>
      <c r="K213" s="53"/>
      <c r="L213" s="57" t="str">
        <f aca="false">IF(C213="","",IFERROR(INDEX(site_ID,MATCH(C213,site_Name,0)),"Not on SITES"))</f>
        <v>LW-115</v>
      </c>
      <c r="M213" s="58" t="n">
        <f aca="false">IF(E213="","",DATE(YEAR(E213),MONTH(E213),1))</f>
        <v>45962</v>
      </c>
      <c r="N213" s="57" t="str">
        <f aca="false">IF(E213="","","FY"&amp;(YEAR(E213)+IF(AND(FYStart&gt;1,MONTH(E213)&gt;=FYStart),1,0))&amp;" Q"&amp;(INT(MOD(MONTH(E213)-FYStart,12)/3)+1))</f>
        <v>FY2026 Q2</v>
      </c>
      <c r="O213" s="59" t="n">
        <f aca="false">IF(OR(E213="",N(F213)=0),"",G213/F213)</f>
        <v>0.9</v>
      </c>
      <c r="P213" s="60" t="n">
        <f aca="false">IF(E213="","",ROUND(N(G213)*N(H213)/60,1))</f>
        <v>27</v>
      </c>
      <c r="Q213" s="57" t="str">
        <f aca="false">IF(E213="","",IF(COUNTIFS($C$2:C213,C213,$E$2:E213,E213,$B$2:B213,B213)&gt;1,"No","Yes"))</f>
        <v>Yes</v>
      </c>
      <c r="R213" s="61" t="str">
        <f aca="false">IF(E213="","",IF(Q213="No","Duplicate of an earlier response",IF(L213="Not on SITES","Site not on SITES",IF(N(G213)&gt;N(F213),"Present is more than enrolled",IF(OR(I213&lt;1,I213&gt;5),"Score outside 1 to 5","")))))</f>
        <v/>
      </c>
    </row>
    <row r="214" customFormat="false" ht="15" hidden="false" customHeight="false" outlineLevel="0" collapsed="false">
      <c r="A214" s="52" t="n">
        <v>45968.7072453704</v>
      </c>
      <c r="B214" s="53" t="s">
        <v>132</v>
      </c>
      <c r="C214" s="53" t="s">
        <v>150</v>
      </c>
      <c r="D214" s="53" t="s">
        <v>138</v>
      </c>
      <c r="E214" s="54" t="n">
        <v>45967</v>
      </c>
      <c r="F214" s="55" t="n">
        <v>21</v>
      </c>
      <c r="G214" s="55" t="n">
        <v>18</v>
      </c>
      <c r="H214" s="55" t="n">
        <v>90</v>
      </c>
      <c r="I214" s="56" t="n">
        <v>3.3</v>
      </c>
      <c r="J214" s="53" t="s">
        <v>163</v>
      </c>
      <c r="K214" s="53"/>
      <c r="L214" s="57" t="str">
        <f aca="false">IF(C214="","",IFERROR(INDEX(site_ID,MATCH(C214,site_Name,0)),"Not on SITES"))</f>
        <v>LW-117</v>
      </c>
      <c r="M214" s="58" t="n">
        <f aca="false">IF(E214="","",DATE(YEAR(E214),MONTH(E214),1))</f>
        <v>45962</v>
      </c>
      <c r="N214" s="57" t="str">
        <f aca="false">IF(E214="","","FY"&amp;(YEAR(E214)+IF(AND(FYStart&gt;1,MONTH(E214)&gt;=FYStart),1,0))&amp;" Q"&amp;(INT(MOD(MONTH(E214)-FYStart,12)/3)+1))</f>
        <v>FY2026 Q2</v>
      </c>
      <c r="O214" s="59" t="n">
        <f aca="false">IF(OR(E214="",N(F214)=0),"",G214/F214)</f>
        <v>0.857142857142857</v>
      </c>
      <c r="P214" s="60" t="n">
        <f aca="false">IF(E214="","",ROUND(N(G214)*N(H214)/60,1))</f>
        <v>27</v>
      </c>
      <c r="Q214" s="57" t="str">
        <f aca="false">IF(E214="","",IF(COUNTIFS($C$2:C214,C214,$E$2:E214,E214,$B$2:B214,B214)&gt;1,"No","Yes"))</f>
        <v>Yes</v>
      </c>
      <c r="R214" s="61" t="str">
        <f aca="false">IF(E214="","",IF(Q214="No","Duplicate of an earlier response",IF(L214="Not on SITES","Site not on SITES",IF(N(G214)&gt;N(F214),"Present is more than enrolled",IF(OR(I214&lt;1,I214&gt;5),"Score outside 1 to 5","")))))</f>
        <v/>
      </c>
    </row>
    <row r="215" customFormat="false" ht="15" hidden="false" customHeight="false" outlineLevel="0" collapsed="false">
      <c r="A215" s="52" t="n">
        <v>45971.6506712963</v>
      </c>
      <c r="B215" s="53" t="s">
        <v>111</v>
      </c>
      <c r="C215" s="53" t="s">
        <v>112</v>
      </c>
      <c r="D215" s="53" t="s">
        <v>113</v>
      </c>
      <c r="E215" s="54" t="n">
        <v>45971</v>
      </c>
      <c r="F215" s="55" t="n">
        <v>16</v>
      </c>
      <c r="G215" s="55" t="n">
        <v>12</v>
      </c>
      <c r="H215" s="55" t="n">
        <v>60</v>
      </c>
      <c r="I215" s="56" t="n">
        <v>3.4</v>
      </c>
      <c r="J215" s="53" t="s">
        <v>143</v>
      </c>
      <c r="K215" s="53"/>
      <c r="L215" s="57" t="str">
        <f aca="false">IF(C215="","",IFERROR(INDEX(site_ID,MATCH(C215,site_Name,0)),"Not on SITES"))</f>
        <v>LW-120</v>
      </c>
      <c r="M215" s="58" t="n">
        <f aca="false">IF(E215="","",DATE(YEAR(E215),MONTH(E215),1))</f>
        <v>45962</v>
      </c>
      <c r="N215" s="57" t="str">
        <f aca="false">IF(E215="","","FY"&amp;(YEAR(E215)+IF(AND(FYStart&gt;1,MONTH(E215)&gt;=FYStart),1,0))&amp;" Q"&amp;(INT(MOD(MONTH(E215)-FYStart,12)/3)+1))</f>
        <v>FY2026 Q2</v>
      </c>
      <c r="O215" s="59" t="n">
        <f aca="false">IF(OR(E215="",N(F215)=0),"",G215/F215)</f>
        <v>0.75</v>
      </c>
      <c r="P215" s="60" t="n">
        <f aca="false">IF(E215="","",ROUND(N(G215)*N(H215)/60,1))</f>
        <v>12</v>
      </c>
      <c r="Q215" s="57" t="str">
        <f aca="false">IF(E215="","",IF(COUNTIFS($C$2:C215,C215,$E$2:E215,E215,$B$2:B215,B215)&gt;1,"No","Yes"))</f>
        <v>Yes</v>
      </c>
      <c r="R215" s="61" t="str">
        <f aca="false">IF(E215="","",IF(Q215="No","Duplicate of an earlier response",IF(L215="Not on SITES","Site not on SITES",IF(N(G215)&gt;N(F215),"Present is more than enrolled",IF(OR(I215&lt;1,I215&gt;5),"Score outside 1 to 5","")))))</f>
        <v/>
      </c>
    </row>
    <row r="216" customFormat="false" ht="15" hidden="false" customHeight="false" outlineLevel="0" collapsed="false">
      <c r="A216" s="52" t="n">
        <v>45971.654212963</v>
      </c>
      <c r="B216" s="53" t="s">
        <v>109</v>
      </c>
      <c r="C216" s="53" t="s">
        <v>110</v>
      </c>
      <c r="D216" s="53" t="s">
        <v>107</v>
      </c>
      <c r="E216" s="54" t="n">
        <v>45971</v>
      </c>
      <c r="F216" s="55" t="n">
        <v>22</v>
      </c>
      <c r="G216" s="55" t="n">
        <v>17</v>
      </c>
      <c r="H216" s="55" t="n">
        <v>75</v>
      </c>
      <c r="I216" s="56" t="n">
        <v>3.7</v>
      </c>
      <c r="J216" s="53" t="s">
        <v>128</v>
      </c>
      <c r="K216" s="53"/>
      <c r="L216" s="57" t="str">
        <f aca="false">IF(C216="","",IFERROR(INDEX(site_ID,MATCH(C216,site_Name,0)),"Not on SITES"))</f>
        <v>LW-113</v>
      </c>
      <c r="M216" s="58" t="n">
        <f aca="false">IF(E216="","",DATE(YEAR(E216),MONTH(E216),1))</f>
        <v>45962</v>
      </c>
      <c r="N216" s="57" t="str">
        <f aca="false">IF(E216="","","FY"&amp;(YEAR(E216)+IF(AND(FYStart&gt;1,MONTH(E216)&gt;=FYStart),1,0))&amp;" Q"&amp;(INT(MOD(MONTH(E216)-FYStart,12)/3)+1))</f>
        <v>FY2026 Q2</v>
      </c>
      <c r="O216" s="59" t="n">
        <f aca="false">IF(OR(E216="",N(F216)=0),"",G216/F216)</f>
        <v>0.772727272727273</v>
      </c>
      <c r="P216" s="60" t="n">
        <f aca="false">IF(E216="","",ROUND(N(G216)*N(H216)/60,1))</f>
        <v>21.3</v>
      </c>
      <c r="Q216" s="57" t="str">
        <f aca="false">IF(E216="","",IF(COUNTIFS($C$2:C216,C216,$E$2:E216,E216,$B$2:B216,B216)&gt;1,"No","Yes"))</f>
        <v>Yes</v>
      </c>
      <c r="R216" s="61" t="str">
        <f aca="false">IF(E216="","",IF(Q216="No","Duplicate of an earlier response",IF(L216="Not on SITES","Site not on SITES",IF(N(G216)&gt;N(F216),"Present is more than enrolled",IF(OR(I216&lt;1,I216&gt;5),"Score outside 1 to 5","")))))</f>
        <v/>
      </c>
    </row>
    <row r="217" customFormat="false" ht="15" hidden="false" customHeight="false" outlineLevel="0" collapsed="false">
      <c r="A217" s="52" t="n">
        <v>45971.6977430556</v>
      </c>
      <c r="B217" s="53" t="s">
        <v>105</v>
      </c>
      <c r="C217" s="53" t="s">
        <v>115</v>
      </c>
      <c r="D217" s="53" t="s">
        <v>116</v>
      </c>
      <c r="E217" s="54" t="n">
        <v>45971</v>
      </c>
      <c r="F217" s="55" t="n">
        <v>16</v>
      </c>
      <c r="G217" s="55" t="n">
        <v>14</v>
      </c>
      <c r="H217" s="55" t="n">
        <v>75</v>
      </c>
      <c r="I217" s="56" t="n">
        <v>3.2</v>
      </c>
      <c r="J217" s="53" t="s">
        <v>134</v>
      </c>
      <c r="K217" s="53"/>
      <c r="L217" s="57" t="str">
        <f aca="false">IF(C217="","",IFERROR(INDEX(site_ID,MATCH(C217,site_Name,0)),"Not on SITES"))</f>
        <v>LW-119</v>
      </c>
      <c r="M217" s="58" t="n">
        <f aca="false">IF(E217="","",DATE(YEAR(E217),MONTH(E217),1))</f>
        <v>45962</v>
      </c>
      <c r="N217" s="57" t="str">
        <f aca="false">IF(E217="","","FY"&amp;(YEAR(E217)+IF(AND(FYStart&gt;1,MONTH(E217)&gt;=FYStart),1,0))&amp;" Q"&amp;(INT(MOD(MONTH(E217)-FYStart,12)/3)+1))</f>
        <v>FY2026 Q2</v>
      </c>
      <c r="O217" s="59" t="n">
        <f aca="false">IF(OR(E217="",N(F217)=0),"",G217/F217)</f>
        <v>0.875</v>
      </c>
      <c r="P217" s="60" t="n">
        <f aca="false">IF(E217="","",ROUND(N(G217)*N(H217)/60,1))</f>
        <v>17.5</v>
      </c>
      <c r="Q217" s="57" t="str">
        <f aca="false">IF(E217="","",IF(COUNTIFS($C$2:C217,C217,$E$2:E217,E217,$B$2:B217,B217)&gt;1,"No","Yes"))</f>
        <v>Yes</v>
      </c>
      <c r="R217" s="61" t="str">
        <f aca="false">IF(E217="","",IF(Q217="No","Duplicate of an earlier response",IF(L217="Not on SITES","Site not on SITES",IF(N(G217)&gt;N(F217),"Present is more than enrolled",IF(OR(I217&lt;1,I217&gt;5),"Score outside 1 to 5","")))))</f>
        <v/>
      </c>
    </row>
    <row r="218" customFormat="false" ht="15" hidden="false" customHeight="false" outlineLevel="0" collapsed="false">
      <c r="A218" s="52" t="n">
        <v>45971.701400463</v>
      </c>
      <c r="B218" s="53" t="s">
        <v>105</v>
      </c>
      <c r="C218" s="53" t="s">
        <v>118</v>
      </c>
      <c r="D218" s="53" t="s">
        <v>119</v>
      </c>
      <c r="E218" s="54" t="n">
        <v>45971</v>
      </c>
      <c r="F218" s="55" t="n">
        <v>22</v>
      </c>
      <c r="G218" s="55" t="n">
        <v>16</v>
      </c>
      <c r="H218" s="55" t="n">
        <v>60</v>
      </c>
      <c r="I218" s="56" t="n">
        <v>3.4</v>
      </c>
      <c r="J218" s="53" t="s">
        <v>159</v>
      </c>
      <c r="K218" s="53"/>
      <c r="L218" s="57" t="str">
        <f aca="false">IF(C218="","",IFERROR(INDEX(site_ID,MATCH(C218,site_Name,0)),"Not on SITES"))</f>
        <v>LW-111</v>
      </c>
      <c r="M218" s="58" t="n">
        <f aca="false">IF(E218="","",DATE(YEAR(E218),MONTH(E218),1))</f>
        <v>45962</v>
      </c>
      <c r="N218" s="57" t="str">
        <f aca="false">IF(E218="","","FY"&amp;(YEAR(E218)+IF(AND(FYStart&gt;1,MONTH(E218)&gt;=FYStart),1,0))&amp;" Q"&amp;(INT(MOD(MONTH(E218)-FYStart,12)/3)+1))</f>
        <v>FY2026 Q2</v>
      </c>
      <c r="O218" s="59" t="n">
        <f aca="false">IF(OR(E218="",N(F218)=0),"",G218/F218)</f>
        <v>0.727272727272727</v>
      </c>
      <c r="P218" s="60" t="n">
        <f aca="false">IF(E218="","",ROUND(N(G218)*N(H218)/60,1))</f>
        <v>16</v>
      </c>
      <c r="Q218" s="57" t="str">
        <f aca="false">IF(E218="","",IF(COUNTIFS($C$2:C218,C218,$E$2:E218,E218,$B$2:B218,B218)&gt;1,"No","Yes"))</f>
        <v>Yes</v>
      </c>
      <c r="R218" s="61" t="str">
        <f aca="false">IF(E218="","",IF(Q218="No","Duplicate of an earlier response",IF(L218="Not on SITES","Site not on SITES",IF(N(G218)&gt;N(F218),"Present is more than enrolled",IF(OR(I218&lt;1,I218&gt;5),"Score outside 1 to 5","")))))</f>
        <v/>
      </c>
    </row>
    <row r="219" customFormat="false" ht="15" hidden="false" customHeight="false" outlineLevel="0" collapsed="false">
      <c r="A219" s="52" t="n">
        <v>45971.7032291667</v>
      </c>
      <c r="B219" s="53" t="s">
        <v>105</v>
      </c>
      <c r="C219" s="53" t="s">
        <v>106</v>
      </c>
      <c r="D219" s="53" t="s">
        <v>107</v>
      </c>
      <c r="E219" s="54" t="n">
        <v>45971</v>
      </c>
      <c r="F219" s="55" t="n">
        <v>16</v>
      </c>
      <c r="G219" s="55" t="n">
        <v>13</v>
      </c>
      <c r="H219" s="55" t="n">
        <v>60</v>
      </c>
      <c r="I219" s="56" t="n">
        <v>3.4</v>
      </c>
      <c r="J219" s="53" t="s">
        <v>156</v>
      </c>
      <c r="K219" s="53"/>
      <c r="L219" s="57" t="str">
        <f aca="false">IF(C219="","",IFERROR(INDEX(site_ID,MATCH(C219,site_Name,0)),"Not on SITES"))</f>
        <v>LW-103</v>
      </c>
      <c r="M219" s="58" t="n">
        <f aca="false">IF(E219="","",DATE(YEAR(E219),MONTH(E219),1))</f>
        <v>45962</v>
      </c>
      <c r="N219" s="57" t="str">
        <f aca="false">IF(E219="","","FY"&amp;(YEAR(E219)+IF(AND(FYStart&gt;1,MONTH(E219)&gt;=FYStart),1,0))&amp;" Q"&amp;(INT(MOD(MONTH(E219)-FYStart,12)/3)+1))</f>
        <v>FY2026 Q2</v>
      </c>
      <c r="O219" s="59" t="n">
        <f aca="false">IF(OR(E219="",N(F219)=0),"",G219/F219)</f>
        <v>0.8125</v>
      </c>
      <c r="P219" s="60" t="n">
        <f aca="false">IF(E219="","",ROUND(N(G219)*N(H219)/60,1))</f>
        <v>13</v>
      </c>
      <c r="Q219" s="57" t="str">
        <f aca="false">IF(E219="","",IF(COUNTIFS($C$2:C219,C219,$E$2:E219,E219,$B$2:B219,B219)&gt;1,"No","Yes"))</f>
        <v>Yes</v>
      </c>
      <c r="R219" s="61" t="str">
        <f aca="false">IF(E219="","",IF(Q219="No","Duplicate of an earlier response",IF(L219="Not on SITES","Site not on SITES",IF(N(G219)&gt;N(F219),"Present is more than enrolled",IF(OR(I219&lt;1,I219&gt;5),"Score outside 1 to 5","")))))</f>
        <v/>
      </c>
    </row>
    <row r="220" customFormat="false" ht="15" hidden="false" customHeight="false" outlineLevel="0" collapsed="false">
      <c r="A220" s="52" t="n">
        <v>45972.6341319445</v>
      </c>
      <c r="B220" s="53" t="s">
        <v>129</v>
      </c>
      <c r="C220" s="53" t="s">
        <v>130</v>
      </c>
      <c r="D220" s="53" t="s">
        <v>113</v>
      </c>
      <c r="E220" s="54" t="n">
        <v>45972</v>
      </c>
      <c r="F220" s="55" t="n">
        <v>17</v>
      </c>
      <c r="G220" s="55" t="n">
        <v>14</v>
      </c>
      <c r="H220" s="55" t="n">
        <v>60</v>
      </c>
      <c r="I220" s="56" t="n">
        <v>2.7</v>
      </c>
      <c r="J220" s="53" t="s">
        <v>143</v>
      </c>
      <c r="K220" s="53"/>
      <c r="L220" s="57" t="str">
        <f aca="false">IF(C220="","",IFERROR(INDEX(site_ID,MATCH(C220,site_Name,0)),"Not on SITES"))</f>
        <v>LW-107</v>
      </c>
      <c r="M220" s="58" t="n">
        <f aca="false">IF(E220="","",DATE(YEAR(E220),MONTH(E220),1))</f>
        <v>45962</v>
      </c>
      <c r="N220" s="57" t="str">
        <f aca="false">IF(E220="","","FY"&amp;(YEAR(E220)+IF(AND(FYStart&gt;1,MONTH(E220)&gt;=FYStart),1,0))&amp;" Q"&amp;(INT(MOD(MONTH(E220)-FYStart,12)/3)+1))</f>
        <v>FY2026 Q2</v>
      </c>
      <c r="O220" s="59" t="n">
        <f aca="false">IF(OR(E220="",N(F220)=0),"",G220/F220)</f>
        <v>0.823529411764706</v>
      </c>
      <c r="P220" s="60" t="n">
        <f aca="false">IF(E220="","",ROUND(N(G220)*N(H220)/60,1))</f>
        <v>14</v>
      </c>
      <c r="Q220" s="57" t="str">
        <f aca="false">IF(E220="","",IF(COUNTIFS($C$2:C220,C220,$E$2:E220,E220,$B$2:B220,B220)&gt;1,"No","Yes"))</f>
        <v>Yes</v>
      </c>
      <c r="R220" s="61" t="str">
        <f aca="false">IF(E220="","",IF(Q220="No","Duplicate of an earlier response",IF(L220="Not on SITES","Site not on SITES",IF(N(G220)&gt;N(F220),"Present is more than enrolled",IF(OR(I220&lt;1,I220&gt;5),"Score outside 1 to 5","")))))</f>
        <v/>
      </c>
    </row>
    <row r="221" customFormat="false" ht="15" hidden="false" customHeight="false" outlineLevel="0" collapsed="false">
      <c r="A221" s="52" t="n">
        <v>45972.7036574074</v>
      </c>
      <c r="B221" s="53" t="s">
        <v>121</v>
      </c>
      <c r="C221" s="53" t="s">
        <v>122</v>
      </c>
      <c r="D221" s="53" t="s">
        <v>116</v>
      </c>
      <c r="E221" s="54" t="n">
        <v>45972</v>
      </c>
      <c r="F221" s="55" t="n">
        <v>16</v>
      </c>
      <c r="G221" s="55" t="n">
        <v>11</v>
      </c>
      <c r="H221" s="55" t="n">
        <v>75</v>
      </c>
      <c r="I221" s="56" t="n">
        <v>3</v>
      </c>
      <c r="J221" s="53" t="s">
        <v>123</v>
      </c>
      <c r="K221" s="53"/>
      <c r="L221" s="57" t="str">
        <f aca="false">IF(C221="","",IFERROR(INDEX(site_ID,MATCH(C221,site_Name,0)),"Not on SITES"))</f>
        <v>LW-116</v>
      </c>
      <c r="M221" s="58" t="n">
        <f aca="false">IF(E221="","",DATE(YEAR(E221),MONTH(E221),1))</f>
        <v>45962</v>
      </c>
      <c r="N221" s="57" t="str">
        <f aca="false">IF(E221="","","FY"&amp;(YEAR(E221)+IF(AND(FYStart&gt;1,MONTH(E221)&gt;=FYStart),1,0))&amp;" Q"&amp;(INT(MOD(MONTH(E221)-FYStart,12)/3)+1))</f>
        <v>FY2026 Q2</v>
      </c>
      <c r="O221" s="59" t="n">
        <f aca="false">IF(OR(E221="",N(F221)=0),"",G221/F221)</f>
        <v>0.6875</v>
      </c>
      <c r="P221" s="60" t="n">
        <f aca="false">IF(E221="","",ROUND(N(G221)*N(H221)/60,1))</f>
        <v>13.8</v>
      </c>
      <c r="Q221" s="57" t="str">
        <f aca="false">IF(E221="","",IF(COUNTIFS($C$2:C221,C221,$E$2:E221,E221,$B$2:B221,B221)&gt;1,"No","Yes"))</f>
        <v>Yes</v>
      </c>
      <c r="R221" s="61" t="str">
        <f aca="false">IF(E221="","",IF(Q221="No","Duplicate of an earlier response",IF(L221="Not on SITES","Site not on SITES",IF(N(G221)&gt;N(F221),"Present is more than enrolled",IF(OR(I221&lt;1,I221&gt;5),"Score outside 1 to 5","")))))</f>
        <v/>
      </c>
    </row>
    <row r="222" customFormat="false" ht="15" hidden="false" customHeight="false" outlineLevel="0" collapsed="false">
      <c r="A222" s="52" t="n">
        <v>45972.7236111111</v>
      </c>
      <c r="B222" s="53" t="s">
        <v>121</v>
      </c>
      <c r="C222" s="53" t="s">
        <v>127</v>
      </c>
      <c r="D222" s="53" t="s">
        <v>107</v>
      </c>
      <c r="E222" s="54" t="n">
        <v>45972</v>
      </c>
      <c r="F222" s="55" t="n">
        <v>16</v>
      </c>
      <c r="G222" s="55" t="n">
        <v>15</v>
      </c>
      <c r="H222" s="55" t="n">
        <v>60</v>
      </c>
      <c r="I222" s="56" t="n">
        <v>3.4</v>
      </c>
      <c r="J222" s="53" t="s">
        <v>166</v>
      </c>
      <c r="K222" s="53"/>
      <c r="L222" s="57" t="str">
        <f aca="false">IF(C222="","",IFERROR(INDEX(site_ID,MATCH(C222,site_Name,0)),"Not on SITES"))</f>
        <v>LW-108</v>
      </c>
      <c r="M222" s="58" t="n">
        <f aca="false">IF(E222="","",DATE(YEAR(E222),MONTH(E222),1))</f>
        <v>45962</v>
      </c>
      <c r="N222" s="57" t="str">
        <f aca="false">IF(E222="","","FY"&amp;(YEAR(E222)+IF(AND(FYStart&gt;1,MONTH(E222)&gt;=FYStart),1,0))&amp;" Q"&amp;(INT(MOD(MONTH(E222)-FYStart,12)/3)+1))</f>
        <v>FY2026 Q2</v>
      </c>
      <c r="O222" s="59" t="n">
        <f aca="false">IF(OR(E222="",N(F222)=0),"",G222/F222)</f>
        <v>0.9375</v>
      </c>
      <c r="P222" s="60" t="n">
        <f aca="false">IF(E222="","",ROUND(N(G222)*N(H222)/60,1))</f>
        <v>15</v>
      </c>
      <c r="Q222" s="57" t="str">
        <f aca="false">IF(E222="","",IF(COUNTIFS($C$2:C222,C222,$E$2:E222,E222,$B$2:B222,B222)&gt;1,"No","Yes"))</f>
        <v>Yes</v>
      </c>
      <c r="R222" s="61" t="str">
        <f aca="false">IF(E222="","",IF(Q222="No","Duplicate of an earlier response",IF(L222="Not on SITES","Site not on SITES",IF(N(G222)&gt;N(F222),"Present is more than enrolled",IF(OR(I222&lt;1,I222&gt;5),"Score outside 1 to 5","")))))</f>
        <v/>
      </c>
    </row>
    <row r="223" customFormat="false" ht="15" hidden="false" customHeight="false" outlineLevel="0" collapsed="false">
      <c r="A223" s="52" t="n">
        <v>45972.7265625</v>
      </c>
      <c r="B223" s="53" t="s">
        <v>132</v>
      </c>
      <c r="C223" s="53" t="s">
        <v>133</v>
      </c>
      <c r="D223" s="53" t="s">
        <v>116</v>
      </c>
      <c r="E223" s="54" t="n">
        <v>45972</v>
      </c>
      <c r="F223" s="55" t="n">
        <v>18</v>
      </c>
      <c r="G223" s="55" t="n">
        <v>14</v>
      </c>
      <c r="H223" s="55" t="n">
        <v>75</v>
      </c>
      <c r="I223" s="56" t="n">
        <v>3.5</v>
      </c>
      <c r="J223" s="53" t="s">
        <v>123</v>
      </c>
      <c r="K223" s="53"/>
      <c r="L223" s="57" t="str">
        <f aca="false">IF(C223="","",IFERROR(INDEX(site_ID,MATCH(C223,site_Name,0)),"Not on SITES"))</f>
        <v>LW-109</v>
      </c>
      <c r="M223" s="58" t="n">
        <f aca="false">IF(E223="","",DATE(YEAR(E223),MONTH(E223),1))</f>
        <v>45962</v>
      </c>
      <c r="N223" s="57" t="str">
        <f aca="false">IF(E223="","","FY"&amp;(YEAR(E223)+IF(AND(FYStart&gt;1,MONTH(E223)&gt;=FYStart),1,0))&amp;" Q"&amp;(INT(MOD(MONTH(E223)-FYStart,12)/3)+1))</f>
        <v>FY2026 Q2</v>
      </c>
      <c r="O223" s="59" t="n">
        <f aca="false">IF(OR(E223="",N(F223)=0),"",G223/F223)</f>
        <v>0.777777777777778</v>
      </c>
      <c r="P223" s="60" t="n">
        <f aca="false">IF(E223="","",ROUND(N(G223)*N(H223)/60,1))</f>
        <v>17.5</v>
      </c>
      <c r="Q223" s="57" t="str">
        <f aca="false">IF(E223="","",IF(COUNTIFS($C$2:C223,C223,$E$2:E223,E223,$B$2:B223,B223)&gt;1,"No","Yes"))</f>
        <v>Yes</v>
      </c>
      <c r="R223" s="61" t="str">
        <f aca="false">IF(E223="","",IF(Q223="No","Duplicate of an earlier response",IF(L223="Not on SITES","Site not on SITES",IF(N(G223)&gt;N(F223),"Present is more than enrolled",IF(OR(I223&lt;1,I223&gt;5),"Score outside 1 to 5","")))))</f>
        <v/>
      </c>
    </row>
    <row r="224" customFormat="false" ht="15" hidden="false" customHeight="false" outlineLevel="0" collapsed="false">
      <c r="A224" s="52" t="n">
        <v>45973.6421296296</v>
      </c>
      <c r="B224" s="53" t="s">
        <v>140</v>
      </c>
      <c r="C224" s="53" t="s">
        <v>141</v>
      </c>
      <c r="D224" s="53" t="s">
        <v>116</v>
      </c>
      <c r="E224" s="54" t="n">
        <v>45973</v>
      </c>
      <c r="F224" s="55" t="n">
        <v>13</v>
      </c>
      <c r="G224" s="55" t="n">
        <v>11</v>
      </c>
      <c r="H224" s="55" t="n">
        <v>60</v>
      </c>
      <c r="I224" s="56" t="n">
        <v>3.3</v>
      </c>
      <c r="J224" s="53" t="s">
        <v>134</v>
      </c>
      <c r="K224" s="53"/>
      <c r="L224" s="57" t="str">
        <f aca="false">IF(C224="","",IFERROR(INDEX(site_ID,MATCH(C224,site_Name,0)),"Not on SITES"))</f>
        <v>LW-118</v>
      </c>
      <c r="M224" s="58" t="n">
        <f aca="false">IF(E224="","",DATE(YEAR(E224),MONTH(E224),1))</f>
        <v>45962</v>
      </c>
      <c r="N224" s="57" t="str">
        <f aca="false">IF(E224="","","FY"&amp;(YEAR(E224)+IF(AND(FYStart&gt;1,MONTH(E224)&gt;=FYStart),1,0))&amp;" Q"&amp;(INT(MOD(MONTH(E224)-FYStart,12)/3)+1))</f>
        <v>FY2026 Q2</v>
      </c>
      <c r="O224" s="59" t="n">
        <f aca="false">IF(OR(E224="",N(F224)=0),"",G224/F224)</f>
        <v>0.846153846153846</v>
      </c>
      <c r="P224" s="60" t="n">
        <f aca="false">IF(E224="","",ROUND(N(G224)*N(H224)/60,1))</f>
        <v>11</v>
      </c>
      <c r="Q224" s="57" t="str">
        <f aca="false">IF(E224="","",IF(COUNTIFS($C$2:C224,C224,$E$2:E224,E224,$B$2:B224,B224)&gt;1,"No","Yes"))</f>
        <v>Yes</v>
      </c>
      <c r="R224" s="61" t="str">
        <f aca="false">IF(E224="","",IF(Q224="No","Duplicate of an earlier response",IF(L224="Not on SITES","Site not on SITES",IF(N(G224)&gt;N(F224),"Present is more than enrolled",IF(OR(I224&lt;1,I224&gt;5),"Score outside 1 to 5","")))))</f>
        <v/>
      </c>
    </row>
    <row r="225" customFormat="false" ht="15" hidden="false" customHeight="false" outlineLevel="0" collapsed="false">
      <c r="A225" s="52" t="n">
        <v>45973.6468171296</v>
      </c>
      <c r="B225" s="53" t="s">
        <v>105</v>
      </c>
      <c r="C225" s="53" t="s">
        <v>118</v>
      </c>
      <c r="D225" s="53" t="s">
        <v>119</v>
      </c>
      <c r="E225" s="54" t="n">
        <v>45973</v>
      </c>
      <c r="F225" s="55" t="n">
        <v>22</v>
      </c>
      <c r="G225" s="55" t="n">
        <v>14</v>
      </c>
      <c r="H225" s="55" t="n">
        <v>75</v>
      </c>
      <c r="I225" s="56" t="n">
        <v>3.4</v>
      </c>
      <c r="J225" s="53" t="s">
        <v>159</v>
      </c>
      <c r="K225" s="53"/>
      <c r="L225" s="57" t="str">
        <f aca="false">IF(C225="","",IFERROR(INDEX(site_ID,MATCH(C225,site_Name,0)),"Not on SITES"))</f>
        <v>LW-111</v>
      </c>
      <c r="M225" s="58" t="n">
        <f aca="false">IF(E225="","",DATE(YEAR(E225),MONTH(E225),1))</f>
        <v>45962</v>
      </c>
      <c r="N225" s="57" t="str">
        <f aca="false">IF(E225="","","FY"&amp;(YEAR(E225)+IF(AND(FYStart&gt;1,MONTH(E225)&gt;=FYStart),1,0))&amp;" Q"&amp;(INT(MOD(MONTH(E225)-FYStart,12)/3)+1))</f>
        <v>FY2026 Q2</v>
      </c>
      <c r="O225" s="59" t="n">
        <f aca="false">IF(OR(E225="",N(F225)=0),"",G225/F225)</f>
        <v>0.636363636363636</v>
      </c>
      <c r="P225" s="60" t="n">
        <f aca="false">IF(E225="","",ROUND(N(G225)*N(H225)/60,1))</f>
        <v>17.5</v>
      </c>
      <c r="Q225" s="57" t="str">
        <f aca="false">IF(E225="","",IF(COUNTIFS($C$2:C225,C225,$E$2:E225,E225,$B$2:B225,B225)&gt;1,"No","Yes"))</f>
        <v>Yes</v>
      </c>
      <c r="R225" s="61" t="str">
        <f aca="false">IF(E225="","",IF(Q225="No","Duplicate of an earlier response",IF(L225="Not on SITES","Site not on SITES",IF(N(G225)&gt;N(F225),"Present is more than enrolled",IF(OR(I225&lt;1,I225&gt;5),"Score outside 1 to 5","")))))</f>
        <v/>
      </c>
    </row>
    <row r="226" customFormat="false" ht="15" hidden="false" customHeight="false" outlineLevel="0" collapsed="false">
      <c r="A226" s="52" t="n">
        <v>45973.7172800926</v>
      </c>
      <c r="B226" s="53" t="s">
        <v>129</v>
      </c>
      <c r="C226" s="53" t="s">
        <v>137</v>
      </c>
      <c r="D226" s="53" t="s">
        <v>138</v>
      </c>
      <c r="E226" s="54" t="n">
        <v>45973</v>
      </c>
      <c r="F226" s="55" t="n">
        <v>20</v>
      </c>
      <c r="G226" s="55" t="n">
        <v>19</v>
      </c>
      <c r="H226" s="55" t="n">
        <v>90</v>
      </c>
      <c r="I226" s="56" t="n">
        <v>3.8</v>
      </c>
      <c r="J226" s="53" t="s">
        <v>163</v>
      </c>
      <c r="K226" s="53"/>
      <c r="L226" s="57" t="str">
        <f aca="false">IF(C226="","",IFERROR(INDEX(site_ID,MATCH(C226,site_Name,0)),"Not on SITES"))</f>
        <v>LW-115</v>
      </c>
      <c r="M226" s="58" t="n">
        <f aca="false">IF(E226="","",DATE(YEAR(E226),MONTH(E226),1))</f>
        <v>45962</v>
      </c>
      <c r="N226" s="57" t="str">
        <f aca="false">IF(E226="","","FY"&amp;(YEAR(E226)+IF(AND(FYStart&gt;1,MONTH(E226)&gt;=FYStart),1,0))&amp;" Q"&amp;(INT(MOD(MONTH(E226)-FYStart,12)/3)+1))</f>
        <v>FY2026 Q2</v>
      </c>
      <c r="O226" s="59" t="n">
        <f aca="false">IF(OR(E226="",N(F226)=0),"",G226/F226)</f>
        <v>0.95</v>
      </c>
      <c r="P226" s="60" t="n">
        <f aca="false">IF(E226="","",ROUND(N(G226)*N(H226)/60,1))</f>
        <v>28.5</v>
      </c>
      <c r="Q226" s="57" t="str">
        <f aca="false">IF(E226="","",IF(COUNTIFS($C$2:C226,C226,$E$2:E226,E226,$B$2:B226,B226)&gt;1,"No","Yes"))</f>
        <v>Yes</v>
      </c>
      <c r="R226" s="61" t="str">
        <f aca="false">IF(E226="","",IF(Q226="No","Duplicate of an earlier response",IF(L226="Not on SITES","Site not on SITES",IF(N(G226)&gt;N(F226),"Present is more than enrolled",IF(OR(I226&lt;1,I226&gt;5),"Score outside 1 to 5","")))))</f>
        <v/>
      </c>
    </row>
    <row r="227" customFormat="false" ht="15" hidden="false" customHeight="false" outlineLevel="0" collapsed="false">
      <c r="A227" s="52" t="n">
        <v>45973.756400463</v>
      </c>
      <c r="B227" s="53" t="s">
        <v>111</v>
      </c>
      <c r="C227" s="53" t="s">
        <v>112</v>
      </c>
      <c r="D227" s="53" t="s">
        <v>113</v>
      </c>
      <c r="E227" s="54" t="n">
        <v>45973</v>
      </c>
      <c r="F227" s="55" t="n">
        <v>16</v>
      </c>
      <c r="G227" s="55" t="n">
        <v>16</v>
      </c>
      <c r="H227" s="55" t="n">
        <v>60</v>
      </c>
      <c r="I227" s="56" t="n">
        <v>3.2</v>
      </c>
      <c r="J227" s="53" t="s">
        <v>114</v>
      </c>
      <c r="K227" s="53"/>
      <c r="L227" s="57" t="str">
        <f aca="false">IF(C227="","",IFERROR(INDEX(site_ID,MATCH(C227,site_Name,0)),"Not on SITES"))</f>
        <v>LW-120</v>
      </c>
      <c r="M227" s="58" t="n">
        <f aca="false">IF(E227="","",DATE(YEAR(E227),MONTH(E227),1))</f>
        <v>45962</v>
      </c>
      <c r="N227" s="57" t="str">
        <f aca="false">IF(E227="","","FY"&amp;(YEAR(E227)+IF(AND(FYStart&gt;1,MONTH(E227)&gt;=FYStart),1,0))&amp;" Q"&amp;(INT(MOD(MONTH(E227)-FYStart,12)/3)+1))</f>
        <v>FY2026 Q2</v>
      </c>
      <c r="O227" s="59" t="n">
        <f aca="false">IF(OR(E227="",N(F227)=0),"",G227/F227)</f>
        <v>1</v>
      </c>
      <c r="P227" s="60" t="n">
        <f aca="false">IF(E227="","",ROUND(N(G227)*N(H227)/60,1))</f>
        <v>16</v>
      </c>
      <c r="Q227" s="57" t="str">
        <f aca="false">IF(E227="","",IF(COUNTIFS($C$2:C227,C227,$E$2:E227,E227,$B$2:B227,B227)&gt;1,"No","Yes"))</f>
        <v>Yes</v>
      </c>
      <c r="R227" s="61" t="str">
        <f aca="false">IF(E227="","",IF(Q227="No","Duplicate of an earlier response",IF(L227="Not on SITES","Site not on SITES",IF(N(G227)&gt;N(F227),"Present is more than enrolled",IF(OR(I227&lt;1,I227&gt;5),"Score outside 1 to 5","")))))</f>
        <v/>
      </c>
    </row>
    <row r="228" customFormat="false" ht="15" hidden="false" customHeight="false" outlineLevel="0" collapsed="false">
      <c r="A228" s="52" t="n">
        <v>45973.8556712963</v>
      </c>
      <c r="B228" s="53" t="s">
        <v>140</v>
      </c>
      <c r="C228" s="53" t="s">
        <v>142</v>
      </c>
      <c r="D228" s="53" t="s">
        <v>113</v>
      </c>
      <c r="E228" s="54" t="n">
        <v>45973</v>
      </c>
      <c r="F228" s="55" t="n">
        <v>18</v>
      </c>
      <c r="G228" s="55" t="n">
        <v>16</v>
      </c>
      <c r="H228" s="55" t="n">
        <v>75</v>
      </c>
      <c r="I228" s="56" t="n">
        <v>3.4</v>
      </c>
      <c r="J228" s="53" t="s">
        <v>143</v>
      </c>
      <c r="K228" s="53"/>
      <c r="L228" s="57" t="str">
        <f aca="false">IF(C228="","",IFERROR(INDEX(site_ID,MATCH(C228,site_Name,0)),"Not on SITES"))</f>
        <v>LW-102</v>
      </c>
      <c r="M228" s="58" t="n">
        <f aca="false">IF(E228="","",DATE(YEAR(E228),MONTH(E228),1))</f>
        <v>45962</v>
      </c>
      <c r="N228" s="57" t="str">
        <f aca="false">IF(E228="","","FY"&amp;(YEAR(E228)+IF(AND(FYStart&gt;1,MONTH(E228)&gt;=FYStart),1,0))&amp;" Q"&amp;(INT(MOD(MONTH(E228)-FYStart,12)/3)+1))</f>
        <v>FY2026 Q2</v>
      </c>
      <c r="O228" s="59" t="n">
        <f aca="false">IF(OR(E228="",N(F228)=0),"",G228/F228)</f>
        <v>0.888888888888889</v>
      </c>
      <c r="P228" s="60" t="n">
        <f aca="false">IF(E228="","",ROUND(N(G228)*N(H228)/60,1))</f>
        <v>20</v>
      </c>
      <c r="Q228" s="57" t="str">
        <f aca="false">IF(E228="","",IF(COUNTIFS($C$2:C228,C228,$E$2:E228,E228,$B$2:B228,B228)&gt;1,"No","Yes"))</f>
        <v>Yes</v>
      </c>
      <c r="R228" s="61" t="str">
        <f aca="false">IF(E228="","",IF(Q228="No","Duplicate of an earlier response",IF(L228="Not on SITES","Site not on SITES",IF(N(G228)&gt;N(F228),"Present is more than enrolled",IF(OR(I228&lt;1,I228&gt;5),"Score outside 1 to 5","")))))</f>
        <v/>
      </c>
    </row>
    <row r="229" customFormat="false" ht="15" hidden="false" customHeight="false" outlineLevel="0" collapsed="false">
      <c r="A229" s="52" t="n">
        <v>45973.8575347222</v>
      </c>
      <c r="B229" s="53" t="s">
        <v>132</v>
      </c>
      <c r="C229" s="53" t="s">
        <v>145</v>
      </c>
      <c r="D229" s="53" t="s">
        <v>119</v>
      </c>
      <c r="E229" s="54" t="n">
        <v>45973</v>
      </c>
      <c r="F229" s="55" t="n">
        <v>19</v>
      </c>
      <c r="G229" s="55" t="n">
        <v>15</v>
      </c>
      <c r="H229" s="55" t="n">
        <v>90</v>
      </c>
      <c r="I229" s="56" t="n">
        <v>3.4</v>
      </c>
      <c r="J229" s="53" t="s">
        <v>162</v>
      </c>
      <c r="K229" s="53"/>
      <c r="L229" s="57" t="str">
        <f aca="false">IF(C229="","",IFERROR(INDEX(site_ID,MATCH(C229,site_Name,0)),"Not on SITES"))</f>
        <v>LW-101</v>
      </c>
      <c r="M229" s="58" t="n">
        <f aca="false">IF(E229="","",DATE(YEAR(E229),MONTH(E229),1))</f>
        <v>45962</v>
      </c>
      <c r="N229" s="57" t="str">
        <f aca="false">IF(E229="","","FY"&amp;(YEAR(E229)+IF(AND(FYStart&gt;1,MONTH(E229)&gt;=FYStart),1,0))&amp;" Q"&amp;(INT(MOD(MONTH(E229)-FYStart,12)/3)+1))</f>
        <v>FY2026 Q2</v>
      </c>
      <c r="O229" s="59" t="n">
        <f aca="false">IF(OR(E229="",N(F229)=0),"",G229/F229)</f>
        <v>0.789473684210526</v>
      </c>
      <c r="P229" s="60" t="n">
        <f aca="false">IF(E229="","",ROUND(N(G229)*N(H229)/60,1))</f>
        <v>22.5</v>
      </c>
      <c r="Q229" s="57" t="str">
        <f aca="false">IF(E229="","",IF(COUNTIFS($C$2:C229,C229,$E$2:E229,E229,$B$2:B229,B229)&gt;1,"No","Yes"))</f>
        <v>Yes</v>
      </c>
      <c r="R229" s="61" t="str">
        <f aca="false">IF(E229="","",IF(Q229="No","Duplicate of an earlier response",IF(L229="Not on SITES","Site not on SITES",IF(N(G229)&gt;N(F229),"Present is more than enrolled",IF(OR(I229&lt;1,I229&gt;5),"Score outside 1 to 5","")))))</f>
        <v/>
      </c>
    </row>
    <row r="230" customFormat="false" ht="15" hidden="false" customHeight="false" outlineLevel="0" collapsed="false">
      <c r="A230" s="52" t="n">
        <v>45974.6306018519</v>
      </c>
      <c r="B230" s="53" t="s">
        <v>140</v>
      </c>
      <c r="C230" s="53" t="s">
        <v>151</v>
      </c>
      <c r="D230" s="53" t="s">
        <v>138</v>
      </c>
      <c r="E230" s="54" t="n">
        <v>45974</v>
      </c>
      <c r="F230" s="55" t="n">
        <v>14</v>
      </c>
      <c r="G230" s="55" t="n">
        <v>11</v>
      </c>
      <c r="H230" s="55" t="n">
        <v>90</v>
      </c>
      <c r="I230" s="56" t="n">
        <v>3.2</v>
      </c>
      <c r="J230" s="53" t="s">
        <v>139</v>
      </c>
      <c r="K230" s="53"/>
      <c r="L230" s="57" t="str">
        <f aca="false">IF(C230="","",IFERROR(INDEX(site_ID,MATCH(C230,site_Name,0)),"Not on SITES"))</f>
        <v>LW-110</v>
      </c>
      <c r="M230" s="58" t="n">
        <f aca="false">IF(E230="","",DATE(YEAR(E230),MONTH(E230),1))</f>
        <v>45962</v>
      </c>
      <c r="N230" s="57" t="str">
        <f aca="false">IF(E230="","","FY"&amp;(YEAR(E230)+IF(AND(FYStart&gt;1,MONTH(E230)&gt;=FYStart),1,0))&amp;" Q"&amp;(INT(MOD(MONTH(E230)-FYStart,12)/3)+1))</f>
        <v>FY2026 Q2</v>
      </c>
      <c r="O230" s="59" t="n">
        <f aca="false">IF(OR(E230="",N(F230)=0),"",G230/F230)</f>
        <v>0.785714285714286</v>
      </c>
      <c r="P230" s="60" t="n">
        <f aca="false">IF(E230="","",ROUND(N(G230)*N(H230)/60,1))</f>
        <v>16.5</v>
      </c>
      <c r="Q230" s="57" t="str">
        <f aca="false">IF(E230="","",IF(COUNTIFS($C$2:C230,C230,$E$2:E230,E230,$B$2:B230,B230)&gt;1,"No","Yes"))</f>
        <v>Yes</v>
      </c>
      <c r="R230" s="61" t="str">
        <f aca="false">IF(E230="","",IF(Q230="No","Duplicate of an earlier response",IF(L230="Not on SITES","Site not on SITES",IF(N(G230)&gt;N(F230),"Present is more than enrolled",IF(OR(I230&lt;1,I230&gt;5),"Score outside 1 to 5","")))))</f>
        <v/>
      </c>
    </row>
    <row r="231" customFormat="false" ht="15" hidden="false" customHeight="false" outlineLevel="0" collapsed="false">
      <c r="A231" s="52" t="n">
        <v>45974.6566319445</v>
      </c>
      <c r="B231" s="53" t="s">
        <v>109</v>
      </c>
      <c r="C231" s="53" t="s">
        <v>146</v>
      </c>
      <c r="D231" s="53" t="s">
        <v>138</v>
      </c>
      <c r="E231" s="54" t="n">
        <v>45974</v>
      </c>
      <c r="F231" s="55" t="n">
        <v>15</v>
      </c>
      <c r="G231" s="55" t="n">
        <v>13</v>
      </c>
      <c r="H231" s="55" t="n">
        <v>90</v>
      </c>
      <c r="I231" s="56" t="n">
        <v>3.2</v>
      </c>
      <c r="J231" s="53" t="s">
        <v>147</v>
      </c>
      <c r="K231" s="53"/>
      <c r="L231" s="57" t="str">
        <f aca="false">IF(C231="","",IFERROR(INDEX(site_ID,MATCH(C231,site_Name,0)),"Not on SITES"))</f>
        <v>LW-105</v>
      </c>
      <c r="M231" s="58" t="n">
        <f aca="false">IF(E231="","",DATE(YEAR(E231),MONTH(E231),1))</f>
        <v>45962</v>
      </c>
      <c r="N231" s="57" t="str">
        <f aca="false">IF(E231="","","FY"&amp;(YEAR(E231)+IF(AND(FYStart&gt;1,MONTH(E231)&gt;=FYStart),1,0))&amp;" Q"&amp;(INT(MOD(MONTH(E231)-FYStart,12)/3)+1))</f>
        <v>FY2026 Q2</v>
      </c>
      <c r="O231" s="59" t="n">
        <f aca="false">IF(OR(E231="",N(F231)=0),"",G231/F231)</f>
        <v>0.866666666666667</v>
      </c>
      <c r="P231" s="60" t="n">
        <f aca="false">IF(E231="","",ROUND(N(G231)*N(H231)/60,1))</f>
        <v>19.5</v>
      </c>
      <c r="Q231" s="57" t="str">
        <f aca="false">IF(E231="","",IF(COUNTIFS($C$2:C231,C231,$E$2:E231,E231,$B$2:B231,B231)&gt;1,"No","Yes"))</f>
        <v>Yes</v>
      </c>
      <c r="R231" s="61" t="str">
        <f aca="false">IF(E231="","",IF(Q231="No","Duplicate of an earlier response",IF(L231="Not on SITES","Site not on SITES",IF(N(G231)&gt;N(F231),"Present is more than enrolled",IF(OR(I231&lt;1,I231&gt;5),"Score outside 1 to 5","")))))</f>
        <v/>
      </c>
    </row>
    <row r="232" customFormat="false" ht="15" hidden="false" customHeight="false" outlineLevel="0" collapsed="false">
      <c r="A232" s="52" t="n">
        <v>45974.6658217593</v>
      </c>
      <c r="B232" s="53" t="s">
        <v>121</v>
      </c>
      <c r="C232" s="53" t="s">
        <v>122</v>
      </c>
      <c r="D232" s="53" t="s">
        <v>116</v>
      </c>
      <c r="E232" s="54" t="n">
        <v>45974</v>
      </c>
      <c r="F232" s="55" t="n">
        <v>16</v>
      </c>
      <c r="G232" s="55" t="n">
        <v>11</v>
      </c>
      <c r="H232" s="55" t="n">
        <v>60</v>
      </c>
      <c r="I232" s="56" t="n">
        <v>3.2</v>
      </c>
      <c r="J232" s="53" t="s">
        <v>153</v>
      </c>
      <c r="K232" s="53"/>
      <c r="L232" s="57" t="str">
        <f aca="false">IF(C232="","",IFERROR(INDEX(site_ID,MATCH(C232,site_Name,0)),"Not on SITES"))</f>
        <v>LW-116</v>
      </c>
      <c r="M232" s="58" t="n">
        <f aca="false">IF(E232="","",DATE(YEAR(E232),MONTH(E232),1))</f>
        <v>45962</v>
      </c>
      <c r="N232" s="57" t="str">
        <f aca="false">IF(E232="","","FY"&amp;(YEAR(E232)+IF(AND(FYStart&gt;1,MONTH(E232)&gt;=FYStart),1,0))&amp;" Q"&amp;(INT(MOD(MONTH(E232)-FYStart,12)/3)+1))</f>
        <v>FY2026 Q2</v>
      </c>
      <c r="O232" s="59" t="n">
        <f aca="false">IF(OR(E232="",N(F232)=0),"",G232/F232)</f>
        <v>0.6875</v>
      </c>
      <c r="P232" s="60" t="n">
        <f aca="false">IF(E232="","",ROUND(N(G232)*N(H232)/60,1))</f>
        <v>11</v>
      </c>
      <c r="Q232" s="57" t="str">
        <f aca="false">IF(E232="","",IF(COUNTIFS($C$2:C232,C232,$E$2:E232,E232,$B$2:B232,B232)&gt;1,"No","Yes"))</f>
        <v>Yes</v>
      </c>
      <c r="R232" s="61" t="str">
        <f aca="false">IF(E232="","",IF(Q232="No","Duplicate of an earlier response",IF(L232="Not on SITES","Site not on SITES",IF(N(G232)&gt;N(F232),"Present is more than enrolled",IF(OR(I232&lt;1,I232&gt;5),"Score outside 1 to 5","")))))</f>
        <v/>
      </c>
    </row>
    <row r="233" customFormat="false" ht="15" hidden="false" customHeight="false" outlineLevel="0" collapsed="false">
      <c r="A233" s="52" t="n">
        <v>45974.7483333333</v>
      </c>
      <c r="B233" s="53" t="s">
        <v>111</v>
      </c>
      <c r="C233" s="53" t="s">
        <v>149</v>
      </c>
      <c r="D233" s="53" t="s">
        <v>113</v>
      </c>
      <c r="E233" s="54" t="n">
        <v>45974</v>
      </c>
      <c r="F233" s="55" t="n">
        <v>21</v>
      </c>
      <c r="G233" s="55" t="n">
        <v>18</v>
      </c>
      <c r="H233" s="55" t="n">
        <v>60</v>
      </c>
      <c r="I233" s="56" t="n">
        <v>3.6</v>
      </c>
      <c r="J233" s="53" t="s">
        <v>136</v>
      </c>
      <c r="K233" s="53"/>
      <c r="L233" s="57" t="str">
        <f aca="false">IF(C233="","",IFERROR(INDEX(site_ID,MATCH(C233,site_Name,0)),"Not on SITES"))</f>
        <v>LW-112</v>
      </c>
      <c r="M233" s="58" t="n">
        <f aca="false">IF(E233="","",DATE(YEAR(E233),MONTH(E233),1))</f>
        <v>45962</v>
      </c>
      <c r="N233" s="57" t="str">
        <f aca="false">IF(E233="","","FY"&amp;(YEAR(E233)+IF(AND(FYStart&gt;1,MONTH(E233)&gt;=FYStart),1,0))&amp;" Q"&amp;(INT(MOD(MONTH(E233)-FYStart,12)/3)+1))</f>
        <v>FY2026 Q2</v>
      </c>
      <c r="O233" s="59" t="n">
        <f aca="false">IF(OR(E233="",N(F233)=0),"",G233/F233)</f>
        <v>0.857142857142857</v>
      </c>
      <c r="P233" s="60" t="n">
        <f aca="false">IF(E233="","",ROUND(N(G233)*N(H233)/60,1))</f>
        <v>18</v>
      </c>
      <c r="Q233" s="57" t="str">
        <f aca="false">IF(E233="","",IF(COUNTIFS($C$2:C233,C233,$E$2:E233,E233,$B$2:B233,B233)&gt;1,"No","Yes"))</f>
        <v>Yes</v>
      </c>
      <c r="R233" s="61" t="str">
        <f aca="false">IF(E233="","",IF(Q233="No","Duplicate of an earlier response",IF(L233="Not on SITES","Site not on SITES",IF(N(G233)&gt;N(F233),"Present is more than enrolled",IF(OR(I233&lt;1,I233&gt;5),"Score outside 1 to 5","")))))</f>
        <v/>
      </c>
    </row>
    <row r="234" customFormat="false" ht="15" hidden="false" customHeight="false" outlineLevel="0" collapsed="false">
      <c r="A234" s="52" t="n">
        <v>45974.7905324074</v>
      </c>
      <c r="B234" s="53" t="s">
        <v>140</v>
      </c>
      <c r="C234" s="53" t="s">
        <v>150</v>
      </c>
      <c r="D234" s="53" t="s">
        <v>138</v>
      </c>
      <c r="E234" s="54" t="n">
        <v>45974</v>
      </c>
      <c r="F234" s="55" t="n">
        <v>21</v>
      </c>
      <c r="G234" s="55" t="n">
        <v>17</v>
      </c>
      <c r="H234" s="55" t="n">
        <v>90</v>
      </c>
      <c r="I234" s="56" t="n">
        <v>3.7</v>
      </c>
      <c r="J234" s="53" t="s">
        <v>139</v>
      </c>
      <c r="K234" s="53"/>
      <c r="L234" s="57" t="str">
        <f aca="false">IF(C234="","",IFERROR(INDEX(site_ID,MATCH(C234,site_Name,0)),"Not on SITES"))</f>
        <v>LW-117</v>
      </c>
      <c r="M234" s="58" t="n">
        <f aca="false">IF(E234="","",DATE(YEAR(E234),MONTH(E234),1))</f>
        <v>45962</v>
      </c>
      <c r="N234" s="57" t="str">
        <f aca="false">IF(E234="","","FY"&amp;(YEAR(E234)+IF(AND(FYStart&gt;1,MONTH(E234)&gt;=FYStart),1,0))&amp;" Q"&amp;(INT(MOD(MONTH(E234)-FYStart,12)/3)+1))</f>
        <v>FY2026 Q2</v>
      </c>
      <c r="O234" s="59" t="n">
        <f aca="false">IF(OR(E234="",N(F234)=0),"",G234/F234)</f>
        <v>0.80952380952381</v>
      </c>
      <c r="P234" s="60" t="n">
        <f aca="false">IF(E234="","",ROUND(N(G234)*N(H234)/60,1))</f>
        <v>25.5</v>
      </c>
      <c r="Q234" s="57" t="str">
        <f aca="false">IF(E234="","",IF(COUNTIFS($C$2:C234,C234,$E$2:E234,E234,$B$2:B234,B234)&gt;1,"No","Yes"))</f>
        <v>Yes</v>
      </c>
      <c r="R234" s="61" t="str">
        <f aca="false">IF(E234="","",IF(Q234="No","Duplicate of an earlier response",IF(L234="Not on SITES","Site not on SITES",IF(N(G234)&gt;N(F234),"Present is more than enrolled",IF(OR(I234&lt;1,I234&gt;5),"Score outside 1 to 5","")))))</f>
        <v/>
      </c>
    </row>
    <row r="235" customFormat="false" ht="15" hidden="false" customHeight="false" outlineLevel="0" collapsed="false">
      <c r="A235" s="52" t="n">
        <v>45974.8004282407</v>
      </c>
      <c r="B235" s="53" t="s">
        <v>111</v>
      </c>
      <c r="C235" s="53" t="s">
        <v>148</v>
      </c>
      <c r="D235" s="53" t="s">
        <v>116</v>
      </c>
      <c r="E235" s="54" t="n">
        <v>45974</v>
      </c>
      <c r="F235" s="55" t="n">
        <v>16</v>
      </c>
      <c r="G235" s="55" t="n">
        <v>11</v>
      </c>
      <c r="H235" s="55" t="n">
        <v>75</v>
      </c>
      <c r="I235" s="56" t="n">
        <v>3.1</v>
      </c>
      <c r="J235" s="53" t="s">
        <v>134</v>
      </c>
      <c r="K235" s="53"/>
      <c r="L235" s="57" t="str">
        <f aca="false">IF(C235="","",IFERROR(INDEX(site_ID,MATCH(C235,site_Name,0)),"Not on SITES"))</f>
        <v>LW-104</v>
      </c>
      <c r="M235" s="58" t="n">
        <f aca="false">IF(E235="","",DATE(YEAR(E235),MONTH(E235),1))</f>
        <v>45962</v>
      </c>
      <c r="N235" s="57" t="str">
        <f aca="false">IF(E235="","","FY"&amp;(YEAR(E235)+IF(AND(FYStart&gt;1,MONTH(E235)&gt;=FYStart),1,0))&amp;" Q"&amp;(INT(MOD(MONTH(E235)-FYStart,12)/3)+1))</f>
        <v>FY2026 Q2</v>
      </c>
      <c r="O235" s="59" t="n">
        <f aca="false">IF(OR(E235="",N(F235)=0),"",G235/F235)</f>
        <v>0.6875</v>
      </c>
      <c r="P235" s="60" t="n">
        <f aca="false">IF(E235="","",ROUND(N(G235)*N(H235)/60,1))</f>
        <v>13.8</v>
      </c>
      <c r="Q235" s="57" t="str">
        <f aca="false">IF(E235="","",IF(COUNTIFS($C$2:C235,C235,$E$2:E235,E235,$B$2:B235,B235)&gt;1,"No","Yes"))</f>
        <v>Yes</v>
      </c>
      <c r="R235" s="61" t="str">
        <f aca="false">IF(E235="","",IF(Q235="No","Duplicate of an earlier response",IF(L235="Not on SITES","Site not on SITES",IF(N(G235)&gt;N(F235),"Present is more than enrolled",IF(OR(I235&lt;1,I235&gt;5),"Score outside 1 to 5","")))))</f>
        <v/>
      </c>
    </row>
    <row r="236" customFormat="false" ht="15" hidden="false" customHeight="false" outlineLevel="0" collapsed="false">
      <c r="A236" s="52" t="n">
        <v>45974.8410763889</v>
      </c>
      <c r="B236" s="53" t="s">
        <v>124</v>
      </c>
      <c r="C236" s="53" t="s">
        <v>154</v>
      </c>
      <c r="D236" s="53" t="s">
        <v>116</v>
      </c>
      <c r="E236" s="54" t="n">
        <v>45974</v>
      </c>
      <c r="F236" s="55" t="n">
        <v>18</v>
      </c>
      <c r="G236" s="55" t="n">
        <v>16</v>
      </c>
      <c r="H236" s="55" t="n">
        <v>90</v>
      </c>
      <c r="I236" s="56" t="n">
        <v>3.7</v>
      </c>
      <c r="J236" s="53" t="s">
        <v>160</v>
      </c>
      <c r="K236" s="53"/>
      <c r="L236" s="57" t="str">
        <f aca="false">IF(C236="","",IFERROR(INDEX(site_ID,MATCH(C236,site_Name,0)),"Not on SITES"))</f>
        <v>LW-114</v>
      </c>
      <c r="M236" s="58" t="n">
        <f aca="false">IF(E236="","",DATE(YEAR(E236),MONTH(E236),1))</f>
        <v>45962</v>
      </c>
      <c r="N236" s="57" t="str">
        <f aca="false">IF(E236="","","FY"&amp;(YEAR(E236)+IF(AND(FYStart&gt;1,MONTH(E236)&gt;=FYStart),1,0))&amp;" Q"&amp;(INT(MOD(MONTH(E236)-FYStart,12)/3)+1))</f>
        <v>FY2026 Q2</v>
      </c>
      <c r="O236" s="59" t="n">
        <f aca="false">IF(OR(E236="",N(F236)=0),"",G236/F236)</f>
        <v>0.888888888888889</v>
      </c>
      <c r="P236" s="60" t="n">
        <f aca="false">IF(E236="","",ROUND(N(G236)*N(H236)/60,1))</f>
        <v>24</v>
      </c>
      <c r="Q236" s="57" t="str">
        <f aca="false">IF(E236="","",IF(COUNTIFS($C$2:C236,C236,$E$2:E236,E236,$B$2:B236,B236)&gt;1,"No","Yes"))</f>
        <v>Yes</v>
      </c>
      <c r="R236" s="61" t="str">
        <f aca="false">IF(E236="","",IF(Q236="No","Duplicate of an earlier response",IF(L236="Not on SITES","Site not on SITES",IF(N(G236)&gt;N(F236),"Present is more than enrolled",IF(OR(I236&lt;1,I236&gt;5),"Score outside 1 to 5","")))))</f>
        <v/>
      </c>
    </row>
    <row r="237" customFormat="false" ht="15" hidden="false" customHeight="false" outlineLevel="0" collapsed="false">
      <c r="A237" s="52" t="n">
        <v>45974.8546064815</v>
      </c>
      <c r="B237" s="53" t="s">
        <v>124</v>
      </c>
      <c r="C237" s="53" t="s">
        <v>125</v>
      </c>
      <c r="D237" s="53" t="s">
        <v>119</v>
      </c>
      <c r="E237" s="54" t="n">
        <v>45972</v>
      </c>
      <c r="F237" s="55" t="n">
        <v>18</v>
      </c>
      <c r="G237" s="55" t="n">
        <v>15</v>
      </c>
      <c r="H237" s="55" t="n">
        <v>60</v>
      </c>
      <c r="I237" s="56" t="n">
        <v>3.3</v>
      </c>
      <c r="J237" s="53" t="s">
        <v>159</v>
      </c>
      <c r="K237" s="53"/>
      <c r="L237" s="57" t="str">
        <f aca="false">IF(C237="","",IFERROR(INDEX(site_ID,MATCH(C237,site_Name,0)),"Not on SITES"))</f>
        <v>LW-106</v>
      </c>
      <c r="M237" s="58" t="n">
        <f aca="false">IF(E237="","",DATE(YEAR(E237),MONTH(E237),1))</f>
        <v>45962</v>
      </c>
      <c r="N237" s="57" t="str">
        <f aca="false">IF(E237="","","FY"&amp;(YEAR(E237)+IF(AND(FYStart&gt;1,MONTH(E237)&gt;=FYStart),1,0))&amp;" Q"&amp;(INT(MOD(MONTH(E237)-FYStart,12)/3)+1))</f>
        <v>FY2026 Q2</v>
      </c>
      <c r="O237" s="59" t="n">
        <f aca="false">IF(OR(E237="",N(F237)=0),"",G237/F237)</f>
        <v>0.833333333333333</v>
      </c>
      <c r="P237" s="60" t="n">
        <f aca="false">IF(E237="","",ROUND(N(G237)*N(H237)/60,1))</f>
        <v>15</v>
      </c>
      <c r="Q237" s="57" t="str">
        <f aca="false">IF(E237="","",IF(COUNTIFS($C$2:C237,C237,$E$2:E237,E237,$B$2:B237,B237)&gt;1,"No","Yes"))</f>
        <v>Yes</v>
      </c>
      <c r="R237" s="61" t="str">
        <f aca="false">IF(E237="","",IF(Q237="No","Duplicate of an earlier response",IF(L237="Not on SITES","Site not on SITES",IF(N(G237)&gt;N(F237),"Present is more than enrolled",IF(OR(I237&lt;1,I237&gt;5),"Score outside 1 to 5","")))))</f>
        <v/>
      </c>
    </row>
    <row r="238" customFormat="false" ht="15" hidden="false" customHeight="false" outlineLevel="0" collapsed="false">
      <c r="A238" s="52" t="n">
        <v>45978.6304166667</v>
      </c>
      <c r="B238" s="53" t="s">
        <v>105</v>
      </c>
      <c r="C238" s="53" t="s">
        <v>115</v>
      </c>
      <c r="D238" s="53" t="s">
        <v>116</v>
      </c>
      <c r="E238" s="54" t="n">
        <v>45978</v>
      </c>
      <c r="F238" s="55" t="n">
        <v>16</v>
      </c>
      <c r="G238" s="55" t="n">
        <v>15</v>
      </c>
      <c r="H238" s="55" t="n">
        <v>90</v>
      </c>
      <c r="I238" s="56" t="n">
        <v>3.2</v>
      </c>
      <c r="J238" s="53" t="s">
        <v>117</v>
      </c>
      <c r="K238" s="53"/>
      <c r="L238" s="57" t="str">
        <f aca="false">IF(C238="","",IFERROR(INDEX(site_ID,MATCH(C238,site_Name,0)),"Not on SITES"))</f>
        <v>LW-119</v>
      </c>
      <c r="M238" s="58" t="n">
        <f aca="false">IF(E238="","",DATE(YEAR(E238),MONTH(E238),1))</f>
        <v>45962</v>
      </c>
      <c r="N238" s="57" t="str">
        <f aca="false">IF(E238="","","FY"&amp;(YEAR(E238)+IF(AND(FYStart&gt;1,MONTH(E238)&gt;=FYStart),1,0))&amp;" Q"&amp;(INT(MOD(MONTH(E238)-FYStart,12)/3)+1))</f>
        <v>FY2026 Q2</v>
      </c>
      <c r="O238" s="59" t="n">
        <f aca="false">IF(OR(E238="",N(F238)=0),"",G238/F238)</f>
        <v>0.9375</v>
      </c>
      <c r="P238" s="60" t="n">
        <f aca="false">IF(E238="","",ROUND(N(G238)*N(H238)/60,1))</f>
        <v>22.5</v>
      </c>
      <c r="Q238" s="57" t="str">
        <f aca="false">IF(E238="","",IF(COUNTIFS($C$2:C238,C238,$E$2:E238,E238,$B$2:B238,B238)&gt;1,"No","Yes"))</f>
        <v>Yes</v>
      </c>
      <c r="R238" s="61" t="str">
        <f aca="false">IF(E238="","",IF(Q238="No","Duplicate of an earlier response",IF(L238="Not on SITES","Site not on SITES",IF(N(G238)&gt;N(F238),"Present is more than enrolled",IF(OR(I238&lt;1,I238&gt;5),"Score outside 1 to 5","")))))</f>
        <v/>
      </c>
    </row>
    <row r="239" customFormat="false" ht="15" hidden="false" customHeight="false" outlineLevel="0" collapsed="false">
      <c r="A239" s="52" t="n">
        <v>45978.6966435185</v>
      </c>
      <c r="B239" s="53" t="s">
        <v>140</v>
      </c>
      <c r="C239" s="53" t="s">
        <v>141</v>
      </c>
      <c r="D239" s="53" t="s">
        <v>116</v>
      </c>
      <c r="E239" s="54" t="n">
        <v>45975</v>
      </c>
      <c r="F239" s="55" t="n">
        <v>13</v>
      </c>
      <c r="G239" s="55" t="n">
        <v>12</v>
      </c>
      <c r="H239" s="55" t="n">
        <v>90</v>
      </c>
      <c r="I239" s="56" t="n">
        <v>3.6</v>
      </c>
      <c r="J239" s="53" t="s">
        <v>134</v>
      </c>
      <c r="K239" s="53"/>
      <c r="L239" s="57" t="str">
        <f aca="false">IF(C239="","",IFERROR(INDEX(site_ID,MATCH(C239,site_Name,0)),"Not on SITES"))</f>
        <v>LW-118</v>
      </c>
      <c r="M239" s="58" t="n">
        <f aca="false">IF(E239="","",DATE(YEAR(E239),MONTH(E239),1))</f>
        <v>45962</v>
      </c>
      <c r="N239" s="57" t="str">
        <f aca="false">IF(E239="","","FY"&amp;(YEAR(E239)+IF(AND(FYStart&gt;1,MONTH(E239)&gt;=FYStart),1,0))&amp;" Q"&amp;(INT(MOD(MONTH(E239)-FYStart,12)/3)+1))</f>
        <v>FY2026 Q2</v>
      </c>
      <c r="O239" s="59" t="n">
        <f aca="false">IF(OR(E239="",N(F239)=0),"",G239/F239)</f>
        <v>0.923076923076923</v>
      </c>
      <c r="P239" s="60" t="n">
        <f aca="false">IF(E239="","",ROUND(N(G239)*N(H239)/60,1))</f>
        <v>18</v>
      </c>
      <c r="Q239" s="57" t="str">
        <f aca="false">IF(E239="","",IF(COUNTIFS($C$2:C239,C239,$E$2:E239,E239,$B$2:B239,B239)&gt;1,"No","Yes"))</f>
        <v>Yes</v>
      </c>
      <c r="R239" s="61" t="str">
        <f aca="false">IF(E239="","",IF(Q239="No","Duplicate of an earlier response",IF(L239="Not on SITES","Site not on SITES",IF(N(G239)&gt;N(F239),"Present is more than enrolled",IF(OR(I239&lt;1,I239&gt;5),"Score outside 1 to 5","")))))</f>
        <v/>
      </c>
    </row>
    <row r="240" customFormat="false" ht="15" hidden="false" customHeight="false" outlineLevel="0" collapsed="false">
      <c r="A240" s="52" t="n">
        <v>45978.7898032407</v>
      </c>
      <c r="B240" s="53" t="s">
        <v>111</v>
      </c>
      <c r="C240" s="53" t="s">
        <v>112</v>
      </c>
      <c r="D240" s="53" t="s">
        <v>113</v>
      </c>
      <c r="E240" s="54" t="n">
        <v>45978</v>
      </c>
      <c r="F240" s="55" t="n">
        <v>16</v>
      </c>
      <c r="G240" s="55" t="n">
        <v>15</v>
      </c>
      <c r="H240" s="55" t="n">
        <v>60</v>
      </c>
      <c r="I240" s="56" t="n">
        <v>3.5</v>
      </c>
      <c r="J240" s="53" t="s">
        <v>131</v>
      </c>
      <c r="K240" s="53"/>
      <c r="L240" s="57" t="str">
        <f aca="false">IF(C240="","",IFERROR(INDEX(site_ID,MATCH(C240,site_Name,0)),"Not on SITES"))</f>
        <v>LW-120</v>
      </c>
      <c r="M240" s="58" t="n">
        <f aca="false">IF(E240="","",DATE(YEAR(E240),MONTH(E240),1))</f>
        <v>45962</v>
      </c>
      <c r="N240" s="57" t="str">
        <f aca="false">IF(E240="","","FY"&amp;(YEAR(E240)+IF(AND(FYStart&gt;1,MONTH(E240)&gt;=FYStart),1,0))&amp;" Q"&amp;(INT(MOD(MONTH(E240)-FYStart,12)/3)+1))</f>
        <v>FY2026 Q2</v>
      </c>
      <c r="O240" s="59" t="n">
        <f aca="false">IF(OR(E240="",N(F240)=0),"",G240/F240)</f>
        <v>0.9375</v>
      </c>
      <c r="P240" s="60" t="n">
        <f aca="false">IF(E240="","",ROUND(N(G240)*N(H240)/60,1))</f>
        <v>15</v>
      </c>
      <c r="Q240" s="57" t="str">
        <f aca="false">IF(E240="","",IF(COUNTIFS($C$2:C240,C240,$E$2:E240,E240,$B$2:B240,B240)&gt;1,"No","Yes"))</f>
        <v>Yes</v>
      </c>
      <c r="R240" s="61" t="str">
        <f aca="false">IF(E240="","",IF(Q240="No","Duplicate of an earlier response",IF(L240="Not on SITES","Site not on SITES",IF(N(G240)&gt;N(F240),"Present is more than enrolled",IF(OR(I240&lt;1,I240&gt;5),"Score outside 1 to 5","")))))</f>
        <v/>
      </c>
    </row>
    <row r="241" customFormat="false" ht="15" hidden="false" customHeight="false" outlineLevel="0" collapsed="false">
      <c r="A241" s="52" t="n">
        <v>45978.7954861111</v>
      </c>
      <c r="B241" s="53" t="s">
        <v>109</v>
      </c>
      <c r="C241" s="53" t="s">
        <v>110</v>
      </c>
      <c r="D241" s="53" t="s">
        <v>107</v>
      </c>
      <c r="E241" s="54" t="n">
        <v>45978</v>
      </c>
      <c r="F241" s="55" t="n">
        <v>22</v>
      </c>
      <c r="G241" s="55" t="n">
        <v>16</v>
      </c>
      <c r="H241" s="55" t="n">
        <v>60</v>
      </c>
      <c r="I241" s="56" t="n">
        <v>3.8</v>
      </c>
      <c r="J241" s="53" t="s">
        <v>156</v>
      </c>
      <c r="K241" s="53"/>
      <c r="L241" s="57" t="str">
        <f aca="false">IF(C241="","",IFERROR(INDEX(site_ID,MATCH(C241,site_Name,0)),"Not on SITES"))</f>
        <v>LW-113</v>
      </c>
      <c r="M241" s="58" t="n">
        <f aca="false">IF(E241="","",DATE(YEAR(E241),MONTH(E241),1))</f>
        <v>45962</v>
      </c>
      <c r="N241" s="57" t="str">
        <f aca="false">IF(E241="","","FY"&amp;(YEAR(E241)+IF(AND(FYStart&gt;1,MONTH(E241)&gt;=FYStart),1,0))&amp;" Q"&amp;(INT(MOD(MONTH(E241)-FYStart,12)/3)+1))</f>
        <v>FY2026 Q2</v>
      </c>
      <c r="O241" s="59" t="n">
        <f aca="false">IF(OR(E241="",N(F241)=0),"",G241/F241)</f>
        <v>0.727272727272727</v>
      </c>
      <c r="P241" s="60" t="n">
        <f aca="false">IF(E241="","",ROUND(N(G241)*N(H241)/60,1))</f>
        <v>16</v>
      </c>
      <c r="Q241" s="57" t="str">
        <f aca="false">IF(E241="","",IF(COUNTIFS($C$2:C241,C241,$E$2:E241,E241,$B$2:B241,B241)&gt;1,"No","Yes"))</f>
        <v>Yes</v>
      </c>
      <c r="R241" s="61" t="str">
        <f aca="false">IF(E241="","",IF(Q241="No","Duplicate of an earlier response",IF(L241="Not on SITES","Site not on SITES",IF(N(G241)&gt;N(F241),"Present is more than enrolled",IF(OR(I241&lt;1,I241&gt;5),"Score outside 1 to 5","")))))</f>
        <v/>
      </c>
    </row>
    <row r="242" customFormat="false" ht="15" hidden="false" customHeight="false" outlineLevel="0" collapsed="false">
      <c r="A242" s="52" t="n">
        <v>45978.8490393519</v>
      </c>
      <c r="B242" s="53" t="s">
        <v>105</v>
      </c>
      <c r="C242" s="53" t="s">
        <v>118</v>
      </c>
      <c r="D242" s="53" t="s">
        <v>119</v>
      </c>
      <c r="E242" s="54" t="n">
        <v>45978</v>
      </c>
      <c r="F242" s="55" t="n">
        <v>22</v>
      </c>
      <c r="G242" s="55" t="n">
        <v>17</v>
      </c>
      <c r="H242" s="55" t="n">
        <v>75</v>
      </c>
      <c r="I242" s="56" t="n">
        <v>3</v>
      </c>
      <c r="J242" s="53" t="s">
        <v>159</v>
      </c>
      <c r="K242" s="53"/>
      <c r="L242" s="57" t="str">
        <f aca="false">IF(C242="","",IFERROR(INDEX(site_ID,MATCH(C242,site_Name,0)),"Not on SITES"))</f>
        <v>LW-111</v>
      </c>
      <c r="M242" s="58" t="n">
        <f aca="false">IF(E242="","",DATE(YEAR(E242),MONTH(E242),1))</f>
        <v>45962</v>
      </c>
      <c r="N242" s="57" t="str">
        <f aca="false">IF(E242="","","FY"&amp;(YEAR(E242)+IF(AND(FYStart&gt;1,MONTH(E242)&gt;=FYStart),1,0))&amp;" Q"&amp;(INT(MOD(MONTH(E242)-FYStart,12)/3)+1))</f>
        <v>FY2026 Q2</v>
      </c>
      <c r="O242" s="59" t="n">
        <f aca="false">IF(OR(E242="",N(F242)=0),"",G242/F242)</f>
        <v>0.772727272727273</v>
      </c>
      <c r="P242" s="60" t="n">
        <f aca="false">IF(E242="","",ROUND(N(G242)*N(H242)/60,1))</f>
        <v>21.3</v>
      </c>
      <c r="Q242" s="57" t="str">
        <f aca="false">IF(E242="","",IF(COUNTIFS($C$2:C242,C242,$E$2:E242,E242,$B$2:B242,B242)&gt;1,"No","Yes"))</f>
        <v>Yes</v>
      </c>
      <c r="R242" s="61" t="str">
        <f aca="false">IF(E242="","",IF(Q242="No","Duplicate of an earlier response",IF(L242="Not on SITES","Site not on SITES",IF(N(G242)&gt;N(F242),"Present is more than enrolled",IF(OR(I242&lt;1,I242&gt;5),"Score outside 1 to 5","")))))</f>
        <v/>
      </c>
    </row>
    <row r="243" customFormat="false" ht="15" hidden="false" customHeight="false" outlineLevel="0" collapsed="false">
      <c r="A243" s="52" t="n">
        <v>45979.6554513889</v>
      </c>
      <c r="B243" s="53" t="s">
        <v>121</v>
      </c>
      <c r="C243" s="53" t="s">
        <v>127</v>
      </c>
      <c r="D243" s="53" t="s">
        <v>107</v>
      </c>
      <c r="E243" s="54" t="n">
        <v>45979</v>
      </c>
      <c r="F243" s="55" t="n">
        <v>16</v>
      </c>
      <c r="G243" s="55" t="n">
        <v>14</v>
      </c>
      <c r="H243" s="55" t="n">
        <v>60</v>
      </c>
      <c r="I243" s="56" t="n">
        <v>3.7</v>
      </c>
      <c r="J243" s="53" t="s">
        <v>166</v>
      </c>
      <c r="K243" s="53"/>
      <c r="L243" s="57" t="str">
        <f aca="false">IF(C243="","",IFERROR(INDEX(site_ID,MATCH(C243,site_Name,0)),"Not on SITES"))</f>
        <v>LW-108</v>
      </c>
      <c r="M243" s="58" t="n">
        <f aca="false">IF(E243="","",DATE(YEAR(E243),MONTH(E243),1))</f>
        <v>45962</v>
      </c>
      <c r="N243" s="57" t="str">
        <f aca="false">IF(E243="","","FY"&amp;(YEAR(E243)+IF(AND(FYStart&gt;1,MONTH(E243)&gt;=FYStart),1,0))&amp;" Q"&amp;(INT(MOD(MONTH(E243)-FYStart,12)/3)+1))</f>
        <v>FY2026 Q2</v>
      </c>
      <c r="O243" s="59" t="n">
        <f aca="false">IF(OR(E243="",N(F243)=0),"",G243/F243)</f>
        <v>0.875</v>
      </c>
      <c r="P243" s="60" t="n">
        <f aca="false">IF(E243="","",ROUND(N(G243)*N(H243)/60,1))</f>
        <v>14</v>
      </c>
      <c r="Q243" s="57" t="str">
        <f aca="false">IF(E243="","",IF(COUNTIFS($C$2:C243,C243,$E$2:E243,E243,$B$2:B243,B243)&gt;1,"No","Yes"))</f>
        <v>Yes</v>
      </c>
      <c r="R243" s="61" t="str">
        <f aca="false">IF(E243="","",IF(Q243="No","Duplicate of an earlier response",IF(L243="Not on SITES","Site not on SITES",IF(N(G243)&gt;N(F243),"Present is more than enrolled",IF(OR(I243&lt;1,I243&gt;5),"Score outside 1 to 5","")))))</f>
        <v/>
      </c>
    </row>
    <row r="244" customFormat="false" ht="15" hidden="false" customHeight="false" outlineLevel="0" collapsed="false">
      <c r="A244" s="52" t="n">
        <v>45979.7355555556</v>
      </c>
      <c r="B244" s="53" t="s">
        <v>121</v>
      </c>
      <c r="C244" s="53" t="s">
        <v>122</v>
      </c>
      <c r="D244" s="53" t="s">
        <v>116</v>
      </c>
      <c r="E244" s="54" t="n">
        <v>45979</v>
      </c>
      <c r="F244" s="55" t="n">
        <v>16</v>
      </c>
      <c r="G244" s="55" t="n">
        <v>12</v>
      </c>
      <c r="H244" s="55" t="n">
        <v>60</v>
      </c>
      <c r="I244" s="56" t="n">
        <v>3.1</v>
      </c>
      <c r="J244" s="53" t="s">
        <v>160</v>
      </c>
      <c r="K244" s="53"/>
      <c r="L244" s="57" t="str">
        <f aca="false">IF(C244="","",IFERROR(INDEX(site_ID,MATCH(C244,site_Name,0)),"Not on SITES"))</f>
        <v>LW-116</v>
      </c>
      <c r="M244" s="58" t="n">
        <f aca="false">IF(E244="","",DATE(YEAR(E244),MONTH(E244),1))</f>
        <v>45962</v>
      </c>
      <c r="N244" s="57" t="str">
        <f aca="false">IF(E244="","","FY"&amp;(YEAR(E244)+IF(AND(FYStart&gt;1,MONTH(E244)&gt;=FYStart),1,0))&amp;" Q"&amp;(INT(MOD(MONTH(E244)-FYStart,12)/3)+1))</f>
        <v>FY2026 Q2</v>
      </c>
      <c r="O244" s="59" t="n">
        <f aca="false">IF(OR(E244="",N(F244)=0),"",G244/F244)</f>
        <v>0.75</v>
      </c>
      <c r="P244" s="60" t="n">
        <f aca="false">IF(E244="","",ROUND(N(G244)*N(H244)/60,1))</f>
        <v>12</v>
      </c>
      <c r="Q244" s="57" t="str">
        <f aca="false">IF(E244="","",IF(COUNTIFS($C$2:C244,C244,$E$2:E244,E244,$B$2:B244,B244)&gt;1,"No","Yes"))</f>
        <v>Yes</v>
      </c>
      <c r="R244" s="61" t="str">
        <f aca="false">IF(E244="","",IF(Q244="No","Duplicate of an earlier response",IF(L244="Not on SITES","Site not on SITES",IF(N(G244)&gt;N(F244),"Present is more than enrolled",IF(OR(I244&lt;1,I244&gt;5),"Score outside 1 to 5","")))))</f>
        <v/>
      </c>
    </row>
    <row r="245" customFormat="false" ht="15" hidden="false" customHeight="false" outlineLevel="0" collapsed="false">
      <c r="A245" s="52" t="n">
        <v>45979.8181365741</v>
      </c>
      <c r="B245" s="53" t="s">
        <v>129</v>
      </c>
      <c r="C245" s="53" t="s">
        <v>130</v>
      </c>
      <c r="D245" s="53" t="s">
        <v>113</v>
      </c>
      <c r="E245" s="54" t="n">
        <v>45979</v>
      </c>
      <c r="F245" s="55" t="n">
        <v>17</v>
      </c>
      <c r="G245" s="55" t="n">
        <v>14</v>
      </c>
      <c r="H245" s="55" t="n">
        <v>90</v>
      </c>
      <c r="I245" s="56" t="n">
        <v>3.1</v>
      </c>
      <c r="J245" s="53" t="s">
        <v>136</v>
      </c>
      <c r="K245" s="53"/>
      <c r="L245" s="57" t="str">
        <f aca="false">IF(C245="","",IFERROR(INDEX(site_ID,MATCH(C245,site_Name,0)),"Not on SITES"))</f>
        <v>LW-107</v>
      </c>
      <c r="M245" s="58" t="n">
        <f aca="false">IF(E245="","",DATE(YEAR(E245),MONTH(E245),1))</f>
        <v>45962</v>
      </c>
      <c r="N245" s="57" t="str">
        <f aca="false">IF(E245="","","FY"&amp;(YEAR(E245)+IF(AND(FYStart&gt;1,MONTH(E245)&gt;=FYStart),1,0))&amp;" Q"&amp;(INT(MOD(MONTH(E245)-FYStart,12)/3)+1))</f>
        <v>FY2026 Q2</v>
      </c>
      <c r="O245" s="59" t="n">
        <f aca="false">IF(OR(E245="",N(F245)=0),"",G245/F245)</f>
        <v>0.823529411764706</v>
      </c>
      <c r="P245" s="60" t="n">
        <f aca="false">IF(E245="","",ROUND(N(G245)*N(H245)/60,1))</f>
        <v>21</v>
      </c>
      <c r="Q245" s="57" t="str">
        <f aca="false">IF(E245="","",IF(COUNTIFS($C$2:C245,C245,$E$2:E245,E245,$B$2:B245,B245)&gt;1,"No","Yes"))</f>
        <v>Yes</v>
      </c>
      <c r="R245" s="61" t="str">
        <f aca="false">IF(E245="","",IF(Q245="No","Duplicate of an earlier response",IF(L245="Not on SITES","Site not on SITES",IF(N(G245)&gt;N(F245),"Present is more than enrolled",IF(OR(I245&lt;1,I245&gt;5),"Score outside 1 to 5","")))))</f>
        <v/>
      </c>
    </row>
    <row r="246" customFormat="false" ht="15" hidden="false" customHeight="false" outlineLevel="0" collapsed="false">
      <c r="A246" s="52" t="n">
        <v>45979.8472222222</v>
      </c>
      <c r="B246" s="53" t="s">
        <v>124</v>
      </c>
      <c r="C246" s="53" t="s">
        <v>125</v>
      </c>
      <c r="D246" s="53" t="s">
        <v>119</v>
      </c>
      <c r="E246" s="54" t="n">
        <v>45979</v>
      </c>
      <c r="F246" s="55" t="n">
        <v>18</v>
      </c>
      <c r="G246" s="55" t="n">
        <v>16</v>
      </c>
      <c r="H246" s="55" t="n">
        <v>90</v>
      </c>
      <c r="I246" s="56" t="n">
        <v>3.5</v>
      </c>
      <c r="J246" s="53" t="s">
        <v>157</v>
      </c>
      <c r="K246" s="53"/>
      <c r="L246" s="57" t="str">
        <f aca="false">IF(C246="","",IFERROR(INDEX(site_ID,MATCH(C246,site_Name,0)),"Not on SITES"))</f>
        <v>LW-106</v>
      </c>
      <c r="M246" s="58" t="n">
        <f aca="false">IF(E246="","",DATE(YEAR(E246),MONTH(E246),1))</f>
        <v>45962</v>
      </c>
      <c r="N246" s="57" t="str">
        <f aca="false">IF(E246="","","FY"&amp;(YEAR(E246)+IF(AND(FYStart&gt;1,MONTH(E246)&gt;=FYStart),1,0))&amp;" Q"&amp;(INT(MOD(MONTH(E246)-FYStart,12)/3)+1))</f>
        <v>FY2026 Q2</v>
      </c>
      <c r="O246" s="59" t="n">
        <f aca="false">IF(OR(E246="",N(F246)=0),"",G246/F246)</f>
        <v>0.888888888888889</v>
      </c>
      <c r="P246" s="60" t="n">
        <f aca="false">IF(E246="","",ROUND(N(G246)*N(H246)/60,1))</f>
        <v>24</v>
      </c>
      <c r="Q246" s="57" t="str">
        <f aca="false">IF(E246="","",IF(COUNTIFS($C$2:C246,C246,$E$2:E246,E246,$B$2:B246,B246)&gt;1,"No","Yes"))</f>
        <v>Yes</v>
      </c>
      <c r="R246" s="61" t="str">
        <f aca="false">IF(E246="","",IF(Q246="No","Duplicate of an earlier response",IF(L246="Not on SITES","Site not on SITES",IF(N(G246)&gt;N(F246),"Present is more than enrolled",IF(OR(I246&lt;1,I246&gt;5),"Score outside 1 to 5","")))))</f>
        <v/>
      </c>
    </row>
    <row r="247" customFormat="false" ht="15" hidden="false" customHeight="false" outlineLevel="0" collapsed="false">
      <c r="A247" s="52" t="n">
        <v>45980.6274189815</v>
      </c>
      <c r="B247" s="53" t="s">
        <v>132</v>
      </c>
      <c r="C247" s="53" t="s">
        <v>145</v>
      </c>
      <c r="D247" s="53" t="s">
        <v>119</v>
      </c>
      <c r="E247" s="54" t="n">
        <v>45980</v>
      </c>
      <c r="F247" s="55" t="n">
        <v>19</v>
      </c>
      <c r="G247" s="55" t="n">
        <v>16</v>
      </c>
      <c r="H247" s="55" t="n">
        <v>60</v>
      </c>
      <c r="I247" s="56" t="n">
        <v>4</v>
      </c>
      <c r="J247" s="53" t="s">
        <v>126</v>
      </c>
      <c r="K247" s="53"/>
      <c r="L247" s="57" t="str">
        <f aca="false">IF(C247="","",IFERROR(INDEX(site_ID,MATCH(C247,site_Name,0)),"Not on SITES"))</f>
        <v>LW-101</v>
      </c>
      <c r="M247" s="58" t="n">
        <f aca="false">IF(E247="","",DATE(YEAR(E247),MONTH(E247),1))</f>
        <v>45962</v>
      </c>
      <c r="N247" s="57" t="str">
        <f aca="false">IF(E247="","","FY"&amp;(YEAR(E247)+IF(AND(FYStart&gt;1,MONTH(E247)&gt;=FYStart),1,0))&amp;" Q"&amp;(INT(MOD(MONTH(E247)-FYStart,12)/3)+1))</f>
        <v>FY2026 Q2</v>
      </c>
      <c r="O247" s="59" t="n">
        <f aca="false">IF(OR(E247="",N(F247)=0),"",G247/F247)</f>
        <v>0.842105263157895</v>
      </c>
      <c r="P247" s="60" t="n">
        <f aca="false">IF(E247="","",ROUND(N(G247)*N(H247)/60,1))</f>
        <v>16</v>
      </c>
      <c r="Q247" s="57" t="str">
        <f aca="false">IF(E247="","",IF(COUNTIFS($C$2:C247,C247,$E$2:E247,E247,$B$2:B247,B247)&gt;1,"No","Yes"))</f>
        <v>Yes</v>
      </c>
      <c r="R247" s="61" t="str">
        <f aca="false">IF(E247="","",IF(Q247="No","Duplicate of an earlier response",IF(L247="Not on SITES","Site not on SITES",IF(N(G247)&gt;N(F247),"Present is more than enrolled",IF(OR(I247&lt;1,I247&gt;5),"Score outside 1 to 5","")))))</f>
        <v/>
      </c>
    </row>
    <row r="248" customFormat="false" ht="15" hidden="false" customHeight="false" outlineLevel="0" collapsed="false">
      <c r="A248" s="52" t="n">
        <v>45980.7265972222</v>
      </c>
      <c r="B248" s="53" t="s">
        <v>111</v>
      </c>
      <c r="C248" s="53" t="s">
        <v>112</v>
      </c>
      <c r="D248" s="53" t="s">
        <v>113</v>
      </c>
      <c r="E248" s="54" t="n">
        <v>45980</v>
      </c>
      <c r="F248" s="55" t="n">
        <v>16</v>
      </c>
      <c r="G248" s="55" t="n">
        <v>13</v>
      </c>
      <c r="H248" s="55" t="n">
        <v>60</v>
      </c>
      <c r="I248" s="56" t="n">
        <v>3.2</v>
      </c>
      <c r="J248" s="53" t="s">
        <v>165</v>
      </c>
      <c r="K248" s="53"/>
      <c r="L248" s="57" t="str">
        <f aca="false">IF(C248="","",IFERROR(INDEX(site_ID,MATCH(C248,site_Name,0)),"Not on SITES"))</f>
        <v>LW-120</v>
      </c>
      <c r="M248" s="58" t="n">
        <f aca="false">IF(E248="","",DATE(YEAR(E248),MONTH(E248),1))</f>
        <v>45962</v>
      </c>
      <c r="N248" s="57" t="str">
        <f aca="false">IF(E248="","","FY"&amp;(YEAR(E248)+IF(AND(FYStart&gt;1,MONTH(E248)&gt;=FYStart),1,0))&amp;" Q"&amp;(INT(MOD(MONTH(E248)-FYStart,12)/3)+1))</f>
        <v>FY2026 Q2</v>
      </c>
      <c r="O248" s="59" t="n">
        <f aca="false">IF(OR(E248="",N(F248)=0),"",G248/F248)</f>
        <v>0.8125</v>
      </c>
      <c r="P248" s="60" t="n">
        <f aca="false">IF(E248="","",ROUND(N(G248)*N(H248)/60,1))</f>
        <v>13</v>
      </c>
      <c r="Q248" s="57" t="str">
        <f aca="false">IF(E248="","",IF(COUNTIFS($C$2:C248,C248,$E$2:E248,E248,$B$2:B248,B248)&gt;1,"No","Yes"))</f>
        <v>Yes</v>
      </c>
      <c r="R248" s="61" t="str">
        <f aca="false">IF(E248="","",IF(Q248="No","Duplicate of an earlier response",IF(L248="Not on SITES","Site not on SITES",IF(N(G248)&gt;N(F248),"Present is more than enrolled",IF(OR(I248&lt;1,I248&gt;5),"Score outside 1 to 5","")))))</f>
        <v/>
      </c>
    </row>
    <row r="249" customFormat="false" ht="15" hidden="false" customHeight="false" outlineLevel="0" collapsed="false">
      <c r="A249" s="52" t="n">
        <v>45980.8179282407</v>
      </c>
      <c r="B249" s="53" t="s">
        <v>105</v>
      </c>
      <c r="C249" s="53" t="s">
        <v>118</v>
      </c>
      <c r="D249" s="53" t="s">
        <v>119</v>
      </c>
      <c r="E249" s="54" t="n">
        <v>45980</v>
      </c>
      <c r="F249" s="55" t="n">
        <v>22</v>
      </c>
      <c r="G249" s="55" t="n">
        <v>15</v>
      </c>
      <c r="H249" s="55" t="n">
        <v>60</v>
      </c>
      <c r="I249" s="56" t="n">
        <v>3.9</v>
      </c>
      <c r="J249" s="53" t="s">
        <v>120</v>
      </c>
      <c r="K249" s="53"/>
      <c r="L249" s="57" t="str">
        <f aca="false">IF(C249="","",IFERROR(INDEX(site_ID,MATCH(C249,site_Name,0)),"Not on SITES"))</f>
        <v>LW-111</v>
      </c>
      <c r="M249" s="58" t="n">
        <f aca="false">IF(E249="","",DATE(YEAR(E249),MONTH(E249),1))</f>
        <v>45962</v>
      </c>
      <c r="N249" s="57" t="str">
        <f aca="false">IF(E249="","","FY"&amp;(YEAR(E249)+IF(AND(FYStart&gt;1,MONTH(E249)&gt;=FYStart),1,0))&amp;" Q"&amp;(INT(MOD(MONTH(E249)-FYStart,12)/3)+1))</f>
        <v>FY2026 Q2</v>
      </c>
      <c r="O249" s="59" t="n">
        <f aca="false">IF(OR(E249="",N(F249)=0),"",G249/F249)</f>
        <v>0.681818181818182</v>
      </c>
      <c r="P249" s="60" t="n">
        <f aca="false">IF(E249="","",ROUND(N(G249)*N(H249)/60,1))</f>
        <v>15</v>
      </c>
      <c r="Q249" s="57" t="str">
        <f aca="false">IF(E249="","",IF(COUNTIFS($C$2:C249,C249,$E$2:E249,E249,$B$2:B249,B249)&gt;1,"No","Yes"))</f>
        <v>Yes</v>
      </c>
      <c r="R249" s="61" t="str">
        <f aca="false">IF(E249="","",IF(Q249="No","Duplicate of an earlier response",IF(L249="Not on SITES","Site not on SITES",IF(N(G249)&gt;N(F249),"Present is more than enrolled",IF(OR(I249&lt;1,I249&gt;5),"Score outside 1 to 5","")))))</f>
        <v/>
      </c>
    </row>
    <row r="250" customFormat="false" ht="15" hidden="false" customHeight="false" outlineLevel="0" collapsed="false">
      <c r="A250" s="52" t="n">
        <v>45980.845150463</v>
      </c>
      <c r="B250" s="53" t="s">
        <v>132</v>
      </c>
      <c r="C250" s="53" t="s">
        <v>133</v>
      </c>
      <c r="D250" s="53" t="s">
        <v>116</v>
      </c>
      <c r="E250" s="54" t="n">
        <v>45979</v>
      </c>
      <c r="F250" s="55" t="n">
        <v>18</v>
      </c>
      <c r="G250" s="55" t="n">
        <v>14</v>
      </c>
      <c r="H250" s="55" t="n">
        <v>60</v>
      </c>
      <c r="I250" s="56" t="n">
        <v>3.3</v>
      </c>
      <c r="J250" s="53" t="s">
        <v>160</v>
      </c>
      <c r="K250" s="53"/>
      <c r="L250" s="57" t="str">
        <f aca="false">IF(C250="","",IFERROR(INDEX(site_ID,MATCH(C250,site_Name,0)),"Not on SITES"))</f>
        <v>LW-109</v>
      </c>
      <c r="M250" s="58" t="n">
        <f aca="false">IF(E250="","",DATE(YEAR(E250),MONTH(E250),1))</f>
        <v>45962</v>
      </c>
      <c r="N250" s="57" t="str">
        <f aca="false">IF(E250="","","FY"&amp;(YEAR(E250)+IF(AND(FYStart&gt;1,MONTH(E250)&gt;=FYStart),1,0))&amp;" Q"&amp;(INT(MOD(MONTH(E250)-FYStart,12)/3)+1))</f>
        <v>FY2026 Q2</v>
      </c>
      <c r="O250" s="59" t="n">
        <f aca="false">IF(OR(E250="",N(F250)=0),"",G250/F250)</f>
        <v>0.777777777777778</v>
      </c>
      <c r="P250" s="60" t="n">
        <f aca="false">IF(E250="","",ROUND(N(G250)*N(H250)/60,1))</f>
        <v>14</v>
      </c>
      <c r="Q250" s="57" t="str">
        <f aca="false">IF(E250="","",IF(COUNTIFS($C$2:C250,C250,$E$2:E250,E250,$B$2:B250,B250)&gt;1,"No","Yes"))</f>
        <v>Yes</v>
      </c>
      <c r="R250" s="61" t="str">
        <f aca="false">IF(E250="","",IF(Q250="No","Duplicate of an earlier response",IF(L250="Not on SITES","Site not on SITES",IF(N(G250)&gt;N(F250),"Present is more than enrolled",IF(OR(I250&lt;1,I250&gt;5),"Score outside 1 to 5","")))))</f>
        <v/>
      </c>
    </row>
    <row r="251" customFormat="false" ht="15" hidden="false" customHeight="false" outlineLevel="0" collapsed="false">
      <c r="A251" s="52" t="n">
        <v>45980.8569907407</v>
      </c>
      <c r="B251" s="53" t="s">
        <v>140</v>
      </c>
      <c r="C251" s="53" t="s">
        <v>142</v>
      </c>
      <c r="D251" s="53" t="s">
        <v>113</v>
      </c>
      <c r="E251" s="54" t="n">
        <v>45980</v>
      </c>
      <c r="F251" s="55" t="n">
        <v>18</v>
      </c>
      <c r="G251" s="55" t="n">
        <v>17</v>
      </c>
      <c r="H251" s="55" t="n">
        <v>90</v>
      </c>
      <c r="I251" s="56" t="n">
        <v>2.9</v>
      </c>
      <c r="J251" s="53" t="s">
        <v>131</v>
      </c>
      <c r="K251" s="53"/>
      <c r="L251" s="57" t="str">
        <f aca="false">IF(C251="","",IFERROR(INDEX(site_ID,MATCH(C251,site_Name,0)),"Not on SITES"))</f>
        <v>LW-102</v>
      </c>
      <c r="M251" s="58" t="n">
        <f aca="false">IF(E251="","",DATE(YEAR(E251),MONTH(E251),1))</f>
        <v>45962</v>
      </c>
      <c r="N251" s="57" t="str">
        <f aca="false">IF(E251="","","FY"&amp;(YEAR(E251)+IF(AND(FYStart&gt;1,MONTH(E251)&gt;=FYStart),1,0))&amp;" Q"&amp;(INT(MOD(MONTH(E251)-FYStart,12)/3)+1))</f>
        <v>FY2026 Q2</v>
      </c>
      <c r="O251" s="59" t="n">
        <f aca="false">IF(OR(E251="",N(F251)=0),"",G251/F251)</f>
        <v>0.944444444444444</v>
      </c>
      <c r="P251" s="60" t="n">
        <f aca="false">IF(E251="","",ROUND(N(G251)*N(H251)/60,1))</f>
        <v>25.5</v>
      </c>
      <c r="Q251" s="57" t="str">
        <f aca="false">IF(E251="","",IF(COUNTIFS($C$2:C251,C251,$E$2:E251,E251,$B$2:B251,B251)&gt;1,"No","Yes"))</f>
        <v>Yes</v>
      </c>
      <c r="R251" s="61" t="str">
        <f aca="false">IF(E251="","",IF(Q251="No","Duplicate of an earlier response",IF(L251="Not on SITES","Site not on SITES",IF(N(G251)&gt;N(F251),"Present is more than enrolled",IF(OR(I251&lt;1,I251&gt;5),"Score outside 1 to 5","")))))</f>
        <v/>
      </c>
    </row>
    <row r="252" customFormat="false" ht="15" hidden="false" customHeight="false" outlineLevel="0" collapsed="false">
      <c r="A252" s="52" t="n">
        <v>45980.8700462963</v>
      </c>
      <c r="B252" s="53" t="s">
        <v>129</v>
      </c>
      <c r="C252" s="53" t="s">
        <v>137</v>
      </c>
      <c r="D252" s="53" t="s">
        <v>138</v>
      </c>
      <c r="E252" s="54" t="n">
        <v>45980</v>
      </c>
      <c r="F252" s="55" t="n">
        <v>20</v>
      </c>
      <c r="G252" s="55" t="n">
        <v>18</v>
      </c>
      <c r="H252" s="55" t="n">
        <v>90</v>
      </c>
      <c r="I252" s="56" t="n">
        <v>3.2</v>
      </c>
      <c r="J252" s="53" t="s">
        <v>164</v>
      </c>
      <c r="K252" s="53"/>
      <c r="L252" s="57" t="str">
        <f aca="false">IF(C252="","",IFERROR(INDEX(site_ID,MATCH(C252,site_Name,0)),"Not on SITES"))</f>
        <v>LW-115</v>
      </c>
      <c r="M252" s="58" t="n">
        <f aca="false">IF(E252="","",DATE(YEAR(E252),MONTH(E252),1))</f>
        <v>45962</v>
      </c>
      <c r="N252" s="57" t="str">
        <f aca="false">IF(E252="","","FY"&amp;(YEAR(E252)+IF(AND(FYStart&gt;1,MONTH(E252)&gt;=FYStart),1,0))&amp;" Q"&amp;(INT(MOD(MONTH(E252)-FYStart,12)/3)+1))</f>
        <v>FY2026 Q2</v>
      </c>
      <c r="O252" s="59" t="n">
        <f aca="false">IF(OR(E252="",N(F252)=0),"",G252/F252)</f>
        <v>0.9</v>
      </c>
      <c r="P252" s="60" t="n">
        <f aca="false">IF(E252="","",ROUND(N(G252)*N(H252)/60,1))</f>
        <v>27</v>
      </c>
      <c r="Q252" s="57" t="str">
        <f aca="false">IF(E252="","",IF(COUNTIFS($C$2:C252,C252,$E$2:E252,E252,$B$2:B252,B252)&gt;1,"No","Yes"))</f>
        <v>Yes</v>
      </c>
      <c r="R252" s="61" t="str">
        <f aca="false">IF(E252="","",IF(Q252="No","Duplicate of an earlier response",IF(L252="Not on SITES","Site not on SITES",IF(N(G252)&gt;N(F252),"Present is more than enrolled",IF(OR(I252&lt;1,I252&gt;5),"Score outside 1 to 5","")))))</f>
        <v/>
      </c>
    </row>
    <row r="253" customFormat="false" ht="15" hidden="false" customHeight="false" outlineLevel="0" collapsed="false">
      <c r="A253" s="52" t="n">
        <v>45981.7119675926</v>
      </c>
      <c r="B253" s="53" t="s">
        <v>124</v>
      </c>
      <c r="C253" s="53" t="s">
        <v>154</v>
      </c>
      <c r="D253" s="53" t="s">
        <v>116</v>
      </c>
      <c r="E253" s="54" t="n">
        <v>45981</v>
      </c>
      <c r="F253" s="55" t="n">
        <v>18</v>
      </c>
      <c r="G253" s="55" t="n">
        <v>14</v>
      </c>
      <c r="H253" s="55" t="n">
        <v>60</v>
      </c>
      <c r="I253" s="56" t="n">
        <v>3.6</v>
      </c>
      <c r="J253" s="53" t="s">
        <v>123</v>
      </c>
      <c r="K253" s="53"/>
      <c r="L253" s="57" t="str">
        <f aca="false">IF(C253="","",IFERROR(INDEX(site_ID,MATCH(C253,site_Name,0)),"Not on SITES"))</f>
        <v>LW-114</v>
      </c>
      <c r="M253" s="58" t="n">
        <f aca="false">IF(E253="","",DATE(YEAR(E253),MONTH(E253),1))</f>
        <v>45962</v>
      </c>
      <c r="N253" s="57" t="str">
        <f aca="false">IF(E253="","","FY"&amp;(YEAR(E253)+IF(AND(FYStart&gt;1,MONTH(E253)&gt;=FYStart),1,0))&amp;" Q"&amp;(INT(MOD(MONTH(E253)-FYStart,12)/3)+1))</f>
        <v>FY2026 Q2</v>
      </c>
      <c r="O253" s="59" t="n">
        <f aca="false">IF(OR(E253="",N(F253)=0),"",G253/F253)</f>
        <v>0.777777777777778</v>
      </c>
      <c r="P253" s="60" t="n">
        <f aca="false">IF(E253="","",ROUND(N(G253)*N(H253)/60,1))</f>
        <v>14</v>
      </c>
      <c r="Q253" s="57" t="str">
        <f aca="false">IF(E253="","",IF(COUNTIFS($C$2:C253,C253,$E$2:E253,E253,$B$2:B253,B253)&gt;1,"No","Yes"))</f>
        <v>Yes</v>
      </c>
      <c r="R253" s="61" t="str">
        <f aca="false">IF(E253="","",IF(Q253="No","Duplicate of an earlier response",IF(L253="Not on SITES","Site not on SITES",IF(N(G253)&gt;N(F253),"Present is more than enrolled",IF(OR(I253&lt;1,I253&gt;5),"Score outside 1 to 5","")))))</f>
        <v/>
      </c>
    </row>
    <row r="254" customFormat="false" ht="15" hidden="false" customHeight="false" outlineLevel="0" collapsed="false">
      <c r="A254" s="52" t="n">
        <v>45981.7128935185</v>
      </c>
      <c r="B254" s="53" t="s">
        <v>140</v>
      </c>
      <c r="C254" s="53" t="s">
        <v>151</v>
      </c>
      <c r="D254" s="53" t="s">
        <v>138</v>
      </c>
      <c r="E254" s="54" t="n">
        <v>45981</v>
      </c>
      <c r="F254" s="55" t="n">
        <v>14</v>
      </c>
      <c r="G254" s="55" t="n">
        <v>12</v>
      </c>
      <c r="H254" s="55" t="n">
        <v>90</v>
      </c>
      <c r="I254" s="56" t="n">
        <v>4.3</v>
      </c>
      <c r="J254" s="53" t="s">
        <v>152</v>
      </c>
      <c r="K254" s="53"/>
      <c r="L254" s="57" t="str">
        <f aca="false">IF(C254="","",IFERROR(INDEX(site_ID,MATCH(C254,site_Name,0)),"Not on SITES"))</f>
        <v>LW-110</v>
      </c>
      <c r="M254" s="58" t="n">
        <f aca="false">IF(E254="","",DATE(YEAR(E254),MONTH(E254),1))</f>
        <v>45962</v>
      </c>
      <c r="N254" s="57" t="str">
        <f aca="false">IF(E254="","","FY"&amp;(YEAR(E254)+IF(AND(FYStart&gt;1,MONTH(E254)&gt;=FYStart),1,0))&amp;" Q"&amp;(INT(MOD(MONTH(E254)-FYStart,12)/3)+1))</f>
        <v>FY2026 Q2</v>
      </c>
      <c r="O254" s="59" t="n">
        <f aca="false">IF(OR(E254="",N(F254)=0),"",G254/F254)</f>
        <v>0.857142857142857</v>
      </c>
      <c r="P254" s="60" t="n">
        <f aca="false">IF(E254="","",ROUND(N(G254)*N(H254)/60,1))</f>
        <v>18</v>
      </c>
      <c r="Q254" s="57" t="str">
        <f aca="false">IF(E254="","",IF(COUNTIFS($C$2:C254,C254,$E$2:E254,E254,$B$2:B254,B254)&gt;1,"No","Yes"))</f>
        <v>Yes</v>
      </c>
      <c r="R254" s="61" t="str">
        <f aca="false">IF(E254="","",IF(Q254="No","Duplicate of an earlier response",IF(L254="Not on SITES","Site not on SITES",IF(N(G254)&gt;N(F254),"Present is more than enrolled",IF(OR(I254&lt;1,I254&gt;5),"Score outside 1 to 5","")))))</f>
        <v/>
      </c>
    </row>
    <row r="255" customFormat="false" ht="15" hidden="false" customHeight="false" outlineLevel="0" collapsed="false">
      <c r="A255" s="52" t="n">
        <v>45981.745150463</v>
      </c>
      <c r="B255" s="53" t="s">
        <v>111</v>
      </c>
      <c r="C255" s="53" t="s">
        <v>148</v>
      </c>
      <c r="D255" s="53" t="s">
        <v>116</v>
      </c>
      <c r="E255" s="54" t="n">
        <v>45981</v>
      </c>
      <c r="F255" s="55" t="n">
        <v>16</v>
      </c>
      <c r="G255" s="55" t="n">
        <v>12</v>
      </c>
      <c r="H255" s="55" t="n">
        <v>60</v>
      </c>
      <c r="I255" s="56" t="n">
        <v>3.2</v>
      </c>
      <c r="J255" s="53" t="s">
        <v>123</v>
      </c>
      <c r="K255" s="53"/>
      <c r="L255" s="57" t="str">
        <f aca="false">IF(C255="","",IFERROR(INDEX(site_ID,MATCH(C255,site_Name,0)),"Not on SITES"))</f>
        <v>LW-104</v>
      </c>
      <c r="M255" s="58" t="n">
        <f aca="false">IF(E255="","",DATE(YEAR(E255),MONTH(E255),1))</f>
        <v>45962</v>
      </c>
      <c r="N255" s="57" t="str">
        <f aca="false">IF(E255="","","FY"&amp;(YEAR(E255)+IF(AND(FYStart&gt;1,MONTH(E255)&gt;=FYStart),1,0))&amp;" Q"&amp;(INT(MOD(MONTH(E255)-FYStart,12)/3)+1))</f>
        <v>FY2026 Q2</v>
      </c>
      <c r="O255" s="59" t="n">
        <f aca="false">IF(OR(E255="",N(F255)=0),"",G255/F255)</f>
        <v>0.75</v>
      </c>
      <c r="P255" s="60" t="n">
        <f aca="false">IF(E255="","",ROUND(N(G255)*N(H255)/60,1))</f>
        <v>12</v>
      </c>
      <c r="Q255" s="57" t="str">
        <f aca="false">IF(E255="","",IF(COUNTIFS($C$2:C255,C255,$E$2:E255,E255,$B$2:B255,B255)&gt;1,"No","Yes"))</f>
        <v>Yes</v>
      </c>
      <c r="R255" s="61" t="str">
        <f aca="false">IF(E255="","",IF(Q255="No","Duplicate of an earlier response",IF(L255="Not on SITES","Site not on SITES",IF(N(G255)&gt;N(F255),"Present is more than enrolled",IF(OR(I255&lt;1,I255&gt;5),"Score outside 1 to 5","")))))</f>
        <v/>
      </c>
    </row>
    <row r="256" customFormat="false" ht="15" hidden="false" customHeight="false" outlineLevel="0" collapsed="false">
      <c r="A256" s="52" t="n">
        <v>45981.7858333333</v>
      </c>
      <c r="B256" s="53" t="s">
        <v>105</v>
      </c>
      <c r="C256" s="53" t="s">
        <v>106</v>
      </c>
      <c r="D256" s="53" t="s">
        <v>107</v>
      </c>
      <c r="E256" s="54" t="n">
        <v>45978</v>
      </c>
      <c r="F256" s="55" t="n">
        <v>16</v>
      </c>
      <c r="G256" s="55" t="n">
        <v>11</v>
      </c>
      <c r="H256" s="55" t="n">
        <v>60</v>
      </c>
      <c r="I256" s="56" t="n">
        <v>3.6</v>
      </c>
      <c r="J256" s="53" t="s">
        <v>156</v>
      </c>
      <c r="K256" s="53"/>
      <c r="L256" s="57" t="str">
        <f aca="false">IF(C256="","",IFERROR(INDEX(site_ID,MATCH(C256,site_Name,0)),"Not on SITES"))</f>
        <v>LW-103</v>
      </c>
      <c r="M256" s="58" t="n">
        <f aca="false">IF(E256="","",DATE(YEAR(E256),MONTH(E256),1))</f>
        <v>45962</v>
      </c>
      <c r="N256" s="57" t="str">
        <f aca="false">IF(E256="","","FY"&amp;(YEAR(E256)+IF(AND(FYStart&gt;1,MONTH(E256)&gt;=FYStart),1,0))&amp;" Q"&amp;(INT(MOD(MONTH(E256)-FYStart,12)/3)+1))</f>
        <v>FY2026 Q2</v>
      </c>
      <c r="O256" s="59" t="n">
        <f aca="false">IF(OR(E256="",N(F256)=0),"",G256/F256)</f>
        <v>0.6875</v>
      </c>
      <c r="P256" s="60" t="n">
        <f aca="false">IF(E256="","",ROUND(N(G256)*N(H256)/60,1))</f>
        <v>11</v>
      </c>
      <c r="Q256" s="57" t="str">
        <f aca="false">IF(E256="","",IF(COUNTIFS($C$2:C256,C256,$E$2:E256,E256,$B$2:B256,B256)&gt;1,"No","Yes"))</f>
        <v>Yes</v>
      </c>
      <c r="R256" s="61" t="str">
        <f aca="false">IF(E256="","",IF(Q256="No","Duplicate of an earlier response",IF(L256="Not on SITES","Site not on SITES",IF(N(G256)&gt;N(F256),"Present is more than enrolled",IF(OR(I256&lt;1,I256&gt;5),"Score outside 1 to 5","")))))</f>
        <v/>
      </c>
    </row>
    <row r="257" customFormat="false" ht="15" hidden="false" customHeight="false" outlineLevel="0" collapsed="false">
      <c r="A257" s="52" t="n">
        <v>45981.8019097222</v>
      </c>
      <c r="B257" s="53" t="s">
        <v>132</v>
      </c>
      <c r="C257" s="53" t="s">
        <v>150</v>
      </c>
      <c r="D257" s="53" t="s">
        <v>138</v>
      </c>
      <c r="E257" s="54" t="n">
        <v>45981</v>
      </c>
      <c r="F257" s="55" t="n">
        <v>21</v>
      </c>
      <c r="G257" s="55" t="n">
        <v>17</v>
      </c>
      <c r="H257" s="55" t="n">
        <v>90</v>
      </c>
      <c r="I257" s="56" t="n">
        <v>2.9</v>
      </c>
      <c r="J257" s="53" t="s">
        <v>147</v>
      </c>
      <c r="K257" s="53"/>
      <c r="L257" s="57" t="str">
        <f aca="false">IF(C257="","",IFERROR(INDEX(site_ID,MATCH(C257,site_Name,0)),"Not on SITES"))</f>
        <v>LW-117</v>
      </c>
      <c r="M257" s="58" t="n">
        <f aca="false">IF(E257="","",DATE(YEAR(E257),MONTH(E257),1))</f>
        <v>45962</v>
      </c>
      <c r="N257" s="57" t="str">
        <f aca="false">IF(E257="","","FY"&amp;(YEAR(E257)+IF(AND(FYStart&gt;1,MONTH(E257)&gt;=FYStart),1,0))&amp;" Q"&amp;(INT(MOD(MONTH(E257)-FYStart,12)/3)+1))</f>
        <v>FY2026 Q2</v>
      </c>
      <c r="O257" s="59" t="n">
        <f aca="false">IF(OR(E257="",N(F257)=0),"",G257/F257)</f>
        <v>0.80952380952381</v>
      </c>
      <c r="P257" s="60" t="n">
        <f aca="false">IF(E257="","",ROUND(N(G257)*N(H257)/60,1))</f>
        <v>25.5</v>
      </c>
      <c r="Q257" s="57" t="str">
        <f aca="false">IF(E257="","",IF(COUNTIFS($C$2:C257,C257,$E$2:E257,E257,$B$2:B257,B257)&gt;1,"No","Yes"))</f>
        <v>Yes</v>
      </c>
      <c r="R257" s="61" t="str">
        <f aca="false">IF(E257="","",IF(Q257="No","Duplicate of an earlier response",IF(L257="Not on SITES","Site not on SITES",IF(N(G257)&gt;N(F257),"Present is more than enrolled",IF(OR(I257&lt;1,I257&gt;5),"Score outside 1 to 5","")))))</f>
        <v/>
      </c>
    </row>
    <row r="258" customFormat="false" ht="15" hidden="false" customHeight="false" outlineLevel="0" collapsed="false">
      <c r="A258" s="52" t="n">
        <v>45981.821099537</v>
      </c>
      <c r="B258" s="53" t="s">
        <v>121</v>
      </c>
      <c r="C258" s="53" t="s">
        <v>122</v>
      </c>
      <c r="D258" s="53" t="s">
        <v>116</v>
      </c>
      <c r="E258" s="54" t="n">
        <v>45981</v>
      </c>
      <c r="F258" s="55" t="n">
        <v>16</v>
      </c>
      <c r="G258" s="55" t="n">
        <v>13</v>
      </c>
      <c r="H258" s="55" t="n">
        <v>60</v>
      </c>
      <c r="I258" s="56" t="n">
        <v>3.3</v>
      </c>
      <c r="J258" s="53" t="s">
        <v>123</v>
      </c>
      <c r="K258" s="53"/>
      <c r="L258" s="57" t="str">
        <f aca="false">IF(C258="","",IFERROR(INDEX(site_ID,MATCH(C258,site_Name,0)),"Not on SITES"))</f>
        <v>LW-116</v>
      </c>
      <c r="M258" s="58" t="n">
        <f aca="false">IF(E258="","",DATE(YEAR(E258),MONTH(E258),1))</f>
        <v>45962</v>
      </c>
      <c r="N258" s="57" t="str">
        <f aca="false">IF(E258="","","FY"&amp;(YEAR(E258)+IF(AND(FYStart&gt;1,MONTH(E258)&gt;=FYStart),1,0))&amp;" Q"&amp;(INT(MOD(MONTH(E258)-FYStart,12)/3)+1))</f>
        <v>FY2026 Q2</v>
      </c>
      <c r="O258" s="59" t="n">
        <f aca="false">IF(OR(E258="",N(F258)=0),"",G258/F258)</f>
        <v>0.8125</v>
      </c>
      <c r="P258" s="60" t="n">
        <f aca="false">IF(E258="","",ROUND(N(G258)*N(H258)/60,1))</f>
        <v>13</v>
      </c>
      <c r="Q258" s="57" t="str">
        <f aca="false">IF(E258="","",IF(COUNTIFS($C$2:C258,C258,$E$2:E258,E258,$B$2:B258,B258)&gt;1,"No","Yes"))</f>
        <v>Yes</v>
      </c>
      <c r="R258" s="61" t="str">
        <f aca="false">IF(E258="","",IF(Q258="No","Duplicate of an earlier response",IF(L258="Not on SITES","Site not on SITES",IF(N(G258)&gt;N(F258),"Present is more than enrolled",IF(OR(I258&lt;1,I258&gt;5),"Score outside 1 to 5","")))))</f>
        <v/>
      </c>
    </row>
    <row r="259" customFormat="false" ht="15" hidden="false" customHeight="false" outlineLevel="0" collapsed="false">
      <c r="A259" s="52" t="n">
        <v>45981.8511689815</v>
      </c>
      <c r="B259" s="53" t="s">
        <v>111</v>
      </c>
      <c r="C259" s="53" t="s">
        <v>149</v>
      </c>
      <c r="D259" s="53" t="s">
        <v>113</v>
      </c>
      <c r="E259" s="54" t="n">
        <v>45981</v>
      </c>
      <c r="F259" s="55" t="n">
        <v>21</v>
      </c>
      <c r="G259" s="55" t="n">
        <v>17</v>
      </c>
      <c r="H259" s="55" t="n">
        <v>60</v>
      </c>
      <c r="I259" s="56" t="n">
        <v>3.3</v>
      </c>
      <c r="J259" s="53" t="s">
        <v>131</v>
      </c>
      <c r="K259" s="53"/>
      <c r="L259" s="57" t="str">
        <f aca="false">IF(C259="","",IFERROR(INDEX(site_ID,MATCH(C259,site_Name,0)),"Not on SITES"))</f>
        <v>LW-112</v>
      </c>
      <c r="M259" s="58" t="n">
        <f aca="false">IF(E259="","",DATE(YEAR(E259),MONTH(E259),1))</f>
        <v>45962</v>
      </c>
      <c r="N259" s="57" t="str">
        <f aca="false">IF(E259="","","FY"&amp;(YEAR(E259)+IF(AND(FYStart&gt;1,MONTH(E259)&gt;=FYStart),1,0))&amp;" Q"&amp;(INT(MOD(MONTH(E259)-FYStart,12)/3)+1))</f>
        <v>FY2026 Q2</v>
      </c>
      <c r="O259" s="59" t="n">
        <f aca="false">IF(OR(E259="",N(F259)=0),"",G259/F259)</f>
        <v>0.80952380952381</v>
      </c>
      <c r="P259" s="60" t="n">
        <f aca="false">IF(E259="","",ROUND(N(G259)*N(H259)/60,1))</f>
        <v>17</v>
      </c>
      <c r="Q259" s="57" t="str">
        <f aca="false">IF(E259="","",IF(COUNTIFS($C$2:C259,C259,$E$2:E259,E259,$B$2:B259,B259)&gt;1,"No","Yes"))</f>
        <v>Yes</v>
      </c>
      <c r="R259" s="61" t="str">
        <f aca="false">IF(E259="","",IF(Q259="No","Duplicate of an earlier response",IF(L259="Not on SITES","Site not on SITES",IF(N(G259)&gt;N(F259),"Present is more than enrolled",IF(OR(I259&lt;1,I259&gt;5),"Score outside 1 to 5","")))))</f>
        <v/>
      </c>
    </row>
    <row r="260" customFormat="false" ht="15" hidden="false" customHeight="false" outlineLevel="0" collapsed="false">
      <c r="A260" s="52" t="n">
        <v>45982.7222453704</v>
      </c>
      <c r="B260" s="53" t="s">
        <v>140</v>
      </c>
      <c r="C260" s="53" t="s">
        <v>141</v>
      </c>
      <c r="D260" s="53" t="s">
        <v>116</v>
      </c>
      <c r="E260" s="54" t="n">
        <v>45982</v>
      </c>
      <c r="F260" s="55" t="n">
        <v>13</v>
      </c>
      <c r="G260" s="55" t="n">
        <v>11</v>
      </c>
      <c r="H260" s="55" t="n">
        <v>90</v>
      </c>
      <c r="I260" s="56" t="n">
        <v>3.8</v>
      </c>
      <c r="J260" s="53" t="s">
        <v>160</v>
      </c>
      <c r="K260" s="53"/>
      <c r="L260" s="57" t="str">
        <f aca="false">IF(C260="","",IFERROR(INDEX(site_ID,MATCH(C260,site_Name,0)),"Not on SITES"))</f>
        <v>LW-118</v>
      </c>
      <c r="M260" s="58" t="n">
        <f aca="false">IF(E260="","",DATE(YEAR(E260),MONTH(E260),1))</f>
        <v>45962</v>
      </c>
      <c r="N260" s="57" t="str">
        <f aca="false">IF(E260="","","FY"&amp;(YEAR(E260)+IF(AND(FYStart&gt;1,MONTH(E260)&gt;=FYStart),1,0))&amp;" Q"&amp;(INT(MOD(MONTH(E260)-FYStart,12)/3)+1))</f>
        <v>FY2026 Q2</v>
      </c>
      <c r="O260" s="59" t="n">
        <f aca="false">IF(OR(E260="",N(F260)=0),"",G260/F260)</f>
        <v>0.846153846153846</v>
      </c>
      <c r="P260" s="60" t="n">
        <f aca="false">IF(E260="","",ROUND(N(G260)*N(H260)/60,1))</f>
        <v>16.5</v>
      </c>
      <c r="Q260" s="57" t="str">
        <f aca="false">IF(E260="","",IF(COUNTIFS($C$2:C260,C260,$E$2:E260,E260,$B$2:B260,B260)&gt;1,"No","Yes"))</f>
        <v>Yes</v>
      </c>
      <c r="R260" s="61" t="str">
        <f aca="false">IF(E260="","",IF(Q260="No","Duplicate of an earlier response",IF(L260="Not on SITES","Site not on SITES",IF(N(G260)&gt;N(F260),"Present is more than enrolled",IF(OR(I260&lt;1,I260&gt;5),"Score outside 1 to 5","")))))</f>
        <v/>
      </c>
    </row>
    <row r="261" customFormat="false" ht="15" hidden="false" customHeight="false" outlineLevel="0" collapsed="false">
      <c r="A261" s="52" t="n">
        <v>45983.7405555556</v>
      </c>
      <c r="B261" s="53" t="s">
        <v>129</v>
      </c>
      <c r="C261" s="53" t="s">
        <v>137</v>
      </c>
      <c r="D261" s="53" t="s">
        <v>138</v>
      </c>
      <c r="E261" s="54" t="n">
        <v>45982</v>
      </c>
      <c r="F261" s="55" t="n">
        <v>20</v>
      </c>
      <c r="G261" s="55" t="n">
        <v>17</v>
      </c>
      <c r="H261" s="55" t="n">
        <v>90</v>
      </c>
      <c r="I261" s="56" t="n">
        <v>3.5</v>
      </c>
      <c r="J261" s="53" t="s">
        <v>152</v>
      </c>
      <c r="K261" s="53"/>
      <c r="L261" s="57" t="str">
        <f aca="false">IF(C261="","",IFERROR(INDEX(site_ID,MATCH(C261,site_Name,0)),"Not on SITES"))</f>
        <v>LW-115</v>
      </c>
      <c r="M261" s="58" t="n">
        <f aca="false">IF(E261="","",DATE(YEAR(E261),MONTH(E261),1))</f>
        <v>45962</v>
      </c>
      <c r="N261" s="57" t="str">
        <f aca="false">IF(E261="","","FY"&amp;(YEAR(E261)+IF(AND(FYStart&gt;1,MONTH(E261)&gt;=FYStart),1,0))&amp;" Q"&amp;(INT(MOD(MONTH(E261)-FYStart,12)/3)+1))</f>
        <v>FY2026 Q2</v>
      </c>
      <c r="O261" s="59" t="n">
        <f aca="false">IF(OR(E261="",N(F261)=0),"",G261/F261)</f>
        <v>0.85</v>
      </c>
      <c r="P261" s="60" t="n">
        <f aca="false">IF(E261="","",ROUND(N(G261)*N(H261)/60,1))</f>
        <v>25.5</v>
      </c>
      <c r="Q261" s="57" t="str">
        <f aca="false">IF(E261="","",IF(COUNTIFS($C$2:C261,C261,$E$2:E261,E261,$B$2:B261,B261)&gt;1,"No","Yes"))</f>
        <v>Yes</v>
      </c>
      <c r="R261" s="61" t="str">
        <f aca="false">IF(E261="","",IF(Q261="No","Duplicate of an earlier response",IF(L261="Not on SITES","Site not on SITES",IF(N(G261)&gt;N(F261),"Present is more than enrolled",IF(OR(I261&lt;1,I261&gt;5),"Score outside 1 to 5","")))))</f>
        <v/>
      </c>
    </row>
    <row r="262" customFormat="false" ht="15" hidden="false" customHeight="false" outlineLevel="0" collapsed="false">
      <c r="A262" s="52" t="n">
        <v>45983.7979398148</v>
      </c>
      <c r="B262" s="53" t="s">
        <v>140</v>
      </c>
      <c r="C262" s="53" t="s">
        <v>141</v>
      </c>
      <c r="D262" s="53" t="s">
        <v>116</v>
      </c>
      <c r="E262" s="54" t="n">
        <v>45980</v>
      </c>
      <c r="F262" s="55" t="n">
        <v>13</v>
      </c>
      <c r="G262" s="55" t="n">
        <v>10</v>
      </c>
      <c r="H262" s="55" t="n">
        <v>60</v>
      </c>
      <c r="I262" s="56" t="n">
        <v>3.8</v>
      </c>
      <c r="J262" s="53" t="s">
        <v>153</v>
      </c>
      <c r="K262" s="53"/>
      <c r="L262" s="57" t="str">
        <f aca="false">IF(C262="","",IFERROR(INDEX(site_ID,MATCH(C262,site_Name,0)),"Not on SITES"))</f>
        <v>LW-118</v>
      </c>
      <c r="M262" s="58" t="n">
        <f aca="false">IF(E262="","",DATE(YEAR(E262),MONTH(E262),1))</f>
        <v>45962</v>
      </c>
      <c r="N262" s="57" t="str">
        <f aca="false">IF(E262="","","FY"&amp;(YEAR(E262)+IF(AND(FYStart&gt;1,MONTH(E262)&gt;=FYStart),1,0))&amp;" Q"&amp;(INT(MOD(MONTH(E262)-FYStart,12)/3)+1))</f>
        <v>FY2026 Q2</v>
      </c>
      <c r="O262" s="59" t="n">
        <f aca="false">IF(OR(E262="",N(F262)=0),"",G262/F262)</f>
        <v>0.769230769230769</v>
      </c>
      <c r="P262" s="60" t="n">
        <f aca="false">IF(E262="","",ROUND(N(G262)*N(H262)/60,1))</f>
        <v>10</v>
      </c>
      <c r="Q262" s="57" t="str">
        <f aca="false">IF(E262="","",IF(COUNTIFS($C$2:C262,C262,$E$2:E262,E262,$B$2:B262,B262)&gt;1,"No","Yes"))</f>
        <v>Yes</v>
      </c>
      <c r="R262" s="61" t="str">
        <f aca="false">IF(E262="","",IF(Q262="No","Duplicate of an earlier response",IF(L262="Not on SITES","Site not on SITES",IF(N(G262)&gt;N(F262),"Present is more than enrolled",IF(OR(I262&lt;1,I262&gt;5),"Score outside 1 to 5","")))))</f>
        <v/>
      </c>
    </row>
    <row r="263" customFormat="false" ht="15" hidden="false" customHeight="false" outlineLevel="0" collapsed="false">
      <c r="A263" s="52" t="n">
        <v>45984.8175</v>
      </c>
      <c r="B263" s="53" t="s">
        <v>109</v>
      </c>
      <c r="C263" s="53" t="s">
        <v>146</v>
      </c>
      <c r="D263" s="53" t="s">
        <v>138</v>
      </c>
      <c r="E263" s="54" t="n">
        <v>45981</v>
      </c>
      <c r="F263" s="55" t="n">
        <v>15</v>
      </c>
      <c r="G263" s="55" t="n">
        <v>14</v>
      </c>
      <c r="H263" s="55" t="n">
        <v>90</v>
      </c>
      <c r="I263" s="56" t="n">
        <v>3.2</v>
      </c>
      <c r="J263" s="53" t="s">
        <v>139</v>
      </c>
      <c r="K263" s="53"/>
      <c r="L263" s="57" t="str">
        <f aca="false">IF(C263="","",IFERROR(INDEX(site_ID,MATCH(C263,site_Name,0)),"Not on SITES"))</f>
        <v>LW-105</v>
      </c>
      <c r="M263" s="58" t="n">
        <f aca="false">IF(E263="","",DATE(YEAR(E263),MONTH(E263),1))</f>
        <v>45962</v>
      </c>
      <c r="N263" s="57" t="str">
        <f aca="false">IF(E263="","","FY"&amp;(YEAR(E263)+IF(AND(FYStart&gt;1,MONTH(E263)&gt;=FYStart),1,0))&amp;" Q"&amp;(INT(MOD(MONTH(E263)-FYStart,12)/3)+1))</f>
        <v>FY2026 Q2</v>
      </c>
      <c r="O263" s="59" t="n">
        <f aca="false">IF(OR(E263="",N(F263)=0),"",G263/F263)</f>
        <v>0.933333333333333</v>
      </c>
      <c r="P263" s="60" t="n">
        <f aca="false">IF(E263="","",ROUND(N(G263)*N(H263)/60,1))</f>
        <v>21</v>
      </c>
      <c r="Q263" s="57" t="str">
        <f aca="false">IF(E263="","",IF(COUNTIFS($C$2:C263,C263,$E$2:E263,E263,$B$2:B263,B263)&gt;1,"No","Yes"))</f>
        <v>Yes</v>
      </c>
      <c r="R263" s="61" t="str">
        <f aca="false">IF(E263="","",IF(Q263="No","Duplicate of an earlier response",IF(L263="Not on SITES","Site not on SITES",IF(N(G263)&gt;N(F263),"Present is more than enrolled",IF(OR(I263&lt;1,I263&gt;5),"Score outside 1 to 5","")))))</f>
        <v/>
      </c>
    </row>
    <row r="264" customFormat="false" ht="15" hidden="false" customHeight="false" outlineLevel="0" collapsed="false">
      <c r="A264" s="52" t="n">
        <v>45992.6425347222</v>
      </c>
      <c r="B264" s="53" t="s">
        <v>109</v>
      </c>
      <c r="C264" s="53" t="s">
        <v>110</v>
      </c>
      <c r="D264" s="53" t="s">
        <v>107</v>
      </c>
      <c r="E264" s="54" t="n">
        <v>45992</v>
      </c>
      <c r="F264" s="55" t="n">
        <v>22</v>
      </c>
      <c r="G264" s="55" t="n">
        <v>15</v>
      </c>
      <c r="H264" s="55" t="n">
        <v>60</v>
      </c>
      <c r="I264" s="56" t="n">
        <v>3.5</v>
      </c>
      <c r="J264" s="53" t="s">
        <v>156</v>
      </c>
      <c r="K264" s="53"/>
      <c r="L264" s="57" t="str">
        <f aca="false">IF(C264="","",IFERROR(INDEX(site_ID,MATCH(C264,site_Name,0)),"Not on SITES"))</f>
        <v>LW-113</v>
      </c>
      <c r="M264" s="58" t="n">
        <f aca="false">IF(E264="","",DATE(YEAR(E264),MONTH(E264),1))</f>
        <v>45992</v>
      </c>
      <c r="N264" s="57" t="str">
        <f aca="false">IF(E264="","","FY"&amp;(YEAR(E264)+IF(AND(FYStart&gt;1,MONTH(E264)&gt;=FYStart),1,0))&amp;" Q"&amp;(INT(MOD(MONTH(E264)-FYStart,12)/3)+1))</f>
        <v>FY2026 Q2</v>
      </c>
      <c r="O264" s="59" t="n">
        <f aca="false">IF(OR(E264="",N(F264)=0),"",G264/F264)</f>
        <v>0.681818181818182</v>
      </c>
      <c r="P264" s="60" t="n">
        <f aca="false">IF(E264="","",ROUND(N(G264)*N(H264)/60,1))</f>
        <v>15</v>
      </c>
      <c r="Q264" s="57" t="str">
        <f aca="false">IF(E264="","",IF(COUNTIFS($C$2:C264,C264,$E$2:E264,E264,$B$2:B264,B264)&gt;1,"No","Yes"))</f>
        <v>Yes</v>
      </c>
      <c r="R264" s="61" t="str">
        <f aca="false">IF(E264="","",IF(Q264="No","Duplicate of an earlier response",IF(L264="Not on SITES","Site not on SITES",IF(N(G264)&gt;N(F264),"Present is more than enrolled",IF(OR(I264&lt;1,I264&gt;5),"Score outside 1 to 5","")))))</f>
        <v/>
      </c>
    </row>
    <row r="265" customFormat="false" ht="15" hidden="false" customHeight="false" outlineLevel="0" collapsed="false">
      <c r="A265" s="52" t="n">
        <v>45992.6998958333</v>
      </c>
      <c r="B265" s="53" t="s">
        <v>111</v>
      </c>
      <c r="C265" s="53" t="s">
        <v>112</v>
      </c>
      <c r="D265" s="53" t="s">
        <v>113</v>
      </c>
      <c r="E265" s="54" t="n">
        <v>45992</v>
      </c>
      <c r="F265" s="55" t="n">
        <v>16</v>
      </c>
      <c r="G265" s="55" t="n">
        <v>12</v>
      </c>
      <c r="H265" s="55" t="n">
        <v>90</v>
      </c>
      <c r="I265" s="56" t="n">
        <v>3.6</v>
      </c>
      <c r="J265" s="53" t="s">
        <v>143</v>
      </c>
      <c r="K265" s="53"/>
      <c r="L265" s="57" t="str">
        <f aca="false">IF(C265="","",IFERROR(INDEX(site_ID,MATCH(C265,site_Name,0)),"Not on SITES"))</f>
        <v>LW-120</v>
      </c>
      <c r="M265" s="58" t="n">
        <f aca="false">IF(E265="","",DATE(YEAR(E265),MONTH(E265),1))</f>
        <v>45992</v>
      </c>
      <c r="N265" s="57" t="str">
        <f aca="false">IF(E265="","","FY"&amp;(YEAR(E265)+IF(AND(FYStart&gt;1,MONTH(E265)&gt;=FYStart),1,0))&amp;" Q"&amp;(INT(MOD(MONTH(E265)-FYStart,12)/3)+1))</f>
        <v>FY2026 Q2</v>
      </c>
      <c r="O265" s="59" t="n">
        <f aca="false">IF(OR(E265="",N(F265)=0),"",G265/F265)</f>
        <v>0.75</v>
      </c>
      <c r="P265" s="60" t="n">
        <f aca="false">IF(E265="","",ROUND(N(G265)*N(H265)/60,1))</f>
        <v>18</v>
      </c>
      <c r="Q265" s="57" t="str">
        <f aca="false">IF(E265="","",IF(COUNTIFS($C$2:C265,C265,$E$2:E265,E265,$B$2:B265,B265)&gt;1,"No","Yes"))</f>
        <v>Yes</v>
      </c>
      <c r="R265" s="61" t="str">
        <f aca="false">IF(E265="","",IF(Q265="No","Duplicate of an earlier response",IF(L265="Not on SITES","Site not on SITES",IF(N(G265)&gt;N(F265),"Present is more than enrolled",IF(OR(I265&lt;1,I265&gt;5),"Score outside 1 to 5","")))))</f>
        <v/>
      </c>
    </row>
    <row r="266" customFormat="false" ht="15" hidden="false" customHeight="false" outlineLevel="0" collapsed="false">
      <c r="A266" s="52" t="n">
        <v>45992.7319675926</v>
      </c>
      <c r="B266" s="53" t="s">
        <v>105</v>
      </c>
      <c r="C266" s="53" t="s">
        <v>118</v>
      </c>
      <c r="D266" s="53" t="s">
        <v>119</v>
      </c>
      <c r="E266" s="54" t="n">
        <v>45992</v>
      </c>
      <c r="F266" s="55" t="n">
        <v>22</v>
      </c>
      <c r="G266" s="55" t="n">
        <v>16</v>
      </c>
      <c r="H266" s="55" t="n">
        <v>90</v>
      </c>
      <c r="I266" s="56" t="n">
        <v>3.6</v>
      </c>
      <c r="J266" s="53" t="s">
        <v>144</v>
      </c>
      <c r="K266" s="53"/>
      <c r="L266" s="57" t="str">
        <f aca="false">IF(C266="","",IFERROR(INDEX(site_ID,MATCH(C266,site_Name,0)),"Not on SITES"))</f>
        <v>LW-111</v>
      </c>
      <c r="M266" s="58" t="n">
        <f aca="false">IF(E266="","",DATE(YEAR(E266),MONTH(E266),1))</f>
        <v>45992</v>
      </c>
      <c r="N266" s="57" t="str">
        <f aca="false">IF(E266="","","FY"&amp;(YEAR(E266)+IF(AND(FYStart&gt;1,MONTH(E266)&gt;=FYStart),1,0))&amp;" Q"&amp;(INT(MOD(MONTH(E266)-FYStart,12)/3)+1))</f>
        <v>FY2026 Q2</v>
      </c>
      <c r="O266" s="59" t="n">
        <f aca="false">IF(OR(E266="",N(F266)=0),"",G266/F266)</f>
        <v>0.727272727272727</v>
      </c>
      <c r="P266" s="60" t="n">
        <f aca="false">IF(E266="","",ROUND(N(G266)*N(H266)/60,1))</f>
        <v>24</v>
      </c>
      <c r="Q266" s="57" t="str">
        <f aca="false">IF(E266="","",IF(COUNTIFS($C$2:C266,C266,$E$2:E266,E266,$B$2:B266,B266)&gt;1,"No","Yes"))</f>
        <v>Yes</v>
      </c>
      <c r="R266" s="61" t="str">
        <f aca="false">IF(E266="","",IF(Q266="No","Duplicate of an earlier response",IF(L266="Not on SITES","Site not on SITES",IF(N(G266)&gt;N(F266),"Present is more than enrolled",IF(OR(I266&lt;1,I266&gt;5),"Score outside 1 to 5","")))))</f>
        <v/>
      </c>
    </row>
    <row r="267" customFormat="false" ht="15" hidden="false" customHeight="false" outlineLevel="0" collapsed="false">
      <c r="A267" s="52" t="n">
        <v>45992.7666203704</v>
      </c>
      <c r="B267" s="53" t="s">
        <v>105</v>
      </c>
      <c r="C267" s="53" t="s">
        <v>106</v>
      </c>
      <c r="D267" s="53" t="s">
        <v>107</v>
      </c>
      <c r="E267" s="54" t="n">
        <v>45992</v>
      </c>
      <c r="F267" s="55" t="n">
        <v>16</v>
      </c>
      <c r="G267" s="55" t="n">
        <v>11</v>
      </c>
      <c r="H267" s="55" t="n">
        <v>60</v>
      </c>
      <c r="I267" s="56" t="n">
        <v>4</v>
      </c>
      <c r="J267" s="53" t="s">
        <v>166</v>
      </c>
      <c r="K267" s="53"/>
      <c r="L267" s="57" t="str">
        <f aca="false">IF(C267="","",IFERROR(INDEX(site_ID,MATCH(C267,site_Name,0)),"Not on SITES"))</f>
        <v>LW-103</v>
      </c>
      <c r="M267" s="58" t="n">
        <f aca="false">IF(E267="","",DATE(YEAR(E267),MONTH(E267),1))</f>
        <v>45992</v>
      </c>
      <c r="N267" s="57" t="str">
        <f aca="false">IF(E267="","","FY"&amp;(YEAR(E267)+IF(AND(FYStart&gt;1,MONTH(E267)&gt;=FYStart),1,0))&amp;" Q"&amp;(INT(MOD(MONTH(E267)-FYStart,12)/3)+1))</f>
        <v>FY2026 Q2</v>
      </c>
      <c r="O267" s="59" t="n">
        <f aca="false">IF(OR(E267="",N(F267)=0),"",G267/F267)</f>
        <v>0.6875</v>
      </c>
      <c r="P267" s="60" t="n">
        <f aca="false">IF(E267="","",ROUND(N(G267)*N(H267)/60,1))</f>
        <v>11</v>
      </c>
      <c r="Q267" s="57" t="str">
        <f aca="false">IF(E267="","",IF(COUNTIFS($C$2:C267,C267,$E$2:E267,E267,$B$2:B267,B267)&gt;1,"No","Yes"))</f>
        <v>Yes</v>
      </c>
      <c r="R267" s="61" t="str">
        <f aca="false">IF(E267="","",IF(Q267="No","Duplicate of an earlier response",IF(L267="Not on SITES","Site not on SITES",IF(N(G267)&gt;N(F267),"Present is more than enrolled",IF(OR(I267&lt;1,I267&gt;5),"Score outside 1 to 5","")))))</f>
        <v/>
      </c>
    </row>
    <row r="268" customFormat="false" ht="15" hidden="false" customHeight="false" outlineLevel="0" collapsed="false">
      <c r="A268" s="52" t="n">
        <v>45992.7731944445</v>
      </c>
      <c r="B268" s="53" t="s">
        <v>105</v>
      </c>
      <c r="C268" s="53" t="s">
        <v>115</v>
      </c>
      <c r="D268" s="53" t="s">
        <v>116</v>
      </c>
      <c r="E268" s="54" t="n">
        <v>45992</v>
      </c>
      <c r="F268" s="55" t="n">
        <v>16</v>
      </c>
      <c r="G268" s="55" t="n">
        <v>11</v>
      </c>
      <c r="H268" s="55" t="n">
        <v>60</v>
      </c>
      <c r="I268" s="56" t="n">
        <v>3.2</v>
      </c>
      <c r="J268" s="53" t="s">
        <v>160</v>
      </c>
      <c r="K268" s="53"/>
      <c r="L268" s="57" t="str">
        <f aca="false">IF(C268="","",IFERROR(INDEX(site_ID,MATCH(C268,site_Name,0)),"Not on SITES"))</f>
        <v>LW-119</v>
      </c>
      <c r="M268" s="58" t="n">
        <f aca="false">IF(E268="","",DATE(YEAR(E268),MONTH(E268),1))</f>
        <v>45992</v>
      </c>
      <c r="N268" s="57" t="str">
        <f aca="false">IF(E268="","","FY"&amp;(YEAR(E268)+IF(AND(FYStart&gt;1,MONTH(E268)&gt;=FYStart),1,0))&amp;" Q"&amp;(INT(MOD(MONTH(E268)-FYStart,12)/3)+1))</f>
        <v>FY2026 Q2</v>
      </c>
      <c r="O268" s="59" t="n">
        <f aca="false">IF(OR(E268="",N(F268)=0),"",G268/F268)</f>
        <v>0.6875</v>
      </c>
      <c r="P268" s="60" t="n">
        <f aca="false">IF(E268="","",ROUND(N(G268)*N(H268)/60,1))</f>
        <v>11</v>
      </c>
      <c r="Q268" s="57" t="str">
        <f aca="false">IF(E268="","",IF(COUNTIFS($C$2:C268,C268,$E$2:E268,E268,$B$2:B268,B268)&gt;1,"No","Yes"))</f>
        <v>Yes</v>
      </c>
      <c r="R268" s="61" t="str">
        <f aca="false">IF(E268="","",IF(Q268="No","Duplicate of an earlier response",IF(L268="Not on SITES","Site not on SITES",IF(N(G268)&gt;N(F268),"Present is more than enrolled",IF(OR(I268&lt;1,I268&gt;5),"Score outside 1 to 5","")))))</f>
        <v/>
      </c>
    </row>
    <row r="269" customFormat="false" ht="15" hidden="false" customHeight="false" outlineLevel="0" collapsed="false">
      <c r="A269" s="52" t="n">
        <v>45993.6369791667</v>
      </c>
      <c r="B269" s="53" t="s">
        <v>129</v>
      </c>
      <c r="C269" s="53" t="s">
        <v>130</v>
      </c>
      <c r="D269" s="53" t="s">
        <v>113</v>
      </c>
      <c r="E269" s="54" t="n">
        <v>45993</v>
      </c>
      <c r="F269" s="55" t="n">
        <v>17</v>
      </c>
      <c r="G269" s="55" t="n">
        <v>12</v>
      </c>
      <c r="H269" s="55" t="n">
        <v>75</v>
      </c>
      <c r="I269" s="56" t="n">
        <v>3.4</v>
      </c>
      <c r="J269" s="53" t="s">
        <v>165</v>
      </c>
      <c r="K269" s="53"/>
      <c r="L269" s="57" t="str">
        <f aca="false">IF(C269="","",IFERROR(INDEX(site_ID,MATCH(C269,site_Name,0)),"Not on SITES"))</f>
        <v>LW-107</v>
      </c>
      <c r="M269" s="58" t="n">
        <f aca="false">IF(E269="","",DATE(YEAR(E269),MONTH(E269),1))</f>
        <v>45992</v>
      </c>
      <c r="N269" s="57" t="str">
        <f aca="false">IF(E269="","","FY"&amp;(YEAR(E269)+IF(AND(FYStart&gt;1,MONTH(E269)&gt;=FYStart),1,0))&amp;" Q"&amp;(INT(MOD(MONTH(E269)-FYStart,12)/3)+1))</f>
        <v>FY2026 Q2</v>
      </c>
      <c r="O269" s="59" t="n">
        <f aca="false">IF(OR(E269="",N(F269)=0),"",G269/F269)</f>
        <v>0.705882352941177</v>
      </c>
      <c r="P269" s="60" t="n">
        <f aca="false">IF(E269="","",ROUND(N(G269)*N(H269)/60,1))</f>
        <v>15</v>
      </c>
      <c r="Q269" s="57" t="str">
        <f aca="false">IF(E269="","",IF(COUNTIFS($C$2:C269,C269,$E$2:E269,E269,$B$2:B269,B269)&gt;1,"No","Yes"))</f>
        <v>Yes</v>
      </c>
      <c r="R269" s="61" t="str">
        <f aca="false">IF(E269="","",IF(Q269="No","Duplicate of an earlier response",IF(L269="Not on SITES","Site not on SITES",IF(N(G269)&gt;N(F269),"Present is more than enrolled",IF(OR(I269&lt;1,I269&gt;5),"Score outside 1 to 5","")))))</f>
        <v/>
      </c>
    </row>
    <row r="270" customFormat="false" ht="15" hidden="false" customHeight="false" outlineLevel="0" collapsed="false">
      <c r="A270" s="52" t="n">
        <v>45993.8486458333</v>
      </c>
      <c r="B270" s="53" t="s">
        <v>124</v>
      </c>
      <c r="C270" s="53" t="s">
        <v>125</v>
      </c>
      <c r="D270" s="53" t="s">
        <v>119</v>
      </c>
      <c r="E270" s="54" t="n">
        <v>45993</v>
      </c>
      <c r="F270" s="55" t="n">
        <v>18</v>
      </c>
      <c r="G270" s="55" t="n">
        <v>14</v>
      </c>
      <c r="H270" s="55" t="n">
        <v>75</v>
      </c>
      <c r="I270" s="56" t="n">
        <v>3.4</v>
      </c>
      <c r="J270" s="53" t="s">
        <v>126</v>
      </c>
      <c r="K270" s="53"/>
      <c r="L270" s="57" t="str">
        <f aca="false">IF(C270="","",IFERROR(INDEX(site_ID,MATCH(C270,site_Name,0)),"Not on SITES"))</f>
        <v>LW-106</v>
      </c>
      <c r="M270" s="58" t="n">
        <f aca="false">IF(E270="","",DATE(YEAR(E270),MONTH(E270),1))</f>
        <v>45992</v>
      </c>
      <c r="N270" s="57" t="str">
        <f aca="false">IF(E270="","","FY"&amp;(YEAR(E270)+IF(AND(FYStart&gt;1,MONTH(E270)&gt;=FYStart),1,0))&amp;" Q"&amp;(INT(MOD(MONTH(E270)-FYStart,12)/3)+1))</f>
        <v>FY2026 Q2</v>
      </c>
      <c r="O270" s="59" t="n">
        <f aca="false">IF(OR(E270="",N(F270)=0),"",G270/F270)</f>
        <v>0.777777777777778</v>
      </c>
      <c r="P270" s="60" t="n">
        <f aca="false">IF(E270="","",ROUND(N(G270)*N(H270)/60,1))</f>
        <v>17.5</v>
      </c>
      <c r="Q270" s="57" t="str">
        <f aca="false">IF(E270="","",IF(COUNTIFS($C$2:C270,C270,$E$2:E270,E270,$B$2:B270,B270)&gt;1,"No","Yes"))</f>
        <v>Yes</v>
      </c>
      <c r="R270" s="61" t="str">
        <f aca="false">IF(E270="","",IF(Q270="No","Duplicate of an earlier response",IF(L270="Not on SITES","Site not on SITES",IF(N(G270)&gt;N(F270),"Present is more than enrolled",IF(OR(I270&lt;1,I270&gt;5),"Score outside 1 to 5","")))))</f>
        <v/>
      </c>
    </row>
    <row r="271" customFormat="false" ht="15" hidden="false" customHeight="false" outlineLevel="0" collapsed="false">
      <c r="A271" s="52" t="n">
        <v>45993.8590162037</v>
      </c>
      <c r="B271" s="53" t="s">
        <v>121</v>
      </c>
      <c r="C271" s="53" t="s">
        <v>127</v>
      </c>
      <c r="D271" s="53" t="s">
        <v>107</v>
      </c>
      <c r="E271" s="54" t="n">
        <v>45993</v>
      </c>
      <c r="F271" s="55" t="n">
        <v>16</v>
      </c>
      <c r="G271" s="55" t="n">
        <v>13</v>
      </c>
      <c r="H271" s="55" t="n">
        <v>75</v>
      </c>
      <c r="I271" s="56" t="n">
        <v>3.5</v>
      </c>
      <c r="J271" s="53" t="s">
        <v>156</v>
      </c>
      <c r="K271" s="53"/>
      <c r="L271" s="57" t="str">
        <f aca="false">IF(C271="","",IFERROR(INDEX(site_ID,MATCH(C271,site_Name,0)),"Not on SITES"))</f>
        <v>LW-108</v>
      </c>
      <c r="M271" s="58" t="n">
        <f aca="false">IF(E271="","",DATE(YEAR(E271),MONTH(E271),1))</f>
        <v>45992</v>
      </c>
      <c r="N271" s="57" t="str">
        <f aca="false">IF(E271="","","FY"&amp;(YEAR(E271)+IF(AND(FYStart&gt;1,MONTH(E271)&gt;=FYStart),1,0))&amp;" Q"&amp;(INT(MOD(MONTH(E271)-FYStart,12)/3)+1))</f>
        <v>FY2026 Q2</v>
      </c>
      <c r="O271" s="59" t="n">
        <f aca="false">IF(OR(E271="",N(F271)=0),"",G271/F271)</f>
        <v>0.8125</v>
      </c>
      <c r="P271" s="60" t="n">
        <f aca="false">IF(E271="","",ROUND(N(G271)*N(H271)/60,1))</f>
        <v>16.3</v>
      </c>
      <c r="Q271" s="57" t="str">
        <f aca="false">IF(E271="","",IF(COUNTIFS($C$2:C271,C271,$E$2:E271,E271,$B$2:B271,B271)&gt;1,"No","Yes"))</f>
        <v>Yes</v>
      </c>
      <c r="R271" s="61" t="str">
        <f aca="false">IF(E271="","",IF(Q271="No","Duplicate of an earlier response",IF(L271="Not on SITES","Site not on SITES",IF(N(G271)&gt;N(F271),"Present is more than enrolled",IF(OR(I271&lt;1,I271&gt;5),"Score outside 1 to 5","")))))</f>
        <v/>
      </c>
    </row>
    <row r="272" customFormat="false" ht="15" hidden="false" customHeight="false" outlineLevel="0" collapsed="false">
      <c r="A272" s="52" t="n">
        <v>45994.649375</v>
      </c>
      <c r="B272" s="53" t="s">
        <v>132</v>
      </c>
      <c r="C272" s="53" t="s">
        <v>133</v>
      </c>
      <c r="D272" s="53" t="s">
        <v>116</v>
      </c>
      <c r="E272" s="54" t="n">
        <v>45993</v>
      </c>
      <c r="F272" s="55" t="n">
        <v>18</v>
      </c>
      <c r="G272" s="55" t="n">
        <v>13</v>
      </c>
      <c r="H272" s="55" t="n">
        <v>60</v>
      </c>
      <c r="I272" s="56" t="n">
        <v>3.5</v>
      </c>
      <c r="J272" s="53" t="s">
        <v>153</v>
      </c>
      <c r="K272" s="53"/>
      <c r="L272" s="57" t="str">
        <f aca="false">IF(C272="","",IFERROR(INDEX(site_ID,MATCH(C272,site_Name,0)),"Not on SITES"))</f>
        <v>LW-109</v>
      </c>
      <c r="M272" s="58" t="n">
        <f aca="false">IF(E272="","",DATE(YEAR(E272),MONTH(E272),1))</f>
        <v>45992</v>
      </c>
      <c r="N272" s="57" t="str">
        <f aca="false">IF(E272="","","FY"&amp;(YEAR(E272)+IF(AND(FYStart&gt;1,MONTH(E272)&gt;=FYStart),1,0))&amp;" Q"&amp;(INT(MOD(MONTH(E272)-FYStart,12)/3)+1))</f>
        <v>FY2026 Q2</v>
      </c>
      <c r="O272" s="59" t="n">
        <f aca="false">IF(OR(E272="",N(F272)=0),"",G272/F272)</f>
        <v>0.722222222222222</v>
      </c>
      <c r="P272" s="60" t="n">
        <f aca="false">IF(E272="","",ROUND(N(G272)*N(H272)/60,1))</f>
        <v>13</v>
      </c>
      <c r="Q272" s="57" t="str">
        <f aca="false">IF(E272="","",IF(COUNTIFS($C$2:C272,C272,$E$2:E272,E272,$B$2:B272,B272)&gt;1,"No","Yes"))</f>
        <v>Yes</v>
      </c>
      <c r="R272" s="61" t="str">
        <f aca="false">IF(E272="","",IF(Q272="No","Duplicate of an earlier response",IF(L272="Not on SITES","Site not on SITES",IF(N(G272)&gt;N(F272),"Present is more than enrolled",IF(OR(I272&lt;1,I272&gt;5),"Score outside 1 to 5","")))))</f>
        <v/>
      </c>
    </row>
    <row r="273" customFormat="false" ht="15" hidden="false" customHeight="false" outlineLevel="0" collapsed="false">
      <c r="A273" s="52" t="n">
        <v>45994.6744328704</v>
      </c>
      <c r="B273" s="53" t="s">
        <v>132</v>
      </c>
      <c r="C273" s="53" t="s">
        <v>145</v>
      </c>
      <c r="D273" s="53" t="s">
        <v>119</v>
      </c>
      <c r="E273" s="54" t="n">
        <v>45994</v>
      </c>
      <c r="F273" s="55" t="n">
        <v>19</v>
      </c>
      <c r="G273" s="55" t="n">
        <v>13</v>
      </c>
      <c r="H273" s="55" t="n">
        <v>75</v>
      </c>
      <c r="I273" s="56" t="n">
        <v>3.6</v>
      </c>
      <c r="J273" s="53" t="s">
        <v>162</v>
      </c>
      <c r="K273" s="53"/>
      <c r="L273" s="57" t="str">
        <f aca="false">IF(C273="","",IFERROR(INDEX(site_ID,MATCH(C273,site_Name,0)),"Not on SITES"))</f>
        <v>LW-101</v>
      </c>
      <c r="M273" s="58" t="n">
        <f aca="false">IF(E273="","",DATE(YEAR(E273),MONTH(E273),1))</f>
        <v>45992</v>
      </c>
      <c r="N273" s="57" t="str">
        <f aca="false">IF(E273="","","FY"&amp;(YEAR(E273)+IF(AND(FYStart&gt;1,MONTH(E273)&gt;=FYStart),1,0))&amp;" Q"&amp;(INT(MOD(MONTH(E273)-FYStart,12)/3)+1))</f>
        <v>FY2026 Q2</v>
      </c>
      <c r="O273" s="59" t="n">
        <f aca="false">IF(OR(E273="",N(F273)=0),"",G273/F273)</f>
        <v>0.68421052631579</v>
      </c>
      <c r="P273" s="60" t="n">
        <f aca="false">IF(E273="","",ROUND(N(G273)*N(H273)/60,1))</f>
        <v>16.3</v>
      </c>
      <c r="Q273" s="57" t="str">
        <f aca="false">IF(E273="","",IF(COUNTIFS($C$2:C273,C273,$E$2:E273,E273,$B$2:B273,B273)&gt;1,"No","Yes"))</f>
        <v>Yes</v>
      </c>
      <c r="R273" s="61" t="str">
        <f aca="false">IF(E273="","",IF(Q273="No","Duplicate of an earlier response",IF(L273="Not on SITES","Site not on SITES",IF(N(G273)&gt;N(F273),"Present is more than enrolled",IF(OR(I273&lt;1,I273&gt;5),"Score outside 1 to 5","")))))</f>
        <v/>
      </c>
    </row>
    <row r="274" customFormat="false" ht="15" hidden="false" customHeight="false" outlineLevel="0" collapsed="false">
      <c r="A274" s="52" t="n">
        <v>45994.6965393519</v>
      </c>
      <c r="B274" s="53" t="s">
        <v>140</v>
      </c>
      <c r="C274" s="53" t="s">
        <v>142</v>
      </c>
      <c r="D274" s="53" t="s">
        <v>113</v>
      </c>
      <c r="E274" s="54" t="n">
        <v>45994</v>
      </c>
      <c r="F274" s="55" t="n">
        <v>18</v>
      </c>
      <c r="G274" s="55" t="n">
        <v>16</v>
      </c>
      <c r="H274" s="55" t="n">
        <v>90</v>
      </c>
      <c r="I274" s="56" t="n">
        <v>3.5</v>
      </c>
      <c r="J274" s="53" t="s">
        <v>165</v>
      </c>
      <c r="K274" s="53"/>
      <c r="L274" s="57" t="str">
        <f aca="false">IF(C274="","",IFERROR(INDEX(site_ID,MATCH(C274,site_Name,0)),"Not on SITES"))</f>
        <v>LW-102</v>
      </c>
      <c r="M274" s="58" t="n">
        <f aca="false">IF(E274="","",DATE(YEAR(E274),MONTH(E274),1))</f>
        <v>45992</v>
      </c>
      <c r="N274" s="57" t="str">
        <f aca="false">IF(E274="","","FY"&amp;(YEAR(E274)+IF(AND(FYStart&gt;1,MONTH(E274)&gt;=FYStart),1,0))&amp;" Q"&amp;(INT(MOD(MONTH(E274)-FYStart,12)/3)+1))</f>
        <v>FY2026 Q2</v>
      </c>
      <c r="O274" s="59" t="n">
        <f aca="false">IF(OR(E274="",N(F274)=0),"",G274/F274)</f>
        <v>0.888888888888889</v>
      </c>
      <c r="P274" s="60" t="n">
        <f aca="false">IF(E274="","",ROUND(N(G274)*N(H274)/60,1))</f>
        <v>24</v>
      </c>
      <c r="Q274" s="57" t="str">
        <f aca="false">IF(E274="","",IF(COUNTIFS($C$2:C274,C274,$E$2:E274,E274,$B$2:B274,B274)&gt;1,"No","Yes"))</f>
        <v>Yes</v>
      </c>
      <c r="R274" s="61" t="str">
        <f aca="false">IF(E274="","",IF(Q274="No","Duplicate of an earlier response",IF(L274="Not on SITES","Site not on SITES",IF(N(G274)&gt;N(F274),"Present is more than enrolled",IF(OR(I274&lt;1,I274&gt;5),"Score outside 1 to 5","")))))</f>
        <v/>
      </c>
    </row>
    <row r="275" customFormat="false" ht="15" hidden="false" customHeight="false" outlineLevel="0" collapsed="false">
      <c r="A275" s="52" t="n">
        <v>45994.7659837963</v>
      </c>
      <c r="B275" s="53" t="s">
        <v>111</v>
      </c>
      <c r="C275" s="53" t="s">
        <v>112</v>
      </c>
      <c r="D275" s="53" t="s">
        <v>113</v>
      </c>
      <c r="E275" s="54" t="n">
        <v>45994</v>
      </c>
      <c r="F275" s="55" t="n">
        <v>16</v>
      </c>
      <c r="G275" s="55" t="n">
        <v>12</v>
      </c>
      <c r="H275" s="55" t="n">
        <v>60</v>
      </c>
      <c r="I275" s="56" t="n">
        <v>3.4</v>
      </c>
      <c r="J275" s="53" t="s">
        <v>143</v>
      </c>
      <c r="K275" s="53"/>
      <c r="L275" s="57" t="str">
        <f aca="false">IF(C275="","",IFERROR(INDEX(site_ID,MATCH(C275,site_Name,0)),"Not on SITES"))</f>
        <v>LW-120</v>
      </c>
      <c r="M275" s="58" t="n">
        <f aca="false">IF(E275="","",DATE(YEAR(E275),MONTH(E275),1))</f>
        <v>45992</v>
      </c>
      <c r="N275" s="57" t="str">
        <f aca="false">IF(E275="","","FY"&amp;(YEAR(E275)+IF(AND(FYStart&gt;1,MONTH(E275)&gt;=FYStart),1,0))&amp;" Q"&amp;(INT(MOD(MONTH(E275)-FYStart,12)/3)+1))</f>
        <v>FY2026 Q2</v>
      </c>
      <c r="O275" s="59" t="n">
        <f aca="false">IF(OR(E275="",N(F275)=0),"",G275/F275)</f>
        <v>0.75</v>
      </c>
      <c r="P275" s="60" t="n">
        <f aca="false">IF(E275="","",ROUND(N(G275)*N(H275)/60,1))</f>
        <v>12</v>
      </c>
      <c r="Q275" s="57" t="str">
        <f aca="false">IF(E275="","",IF(COUNTIFS($C$2:C275,C275,$E$2:E275,E275,$B$2:B275,B275)&gt;1,"No","Yes"))</f>
        <v>Yes</v>
      </c>
      <c r="R275" s="61" t="str">
        <f aca="false">IF(E275="","",IF(Q275="No","Duplicate of an earlier response",IF(L275="Not on SITES","Site not on SITES",IF(N(G275)&gt;N(F275),"Present is more than enrolled",IF(OR(I275&lt;1,I275&gt;5),"Score outside 1 to 5","")))))</f>
        <v/>
      </c>
    </row>
    <row r="276" customFormat="false" ht="15" hidden="false" customHeight="false" outlineLevel="0" collapsed="false">
      <c r="A276" s="52" t="n">
        <v>45994.7707060185</v>
      </c>
      <c r="B276" s="53" t="s">
        <v>140</v>
      </c>
      <c r="C276" s="53" t="s">
        <v>141</v>
      </c>
      <c r="D276" s="53" t="s">
        <v>116</v>
      </c>
      <c r="E276" s="54" t="n">
        <v>45994</v>
      </c>
      <c r="F276" s="55" t="n">
        <v>13</v>
      </c>
      <c r="G276" s="55" t="n">
        <v>10</v>
      </c>
      <c r="H276" s="55" t="n">
        <v>75</v>
      </c>
      <c r="I276" s="56" t="n">
        <v>3.7</v>
      </c>
      <c r="J276" s="53" t="s">
        <v>134</v>
      </c>
      <c r="K276" s="53"/>
      <c r="L276" s="57" t="str">
        <f aca="false">IF(C276="","",IFERROR(INDEX(site_ID,MATCH(C276,site_Name,0)),"Not on SITES"))</f>
        <v>LW-118</v>
      </c>
      <c r="M276" s="58" t="n">
        <f aca="false">IF(E276="","",DATE(YEAR(E276),MONTH(E276),1))</f>
        <v>45992</v>
      </c>
      <c r="N276" s="57" t="str">
        <f aca="false">IF(E276="","","FY"&amp;(YEAR(E276)+IF(AND(FYStart&gt;1,MONTH(E276)&gt;=FYStart),1,0))&amp;" Q"&amp;(INT(MOD(MONTH(E276)-FYStart,12)/3)+1))</f>
        <v>FY2026 Q2</v>
      </c>
      <c r="O276" s="59" t="n">
        <f aca="false">IF(OR(E276="",N(F276)=0),"",G276/F276)</f>
        <v>0.769230769230769</v>
      </c>
      <c r="P276" s="60" t="n">
        <f aca="false">IF(E276="","",ROUND(N(G276)*N(H276)/60,1))</f>
        <v>12.5</v>
      </c>
      <c r="Q276" s="57" t="str">
        <f aca="false">IF(E276="","",IF(COUNTIFS($C$2:C276,C276,$E$2:E276,E276,$B$2:B276,B276)&gt;1,"No","Yes"))</f>
        <v>Yes</v>
      </c>
      <c r="R276" s="61" t="str">
        <f aca="false">IF(E276="","",IF(Q276="No","Duplicate of an earlier response",IF(L276="Not on SITES","Site not on SITES",IF(N(G276)&gt;N(F276),"Present is more than enrolled",IF(OR(I276&lt;1,I276&gt;5),"Score outside 1 to 5","")))))</f>
        <v/>
      </c>
    </row>
    <row r="277" customFormat="false" ht="15" hidden="false" customHeight="false" outlineLevel="0" collapsed="false">
      <c r="A277" s="52" t="n">
        <v>45994.8199305556</v>
      </c>
      <c r="B277" s="53" t="s">
        <v>129</v>
      </c>
      <c r="C277" s="53" t="s">
        <v>137</v>
      </c>
      <c r="D277" s="53" t="s">
        <v>138</v>
      </c>
      <c r="E277" s="54" t="n">
        <v>45994</v>
      </c>
      <c r="F277" s="55" t="n">
        <v>20</v>
      </c>
      <c r="G277" s="55" t="n">
        <v>19</v>
      </c>
      <c r="H277" s="55" t="n">
        <v>90</v>
      </c>
      <c r="I277" s="56" t="n">
        <v>3.8</v>
      </c>
      <c r="J277" s="53" t="s">
        <v>164</v>
      </c>
      <c r="K277" s="53"/>
      <c r="L277" s="57" t="str">
        <f aca="false">IF(C277="","",IFERROR(INDEX(site_ID,MATCH(C277,site_Name,0)),"Not on SITES"))</f>
        <v>LW-115</v>
      </c>
      <c r="M277" s="58" t="n">
        <f aca="false">IF(E277="","",DATE(YEAR(E277),MONTH(E277),1))</f>
        <v>45992</v>
      </c>
      <c r="N277" s="57" t="str">
        <f aca="false">IF(E277="","","FY"&amp;(YEAR(E277)+IF(AND(FYStart&gt;1,MONTH(E277)&gt;=FYStart),1,0))&amp;" Q"&amp;(INT(MOD(MONTH(E277)-FYStart,12)/3)+1))</f>
        <v>FY2026 Q2</v>
      </c>
      <c r="O277" s="59" t="n">
        <f aca="false">IF(OR(E277="",N(F277)=0),"",G277/F277)</f>
        <v>0.95</v>
      </c>
      <c r="P277" s="60" t="n">
        <f aca="false">IF(E277="","",ROUND(N(G277)*N(H277)/60,1))</f>
        <v>28.5</v>
      </c>
      <c r="Q277" s="57" t="str">
        <f aca="false">IF(E277="","",IF(COUNTIFS($C$2:C277,C277,$E$2:E277,E277,$B$2:B277,B277)&gt;1,"No","Yes"))</f>
        <v>Yes</v>
      </c>
      <c r="R277" s="61" t="str">
        <f aca="false">IF(E277="","",IF(Q277="No","Duplicate of an earlier response",IF(L277="Not on SITES","Site not on SITES",IF(N(G277)&gt;N(F277),"Present is more than enrolled",IF(OR(I277&lt;1,I277&gt;5),"Score outside 1 to 5","")))))</f>
        <v/>
      </c>
    </row>
    <row r="278" customFormat="false" ht="15" hidden="false" customHeight="false" outlineLevel="0" collapsed="false">
      <c r="A278" s="52" t="n">
        <v>45994.839212963</v>
      </c>
      <c r="B278" s="53" t="s">
        <v>105</v>
      </c>
      <c r="C278" s="53" t="s">
        <v>118</v>
      </c>
      <c r="D278" s="53" t="s">
        <v>119</v>
      </c>
      <c r="E278" s="54" t="n">
        <v>45994</v>
      </c>
      <c r="F278" s="55" t="n">
        <v>22</v>
      </c>
      <c r="G278" s="55" t="n">
        <v>16</v>
      </c>
      <c r="H278" s="55" t="n">
        <v>90</v>
      </c>
      <c r="I278" s="56" t="n">
        <v>3.5</v>
      </c>
      <c r="J278" s="53" t="s">
        <v>126</v>
      </c>
      <c r="K278" s="53" t="s">
        <v>158</v>
      </c>
      <c r="L278" s="57" t="str">
        <f aca="false">IF(C278="","",IFERROR(INDEX(site_ID,MATCH(C278,site_Name,0)),"Not on SITES"))</f>
        <v>LW-111</v>
      </c>
      <c r="M278" s="58" t="n">
        <f aca="false">IF(E278="","",DATE(YEAR(E278),MONTH(E278),1))</f>
        <v>45992</v>
      </c>
      <c r="N278" s="57" t="str">
        <f aca="false">IF(E278="","","FY"&amp;(YEAR(E278)+IF(AND(FYStart&gt;1,MONTH(E278)&gt;=FYStart),1,0))&amp;" Q"&amp;(INT(MOD(MONTH(E278)-FYStart,12)/3)+1))</f>
        <v>FY2026 Q2</v>
      </c>
      <c r="O278" s="59" t="n">
        <f aca="false">IF(OR(E278="",N(F278)=0),"",G278/F278)</f>
        <v>0.727272727272727</v>
      </c>
      <c r="P278" s="60" t="n">
        <f aca="false">IF(E278="","",ROUND(N(G278)*N(H278)/60,1))</f>
        <v>24</v>
      </c>
      <c r="Q278" s="57" t="str">
        <f aca="false">IF(E278="","",IF(COUNTIFS($C$2:C278,C278,$E$2:E278,E278,$B$2:B278,B278)&gt;1,"No","Yes"))</f>
        <v>Yes</v>
      </c>
      <c r="R278" s="61" t="str">
        <f aca="false">IF(E278="","",IF(Q278="No","Duplicate of an earlier response",IF(L278="Not on SITES","Site not on SITES",IF(N(G278)&gt;N(F278),"Present is more than enrolled",IF(OR(I278&lt;1,I278&gt;5),"Score outside 1 to 5","")))))</f>
        <v/>
      </c>
    </row>
    <row r="279" customFormat="false" ht="15" hidden="false" customHeight="false" outlineLevel="0" collapsed="false">
      <c r="A279" s="52" t="n">
        <v>45995.6419560185</v>
      </c>
      <c r="B279" s="53" t="s">
        <v>111</v>
      </c>
      <c r="C279" s="53" t="s">
        <v>149</v>
      </c>
      <c r="D279" s="53" t="s">
        <v>113</v>
      </c>
      <c r="E279" s="54" t="n">
        <v>45995</v>
      </c>
      <c r="F279" s="55" t="n">
        <v>21</v>
      </c>
      <c r="G279" s="55" t="n">
        <v>17</v>
      </c>
      <c r="H279" s="55" t="n">
        <v>60</v>
      </c>
      <c r="I279" s="56" t="n">
        <v>3.5</v>
      </c>
      <c r="J279" s="53" t="s">
        <v>114</v>
      </c>
      <c r="K279" s="53"/>
      <c r="L279" s="57" t="str">
        <f aca="false">IF(C279="","",IFERROR(INDEX(site_ID,MATCH(C279,site_Name,0)),"Not on SITES"))</f>
        <v>LW-112</v>
      </c>
      <c r="M279" s="58" t="n">
        <f aca="false">IF(E279="","",DATE(YEAR(E279),MONTH(E279),1))</f>
        <v>45992</v>
      </c>
      <c r="N279" s="57" t="str">
        <f aca="false">IF(E279="","","FY"&amp;(YEAR(E279)+IF(AND(FYStart&gt;1,MONTH(E279)&gt;=FYStart),1,0))&amp;" Q"&amp;(INT(MOD(MONTH(E279)-FYStart,12)/3)+1))</f>
        <v>FY2026 Q2</v>
      </c>
      <c r="O279" s="59" t="n">
        <f aca="false">IF(OR(E279="",N(F279)=0),"",G279/F279)</f>
        <v>0.80952380952381</v>
      </c>
      <c r="P279" s="60" t="n">
        <f aca="false">IF(E279="","",ROUND(N(G279)*N(H279)/60,1))</f>
        <v>17</v>
      </c>
      <c r="Q279" s="57" t="str">
        <f aca="false">IF(E279="","",IF(COUNTIFS($C$2:C279,C279,$E$2:E279,E279,$B$2:B279,B279)&gt;1,"No","Yes"))</f>
        <v>Yes</v>
      </c>
      <c r="R279" s="61" t="str">
        <f aca="false">IF(E279="","",IF(Q279="No","Duplicate of an earlier response",IF(L279="Not on SITES","Site not on SITES",IF(N(G279)&gt;N(F279),"Present is more than enrolled",IF(OR(I279&lt;1,I279&gt;5),"Score outside 1 to 5","")))))</f>
        <v/>
      </c>
    </row>
    <row r="280" customFormat="false" ht="15" hidden="false" customHeight="false" outlineLevel="0" collapsed="false">
      <c r="A280" s="52" t="n">
        <v>45995.6701273148</v>
      </c>
      <c r="B280" s="53" t="s">
        <v>111</v>
      </c>
      <c r="C280" s="53" t="s">
        <v>148</v>
      </c>
      <c r="D280" s="53" t="s">
        <v>116</v>
      </c>
      <c r="E280" s="54" t="n">
        <v>45995</v>
      </c>
      <c r="F280" s="55" t="n">
        <v>16</v>
      </c>
      <c r="G280" s="55" t="n">
        <v>12</v>
      </c>
      <c r="H280" s="55" t="n">
        <v>75</v>
      </c>
      <c r="I280" s="56" t="n">
        <v>3.8</v>
      </c>
      <c r="J280" s="53" t="s">
        <v>160</v>
      </c>
      <c r="K280" s="53"/>
      <c r="L280" s="57" t="str">
        <f aca="false">IF(C280="","",IFERROR(INDEX(site_ID,MATCH(C280,site_Name,0)),"Not on SITES"))</f>
        <v>LW-104</v>
      </c>
      <c r="M280" s="58" t="n">
        <f aca="false">IF(E280="","",DATE(YEAR(E280),MONTH(E280),1))</f>
        <v>45992</v>
      </c>
      <c r="N280" s="57" t="str">
        <f aca="false">IF(E280="","","FY"&amp;(YEAR(E280)+IF(AND(FYStart&gt;1,MONTH(E280)&gt;=FYStart),1,0))&amp;" Q"&amp;(INT(MOD(MONTH(E280)-FYStart,12)/3)+1))</f>
        <v>FY2026 Q2</v>
      </c>
      <c r="O280" s="59" t="n">
        <f aca="false">IF(OR(E280="",N(F280)=0),"",G280/F280)</f>
        <v>0.75</v>
      </c>
      <c r="P280" s="60" t="n">
        <f aca="false">IF(E280="","",ROUND(N(G280)*N(H280)/60,1))</f>
        <v>15</v>
      </c>
      <c r="Q280" s="57" t="str">
        <f aca="false">IF(E280="","",IF(COUNTIFS($C$2:C280,C280,$E$2:E280,E280,$B$2:B280,B280)&gt;1,"No","Yes"))</f>
        <v>Yes</v>
      </c>
      <c r="R280" s="61" t="str">
        <f aca="false">IF(E280="","",IF(Q280="No","Duplicate of an earlier response",IF(L280="Not on SITES","Site not on SITES",IF(N(G280)&gt;N(F280),"Present is more than enrolled",IF(OR(I280&lt;1,I280&gt;5),"Score outside 1 to 5","")))))</f>
        <v/>
      </c>
    </row>
    <row r="281" customFormat="false" ht="15" hidden="false" customHeight="false" outlineLevel="0" collapsed="false">
      <c r="A281" s="52" t="n">
        <v>45995.6801388889</v>
      </c>
      <c r="B281" s="53" t="s">
        <v>109</v>
      </c>
      <c r="C281" s="53" t="s">
        <v>146</v>
      </c>
      <c r="D281" s="53" t="s">
        <v>138</v>
      </c>
      <c r="E281" s="54" t="n">
        <v>45995</v>
      </c>
      <c r="F281" s="55" t="n">
        <v>15</v>
      </c>
      <c r="G281" s="55" t="n">
        <v>11</v>
      </c>
      <c r="H281" s="55" t="n">
        <v>90</v>
      </c>
      <c r="I281" s="56" t="n">
        <v>3.5</v>
      </c>
      <c r="J281" s="53" t="s">
        <v>152</v>
      </c>
      <c r="K281" s="53"/>
      <c r="L281" s="57" t="str">
        <f aca="false">IF(C281="","",IFERROR(INDEX(site_ID,MATCH(C281,site_Name,0)),"Not on SITES"))</f>
        <v>LW-105</v>
      </c>
      <c r="M281" s="58" t="n">
        <f aca="false">IF(E281="","",DATE(YEAR(E281),MONTH(E281),1))</f>
        <v>45992</v>
      </c>
      <c r="N281" s="57" t="str">
        <f aca="false">IF(E281="","","FY"&amp;(YEAR(E281)+IF(AND(FYStart&gt;1,MONTH(E281)&gt;=FYStart),1,0))&amp;" Q"&amp;(INT(MOD(MONTH(E281)-FYStart,12)/3)+1))</f>
        <v>FY2026 Q2</v>
      </c>
      <c r="O281" s="59" t="n">
        <f aca="false">IF(OR(E281="",N(F281)=0),"",G281/F281)</f>
        <v>0.733333333333333</v>
      </c>
      <c r="P281" s="60" t="n">
        <f aca="false">IF(E281="","",ROUND(N(G281)*N(H281)/60,1))</f>
        <v>16.5</v>
      </c>
      <c r="Q281" s="57" t="str">
        <f aca="false">IF(E281="","",IF(COUNTIFS($C$2:C281,C281,$E$2:E281,E281,$B$2:B281,B281)&gt;1,"No","Yes"))</f>
        <v>Yes</v>
      </c>
      <c r="R281" s="61" t="str">
        <f aca="false">IF(E281="","",IF(Q281="No","Duplicate of an earlier response",IF(L281="Not on SITES","Site not on SITES",IF(N(G281)&gt;N(F281),"Present is more than enrolled",IF(OR(I281&lt;1,I281&gt;5),"Score outside 1 to 5","")))))</f>
        <v/>
      </c>
    </row>
    <row r="282" customFormat="false" ht="15" hidden="false" customHeight="false" outlineLevel="0" collapsed="false">
      <c r="A282" s="52" t="n">
        <v>45995.7128125</v>
      </c>
      <c r="B282" s="53" t="s">
        <v>124</v>
      </c>
      <c r="C282" s="53" t="s">
        <v>154</v>
      </c>
      <c r="D282" s="53" t="s">
        <v>116</v>
      </c>
      <c r="E282" s="54" t="n">
        <v>45995</v>
      </c>
      <c r="F282" s="55" t="n">
        <v>18</v>
      </c>
      <c r="G282" s="55" t="n">
        <v>13</v>
      </c>
      <c r="H282" s="55" t="n">
        <v>75</v>
      </c>
      <c r="I282" s="56" t="n">
        <v>4</v>
      </c>
      <c r="J282" s="53" t="s">
        <v>123</v>
      </c>
      <c r="K282" s="53"/>
      <c r="L282" s="57" t="str">
        <f aca="false">IF(C282="","",IFERROR(INDEX(site_ID,MATCH(C282,site_Name,0)),"Not on SITES"))</f>
        <v>LW-114</v>
      </c>
      <c r="M282" s="58" t="n">
        <f aca="false">IF(E282="","",DATE(YEAR(E282),MONTH(E282),1))</f>
        <v>45992</v>
      </c>
      <c r="N282" s="57" t="str">
        <f aca="false">IF(E282="","","FY"&amp;(YEAR(E282)+IF(AND(FYStart&gt;1,MONTH(E282)&gt;=FYStart),1,0))&amp;" Q"&amp;(INT(MOD(MONTH(E282)-FYStart,12)/3)+1))</f>
        <v>FY2026 Q2</v>
      </c>
      <c r="O282" s="59" t="n">
        <f aca="false">IF(OR(E282="",N(F282)=0),"",G282/F282)</f>
        <v>0.722222222222222</v>
      </c>
      <c r="P282" s="60" t="n">
        <f aca="false">IF(E282="","",ROUND(N(G282)*N(H282)/60,1))</f>
        <v>16.3</v>
      </c>
      <c r="Q282" s="57" t="str">
        <f aca="false">IF(E282="","",IF(COUNTIFS($C$2:C282,C282,$E$2:E282,E282,$B$2:B282,B282)&gt;1,"No","Yes"))</f>
        <v>Yes</v>
      </c>
      <c r="R282" s="61" t="str">
        <f aca="false">IF(E282="","",IF(Q282="No","Duplicate of an earlier response",IF(L282="Not on SITES","Site not on SITES",IF(N(G282)&gt;N(F282),"Present is more than enrolled",IF(OR(I282&lt;1,I282&gt;5),"Score outside 1 to 5","")))))</f>
        <v/>
      </c>
    </row>
    <row r="283" customFormat="false" ht="15" hidden="false" customHeight="false" outlineLevel="0" collapsed="false">
      <c r="A283" s="52" t="n">
        <v>45995.7782986111</v>
      </c>
      <c r="B283" s="53" t="s">
        <v>140</v>
      </c>
      <c r="C283" s="53" t="s">
        <v>151</v>
      </c>
      <c r="D283" s="53" t="s">
        <v>138</v>
      </c>
      <c r="E283" s="54" t="n">
        <v>45995</v>
      </c>
      <c r="F283" s="55" t="n">
        <v>14</v>
      </c>
      <c r="G283" s="55" t="n">
        <v>9</v>
      </c>
      <c r="H283" s="55" t="n">
        <v>90</v>
      </c>
      <c r="I283" s="56" t="n">
        <v>3.9</v>
      </c>
      <c r="J283" s="53" t="s">
        <v>139</v>
      </c>
      <c r="K283" s="53"/>
      <c r="L283" s="57" t="str">
        <f aca="false">IF(C283="","",IFERROR(INDEX(site_ID,MATCH(C283,site_Name,0)),"Not on SITES"))</f>
        <v>LW-110</v>
      </c>
      <c r="M283" s="58" t="n">
        <f aca="false">IF(E283="","",DATE(YEAR(E283),MONTH(E283),1))</f>
        <v>45992</v>
      </c>
      <c r="N283" s="57" t="str">
        <f aca="false">IF(E283="","","FY"&amp;(YEAR(E283)+IF(AND(FYStart&gt;1,MONTH(E283)&gt;=FYStart),1,0))&amp;" Q"&amp;(INT(MOD(MONTH(E283)-FYStart,12)/3)+1))</f>
        <v>FY2026 Q2</v>
      </c>
      <c r="O283" s="59" t="n">
        <f aca="false">IF(OR(E283="",N(F283)=0),"",G283/F283)</f>
        <v>0.642857142857143</v>
      </c>
      <c r="P283" s="60" t="n">
        <f aca="false">IF(E283="","",ROUND(N(G283)*N(H283)/60,1))</f>
        <v>13.5</v>
      </c>
      <c r="Q283" s="57" t="str">
        <f aca="false">IF(E283="","",IF(COUNTIFS($C$2:C283,C283,$E$2:E283,E283,$B$2:B283,B283)&gt;1,"No","Yes"))</f>
        <v>Yes</v>
      </c>
      <c r="R283" s="61" t="str">
        <f aca="false">IF(E283="","",IF(Q283="No","Duplicate of an earlier response",IF(L283="Not on SITES","Site not on SITES",IF(N(G283)&gt;N(F283),"Present is more than enrolled",IF(OR(I283&lt;1,I283&gt;5),"Score outside 1 to 5","")))))</f>
        <v/>
      </c>
    </row>
    <row r="284" customFormat="false" ht="15" hidden="false" customHeight="false" outlineLevel="0" collapsed="false">
      <c r="A284" s="52" t="n">
        <v>45995.8593865741</v>
      </c>
      <c r="B284" s="53" t="s">
        <v>132</v>
      </c>
      <c r="C284" s="53" t="s">
        <v>150</v>
      </c>
      <c r="D284" s="53" t="s">
        <v>138</v>
      </c>
      <c r="E284" s="54" t="n">
        <v>45995</v>
      </c>
      <c r="F284" s="55" t="n">
        <v>21</v>
      </c>
      <c r="G284" s="55" t="n">
        <v>14</v>
      </c>
      <c r="H284" s="55" t="n">
        <v>90</v>
      </c>
      <c r="I284" s="56" t="n">
        <v>3.7</v>
      </c>
      <c r="J284" s="53" t="s">
        <v>152</v>
      </c>
      <c r="K284" s="53" t="s">
        <v>158</v>
      </c>
      <c r="L284" s="57" t="str">
        <f aca="false">IF(C284="","",IFERROR(INDEX(site_ID,MATCH(C284,site_Name,0)),"Not on SITES"))</f>
        <v>LW-117</v>
      </c>
      <c r="M284" s="58" t="n">
        <f aca="false">IF(E284="","",DATE(YEAR(E284),MONTH(E284),1))</f>
        <v>45992</v>
      </c>
      <c r="N284" s="57" t="str">
        <f aca="false">IF(E284="","","FY"&amp;(YEAR(E284)+IF(AND(FYStart&gt;1,MONTH(E284)&gt;=FYStart),1,0))&amp;" Q"&amp;(INT(MOD(MONTH(E284)-FYStart,12)/3)+1))</f>
        <v>FY2026 Q2</v>
      </c>
      <c r="O284" s="59" t="n">
        <f aca="false">IF(OR(E284="",N(F284)=0),"",G284/F284)</f>
        <v>0.666666666666667</v>
      </c>
      <c r="P284" s="60" t="n">
        <f aca="false">IF(E284="","",ROUND(N(G284)*N(H284)/60,1))</f>
        <v>21</v>
      </c>
      <c r="Q284" s="57" t="str">
        <f aca="false">IF(E284="","",IF(COUNTIFS($C$2:C284,C284,$E$2:E284,E284,$B$2:B284,B284)&gt;1,"No","Yes"))</f>
        <v>Yes</v>
      </c>
      <c r="R284" s="61" t="str">
        <f aca="false">IF(E284="","",IF(Q284="No","Duplicate of an earlier response",IF(L284="Not on SITES","Site not on SITES",IF(N(G284)&gt;N(F284),"Present is more than enrolled",IF(OR(I284&lt;1,I284&gt;5),"Score outside 1 to 5","")))))</f>
        <v/>
      </c>
    </row>
    <row r="285" customFormat="false" ht="15" hidden="false" customHeight="false" outlineLevel="0" collapsed="false">
      <c r="A285" s="52" t="n">
        <v>45995.8692361111</v>
      </c>
      <c r="B285" s="53" t="s">
        <v>140</v>
      </c>
      <c r="C285" s="53" t="s">
        <v>122</v>
      </c>
      <c r="D285" s="53" t="s">
        <v>116</v>
      </c>
      <c r="E285" s="54" t="n">
        <v>45995</v>
      </c>
      <c r="F285" s="55" t="n">
        <v>16</v>
      </c>
      <c r="G285" s="55" t="n">
        <v>12</v>
      </c>
      <c r="H285" s="55" t="n">
        <v>75</v>
      </c>
      <c r="I285" s="56" t="n">
        <v>3.6</v>
      </c>
      <c r="J285" s="53" t="s">
        <v>134</v>
      </c>
      <c r="K285" s="53"/>
      <c r="L285" s="57" t="str">
        <f aca="false">IF(C285="","",IFERROR(INDEX(site_ID,MATCH(C285,site_Name,0)),"Not on SITES"))</f>
        <v>LW-116</v>
      </c>
      <c r="M285" s="58" t="n">
        <f aca="false">IF(E285="","",DATE(YEAR(E285),MONTH(E285),1))</f>
        <v>45992</v>
      </c>
      <c r="N285" s="57" t="str">
        <f aca="false">IF(E285="","","FY"&amp;(YEAR(E285)+IF(AND(FYStart&gt;1,MONTH(E285)&gt;=FYStart),1,0))&amp;" Q"&amp;(INT(MOD(MONTH(E285)-FYStart,12)/3)+1))</f>
        <v>FY2026 Q2</v>
      </c>
      <c r="O285" s="59" t="n">
        <f aca="false">IF(OR(E285="",N(F285)=0),"",G285/F285)</f>
        <v>0.75</v>
      </c>
      <c r="P285" s="60" t="n">
        <f aca="false">IF(E285="","",ROUND(N(G285)*N(H285)/60,1))</f>
        <v>15</v>
      </c>
      <c r="Q285" s="57" t="str">
        <f aca="false">IF(E285="","",IF(COUNTIFS($C$2:C285,C285,$E$2:E285,E285,$B$2:B285,B285)&gt;1,"No","Yes"))</f>
        <v>Yes</v>
      </c>
      <c r="R285" s="61" t="str">
        <f aca="false">IF(E285="","",IF(Q285="No","Duplicate of an earlier response",IF(L285="Not on SITES","Site not on SITES",IF(N(G285)&gt;N(F285),"Present is more than enrolled",IF(OR(I285&lt;1,I285&gt;5),"Score outside 1 to 5","")))))</f>
        <v/>
      </c>
    </row>
    <row r="286" customFormat="false" ht="15" hidden="false" customHeight="false" outlineLevel="0" collapsed="false">
      <c r="A286" s="52" t="n">
        <v>45996.7413425926</v>
      </c>
      <c r="B286" s="53" t="s">
        <v>129</v>
      </c>
      <c r="C286" s="53" t="s">
        <v>137</v>
      </c>
      <c r="D286" s="53" t="s">
        <v>138</v>
      </c>
      <c r="E286" s="54" t="n">
        <v>45996</v>
      </c>
      <c r="F286" s="55" t="n">
        <v>20</v>
      </c>
      <c r="G286" s="55" t="n">
        <v>16</v>
      </c>
      <c r="H286" s="55" t="n">
        <v>90</v>
      </c>
      <c r="I286" s="56" t="n">
        <v>3.9</v>
      </c>
      <c r="J286" s="53" t="s">
        <v>163</v>
      </c>
      <c r="K286" s="53"/>
      <c r="L286" s="57" t="str">
        <f aca="false">IF(C286="","",IFERROR(INDEX(site_ID,MATCH(C286,site_Name,0)),"Not on SITES"))</f>
        <v>LW-115</v>
      </c>
      <c r="M286" s="58" t="n">
        <f aca="false">IF(E286="","",DATE(YEAR(E286),MONTH(E286),1))</f>
        <v>45992</v>
      </c>
      <c r="N286" s="57" t="str">
        <f aca="false">IF(E286="","","FY"&amp;(YEAR(E286)+IF(AND(FYStart&gt;1,MONTH(E286)&gt;=FYStart),1,0))&amp;" Q"&amp;(INT(MOD(MONTH(E286)-FYStart,12)/3)+1))</f>
        <v>FY2026 Q2</v>
      </c>
      <c r="O286" s="59" t="n">
        <f aca="false">IF(OR(E286="",N(F286)=0),"",G286/F286)</f>
        <v>0.8</v>
      </c>
      <c r="P286" s="60" t="n">
        <f aca="false">IF(E286="","",ROUND(N(G286)*N(H286)/60,1))</f>
        <v>24</v>
      </c>
      <c r="Q286" s="57" t="str">
        <f aca="false">IF(E286="","",IF(COUNTIFS($C$2:C286,C286,$E$2:E286,E286,$B$2:B286,B286)&gt;1,"No","Yes"))</f>
        <v>Yes</v>
      </c>
      <c r="R286" s="61" t="str">
        <f aca="false">IF(E286="","",IF(Q286="No","Duplicate of an earlier response",IF(L286="Not on SITES","Site not on SITES",IF(N(G286)&gt;N(F286),"Present is more than enrolled",IF(OR(I286&lt;1,I286&gt;5),"Score outside 1 to 5","")))))</f>
        <v/>
      </c>
    </row>
    <row r="287" customFormat="false" ht="15" hidden="false" customHeight="false" outlineLevel="0" collapsed="false">
      <c r="A287" s="52" t="n">
        <v>45996.8120949074</v>
      </c>
      <c r="B287" s="53" t="s">
        <v>140</v>
      </c>
      <c r="C287" s="53" t="s">
        <v>141</v>
      </c>
      <c r="D287" s="53" t="s">
        <v>116</v>
      </c>
      <c r="E287" s="54" t="n">
        <v>45996</v>
      </c>
      <c r="F287" s="55" t="n">
        <v>13</v>
      </c>
      <c r="G287" s="55" t="n">
        <v>9</v>
      </c>
      <c r="H287" s="55" t="n">
        <v>60</v>
      </c>
      <c r="I287" s="56" t="n">
        <v>3.8</v>
      </c>
      <c r="J287" s="53" t="s">
        <v>160</v>
      </c>
      <c r="K287" s="53"/>
      <c r="L287" s="57" t="str">
        <f aca="false">IF(C287="","",IFERROR(INDEX(site_ID,MATCH(C287,site_Name,0)),"Not on SITES"))</f>
        <v>LW-118</v>
      </c>
      <c r="M287" s="58" t="n">
        <f aca="false">IF(E287="","",DATE(YEAR(E287),MONTH(E287),1))</f>
        <v>45992</v>
      </c>
      <c r="N287" s="57" t="str">
        <f aca="false">IF(E287="","","FY"&amp;(YEAR(E287)+IF(AND(FYStart&gt;1,MONTH(E287)&gt;=FYStart),1,0))&amp;" Q"&amp;(INT(MOD(MONTH(E287)-FYStart,12)/3)+1))</f>
        <v>FY2026 Q2</v>
      </c>
      <c r="O287" s="59" t="n">
        <f aca="false">IF(OR(E287="",N(F287)=0),"",G287/F287)</f>
        <v>0.692307692307692</v>
      </c>
      <c r="P287" s="60" t="n">
        <f aca="false">IF(E287="","",ROUND(N(G287)*N(H287)/60,1))</f>
        <v>9</v>
      </c>
      <c r="Q287" s="57" t="str">
        <f aca="false">IF(E287="","",IF(COUNTIFS($C$2:C287,C287,$E$2:E287,E287,$B$2:B287,B287)&gt;1,"No","Yes"))</f>
        <v>Yes</v>
      </c>
      <c r="R287" s="61" t="str">
        <f aca="false">IF(E287="","",IF(Q287="No","Duplicate of an earlier response",IF(L287="Not on SITES","Site not on SITES",IF(N(G287)&gt;N(F287),"Present is more than enrolled",IF(OR(I287&lt;1,I287&gt;5),"Score outside 1 to 5","")))))</f>
        <v/>
      </c>
    </row>
    <row r="288" customFormat="false" ht="15" hidden="false" customHeight="false" outlineLevel="0" collapsed="false">
      <c r="A288" s="52" t="n">
        <v>45996.856412037</v>
      </c>
      <c r="B288" s="53" t="s">
        <v>121</v>
      </c>
      <c r="C288" s="53" t="s">
        <v>122</v>
      </c>
      <c r="D288" s="53" t="s">
        <v>116</v>
      </c>
      <c r="E288" s="54" t="n">
        <v>45993</v>
      </c>
      <c r="F288" s="55" t="n">
        <v>16</v>
      </c>
      <c r="G288" s="55" t="n">
        <v>10</v>
      </c>
      <c r="H288" s="55" t="n">
        <v>75</v>
      </c>
      <c r="I288" s="56" t="n">
        <v>3.5</v>
      </c>
      <c r="J288" s="53" t="s">
        <v>123</v>
      </c>
      <c r="K288" s="53"/>
      <c r="L288" s="57" t="str">
        <f aca="false">IF(C288="","",IFERROR(INDEX(site_ID,MATCH(C288,site_Name,0)),"Not on SITES"))</f>
        <v>LW-116</v>
      </c>
      <c r="M288" s="58" t="n">
        <f aca="false">IF(E288="","",DATE(YEAR(E288),MONTH(E288),1))</f>
        <v>45992</v>
      </c>
      <c r="N288" s="57" t="str">
        <f aca="false">IF(E288="","","FY"&amp;(YEAR(E288)+IF(AND(FYStart&gt;1,MONTH(E288)&gt;=FYStart),1,0))&amp;" Q"&amp;(INT(MOD(MONTH(E288)-FYStart,12)/3)+1))</f>
        <v>FY2026 Q2</v>
      </c>
      <c r="O288" s="59" t="n">
        <f aca="false">IF(OR(E288="",N(F288)=0),"",G288/F288)</f>
        <v>0.625</v>
      </c>
      <c r="P288" s="60" t="n">
        <f aca="false">IF(E288="","",ROUND(N(G288)*N(H288)/60,1))</f>
        <v>12.5</v>
      </c>
      <c r="Q288" s="57" t="str">
        <f aca="false">IF(E288="","",IF(COUNTIFS($C$2:C288,C288,$E$2:E288,E288,$B$2:B288,B288)&gt;1,"No","Yes"))</f>
        <v>Yes</v>
      </c>
      <c r="R288" s="61" t="str">
        <f aca="false">IF(E288="","",IF(Q288="No","Duplicate of an earlier response",IF(L288="Not on SITES","Site not on SITES",IF(N(G288)&gt;N(F288),"Present is more than enrolled",IF(OR(I288&lt;1,I288&gt;5),"Score outside 1 to 5","")))))</f>
        <v/>
      </c>
    </row>
    <row r="289" customFormat="false" ht="15" hidden="false" customHeight="false" outlineLevel="0" collapsed="false">
      <c r="A289" s="52" t="n">
        <v>45999.6702662037</v>
      </c>
      <c r="B289" s="53" t="s">
        <v>109</v>
      </c>
      <c r="C289" s="53" t="s">
        <v>110</v>
      </c>
      <c r="D289" s="53" t="s">
        <v>107</v>
      </c>
      <c r="E289" s="54" t="n">
        <v>45999</v>
      </c>
      <c r="F289" s="55" t="n">
        <v>22</v>
      </c>
      <c r="G289" s="55" t="n">
        <v>16</v>
      </c>
      <c r="H289" s="55" t="n">
        <v>75</v>
      </c>
      <c r="I289" s="56" t="n">
        <v>3.6</v>
      </c>
      <c r="J289" s="53" t="s">
        <v>166</v>
      </c>
      <c r="K289" s="53"/>
      <c r="L289" s="57" t="str">
        <f aca="false">IF(C289="","",IFERROR(INDEX(site_ID,MATCH(C289,site_Name,0)),"Not on SITES"))</f>
        <v>LW-113</v>
      </c>
      <c r="M289" s="58" t="n">
        <f aca="false">IF(E289="","",DATE(YEAR(E289),MONTH(E289),1))</f>
        <v>45992</v>
      </c>
      <c r="N289" s="57" t="str">
        <f aca="false">IF(E289="","","FY"&amp;(YEAR(E289)+IF(AND(FYStart&gt;1,MONTH(E289)&gt;=FYStart),1,0))&amp;" Q"&amp;(INT(MOD(MONTH(E289)-FYStart,12)/3)+1))</f>
        <v>FY2026 Q2</v>
      </c>
      <c r="O289" s="59" t="n">
        <f aca="false">IF(OR(E289="",N(F289)=0),"",G289/F289)</f>
        <v>0.727272727272727</v>
      </c>
      <c r="P289" s="60" t="n">
        <f aca="false">IF(E289="","",ROUND(N(G289)*N(H289)/60,1))</f>
        <v>20</v>
      </c>
      <c r="Q289" s="57" t="str">
        <f aca="false">IF(E289="","",IF(COUNTIFS($C$2:C289,C289,$E$2:E289,E289,$B$2:B289,B289)&gt;1,"No","Yes"))</f>
        <v>Yes</v>
      </c>
      <c r="R289" s="61" t="str">
        <f aca="false">IF(E289="","",IF(Q289="No","Duplicate of an earlier response",IF(L289="Not on SITES","Site not on SITES",IF(N(G289)&gt;N(F289),"Present is more than enrolled",IF(OR(I289&lt;1,I289&gt;5),"Score outside 1 to 5","")))))</f>
        <v/>
      </c>
    </row>
    <row r="290" customFormat="false" ht="15" hidden="false" customHeight="false" outlineLevel="0" collapsed="false">
      <c r="A290" s="52" t="n">
        <v>45999.6868865741</v>
      </c>
      <c r="B290" s="53" t="s">
        <v>111</v>
      </c>
      <c r="C290" s="53" t="s">
        <v>112</v>
      </c>
      <c r="D290" s="53" t="s">
        <v>113</v>
      </c>
      <c r="E290" s="54" t="n">
        <v>45999</v>
      </c>
      <c r="F290" s="55" t="n">
        <v>16</v>
      </c>
      <c r="G290" s="55" t="n">
        <v>13</v>
      </c>
      <c r="H290" s="55" t="n">
        <v>60</v>
      </c>
      <c r="I290" s="56" t="n">
        <v>3.7</v>
      </c>
      <c r="J290" s="53" t="s">
        <v>136</v>
      </c>
      <c r="K290" s="53"/>
      <c r="L290" s="57" t="str">
        <f aca="false">IF(C290="","",IFERROR(INDEX(site_ID,MATCH(C290,site_Name,0)),"Not on SITES"))</f>
        <v>LW-120</v>
      </c>
      <c r="M290" s="58" t="n">
        <f aca="false">IF(E290="","",DATE(YEAR(E290),MONTH(E290),1))</f>
        <v>45992</v>
      </c>
      <c r="N290" s="57" t="str">
        <f aca="false">IF(E290="","","FY"&amp;(YEAR(E290)+IF(AND(FYStart&gt;1,MONTH(E290)&gt;=FYStart),1,0))&amp;" Q"&amp;(INT(MOD(MONTH(E290)-FYStart,12)/3)+1))</f>
        <v>FY2026 Q2</v>
      </c>
      <c r="O290" s="59" t="n">
        <f aca="false">IF(OR(E290="",N(F290)=0),"",G290/F290)</f>
        <v>0.8125</v>
      </c>
      <c r="P290" s="60" t="n">
        <f aca="false">IF(E290="","",ROUND(N(G290)*N(H290)/60,1))</f>
        <v>13</v>
      </c>
      <c r="Q290" s="57" t="str">
        <f aca="false">IF(E290="","",IF(COUNTIFS($C$2:C290,C290,$E$2:E290,E290,$B$2:B290,B290)&gt;1,"No","Yes"))</f>
        <v>Yes</v>
      </c>
      <c r="R290" s="61" t="str">
        <f aca="false">IF(E290="","",IF(Q290="No","Duplicate of an earlier response",IF(L290="Not on SITES","Site not on SITES",IF(N(G290)&gt;N(F290),"Present is more than enrolled",IF(OR(I290&lt;1,I290&gt;5),"Score outside 1 to 5","")))))</f>
        <v/>
      </c>
    </row>
    <row r="291" customFormat="false" ht="15" hidden="false" customHeight="false" outlineLevel="0" collapsed="false">
      <c r="A291" s="52" t="n">
        <v>45999.7100347222</v>
      </c>
      <c r="B291" s="53" t="s">
        <v>105</v>
      </c>
      <c r="C291" s="53" t="s">
        <v>106</v>
      </c>
      <c r="D291" s="53" t="s">
        <v>107</v>
      </c>
      <c r="E291" s="54" t="n">
        <v>45999</v>
      </c>
      <c r="F291" s="55" t="n">
        <v>16</v>
      </c>
      <c r="G291" s="55" t="n">
        <v>11</v>
      </c>
      <c r="H291" s="55" t="n">
        <v>75</v>
      </c>
      <c r="I291" s="56" t="n">
        <v>3.3</v>
      </c>
      <c r="J291" s="53" t="s">
        <v>155</v>
      </c>
      <c r="K291" s="53"/>
      <c r="L291" s="57" t="str">
        <f aca="false">IF(C291="","",IFERROR(INDEX(site_ID,MATCH(C291,site_Name,0)),"Not on SITES"))</f>
        <v>LW-103</v>
      </c>
      <c r="M291" s="58" t="n">
        <f aca="false">IF(E291="","",DATE(YEAR(E291),MONTH(E291),1))</f>
        <v>45992</v>
      </c>
      <c r="N291" s="57" t="str">
        <f aca="false">IF(E291="","","FY"&amp;(YEAR(E291)+IF(AND(FYStart&gt;1,MONTH(E291)&gt;=FYStart),1,0))&amp;" Q"&amp;(INT(MOD(MONTH(E291)-FYStart,12)/3)+1))</f>
        <v>FY2026 Q2</v>
      </c>
      <c r="O291" s="59" t="n">
        <f aca="false">IF(OR(E291="",N(F291)=0),"",G291/F291)</f>
        <v>0.6875</v>
      </c>
      <c r="P291" s="60" t="n">
        <f aca="false">IF(E291="","",ROUND(N(G291)*N(H291)/60,1))</f>
        <v>13.8</v>
      </c>
      <c r="Q291" s="57" t="str">
        <f aca="false">IF(E291="","",IF(COUNTIFS($C$2:C291,C291,$E$2:E291,E291,$B$2:B291,B291)&gt;1,"No","Yes"))</f>
        <v>Yes</v>
      </c>
      <c r="R291" s="61" t="str">
        <f aca="false">IF(E291="","",IF(Q291="No","Duplicate of an earlier response",IF(L291="Not on SITES","Site not on SITES",IF(N(G291)&gt;N(F291),"Present is more than enrolled",IF(OR(I291&lt;1,I291&gt;5),"Score outside 1 to 5","")))))</f>
        <v/>
      </c>
    </row>
    <row r="292" customFormat="false" ht="15" hidden="false" customHeight="false" outlineLevel="0" collapsed="false">
      <c r="A292" s="52" t="n">
        <v>45999.7955787037</v>
      </c>
      <c r="B292" s="53" t="s">
        <v>105</v>
      </c>
      <c r="C292" s="53" t="s">
        <v>115</v>
      </c>
      <c r="D292" s="53" t="s">
        <v>116</v>
      </c>
      <c r="E292" s="54" t="n">
        <v>45999</v>
      </c>
      <c r="F292" s="55" t="n">
        <v>16</v>
      </c>
      <c r="G292" s="55" t="n">
        <v>13</v>
      </c>
      <c r="H292" s="55" t="n">
        <v>60</v>
      </c>
      <c r="I292" s="56" t="n">
        <v>3.5</v>
      </c>
      <c r="J292" s="53" t="s">
        <v>123</v>
      </c>
      <c r="K292" s="53"/>
      <c r="L292" s="57" t="str">
        <f aca="false">IF(C292="","",IFERROR(INDEX(site_ID,MATCH(C292,site_Name,0)),"Not on SITES"))</f>
        <v>LW-119</v>
      </c>
      <c r="M292" s="58" t="n">
        <f aca="false">IF(E292="","",DATE(YEAR(E292),MONTH(E292),1))</f>
        <v>45992</v>
      </c>
      <c r="N292" s="57" t="str">
        <f aca="false">IF(E292="","","FY"&amp;(YEAR(E292)+IF(AND(FYStart&gt;1,MONTH(E292)&gt;=FYStart),1,0))&amp;" Q"&amp;(INT(MOD(MONTH(E292)-FYStart,12)/3)+1))</f>
        <v>FY2026 Q2</v>
      </c>
      <c r="O292" s="59" t="n">
        <f aca="false">IF(OR(E292="",N(F292)=0),"",G292/F292)</f>
        <v>0.8125</v>
      </c>
      <c r="P292" s="60" t="n">
        <f aca="false">IF(E292="","",ROUND(N(G292)*N(H292)/60,1))</f>
        <v>13</v>
      </c>
      <c r="Q292" s="57" t="str">
        <f aca="false">IF(E292="","",IF(COUNTIFS($C$2:C292,C292,$E$2:E292,E292,$B$2:B292,B292)&gt;1,"No","Yes"))</f>
        <v>Yes</v>
      </c>
      <c r="R292" s="61" t="str">
        <f aca="false">IF(E292="","",IF(Q292="No","Duplicate of an earlier response",IF(L292="Not on SITES","Site not on SITES",IF(N(G292)&gt;N(F292),"Present is more than enrolled",IF(OR(I292&lt;1,I292&gt;5),"Score outside 1 to 5","")))))</f>
        <v/>
      </c>
    </row>
    <row r="293" customFormat="false" ht="15" hidden="false" customHeight="false" outlineLevel="0" collapsed="false">
      <c r="A293" s="52" t="n">
        <v>46000.6356944444</v>
      </c>
      <c r="B293" s="53" t="s">
        <v>124</v>
      </c>
      <c r="C293" s="53" t="s">
        <v>125</v>
      </c>
      <c r="D293" s="53" t="s">
        <v>119</v>
      </c>
      <c r="E293" s="54" t="n">
        <v>46000</v>
      </c>
      <c r="F293" s="55" t="n">
        <v>18</v>
      </c>
      <c r="G293" s="55" t="n">
        <v>14</v>
      </c>
      <c r="H293" s="55" t="n">
        <v>75</v>
      </c>
      <c r="I293" s="56" t="n">
        <v>3.8</v>
      </c>
      <c r="J293" s="53" t="s">
        <v>120</v>
      </c>
      <c r="K293" s="53"/>
      <c r="L293" s="57" t="str">
        <f aca="false">IF(C293="","",IFERROR(INDEX(site_ID,MATCH(C293,site_Name,0)),"Not on SITES"))</f>
        <v>LW-106</v>
      </c>
      <c r="M293" s="58" t="n">
        <f aca="false">IF(E293="","",DATE(YEAR(E293),MONTH(E293),1))</f>
        <v>45992</v>
      </c>
      <c r="N293" s="57" t="str">
        <f aca="false">IF(E293="","","FY"&amp;(YEAR(E293)+IF(AND(FYStart&gt;1,MONTH(E293)&gt;=FYStart),1,0))&amp;" Q"&amp;(INT(MOD(MONTH(E293)-FYStart,12)/3)+1))</f>
        <v>FY2026 Q2</v>
      </c>
      <c r="O293" s="59" t="n">
        <f aca="false">IF(OR(E293="",N(F293)=0),"",G293/F293)</f>
        <v>0.777777777777778</v>
      </c>
      <c r="P293" s="60" t="n">
        <f aca="false">IF(E293="","",ROUND(N(G293)*N(H293)/60,1))</f>
        <v>17.5</v>
      </c>
      <c r="Q293" s="57" t="str">
        <f aca="false">IF(E293="","",IF(COUNTIFS($C$2:C293,C293,$E$2:E293,E293,$B$2:B293,B293)&gt;1,"No","Yes"))</f>
        <v>Yes</v>
      </c>
      <c r="R293" s="61" t="str">
        <f aca="false">IF(E293="","",IF(Q293="No","Duplicate of an earlier response",IF(L293="Not on SITES","Site not on SITES",IF(N(G293)&gt;N(F293),"Present is more than enrolled",IF(OR(I293&lt;1,I293&gt;5),"Score outside 1 to 5","")))))</f>
        <v/>
      </c>
    </row>
    <row r="294" customFormat="false" ht="15" hidden="false" customHeight="false" outlineLevel="0" collapsed="false">
      <c r="A294" s="52" t="n">
        <v>46000.7609027778</v>
      </c>
      <c r="B294" s="53" t="s">
        <v>121</v>
      </c>
      <c r="C294" s="53" t="s">
        <v>122</v>
      </c>
      <c r="D294" s="53" t="s">
        <v>116</v>
      </c>
      <c r="E294" s="54" t="n">
        <v>46000</v>
      </c>
      <c r="F294" s="55" t="n">
        <v>16</v>
      </c>
      <c r="G294" s="55" t="n">
        <v>12</v>
      </c>
      <c r="H294" s="55" t="n">
        <v>90</v>
      </c>
      <c r="I294" s="56" t="n">
        <v>3.2</v>
      </c>
      <c r="J294" s="53" t="s">
        <v>160</v>
      </c>
      <c r="K294" s="53"/>
      <c r="L294" s="57" t="str">
        <f aca="false">IF(C294="","",IFERROR(INDEX(site_ID,MATCH(C294,site_Name,0)),"Not on SITES"))</f>
        <v>LW-116</v>
      </c>
      <c r="M294" s="58" t="n">
        <f aca="false">IF(E294="","",DATE(YEAR(E294),MONTH(E294),1))</f>
        <v>45992</v>
      </c>
      <c r="N294" s="57" t="str">
        <f aca="false">IF(E294="","","FY"&amp;(YEAR(E294)+IF(AND(FYStart&gt;1,MONTH(E294)&gt;=FYStart),1,0))&amp;" Q"&amp;(INT(MOD(MONTH(E294)-FYStart,12)/3)+1))</f>
        <v>FY2026 Q2</v>
      </c>
      <c r="O294" s="59" t="n">
        <f aca="false">IF(OR(E294="",N(F294)=0),"",G294/F294)</f>
        <v>0.75</v>
      </c>
      <c r="P294" s="60" t="n">
        <f aca="false">IF(E294="","",ROUND(N(G294)*N(H294)/60,1))</f>
        <v>18</v>
      </c>
      <c r="Q294" s="57" t="str">
        <f aca="false">IF(E294="","",IF(COUNTIFS($C$2:C294,C294,$E$2:E294,E294,$B$2:B294,B294)&gt;1,"No","Yes"))</f>
        <v>Yes</v>
      </c>
      <c r="R294" s="61" t="str">
        <f aca="false">IF(E294="","",IF(Q294="No","Duplicate of an earlier response",IF(L294="Not on SITES","Site not on SITES",IF(N(G294)&gt;N(F294),"Present is more than enrolled",IF(OR(I294&lt;1,I294&gt;5),"Score outside 1 to 5","")))))</f>
        <v/>
      </c>
    </row>
    <row r="295" customFormat="false" ht="15" hidden="false" customHeight="false" outlineLevel="0" collapsed="false">
      <c r="A295" s="52" t="n">
        <v>46000.7644907407</v>
      </c>
      <c r="B295" s="53" t="s">
        <v>132</v>
      </c>
      <c r="C295" s="53" t="s">
        <v>133</v>
      </c>
      <c r="D295" s="53" t="s">
        <v>116</v>
      </c>
      <c r="E295" s="54" t="n">
        <v>46000</v>
      </c>
      <c r="F295" s="55" t="n">
        <v>18</v>
      </c>
      <c r="G295" s="55" t="n">
        <v>13</v>
      </c>
      <c r="H295" s="55" t="n">
        <v>90</v>
      </c>
      <c r="I295" s="56" t="n">
        <v>3.3</v>
      </c>
      <c r="J295" s="53" t="s">
        <v>123</v>
      </c>
      <c r="K295" s="53"/>
      <c r="L295" s="57" t="str">
        <f aca="false">IF(C295="","",IFERROR(INDEX(site_ID,MATCH(C295,site_Name,0)),"Not on SITES"))</f>
        <v>LW-109</v>
      </c>
      <c r="M295" s="58" t="n">
        <f aca="false">IF(E295="","",DATE(YEAR(E295),MONTH(E295),1))</f>
        <v>45992</v>
      </c>
      <c r="N295" s="57" t="str">
        <f aca="false">IF(E295="","","FY"&amp;(YEAR(E295)+IF(AND(FYStart&gt;1,MONTH(E295)&gt;=FYStart),1,0))&amp;" Q"&amp;(INT(MOD(MONTH(E295)-FYStart,12)/3)+1))</f>
        <v>FY2026 Q2</v>
      </c>
      <c r="O295" s="59" t="n">
        <f aca="false">IF(OR(E295="",N(F295)=0),"",G295/F295)</f>
        <v>0.722222222222222</v>
      </c>
      <c r="P295" s="60" t="n">
        <f aca="false">IF(E295="","",ROUND(N(G295)*N(H295)/60,1))</f>
        <v>19.5</v>
      </c>
      <c r="Q295" s="57" t="str">
        <f aca="false">IF(E295="","",IF(COUNTIFS($C$2:C295,C295,$E$2:E295,E295,$B$2:B295,B295)&gt;1,"No","Yes"))</f>
        <v>Yes</v>
      </c>
      <c r="R295" s="61" t="str">
        <f aca="false">IF(E295="","",IF(Q295="No","Duplicate of an earlier response",IF(L295="Not on SITES","Site not on SITES",IF(N(G295)&gt;N(F295),"Present is more than enrolled",IF(OR(I295&lt;1,I295&gt;5),"Score outside 1 to 5","")))))</f>
        <v/>
      </c>
    </row>
    <row r="296" customFormat="false" ht="15" hidden="false" customHeight="false" outlineLevel="0" collapsed="false">
      <c r="A296" s="52" t="n">
        <v>46000.7653819445</v>
      </c>
      <c r="B296" s="53" t="s">
        <v>129</v>
      </c>
      <c r="C296" s="53" t="s">
        <v>130</v>
      </c>
      <c r="D296" s="53" t="s">
        <v>113</v>
      </c>
      <c r="E296" s="54" t="n">
        <v>46000</v>
      </c>
      <c r="F296" s="55" t="n">
        <v>17</v>
      </c>
      <c r="G296" s="55" t="n">
        <v>14</v>
      </c>
      <c r="H296" s="55" t="n">
        <v>60</v>
      </c>
      <c r="I296" s="56" t="n">
        <v>3.3</v>
      </c>
      <c r="J296" s="53" t="s">
        <v>136</v>
      </c>
      <c r="K296" s="53"/>
      <c r="L296" s="57" t="str">
        <f aca="false">IF(C296="","",IFERROR(INDEX(site_ID,MATCH(C296,site_Name,0)),"Not on SITES"))</f>
        <v>LW-107</v>
      </c>
      <c r="M296" s="58" t="n">
        <f aca="false">IF(E296="","",DATE(YEAR(E296),MONTH(E296),1))</f>
        <v>45992</v>
      </c>
      <c r="N296" s="57" t="str">
        <f aca="false">IF(E296="","","FY"&amp;(YEAR(E296)+IF(AND(FYStart&gt;1,MONTH(E296)&gt;=FYStart),1,0))&amp;" Q"&amp;(INT(MOD(MONTH(E296)-FYStart,12)/3)+1))</f>
        <v>FY2026 Q2</v>
      </c>
      <c r="O296" s="59" t="n">
        <f aca="false">IF(OR(E296="",N(F296)=0),"",G296/F296)</f>
        <v>0.823529411764706</v>
      </c>
      <c r="P296" s="60" t="n">
        <f aca="false">IF(E296="","",ROUND(N(G296)*N(H296)/60,1))</f>
        <v>14</v>
      </c>
      <c r="Q296" s="57" t="str">
        <f aca="false">IF(E296="","",IF(COUNTIFS($C$2:C296,C296,$E$2:E296,E296,$B$2:B296,B296)&gt;1,"No","Yes"))</f>
        <v>Yes</v>
      </c>
      <c r="R296" s="61" t="str">
        <f aca="false">IF(E296="","",IF(Q296="No","Duplicate of an earlier response",IF(L296="Not on SITES","Site not on SITES",IF(N(G296)&gt;N(F296),"Present is more than enrolled",IF(OR(I296&lt;1,I296&gt;5),"Score outside 1 to 5","")))))</f>
        <v/>
      </c>
    </row>
    <row r="297" customFormat="false" ht="15" hidden="false" customHeight="false" outlineLevel="0" collapsed="false">
      <c r="A297" s="52" t="n">
        <v>46000.7724074074</v>
      </c>
      <c r="B297" s="53" t="s">
        <v>121</v>
      </c>
      <c r="C297" s="53" t="s">
        <v>127</v>
      </c>
      <c r="D297" s="53" t="s">
        <v>107</v>
      </c>
      <c r="E297" s="54" t="n">
        <v>46000</v>
      </c>
      <c r="F297" s="55" t="n">
        <v>16</v>
      </c>
      <c r="G297" s="55" t="n">
        <v>11</v>
      </c>
      <c r="H297" s="55" t="n">
        <v>60</v>
      </c>
      <c r="I297" s="56" t="n">
        <v>3.9</v>
      </c>
      <c r="J297" s="53" t="s">
        <v>128</v>
      </c>
      <c r="K297" s="53"/>
      <c r="L297" s="57" t="str">
        <f aca="false">IF(C297="","",IFERROR(INDEX(site_ID,MATCH(C297,site_Name,0)),"Not on SITES"))</f>
        <v>LW-108</v>
      </c>
      <c r="M297" s="58" t="n">
        <f aca="false">IF(E297="","",DATE(YEAR(E297),MONTH(E297),1))</f>
        <v>45992</v>
      </c>
      <c r="N297" s="57" t="str">
        <f aca="false">IF(E297="","","FY"&amp;(YEAR(E297)+IF(AND(FYStart&gt;1,MONTH(E297)&gt;=FYStart),1,0))&amp;" Q"&amp;(INT(MOD(MONTH(E297)-FYStart,12)/3)+1))</f>
        <v>FY2026 Q2</v>
      </c>
      <c r="O297" s="59" t="n">
        <f aca="false">IF(OR(E297="",N(F297)=0),"",G297/F297)</f>
        <v>0.6875</v>
      </c>
      <c r="P297" s="60" t="n">
        <f aca="false">IF(E297="","",ROUND(N(G297)*N(H297)/60,1))</f>
        <v>11</v>
      </c>
      <c r="Q297" s="57" t="str">
        <f aca="false">IF(E297="","",IF(COUNTIFS($C$2:C297,C297,$E$2:E297,E297,$B$2:B297,B297)&gt;1,"No","Yes"))</f>
        <v>Yes</v>
      </c>
      <c r="R297" s="61" t="str">
        <f aca="false">IF(E297="","",IF(Q297="No","Duplicate of an earlier response",IF(L297="Not on SITES","Site not on SITES",IF(N(G297)&gt;N(F297),"Present is more than enrolled",IF(OR(I297&lt;1,I297&gt;5),"Score outside 1 to 5","")))))</f>
        <v/>
      </c>
    </row>
    <row r="298" customFormat="false" ht="15" hidden="false" customHeight="false" outlineLevel="0" collapsed="false">
      <c r="A298" s="52" t="n">
        <v>46001.6871064815</v>
      </c>
      <c r="B298" s="53" t="s">
        <v>111</v>
      </c>
      <c r="C298" s="53" t="s">
        <v>112</v>
      </c>
      <c r="D298" s="53" t="s">
        <v>113</v>
      </c>
      <c r="E298" s="54" t="n">
        <v>46001</v>
      </c>
      <c r="F298" s="55" t="n">
        <v>16</v>
      </c>
      <c r="G298" s="55" t="n">
        <v>11</v>
      </c>
      <c r="H298" s="55" t="n">
        <v>60</v>
      </c>
      <c r="I298" s="56" t="n">
        <v>3.5</v>
      </c>
      <c r="J298" s="53" t="s">
        <v>114</v>
      </c>
      <c r="K298" s="53"/>
      <c r="L298" s="57" t="str">
        <f aca="false">IF(C298="","",IFERROR(INDEX(site_ID,MATCH(C298,site_Name,0)),"Not on SITES"))</f>
        <v>LW-120</v>
      </c>
      <c r="M298" s="58" t="n">
        <f aca="false">IF(E298="","",DATE(YEAR(E298),MONTH(E298),1))</f>
        <v>45992</v>
      </c>
      <c r="N298" s="57" t="str">
        <f aca="false">IF(E298="","","FY"&amp;(YEAR(E298)+IF(AND(FYStart&gt;1,MONTH(E298)&gt;=FYStart),1,0))&amp;" Q"&amp;(INT(MOD(MONTH(E298)-FYStart,12)/3)+1))</f>
        <v>FY2026 Q2</v>
      </c>
      <c r="O298" s="59" t="n">
        <f aca="false">IF(OR(E298="",N(F298)=0),"",G298/F298)</f>
        <v>0.6875</v>
      </c>
      <c r="P298" s="60" t="n">
        <f aca="false">IF(E298="","",ROUND(N(G298)*N(H298)/60,1))</f>
        <v>11</v>
      </c>
      <c r="Q298" s="57" t="str">
        <f aca="false">IF(E298="","",IF(COUNTIFS($C$2:C298,C298,$E$2:E298,E298,$B$2:B298,B298)&gt;1,"No","Yes"))</f>
        <v>Yes</v>
      </c>
      <c r="R298" s="61" t="str">
        <f aca="false">IF(E298="","",IF(Q298="No","Duplicate of an earlier response",IF(L298="Not on SITES","Site not on SITES",IF(N(G298)&gt;N(F298),"Present is more than enrolled",IF(OR(I298&lt;1,I298&gt;5),"Score outside 1 to 5","")))))</f>
        <v/>
      </c>
    </row>
    <row r="299" customFormat="false" ht="15" hidden="false" customHeight="false" outlineLevel="0" collapsed="false">
      <c r="A299" s="52" t="n">
        <v>46001.7213888889</v>
      </c>
      <c r="B299" s="53" t="s">
        <v>105</v>
      </c>
      <c r="C299" s="53" t="s">
        <v>118</v>
      </c>
      <c r="D299" s="53" t="s">
        <v>119</v>
      </c>
      <c r="E299" s="54" t="n">
        <v>46001</v>
      </c>
      <c r="F299" s="55" t="n">
        <v>22</v>
      </c>
      <c r="G299" s="55" t="n">
        <v>15</v>
      </c>
      <c r="H299" s="55" t="n">
        <v>90</v>
      </c>
      <c r="I299" s="56" t="n">
        <v>3.4</v>
      </c>
      <c r="J299" s="53" t="s">
        <v>157</v>
      </c>
      <c r="K299" s="53"/>
      <c r="L299" s="57" t="str">
        <f aca="false">IF(C299="","",IFERROR(INDEX(site_ID,MATCH(C299,site_Name,0)),"Not on SITES"))</f>
        <v>LW-111</v>
      </c>
      <c r="M299" s="58" t="n">
        <f aca="false">IF(E299="","",DATE(YEAR(E299),MONTH(E299),1))</f>
        <v>45992</v>
      </c>
      <c r="N299" s="57" t="str">
        <f aca="false">IF(E299="","","FY"&amp;(YEAR(E299)+IF(AND(FYStart&gt;1,MONTH(E299)&gt;=FYStart),1,0))&amp;" Q"&amp;(INT(MOD(MONTH(E299)-FYStart,12)/3)+1))</f>
        <v>FY2026 Q2</v>
      </c>
      <c r="O299" s="59" t="n">
        <f aca="false">IF(OR(E299="",N(F299)=0),"",G299/F299)</f>
        <v>0.681818181818182</v>
      </c>
      <c r="P299" s="60" t="n">
        <f aca="false">IF(E299="","",ROUND(N(G299)*N(H299)/60,1))</f>
        <v>22.5</v>
      </c>
      <c r="Q299" s="57" t="str">
        <f aca="false">IF(E299="","",IF(COUNTIFS($C$2:C299,C299,$E$2:E299,E299,$B$2:B299,B299)&gt;1,"No","Yes"))</f>
        <v>Yes</v>
      </c>
      <c r="R299" s="61" t="str">
        <f aca="false">IF(E299="","",IF(Q299="No","Duplicate of an earlier response",IF(L299="Not on SITES","Site not on SITES",IF(N(G299)&gt;N(F299),"Present is more than enrolled",IF(OR(I299&lt;1,I299&gt;5),"Score outside 1 to 5","")))))</f>
        <v/>
      </c>
    </row>
    <row r="300" customFormat="false" ht="15" hidden="false" customHeight="false" outlineLevel="0" collapsed="false">
      <c r="A300" s="52" t="n">
        <v>46001.7496990741</v>
      </c>
      <c r="B300" s="53" t="s">
        <v>132</v>
      </c>
      <c r="C300" s="53" t="s">
        <v>145</v>
      </c>
      <c r="D300" s="53" t="s">
        <v>119</v>
      </c>
      <c r="E300" s="54" t="n">
        <v>46001</v>
      </c>
      <c r="F300" s="55" t="n">
        <v>19</v>
      </c>
      <c r="G300" s="55" t="n">
        <v>12</v>
      </c>
      <c r="H300" s="55" t="n">
        <v>75</v>
      </c>
      <c r="I300" s="56" t="n">
        <v>3.5</v>
      </c>
      <c r="J300" s="53" t="s">
        <v>162</v>
      </c>
      <c r="K300" s="53"/>
      <c r="L300" s="57" t="str">
        <f aca="false">IF(C300="","",IFERROR(INDEX(site_ID,MATCH(C300,site_Name,0)),"Not on SITES"))</f>
        <v>LW-101</v>
      </c>
      <c r="M300" s="58" t="n">
        <f aca="false">IF(E300="","",DATE(YEAR(E300),MONTH(E300),1))</f>
        <v>45992</v>
      </c>
      <c r="N300" s="57" t="str">
        <f aca="false">IF(E300="","","FY"&amp;(YEAR(E300)+IF(AND(FYStart&gt;1,MONTH(E300)&gt;=FYStart),1,0))&amp;" Q"&amp;(INT(MOD(MONTH(E300)-FYStart,12)/3)+1))</f>
        <v>FY2026 Q2</v>
      </c>
      <c r="O300" s="59" t="n">
        <f aca="false">IF(OR(E300="",N(F300)=0),"",G300/F300)</f>
        <v>0.631578947368421</v>
      </c>
      <c r="P300" s="60" t="n">
        <f aca="false">IF(E300="","",ROUND(N(G300)*N(H300)/60,1))</f>
        <v>15</v>
      </c>
      <c r="Q300" s="57" t="str">
        <f aca="false">IF(E300="","",IF(COUNTIFS($C$2:C300,C300,$E$2:E300,E300,$B$2:B300,B300)&gt;1,"No","Yes"))</f>
        <v>Yes</v>
      </c>
      <c r="R300" s="61" t="str">
        <f aca="false">IF(E300="","",IF(Q300="No","Duplicate of an earlier response",IF(L300="Not on SITES","Site not on SITES",IF(N(G300)&gt;N(F300),"Present is more than enrolled",IF(OR(I300&lt;1,I300&gt;5),"Score outside 1 to 5","")))))</f>
        <v/>
      </c>
    </row>
    <row r="301" customFormat="false" ht="15" hidden="false" customHeight="false" outlineLevel="0" collapsed="false">
      <c r="A301" s="52" t="n">
        <v>46001.7716550926</v>
      </c>
      <c r="B301" s="53" t="s">
        <v>140</v>
      </c>
      <c r="C301" s="53" t="s">
        <v>142</v>
      </c>
      <c r="D301" s="53" t="s">
        <v>113</v>
      </c>
      <c r="E301" s="54" t="n">
        <v>46001</v>
      </c>
      <c r="F301" s="55" t="n">
        <v>18</v>
      </c>
      <c r="G301" s="55" t="n">
        <v>14</v>
      </c>
      <c r="H301" s="55" t="n">
        <v>90</v>
      </c>
      <c r="I301" s="56" t="n">
        <v>3.3</v>
      </c>
      <c r="J301" s="53" t="s">
        <v>114</v>
      </c>
      <c r="K301" s="53"/>
      <c r="L301" s="57" t="str">
        <f aca="false">IF(C301="","",IFERROR(INDEX(site_ID,MATCH(C301,site_Name,0)),"Not on SITES"))</f>
        <v>LW-102</v>
      </c>
      <c r="M301" s="58" t="n">
        <f aca="false">IF(E301="","",DATE(YEAR(E301),MONTH(E301),1))</f>
        <v>45992</v>
      </c>
      <c r="N301" s="57" t="str">
        <f aca="false">IF(E301="","","FY"&amp;(YEAR(E301)+IF(AND(FYStart&gt;1,MONTH(E301)&gt;=FYStart),1,0))&amp;" Q"&amp;(INT(MOD(MONTH(E301)-FYStart,12)/3)+1))</f>
        <v>FY2026 Q2</v>
      </c>
      <c r="O301" s="59" t="n">
        <f aca="false">IF(OR(E301="",N(F301)=0),"",G301/F301)</f>
        <v>0.777777777777778</v>
      </c>
      <c r="P301" s="60" t="n">
        <f aca="false">IF(E301="","",ROUND(N(G301)*N(H301)/60,1))</f>
        <v>21</v>
      </c>
      <c r="Q301" s="57" t="str">
        <f aca="false">IF(E301="","",IF(COUNTIFS($C$2:C301,C301,$E$2:E301,E301,$B$2:B301,B301)&gt;1,"No","Yes"))</f>
        <v>Yes</v>
      </c>
      <c r="R301" s="61" t="str">
        <f aca="false">IF(E301="","",IF(Q301="No","Duplicate of an earlier response",IF(L301="Not on SITES","Site not on SITES",IF(N(G301)&gt;N(F301),"Present is more than enrolled",IF(OR(I301&lt;1,I301&gt;5),"Score outside 1 to 5","")))))</f>
        <v/>
      </c>
    </row>
    <row r="302" customFormat="false" ht="15" hidden="false" customHeight="false" outlineLevel="0" collapsed="false">
      <c r="A302" s="52" t="n">
        <v>46001.8005092593</v>
      </c>
      <c r="B302" s="53" t="s">
        <v>140</v>
      </c>
      <c r="C302" s="53" t="s">
        <v>141</v>
      </c>
      <c r="D302" s="53" t="s">
        <v>116</v>
      </c>
      <c r="E302" s="54" t="n">
        <v>46001</v>
      </c>
      <c r="F302" s="55" t="n">
        <v>13</v>
      </c>
      <c r="G302" s="55" t="n">
        <v>11</v>
      </c>
      <c r="H302" s="55" t="n">
        <v>90</v>
      </c>
      <c r="I302" s="56" t="n">
        <v>3.7</v>
      </c>
      <c r="J302" s="53" t="s">
        <v>134</v>
      </c>
      <c r="K302" s="53"/>
      <c r="L302" s="57" t="str">
        <f aca="false">IF(C302="","",IFERROR(INDEX(site_ID,MATCH(C302,site_Name,0)),"Not on SITES"))</f>
        <v>LW-118</v>
      </c>
      <c r="M302" s="58" t="n">
        <f aca="false">IF(E302="","",DATE(YEAR(E302),MONTH(E302),1))</f>
        <v>45992</v>
      </c>
      <c r="N302" s="57" t="str">
        <f aca="false">IF(E302="","","FY"&amp;(YEAR(E302)+IF(AND(FYStart&gt;1,MONTH(E302)&gt;=FYStart),1,0))&amp;" Q"&amp;(INT(MOD(MONTH(E302)-FYStart,12)/3)+1))</f>
        <v>FY2026 Q2</v>
      </c>
      <c r="O302" s="59" t="n">
        <f aca="false">IF(OR(E302="",N(F302)=0),"",G302/F302)</f>
        <v>0.846153846153846</v>
      </c>
      <c r="P302" s="60" t="n">
        <f aca="false">IF(E302="","",ROUND(N(G302)*N(H302)/60,1))</f>
        <v>16.5</v>
      </c>
      <c r="Q302" s="57" t="str">
        <f aca="false">IF(E302="","",IF(COUNTIFS($C$2:C302,C302,$E$2:E302,E302,$B$2:B302,B302)&gt;1,"No","Yes"))</f>
        <v>Yes</v>
      </c>
      <c r="R302" s="61" t="str">
        <f aca="false">IF(E302="","",IF(Q302="No","Duplicate of an earlier response",IF(L302="Not on SITES","Site not on SITES",IF(N(G302)&gt;N(F302),"Present is more than enrolled",IF(OR(I302&lt;1,I302&gt;5),"Score outside 1 to 5","")))))</f>
        <v/>
      </c>
    </row>
    <row r="303" customFormat="false" ht="15" hidden="false" customHeight="false" outlineLevel="0" collapsed="false">
      <c r="A303" s="52" t="n">
        <v>46001.8118055556</v>
      </c>
      <c r="B303" s="53" t="s">
        <v>105</v>
      </c>
      <c r="C303" s="53" t="s">
        <v>118</v>
      </c>
      <c r="D303" s="53" t="s">
        <v>119</v>
      </c>
      <c r="E303" s="54" t="n">
        <v>45999</v>
      </c>
      <c r="F303" s="55" t="n">
        <v>22</v>
      </c>
      <c r="G303" s="55" t="n">
        <v>16</v>
      </c>
      <c r="H303" s="55" t="n">
        <v>60</v>
      </c>
      <c r="I303" s="56" t="n">
        <v>3.4</v>
      </c>
      <c r="J303" s="53" t="s">
        <v>126</v>
      </c>
      <c r="K303" s="53"/>
      <c r="L303" s="57" t="str">
        <f aca="false">IF(C303="","",IFERROR(INDEX(site_ID,MATCH(C303,site_Name,0)),"Not on SITES"))</f>
        <v>LW-111</v>
      </c>
      <c r="M303" s="58" t="n">
        <f aca="false">IF(E303="","",DATE(YEAR(E303),MONTH(E303),1))</f>
        <v>45992</v>
      </c>
      <c r="N303" s="57" t="str">
        <f aca="false">IF(E303="","","FY"&amp;(YEAR(E303)+IF(AND(FYStart&gt;1,MONTH(E303)&gt;=FYStart),1,0))&amp;" Q"&amp;(INT(MOD(MONTH(E303)-FYStart,12)/3)+1))</f>
        <v>FY2026 Q2</v>
      </c>
      <c r="O303" s="59" t="n">
        <f aca="false">IF(OR(E303="",N(F303)=0),"",G303/F303)</f>
        <v>0.727272727272727</v>
      </c>
      <c r="P303" s="60" t="n">
        <f aca="false">IF(E303="","",ROUND(N(G303)*N(H303)/60,1))</f>
        <v>16</v>
      </c>
      <c r="Q303" s="57" t="str">
        <f aca="false">IF(E303="","",IF(COUNTIFS($C$2:C303,C303,$E$2:E303,E303,$B$2:B303,B303)&gt;1,"No","Yes"))</f>
        <v>Yes</v>
      </c>
      <c r="R303" s="61" t="str">
        <f aca="false">IF(E303="","",IF(Q303="No","Duplicate of an earlier response",IF(L303="Not on SITES","Site not on SITES",IF(N(G303)&gt;N(F303),"Present is more than enrolled",IF(OR(I303&lt;1,I303&gt;5),"Score outside 1 to 5","")))))</f>
        <v/>
      </c>
    </row>
    <row r="304" customFormat="false" ht="15" hidden="false" customHeight="false" outlineLevel="0" collapsed="false">
      <c r="A304" s="52" t="n">
        <v>46002.6388425926</v>
      </c>
      <c r="B304" s="53" t="s">
        <v>121</v>
      </c>
      <c r="C304" s="53" t="s">
        <v>122</v>
      </c>
      <c r="D304" s="53" t="s">
        <v>116</v>
      </c>
      <c r="E304" s="54" t="n">
        <v>46002</v>
      </c>
      <c r="F304" s="55" t="n">
        <v>16</v>
      </c>
      <c r="G304" s="55" t="n">
        <v>12</v>
      </c>
      <c r="H304" s="55" t="n">
        <v>60</v>
      </c>
      <c r="I304" s="56" t="n">
        <v>3.4</v>
      </c>
      <c r="J304" s="53" t="s">
        <v>134</v>
      </c>
      <c r="K304" s="53"/>
      <c r="L304" s="57" t="str">
        <f aca="false">IF(C304="","",IFERROR(INDEX(site_ID,MATCH(C304,site_Name,0)),"Not on SITES"))</f>
        <v>LW-116</v>
      </c>
      <c r="M304" s="58" t="n">
        <f aca="false">IF(E304="","",DATE(YEAR(E304),MONTH(E304),1))</f>
        <v>45992</v>
      </c>
      <c r="N304" s="57" t="str">
        <f aca="false">IF(E304="","","FY"&amp;(YEAR(E304)+IF(AND(FYStart&gt;1,MONTH(E304)&gt;=FYStart),1,0))&amp;" Q"&amp;(INT(MOD(MONTH(E304)-FYStart,12)/3)+1))</f>
        <v>FY2026 Q2</v>
      </c>
      <c r="O304" s="59" t="n">
        <f aca="false">IF(OR(E304="",N(F304)=0),"",G304/F304)</f>
        <v>0.75</v>
      </c>
      <c r="P304" s="60" t="n">
        <f aca="false">IF(E304="","",ROUND(N(G304)*N(H304)/60,1))</f>
        <v>12</v>
      </c>
      <c r="Q304" s="57" t="str">
        <f aca="false">IF(E304="","",IF(COUNTIFS($C$2:C304,C304,$E$2:E304,E304,$B$2:B304,B304)&gt;1,"No","Yes"))</f>
        <v>Yes</v>
      </c>
      <c r="R304" s="61" t="str">
        <f aca="false">IF(E304="","",IF(Q304="No","Duplicate of an earlier response",IF(L304="Not on SITES","Site not on SITES",IF(N(G304)&gt;N(F304),"Present is more than enrolled",IF(OR(I304&lt;1,I304&gt;5),"Score outside 1 to 5","")))))</f>
        <v/>
      </c>
    </row>
    <row r="305" customFormat="false" ht="15" hidden="false" customHeight="false" outlineLevel="0" collapsed="false">
      <c r="A305" s="52" t="n">
        <v>46002.6723611111</v>
      </c>
      <c r="B305" s="53" t="s">
        <v>124</v>
      </c>
      <c r="C305" s="53" t="s">
        <v>154</v>
      </c>
      <c r="D305" s="53" t="s">
        <v>116</v>
      </c>
      <c r="E305" s="54" t="n">
        <v>46002</v>
      </c>
      <c r="F305" s="55" t="n">
        <v>18</v>
      </c>
      <c r="G305" s="55" t="n">
        <v>14</v>
      </c>
      <c r="H305" s="55" t="n">
        <v>75</v>
      </c>
      <c r="I305" s="56" t="n">
        <v>3.9</v>
      </c>
      <c r="J305" s="53" t="s">
        <v>123</v>
      </c>
      <c r="K305" s="53"/>
      <c r="L305" s="57" t="str">
        <f aca="false">IF(C305="","",IFERROR(INDEX(site_ID,MATCH(C305,site_Name,0)),"Not on SITES"))</f>
        <v>LW-114</v>
      </c>
      <c r="M305" s="58" t="n">
        <f aca="false">IF(E305="","",DATE(YEAR(E305),MONTH(E305),1))</f>
        <v>45992</v>
      </c>
      <c r="N305" s="57" t="str">
        <f aca="false">IF(E305="","","FY"&amp;(YEAR(E305)+IF(AND(FYStart&gt;1,MONTH(E305)&gt;=FYStart),1,0))&amp;" Q"&amp;(INT(MOD(MONTH(E305)-FYStart,12)/3)+1))</f>
        <v>FY2026 Q2</v>
      </c>
      <c r="O305" s="59" t="n">
        <f aca="false">IF(OR(E305="",N(F305)=0),"",G305/F305)</f>
        <v>0.777777777777778</v>
      </c>
      <c r="P305" s="60" t="n">
        <f aca="false">IF(E305="","",ROUND(N(G305)*N(H305)/60,1))</f>
        <v>17.5</v>
      </c>
      <c r="Q305" s="57" t="str">
        <f aca="false">IF(E305="","",IF(COUNTIFS($C$2:C305,C305,$E$2:E305,E305,$B$2:B305,B305)&gt;1,"No","Yes"))</f>
        <v>Yes</v>
      </c>
      <c r="R305" s="61" t="str">
        <f aca="false">IF(E305="","",IF(Q305="No","Duplicate of an earlier response",IF(L305="Not on SITES","Site not on SITES",IF(N(G305)&gt;N(F305),"Present is more than enrolled",IF(OR(I305&lt;1,I305&gt;5),"Score outside 1 to 5","")))))</f>
        <v/>
      </c>
    </row>
    <row r="306" customFormat="false" ht="15" hidden="false" customHeight="false" outlineLevel="0" collapsed="false">
      <c r="A306" s="52" t="n">
        <v>46002.6865509259</v>
      </c>
      <c r="B306" s="53" t="s">
        <v>109</v>
      </c>
      <c r="C306" s="53" t="s">
        <v>146</v>
      </c>
      <c r="D306" s="53" t="s">
        <v>138</v>
      </c>
      <c r="E306" s="54" t="n">
        <v>46002</v>
      </c>
      <c r="F306" s="55" t="n">
        <v>15</v>
      </c>
      <c r="G306" s="55" t="n">
        <v>11</v>
      </c>
      <c r="H306" s="55" t="n">
        <v>90</v>
      </c>
      <c r="I306" s="56" t="n">
        <v>3.7</v>
      </c>
      <c r="J306" s="53" t="s">
        <v>164</v>
      </c>
      <c r="K306" s="53"/>
      <c r="L306" s="57" t="str">
        <f aca="false">IF(C306="","",IFERROR(INDEX(site_ID,MATCH(C306,site_Name,0)),"Not on SITES"))</f>
        <v>LW-105</v>
      </c>
      <c r="M306" s="58" t="n">
        <f aca="false">IF(E306="","",DATE(YEAR(E306),MONTH(E306),1))</f>
        <v>45992</v>
      </c>
      <c r="N306" s="57" t="str">
        <f aca="false">IF(E306="","","FY"&amp;(YEAR(E306)+IF(AND(FYStart&gt;1,MONTH(E306)&gt;=FYStart),1,0))&amp;" Q"&amp;(INT(MOD(MONTH(E306)-FYStart,12)/3)+1))</f>
        <v>FY2026 Q2</v>
      </c>
      <c r="O306" s="59" t="n">
        <f aca="false">IF(OR(E306="",N(F306)=0),"",G306/F306)</f>
        <v>0.733333333333333</v>
      </c>
      <c r="P306" s="60" t="n">
        <f aca="false">IF(E306="","",ROUND(N(G306)*N(H306)/60,1))</f>
        <v>16.5</v>
      </c>
      <c r="Q306" s="57" t="str">
        <f aca="false">IF(E306="","",IF(COUNTIFS($C$2:C306,C306,$E$2:E306,E306,$B$2:B306,B306)&gt;1,"No","Yes"))</f>
        <v>Yes</v>
      </c>
      <c r="R306" s="61" t="str">
        <f aca="false">IF(E306="","",IF(Q306="No","Duplicate of an earlier response",IF(L306="Not on SITES","Site not on SITES",IF(N(G306)&gt;N(F306),"Present is more than enrolled",IF(OR(I306&lt;1,I306&gt;5),"Score outside 1 to 5","")))))</f>
        <v/>
      </c>
    </row>
    <row r="307" customFormat="false" ht="15" hidden="false" customHeight="false" outlineLevel="0" collapsed="false">
      <c r="A307" s="52" t="n">
        <v>46002.7869907407</v>
      </c>
      <c r="B307" s="53" t="s">
        <v>111</v>
      </c>
      <c r="C307" s="53" t="s">
        <v>148</v>
      </c>
      <c r="D307" s="53" t="s">
        <v>116</v>
      </c>
      <c r="E307" s="54" t="n">
        <v>46002</v>
      </c>
      <c r="F307" s="55" t="n">
        <v>16</v>
      </c>
      <c r="G307" s="55" t="n">
        <v>12</v>
      </c>
      <c r="H307" s="55" t="n">
        <v>60</v>
      </c>
      <c r="I307" s="56" t="n">
        <v>3.4</v>
      </c>
      <c r="J307" s="53" t="s">
        <v>117</v>
      </c>
      <c r="K307" s="53"/>
      <c r="L307" s="57" t="str">
        <f aca="false">IF(C307="","",IFERROR(INDEX(site_ID,MATCH(C307,site_Name,0)),"Not on SITES"))</f>
        <v>LW-104</v>
      </c>
      <c r="M307" s="58" t="n">
        <f aca="false">IF(E307="","",DATE(YEAR(E307),MONTH(E307),1))</f>
        <v>45992</v>
      </c>
      <c r="N307" s="57" t="str">
        <f aca="false">IF(E307="","","FY"&amp;(YEAR(E307)+IF(AND(FYStart&gt;1,MONTH(E307)&gt;=FYStart),1,0))&amp;" Q"&amp;(INT(MOD(MONTH(E307)-FYStart,12)/3)+1))</f>
        <v>FY2026 Q2</v>
      </c>
      <c r="O307" s="59" t="n">
        <f aca="false">IF(OR(E307="",N(F307)=0),"",G307/F307)</f>
        <v>0.75</v>
      </c>
      <c r="P307" s="60" t="n">
        <f aca="false">IF(E307="","",ROUND(N(G307)*N(H307)/60,1))</f>
        <v>12</v>
      </c>
      <c r="Q307" s="57" t="str">
        <f aca="false">IF(E307="","",IF(COUNTIFS($C$2:C307,C307,$E$2:E307,E307,$B$2:B307,B307)&gt;1,"No","Yes"))</f>
        <v>Yes</v>
      </c>
      <c r="R307" s="61" t="str">
        <f aca="false">IF(E307="","",IF(Q307="No","Duplicate of an earlier response",IF(L307="Not on SITES","Site not on SITES",IF(N(G307)&gt;N(F307),"Present is more than enrolled",IF(OR(I307&lt;1,I307&gt;5),"Score outside 1 to 5","")))))</f>
        <v/>
      </c>
    </row>
    <row r="308" customFormat="false" ht="15" hidden="false" customHeight="false" outlineLevel="0" collapsed="false">
      <c r="A308" s="52" t="n">
        <v>46002.8022916667</v>
      </c>
      <c r="B308" s="53" t="s">
        <v>140</v>
      </c>
      <c r="C308" s="53" t="s">
        <v>151</v>
      </c>
      <c r="D308" s="53" t="s">
        <v>138</v>
      </c>
      <c r="E308" s="54" t="n">
        <v>46002</v>
      </c>
      <c r="F308" s="55" t="n">
        <v>14</v>
      </c>
      <c r="G308" s="55" t="n">
        <v>10</v>
      </c>
      <c r="H308" s="55" t="n">
        <v>90</v>
      </c>
      <c r="I308" s="56" t="n">
        <v>3.1</v>
      </c>
      <c r="J308" s="53" t="s">
        <v>163</v>
      </c>
      <c r="K308" s="53" t="s">
        <v>161</v>
      </c>
      <c r="L308" s="57" t="str">
        <f aca="false">IF(C308="","",IFERROR(INDEX(site_ID,MATCH(C308,site_Name,0)),"Not on SITES"))</f>
        <v>LW-110</v>
      </c>
      <c r="M308" s="58" t="n">
        <f aca="false">IF(E308="","",DATE(YEAR(E308),MONTH(E308),1))</f>
        <v>45992</v>
      </c>
      <c r="N308" s="57" t="str">
        <f aca="false">IF(E308="","","FY"&amp;(YEAR(E308)+IF(AND(FYStart&gt;1,MONTH(E308)&gt;=FYStart),1,0))&amp;" Q"&amp;(INT(MOD(MONTH(E308)-FYStart,12)/3)+1))</f>
        <v>FY2026 Q2</v>
      </c>
      <c r="O308" s="59" t="n">
        <f aca="false">IF(OR(E308="",N(F308)=0),"",G308/F308)</f>
        <v>0.714285714285714</v>
      </c>
      <c r="P308" s="60" t="n">
        <f aca="false">IF(E308="","",ROUND(N(G308)*N(H308)/60,1))</f>
        <v>15</v>
      </c>
      <c r="Q308" s="57" t="str">
        <f aca="false">IF(E308="","",IF(COUNTIFS($C$2:C308,C308,$E$2:E308,E308,$B$2:B308,B308)&gt;1,"No","Yes"))</f>
        <v>Yes</v>
      </c>
      <c r="R308" s="61" t="str">
        <f aca="false">IF(E308="","",IF(Q308="No","Duplicate of an earlier response",IF(L308="Not on SITES","Site not on SITES",IF(N(G308)&gt;N(F308),"Present is more than enrolled",IF(OR(I308&lt;1,I308&gt;5),"Score outside 1 to 5","")))))</f>
        <v/>
      </c>
    </row>
    <row r="309" customFormat="false" ht="15" hidden="false" customHeight="false" outlineLevel="0" collapsed="false">
      <c r="A309" s="52" t="n">
        <v>46003.6894675926</v>
      </c>
      <c r="B309" s="53" t="s">
        <v>140</v>
      </c>
      <c r="C309" s="53" t="s">
        <v>141</v>
      </c>
      <c r="D309" s="53" t="s">
        <v>116</v>
      </c>
      <c r="E309" s="54" t="n">
        <v>46003</v>
      </c>
      <c r="F309" s="55" t="n">
        <v>13</v>
      </c>
      <c r="G309" s="55" t="n">
        <v>9</v>
      </c>
      <c r="H309" s="55" t="n">
        <v>60</v>
      </c>
      <c r="I309" s="56" t="n">
        <v>3.9</v>
      </c>
      <c r="J309" s="53" t="s">
        <v>153</v>
      </c>
      <c r="K309" s="53"/>
      <c r="L309" s="57" t="str">
        <f aca="false">IF(C309="","",IFERROR(INDEX(site_ID,MATCH(C309,site_Name,0)),"Not on SITES"))</f>
        <v>LW-118</v>
      </c>
      <c r="M309" s="58" t="n">
        <f aca="false">IF(E309="","",DATE(YEAR(E309),MONTH(E309),1))</f>
        <v>45992</v>
      </c>
      <c r="N309" s="57" t="str">
        <f aca="false">IF(E309="","","FY"&amp;(YEAR(E309)+IF(AND(FYStart&gt;1,MONTH(E309)&gt;=FYStart),1,0))&amp;" Q"&amp;(INT(MOD(MONTH(E309)-FYStart,12)/3)+1))</f>
        <v>FY2026 Q2</v>
      </c>
      <c r="O309" s="59" t="n">
        <f aca="false">IF(OR(E309="",N(F309)=0),"",G309/F309)</f>
        <v>0.692307692307692</v>
      </c>
      <c r="P309" s="60" t="n">
        <f aca="false">IF(E309="","",ROUND(N(G309)*N(H309)/60,1))</f>
        <v>9</v>
      </c>
      <c r="Q309" s="57" t="str">
        <f aca="false">IF(E309="","",IF(COUNTIFS($C$2:C309,C309,$E$2:E309,E309,$B$2:B309,B309)&gt;1,"No","Yes"))</f>
        <v>Yes</v>
      </c>
      <c r="R309" s="61" t="str">
        <f aca="false">IF(E309="","",IF(Q309="No","Duplicate of an earlier response",IF(L309="Not on SITES","Site not on SITES",IF(N(G309)&gt;N(F309),"Present is more than enrolled",IF(OR(I309&lt;1,I309&gt;5),"Score outside 1 to 5","")))))</f>
        <v/>
      </c>
    </row>
    <row r="310" customFormat="false" ht="15" hidden="false" customHeight="false" outlineLevel="0" collapsed="false">
      <c r="A310" s="52" t="n">
        <v>46003.7631018519</v>
      </c>
      <c r="B310" s="53" t="s">
        <v>109</v>
      </c>
      <c r="C310" s="53" t="s">
        <v>137</v>
      </c>
      <c r="D310" s="53" t="s">
        <v>138</v>
      </c>
      <c r="E310" s="54" t="n">
        <v>46001</v>
      </c>
      <c r="F310" s="55" t="n">
        <v>20</v>
      </c>
      <c r="G310" s="55" t="n">
        <v>16</v>
      </c>
      <c r="H310" s="55" t="n">
        <v>90</v>
      </c>
      <c r="I310" s="56" t="n">
        <v>4.2</v>
      </c>
      <c r="J310" s="53" t="s">
        <v>163</v>
      </c>
      <c r="K310" s="53"/>
      <c r="L310" s="57" t="str">
        <f aca="false">IF(C310="","",IFERROR(INDEX(site_ID,MATCH(C310,site_Name,0)),"Not on SITES"))</f>
        <v>LW-115</v>
      </c>
      <c r="M310" s="58" t="n">
        <f aca="false">IF(E310="","",DATE(YEAR(E310),MONTH(E310),1))</f>
        <v>45992</v>
      </c>
      <c r="N310" s="57" t="str">
        <f aca="false">IF(E310="","","FY"&amp;(YEAR(E310)+IF(AND(FYStart&gt;1,MONTH(E310)&gt;=FYStart),1,0))&amp;" Q"&amp;(INT(MOD(MONTH(E310)-FYStart,12)/3)+1))</f>
        <v>FY2026 Q2</v>
      </c>
      <c r="O310" s="59" t="n">
        <f aca="false">IF(OR(E310="",N(F310)=0),"",G310/F310)</f>
        <v>0.8</v>
      </c>
      <c r="P310" s="60" t="n">
        <f aca="false">IF(E310="","",ROUND(N(G310)*N(H310)/60,1))</f>
        <v>24</v>
      </c>
      <c r="Q310" s="57" t="str">
        <f aca="false">IF(E310="","",IF(COUNTIFS($C$2:C310,C310,$E$2:E310,E310,$B$2:B310,B310)&gt;1,"No","Yes"))</f>
        <v>Yes</v>
      </c>
      <c r="R310" s="61" t="str">
        <f aca="false">IF(E310="","",IF(Q310="No","Duplicate of an earlier response",IF(L310="Not on SITES","Site not on SITES",IF(N(G310)&gt;N(F310),"Present is more than enrolled",IF(OR(I310&lt;1,I310&gt;5),"Score outside 1 to 5","")))))</f>
        <v/>
      </c>
    </row>
    <row r="311" customFormat="false" ht="15" hidden="false" customHeight="false" outlineLevel="0" collapsed="false">
      <c r="A311" s="52" t="n">
        <v>46003.7671180556</v>
      </c>
      <c r="B311" s="53" t="s">
        <v>132</v>
      </c>
      <c r="C311" s="53" t="s">
        <v>150</v>
      </c>
      <c r="D311" s="53" t="s">
        <v>138</v>
      </c>
      <c r="E311" s="54" t="n">
        <v>46002</v>
      </c>
      <c r="F311" s="55" t="n">
        <v>21</v>
      </c>
      <c r="G311" s="55" t="n">
        <v>15</v>
      </c>
      <c r="H311" s="55" t="n">
        <v>90</v>
      </c>
      <c r="I311" s="56" t="n">
        <v>3.4</v>
      </c>
      <c r="J311" s="53" t="s">
        <v>163</v>
      </c>
      <c r="K311" s="53"/>
      <c r="L311" s="57" t="str">
        <f aca="false">IF(C311="","",IFERROR(INDEX(site_ID,MATCH(C311,site_Name,0)),"Not on SITES"))</f>
        <v>LW-117</v>
      </c>
      <c r="M311" s="58" t="n">
        <f aca="false">IF(E311="","",DATE(YEAR(E311),MONTH(E311),1))</f>
        <v>45992</v>
      </c>
      <c r="N311" s="57" t="str">
        <f aca="false">IF(E311="","","FY"&amp;(YEAR(E311)+IF(AND(FYStart&gt;1,MONTH(E311)&gt;=FYStart),1,0))&amp;" Q"&amp;(INT(MOD(MONTH(E311)-FYStart,12)/3)+1))</f>
        <v>FY2026 Q2</v>
      </c>
      <c r="O311" s="59" t="n">
        <f aca="false">IF(OR(E311="",N(F311)=0),"",G311/F311)</f>
        <v>0.714285714285714</v>
      </c>
      <c r="P311" s="60" t="n">
        <f aca="false">IF(E311="","",ROUND(N(G311)*N(H311)/60,1))</f>
        <v>22.5</v>
      </c>
      <c r="Q311" s="57" t="str">
        <f aca="false">IF(E311="","",IF(COUNTIFS($C$2:C311,C311,$E$2:E311,E311,$B$2:B311,B311)&gt;1,"No","Yes"))</f>
        <v>Yes</v>
      </c>
      <c r="R311" s="61" t="str">
        <f aca="false">IF(E311="","",IF(Q311="No","Duplicate of an earlier response",IF(L311="Not on SITES","Site not on SITES",IF(N(G311)&gt;N(F311),"Present is more than enrolled",IF(OR(I311&lt;1,I311&gt;5),"Score outside 1 to 5","")))))</f>
        <v/>
      </c>
    </row>
    <row r="312" customFormat="false" ht="15" hidden="false" customHeight="false" outlineLevel="0" collapsed="false">
      <c r="A312" s="52" t="n">
        <v>46003.8561805556</v>
      </c>
      <c r="B312" s="53" t="s">
        <v>129</v>
      </c>
      <c r="C312" s="53" t="s">
        <v>137</v>
      </c>
      <c r="D312" s="53" t="s">
        <v>138</v>
      </c>
      <c r="E312" s="54" t="n">
        <v>46003</v>
      </c>
      <c r="F312" s="55" t="n">
        <v>20</v>
      </c>
      <c r="G312" s="55" t="n">
        <v>17</v>
      </c>
      <c r="H312" s="55" t="n">
        <v>90</v>
      </c>
      <c r="I312" s="56" t="n">
        <v>3.6</v>
      </c>
      <c r="J312" s="53" t="s">
        <v>139</v>
      </c>
      <c r="K312" s="53"/>
      <c r="L312" s="57" t="str">
        <f aca="false">IF(C312="","",IFERROR(INDEX(site_ID,MATCH(C312,site_Name,0)),"Not on SITES"))</f>
        <v>LW-115</v>
      </c>
      <c r="M312" s="58" t="n">
        <f aca="false">IF(E312="","",DATE(YEAR(E312),MONTH(E312),1))</f>
        <v>45992</v>
      </c>
      <c r="N312" s="57" t="str">
        <f aca="false">IF(E312="","","FY"&amp;(YEAR(E312)+IF(AND(FYStart&gt;1,MONTH(E312)&gt;=FYStart),1,0))&amp;" Q"&amp;(INT(MOD(MONTH(E312)-FYStart,12)/3)+1))</f>
        <v>FY2026 Q2</v>
      </c>
      <c r="O312" s="59" t="n">
        <f aca="false">IF(OR(E312="",N(F312)=0),"",G312/F312)</f>
        <v>0.85</v>
      </c>
      <c r="P312" s="60" t="n">
        <f aca="false">IF(E312="","",ROUND(N(G312)*N(H312)/60,1))</f>
        <v>25.5</v>
      </c>
      <c r="Q312" s="57" t="str">
        <f aca="false">IF(E312="","",IF(COUNTIFS($C$2:C312,C312,$E$2:E312,E312,$B$2:B312,B312)&gt;1,"No","Yes"))</f>
        <v>Yes</v>
      </c>
      <c r="R312" s="61" t="str">
        <f aca="false">IF(E312="","",IF(Q312="No","Duplicate of an earlier response",IF(L312="Not on SITES","Site not on SITES",IF(N(G312)&gt;N(F312),"Present is more than enrolled",IF(OR(I312&lt;1,I312&gt;5),"Score outside 1 to 5","")))))</f>
        <v/>
      </c>
    </row>
    <row r="313" customFormat="false" ht="15" hidden="false" customHeight="false" outlineLevel="0" collapsed="false">
      <c r="A313" s="52" t="n">
        <v>46006.6904282407</v>
      </c>
      <c r="B313" s="53" t="s">
        <v>105</v>
      </c>
      <c r="C313" s="53" t="s">
        <v>118</v>
      </c>
      <c r="D313" s="53" t="s">
        <v>119</v>
      </c>
      <c r="E313" s="54" t="n">
        <v>46006</v>
      </c>
      <c r="F313" s="55" t="n">
        <v>22</v>
      </c>
      <c r="G313" s="55" t="n">
        <v>14</v>
      </c>
      <c r="H313" s="55" t="n">
        <v>75</v>
      </c>
      <c r="I313" s="56" t="n">
        <v>3.4</v>
      </c>
      <c r="J313" s="53" t="s">
        <v>162</v>
      </c>
      <c r="K313" s="53"/>
      <c r="L313" s="57" t="str">
        <f aca="false">IF(C313="","",IFERROR(INDEX(site_ID,MATCH(C313,site_Name,0)),"Not on SITES"))</f>
        <v>LW-111</v>
      </c>
      <c r="M313" s="58" t="n">
        <f aca="false">IF(E313="","",DATE(YEAR(E313),MONTH(E313),1))</f>
        <v>45992</v>
      </c>
      <c r="N313" s="57" t="str">
        <f aca="false">IF(E313="","","FY"&amp;(YEAR(E313)+IF(AND(FYStart&gt;1,MONTH(E313)&gt;=FYStart),1,0))&amp;" Q"&amp;(INT(MOD(MONTH(E313)-FYStart,12)/3)+1))</f>
        <v>FY2026 Q2</v>
      </c>
      <c r="O313" s="59" t="n">
        <f aca="false">IF(OR(E313="",N(F313)=0),"",G313/F313)</f>
        <v>0.636363636363636</v>
      </c>
      <c r="P313" s="60" t="n">
        <f aca="false">IF(E313="","",ROUND(N(G313)*N(H313)/60,1))</f>
        <v>17.5</v>
      </c>
      <c r="Q313" s="57" t="str">
        <f aca="false">IF(E313="","",IF(COUNTIFS($C$2:C313,C313,$E$2:E313,E313,$B$2:B313,B313)&gt;1,"No","Yes"))</f>
        <v>Yes</v>
      </c>
      <c r="R313" s="61" t="str">
        <f aca="false">IF(E313="","",IF(Q313="No","Duplicate of an earlier response",IF(L313="Not on SITES","Site not on SITES",IF(N(G313)&gt;N(F313),"Present is more than enrolled",IF(OR(I313&lt;1,I313&gt;5),"Score outside 1 to 5","")))))</f>
        <v/>
      </c>
    </row>
    <row r="314" customFormat="false" ht="15" hidden="false" customHeight="false" outlineLevel="0" collapsed="false">
      <c r="A314" s="52" t="n">
        <v>46006.7253009259</v>
      </c>
      <c r="B314" s="53" t="s">
        <v>105</v>
      </c>
      <c r="C314" s="53" t="s">
        <v>106</v>
      </c>
      <c r="D314" s="53" t="s">
        <v>107</v>
      </c>
      <c r="E314" s="54" t="n">
        <v>46006</v>
      </c>
      <c r="F314" s="55" t="n">
        <v>16</v>
      </c>
      <c r="G314" s="55" t="n">
        <v>11</v>
      </c>
      <c r="H314" s="55" t="n">
        <v>60</v>
      </c>
      <c r="I314" s="56" t="n">
        <v>3.4</v>
      </c>
      <c r="J314" s="53" t="s">
        <v>108</v>
      </c>
      <c r="K314" s="53"/>
      <c r="L314" s="57" t="str">
        <f aca="false">IF(C314="","",IFERROR(INDEX(site_ID,MATCH(C314,site_Name,0)),"Not on SITES"))</f>
        <v>LW-103</v>
      </c>
      <c r="M314" s="58" t="n">
        <f aca="false">IF(E314="","",DATE(YEAR(E314),MONTH(E314),1))</f>
        <v>45992</v>
      </c>
      <c r="N314" s="57" t="str">
        <f aca="false">IF(E314="","","FY"&amp;(YEAR(E314)+IF(AND(FYStart&gt;1,MONTH(E314)&gt;=FYStart),1,0))&amp;" Q"&amp;(INT(MOD(MONTH(E314)-FYStart,12)/3)+1))</f>
        <v>FY2026 Q2</v>
      </c>
      <c r="O314" s="59" t="n">
        <f aca="false">IF(OR(E314="",N(F314)=0),"",G314/F314)</f>
        <v>0.6875</v>
      </c>
      <c r="P314" s="60" t="n">
        <f aca="false">IF(E314="","",ROUND(N(G314)*N(H314)/60,1))</f>
        <v>11</v>
      </c>
      <c r="Q314" s="57" t="str">
        <f aca="false">IF(E314="","",IF(COUNTIFS($C$2:C314,C314,$E$2:E314,E314,$B$2:B314,B314)&gt;1,"No","Yes"))</f>
        <v>Yes</v>
      </c>
      <c r="R314" s="61" t="str">
        <f aca="false">IF(E314="","",IF(Q314="No","Duplicate of an earlier response",IF(L314="Not on SITES","Site not on SITES",IF(N(G314)&gt;N(F314),"Present is more than enrolled",IF(OR(I314&lt;1,I314&gt;5),"Score outside 1 to 5","")))))</f>
        <v/>
      </c>
    </row>
    <row r="315" customFormat="false" ht="15" hidden="false" customHeight="false" outlineLevel="0" collapsed="false">
      <c r="A315" s="52" t="n">
        <v>46006.7528356482</v>
      </c>
      <c r="B315" s="53" t="s">
        <v>109</v>
      </c>
      <c r="C315" s="53" t="s">
        <v>110</v>
      </c>
      <c r="D315" s="53" t="s">
        <v>107</v>
      </c>
      <c r="E315" s="54" t="n">
        <v>46006</v>
      </c>
      <c r="F315" s="55" t="n">
        <v>22</v>
      </c>
      <c r="G315" s="55" t="n">
        <v>14</v>
      </c>
      <c r="H315" s="55" t="n">
        <v>60</v>
      </c>
      <c r="I315" s="56" t="n">
        <v>4.1</v>
      </c>
      <c r="J315" s="53" t="s">
        <v>156</v>
      </c>
      <c r="K315" s="53"/>
      <c r="L315" s="57" t="str">
        <f aca="false">IF(C315="","",IFERROR(INDEX(site_ID,MATCH(C315,site_Name,0)),"Not on SITES"))</f>
        <v>LW-113</v>
      </c>
      <c r="M315" s="58" t="n">
        <f aca="false">IF(E315="","",DATE(YEAR(E315),MONTH(E315),1))</f>
        <v>45992</v>
      </c>
      <c r="N315" s="57" t="str">
        <f aca="false">IF(E315="","","FY"&amp;(YEAR(E315)+IF(AND(FYStart&gt;1,MONTH(E315)&gt;=FYStart),1,0))&amp;" Q"&amp;(INT(MOD(MONTH(E315)-FYStart,12)/3)+1))</f>
        <v>FY2026 Q2</v>
      </c>
      <c r="O315" s="59" t="n">
        <f aca="false">IF(OR(E315="",N(F315)=0),"",G315/F315)</f>
        <v>0.636363636363636</v>
      </c>
      <c r="P315" s="60" t="n">
        <f aca="false">IF(E315="","",ROUND(N(G315)*N(H315)/60,1))</f>
        <v>14</v>
      </c>
      <c r="Q315" s="57" t="str">
        <f aca="false">IF(E315="","",IF(COUNTIFS($C$2:C315,C315,$E$2:E315,E315,$B$2:B315,B315)&gt;1,"No","Yes"))</f>
        <v>Yes</v>
      </c>
      <c r="R315" s="61" t="str">
        <f aca="false">IF(E315="","",IF(Q315="No","Duplicate of an earlier response",IF(L315="Not on SITES","Site not on SITES",IF(N(G315)&gt;N(F315),"Present is more than enrolled",IF(OR(I315&lt;1,I315&gt;5),"Score outside 1 to 5","")))))</f>
        <v/>
      </c>
    </row>
    <row r="316" customFormat="false" ht="15" hidden="false" customHeight="false" outlineLevel="0" collapsed="false">
      <c r="A316" s="52" t="n">
        <v>46007.6363078704</v>
      </c>
      <c r="B316" s="53" t="s">
        <v>121</v>
      </c>
      <c r="C316" s="53" t="s">
        <v>127</v>
      </c>
      <c r="D316" s="53" t="s">
        <v>107</v>
      </c>
      <c r="E316" s="54" t="n">
        <v>46007</v>
      </c>
      <c r="F316" s="55" t="n">
        <v>16</v>
      </c>
      <c r="G316" s="55" t="n">
        <v>13</v>
      </c>
      <c r="H316" s="55" t="n">
        <v>60</v>
      </c>
      <c r="I316" s="56" t="n">
        <v>3.8</v>
      </c>
      <c r="J316" s="53" t="s">
        <v>166</v>
      </c>
      <c r="K316" s="53"/>
      <c r="L316" s="57" t="str">
        <f aca="false">IF(C316="","",IFERROR(INDEX(site_ID,MATCH(C316,site_Name,0)),"Not on SITES"))</f>
        <v>LW-108</v>
      </c>
      <c r="M316" s="58" t="n">
        <f aca="false">IF(E316="","",DATE(YEAR(E316),MONTH(E316),1))</f>
        <v>45992</v>
      </c>
      <c r="N316" s="57" t="str">
        <f aca="false">IF(E316="","","FY"&amp;(YEAR(E316)+IF(AND(FYStart&gt;1,MONTH(E316)&gt;=FYStart),1,0))&amp;" Q"&amp;(INT(MOD(MONTH(E316)-FYStart,12)/3)+1))</f>
        <v>FY2026 Q2</v>
      </c>
      <c r="O316" s="59" t="n">
        <f aca="false">IF(OR(E316="",N(F316)=0),"",G316/F316)</f>
        <v>0.8125</v>
      </c>
      <c r="P316" s="60" t="n">
        <f aca="false">IF(E316="","",ROUND(N(G316)*N(H316)/60,1))</f>
        <v>13</v>
      </c>
      <c r="Q316" s="57" t="str">
        <f aca="false">IF(E316="","",IF(COUNTIFS($C$2:C316,C316,$E$2:E316,E316,$B$2:B316,B316)&gt;1,"No","Yes"))</f>
        <v>Yes</v>
      </c>
      <c r="R316" s="61" t="str">
        <f aca="false">IF(E316="","",IF(Q316="No","Duplicate of an earlier response",IF(L316="Not on SITES","Site not on SITES",IF(N(G316)&gt;N(F316),"Present is more than enrolled",IF(OR(I316&lt;1,I316&gt;5),"Score outside 1 to 5","")))))</f>
        <v/>
      </c>
    </row>
    <row r="317" customFormat="false" ht="15" hidden="false" customHeight="false" outlineLevel="0" collapsed="false">
      <c r="A317" s="52" t="n">
        <v>46007.7766898148</v>
      </c>
      <c r="B317" s="53" t="s">
        <v>121</v>
      </c>
      <c r="C317" s="53" t="s">
        <v>122</v>
      </c>
      <c r="D317" s="53" t="s">
        <v>116</v>
      </c>
      <c r="E317" s="54" t="n">
        <v>46007</v>
      </c>
      <c r="F317" s="55" t="n">
        <v>16</v>
      </c>
      <c r="G317" s="55" t="n">
        <v>13</v>
      </c>
      <c r="H317" s="55" t="n">
        <v>90</v>
      </c>
      <c r="I317" s="56" t="n">
        <v>3.2</v>
      </c>
      <c r="J317" s="53" t="s">
        <v>134</v>
      </c>
      <c r="K317" s="53"/>
      <c r="L317" s="57" t="str">
        <f aca="false">IF(C317="","",IFERROR(INDEX(site_ID,MATCH(C317,site_Name,0)),"Not on SITES"))</f>
        <v>LW-116</v>
      </c>
      <c r="M317" s="58" t="n">
        <f aca="false">IF(E317="","",DATE(YEAR(E317),MONTH(E317),1))</f>
        <v>45992</v>
      </c>
      <c r="N317" s="57" t="str">
        <f aca="false">IF(E317="","","FY"&amp;(YEAR(E317)+IF(AND(FYStart&gt;1,MONTH(E317)&gt;=FYStart),1,0))&amp;" Q"&amp;(INT(MOD(MONTH(E317)-FYStart,12)/3)+1))</f>
        <v>FY2026 Q2</v>
      </c>
      <c r="O317" s="59" t="n">
        <f aca="false">IF(OR(E317="",N(F317)=0),"",G317/F317)</f>
        <v>0.8125</v>
      </c>
      <c r="P317" s="60" t="n">
        <f aca="false">IF(E317="","",ROUND(N(G317)*N(H317)/60,1))</f>
        <v>19.5</v>
      </c>
      <c r="Q317" s="57" t="str">
        <f aca="false">IF(E317="","",IF(COUNTIFS($C$2:C317,C317,$E$2:E317,E317,$B$2:B317,B317)&gt;1,"No","Yes"))</f>
        <v>Yes</v>
      </c>
      <c r="R317" s="61" t="str">
        <f aca="false">IF(E317="","",IF(Q317="No","Duplicate of an earlier response",IF(L317="Not on SITES","Site not on SITES",IF(N(G317)&gt;N(F317),"Present is more than enrolled",IF(OR(I317&lt;1,I317&gt;5),"Score outside 1 to 5","")))))</f>
        <v/>
      </c>
    </row>
    <row r="318" customFormat="false" ht="15" hidden="false" customHeight="false" outlineLevel="0" collapsed="false">
      <c r="A318" s="52" t="n">
        <v>46007.8402893519</v>
      </c>
      <c r="B318" s="53" t="s">
        <v>111</v>
      </c>
      <c r="C318" s="53" t="s">
        <v>112</v>
      </c>
      <c r="D318" s="53" t="s">
        <v>113</v>
      </c>
      <c r="E318" s="54" t="n">
        <v>46006</v>
      </c>
      <c r="F318" s="55" t="n">
        <v>16</v>
      </c>
      <c r="G318" s="55" t="n">
        <v>14</v>
      </c>
      <c r="H318" s="55" t="n">
        <v>60</v>
      </c>
      <c r="I318" s="56" t="n">
        <v>2.9</v>
      </c>
      <c r="J318" s="53" t="s">
        <v>165</v>
      </c>
      <c r="K318" s="53"/>
      <c r="L318" s="57" t="str">
        <f aca="false">IF(C318="","",IFERROR(INDEX(site_ID,MATCH(C318,site_Name,0)),"Not on SITES"))</f>
        <v>LW-120</v>
      </c>
      <c r="M318" s="58" t="n">
        <f aca="false">IF(E318="","",DATE(YEAR(E318),MONTH(E318),1))</f>
        <v>45992</v>
      </c>
      <c r="N318" s="57" t="str">
        <f aca="false">IF(E318="","","FY"&amp;(YEAR(E318)+IF(AND(FYStart&gt;1,MONTH(E318)&gt;=FYStart),1,0))&amp;" Q"&amp;(INT(MOD(MONTH(E318)-FYStart,12)/3)+1))</f>
        <v>FY2026 Q2</v>
      </c>
      <c r="O318" s="59" t="n">
        <f aca="false">IF(OR(E318="",N(F318)=0),"",G318/F318)</f>
        <v>0.875</v>
      </c>
      <c r="P318" s="60" t="n">
        <f aca="false">IF(E318="","",ROUND(N(G318)*N(H318)/60,1))</f>
        <v>14</v>
      </c>
      <c r="Q318" s="57" t="str">
        <f aca="false">IF(E318="","",IF(COUNTIFS($C$2:C318,C318,$E$2:E318,E318,$B$2:B318,B318)&gt;1,"No","Yes"))</f>
        <v>Yes</v>
      </c>
      <c r="R318" s="61" t="str">
        <f aca="false">IF(E318="","",IF(Q318="No","Duplicate of an earlier response",IF(L318="Not on SITES","Site not on SITES",IF(N(G318)&gt;N(F318),"Present is more than enrolled",IF(OR(I318&lt;1,I318&gt;5),"Score outside 1 to 5","")))))</f>
        <v/>
      </c>
    </row>
    <row r="319" customFormat="false" ht="15" hidden="false" customHeight="false" outlineLevel="0" collapsed="false">
      <c r="A319" s="52" t="n">
        <v>46007.8710069444</v>
      </c>
      <c r="B319" s="53" t="s">
        <v>124</v>
      </c>
      <c r="C319" s="53" t="s">
        <v>125</v>
      </c>
      <c r="D319" s="53" t="s">
        <v>119</v>
      </c>
      <c r="E319" s="54" t="n">
        <v>46007</v>
      </c>
      <c r="F319" s="55" t="n">
        <v>18</v>
      </c>
      <c r="G319" s="55" t="n">
        <v>14</v>
      </c>
      <c r="H319" s="55" t="n">
        <v>60</v>
      </c>
      <c r="I319" s="56" t="n">
        <v>3</v>
      </c>
      <c r="J319" s="53" t="s">
        <v>159</v>
      </c>
      <c r="K319" s="53"/>
      <c r="L319" s="57" t="str">
        <f aca="false">IF(C319="","",IFERROR(INDEX(site_ID,MATCH(C319,site_Name,0)),"Not on SITES"))</f>
        <v>LW-106</v>
      </c>
      <c r="M319" s="58" t="n">
        <f aca="false">IF(E319="","",DATE(YEAR(E319),MONTH(E319),1))</f>
        <v>45992</v>
      </c>
      <c r="N319" s="57" t="str">
        <f aca="false">IF(E319="","","FY"&amp;(YEAR(E319)+IF(AND(FYStart&gt;1,MONTH(E319)&gt;=FYStart),1,0))&amp;" Q"&amp;(INT(MOD(MONTH(E319)-FYStart,12)/3)+1))</f>
        <v>FY2026 Q2</v>
      </c>
      <c r="O319" s="59" t="n">
        <f aca="false">IF(OR(E319="",N(F319)=0),"",G319/F319)</f>
        <v>0.777777777777778</v>
      </c>
      <c r="P319" s="60" t="n">
        <f aca="false">IF(E319="","",ROUND(N(G319)*N(H319)/60,1))</f>
        <v>14</v>
      </c>
      <c r="Q319" s="57" t="str">
        <f aca="false">IF(E319="","",IF(COUNTIFS($C$2:C319,C319,$E$2:E319,E319,$B$2:B319,B319)&gt;1,"No","Yes"))</f>
        <v>Yes</v>
      </c>
      <c r="R319" s="61" t="str">
        <f aca="false">IF(E319="","",IF(Q319="No","Duplicate of an earlier response",IF(L319="Not on SITES","Site not on SITES",IF(N(G319)&gt;N(F319),"Present is more than enrolled",IF(OR(I319&lt;1,I319&gt;5),"Score outside 1 to 5","")))))</f>
        <v/>
      </c>
    </row>
    <row r="320" customFormat="false" ht="15" hidden="false" customHeight="false" outlineLevel="0" collapsed="false">
      <c r="A320" s="52" t="n">
        <v>46008.6431134259</v>
      </c>
      <c r="B320" s="53" t="s">
        <v>140</v>
      </c>
      <c r="C320" s="53" t="s">
        <v>142</v>
      </c>
      <c r="D320" s="53" t="s">
        <v>113</v>
      </c>
      <c r="E320" s="54" t="n">
        <v>46008</v>
      </c>
      <c r="F320" s="55" t="n">
        <v>18</v>
      </c>
      <c r="G320" s="55" t="n">
        <v>14</v>
      </c>
      <c r="H320" s="55" t="n">
        <v>60</v>
      </c>
      <c r="I320" s="56" t="n">
        <v>3.1</v>
      </c>
      <c r="J320" s="53" t="s">
        <v>131</v>
      </c>
      <c r="K320" s="53"/>
      <c r="L320" s="57" t="str">
        <f aca="false">IF(C320="","",IFERROR(INDEX(site_ID,MATCH(C320,site_Name,0)),"Not on SITES"))</f>
        <v>LW-102</v>
      </c>
      <c r="M320" s="58" t="n">
        <f aca="false">IF(E320="","",DATE(YEAR(E320),MONTH(E320),1))</f>
        <v>45992</v>
      </c>
      <c r="N320" s="57" t="str">
        <f aca="false">IF(E320="","","FY"&amp;(YEAR(E320)+IF(AND(FYStart&gt;1,MONTH(E320)&gt;=FYStart),1,0))&amp;" Q"&amp;(INT(MOD(MONTH(E320)-FYStart,12)/3)+1))</f>
        <v>FY2026 Q2</v>
      </c>
      <c r="O320" s="59" t="n">
        <f aca="false">IF(OR(E320="",N(F320)=0),"",G320/F320)</f>
        <v>0.777777777777778</v>
      </c>
      <c r="P320" s="60" t="n">
        <f aca="false">IF(E320="","",ROUND(N(G320)*N(H320)/60,1))</f>
        <v>14</v>
      </c>
      <c r="Q320" s="57" t="str">
        <f aca="false">IF(E320="","",IF(COUNTIFS($C$2:C320,C320,$E$2:E320,E320,$B$2:B320,B320)&gt;1,"No","Yes"))</f>
        <v>Yes</v>
      </c>
      <c r="R320" s="61" t="str">
        <f aca="false">IF(E320="","",IF(Q320="No","Duplicate of an earlier response",IF(L320="Not on SITES","Site not on SITES",IF(N(G320)&gt;N(F320),"Present is more than enrolled",IF(OR(I320&lt;1,I320&gt;5),"Score outside 1 to 5","")))))</f>
        <v/>
      </c>
    </row>
    <row r="321" customFormat="false" ht="15" hidden="false" customHeight="false" outlineLevel="0" collapsed="false">
      <c r="A321" s="52" t="n">
        <v>46008.6771180556</v>
      </c>
      <c r="B321" s="53" t="s">
        <v>105</v>
      </c>
      <c r="C321" s="53" t="s">
        <v>118</v>
      </c>
      <c r="D321" s="53" t="s">
        <v>119</v>
      </c>
      <c r="E321" s="54" t="n">
        <v>46008</v>
      </c>
      <c r="F321" s="55" t="n">
        <v>22</v>
      </c>
      <c r="G321" s="55" t="n">
        <v>17</v>
      </c>
      <c r="H321" s="55" t="n">
        <v>60</v>
      </c>
      <c r="I321" s="56" t="n">
        <v>3.3</v>
      </c>
      <c r="J321" s="53" t="s">
        <v>157</v>
      </c>
      <c r="K321" s="53"/>
      <c r="L321" s="57" t="str">
        <f aca="false">IF(C321="","",IFERROR(INDEX(site_ID,MATCH(C321,site_Name,0)),"Not on SITES"))</f>
        <v>LW-111</v>
      </c>
      <c r="M321" s="58" t="n">
        <f aca="false">IF(E321="","",DATE(YEAR(E321),MONTH(E321),1))</f>
        <v>45992</v>
      </c>
      <c r="N321" s="57" t="str">
        <f aca="false">IF(E321="","","FY"&amp;(YEAR(E321)+IF(AND(FYStart&gt;1,MONTH(E321)&gt;=FYStart),1,0))&amp;" Q"&amp;(INT(MOD(MONTH(E321)-FYStart,12)/3)+1))</f>
        <v>FY2026 Q2</v>
      </c>
      <c r="O321" s="59" t="n">
        <f aca="false">IF(OR(E321="",N(F321)=0),"",G321/F321)</f>
        <v>0.772727272727273</v>
      </c>
      <c r="P321" s="60" t="n">
        <f aca="false">IF(E321="","",ROUND(N(G321)*N(H321)/60,1))</f>
        <v>17</v>
      </c>
      <c r="Q321" s="57" t="str">
        <f aca="false">IF(E321="","",IF(COUNTIFS($C$2:C321,C321,$E$2:E321,E321,$B$2:B321,B321)&gt;1,"No","Yes"))</f>
        <v>Yes</v>
      </c>
      <c r="R321" s="61" t="str">
        <f aca="false">IF(E321="","",IF(Q321="No","Duplicate of an earlier response",IF(L321="Not on SITES","Site not on SITES",IF(N(G321)&gt;N(F321),"Present is more than enrolled",IF(OR(I321&lt;1,I321&gt;5),"Score outside 1 to 5","")))))</f>
        <v/>
      </c>
    </row>
    <row r="322" customFormat="false" ht="15" hidden="false" customHeight="false" outlineLevel="0" collapsed="false">
      <c r="A322" s="52" t="n">
        <v>46008.7029166667</v>
      </c>
      <c r="B322" s="53" t="s">
        <v>129</v>
      </c>
      <c r="C322" s="53" t="s">
        <v>137</v>
      </c>
      <c r="D322" s="53" t="s">
        <v>138</v>
      </c>
      <c r="E322" s="54" t="n">
        <v>46008</v>
      </c>
      <c r="F322" s="55" t="n">
        <v>20</v>
      </c>
      <c r="G322" s="55" t="n">
        <v>17</v>
      </c>
      <c r="H322" s="55" t="n">
        <v>90</v>
      </c>
      <c r="I322" s="56" t="n">
        <v>3.8</v>
      </c>
      <c r="J322" s="53" t="s">
        <v>152</v>
      </c>
      <c r="K322" s="53"/>
      <c r="L322" s="57" t="str">
        <f aca="false">IF(C322="","",IFERROR(INDEX(site_ID,MATCH(C322,site_Name,0)),"Not on SITES"))</f>
        <v>LW-115</v>
      </c>
      <c r="M322" s="58" t="n">
        <f aca="false">IF(E322="","",DATE(YEAR(E322),MONTH(E322),1))</f>
        <v>45992</v>
      </c>
      <c r="N322" s="57" t="str">
        <f aca="false">IF(E322="","","FY"&amp;(YEAR(E322)+IF(AND(FYStart&gt;1,MONTH(E322)&gt;=FYStart),1,0))&amp;" Q"&amp;(INT(MOD(MONTH(E322)-FYStart,12)/3)+1))</f>
        <v>FY2026 Q2</v>
      </c>
      <c r="O322" s="59" t="n">
        <f aca="false">IF(OR(E322="",N(F322)=0),"",G322/F322)</f>
        <v>0.85</v>
      </c>
      <c r="P322" s="60" t="n">
        <f aca="false">IF(E322="","",ROUND(N(G322)*N(H322)/60,1))</f>
        <v>25.5</v>
      </c>
      <c r="Q322" s="57" t="str">
        <f aca="false">IF(E322="","",IF(COUNTIFS($C$2:C322,C322,$E$2:E322,E322,$B$2:B322,B322)&gt;1,"No","Yes"))</f>
        <v>Yes</v>
      </c>
      <c r="R322" s="61" t="str">
        <f aca="false">IF(E322="","",IF(Q322="No","Duplicate of an earlier response",IF(L322="Not on SITES","Site not on SITES",IF(N(G322)&gt;N(F322),"Present is more than enrolled",IF(OR(I322&lt;1,I322&gt;5),"Score outside 1 to 5","")))))</f>
        <v/>
      </c>
    </row>
    <row r="323" customFormat="false" ht="15" hidden="false" customHeight="false" outlineLevel="0" collapsed="false">
      <c r="A323" s="52" t="n">
        <v>46008.756875</v>
      </c>
      <c r="B323" s="53" t="s">
        <v>129</v>
      </c>
      <c r="C323" s="53" t="s">
        <v>130</v>
      </c>
      <c r="D323" s="53" t="s">
        <v>113</v>
      </c>
      <c r="E323" s="54" t="n">
        <v>46007</v>
      </c>
      <c r="F323" s="55" t="n">
        <v>17</v>
      </c>
      <c r="G323" s="55" t="n">
        <v>13</v>
      </c>
      <c r="H323" s="55" t="n">
        <v>60</v>
      </c>
      <c r="I323" s="56" t="n">
        <v>3.4</v>
      </c>
      <c r="J323" s="53" t="s">
        <v>136</v>
      </c>
      <c r="K323" s="53"/>
      <c r="L323" s="57" t="str">
        <f aca="false">IF(C323="","",IFERROR(INDEX(site_ID,MATCH(C323,site_Name,0)),"Not on SITES"))</f>
        <v>LW-107</v>
      </c>
      <c r="M323" s="58" t="n">
        <f aca="false">IF(E323="","",DATE(YEAR(E323),MONTH(E323),1))</f>
        <v>45992</v>
      </c>
      <c r="N323" s="57" t="str">
        <f aca="false">IF(E323="","","FY"&amp;(YEAR(E323)+IF(AND(FYStart&gt;1,MONTH(E323)&gt;=FYStart),1,0))&amp;" Q"&amp;(INT(MOD(MONTH(E323)-FYStart,12)/3)+1))</f>
        <v>FY2026 Q2</v>
      </c>
      <c r="O323" s="59" t="n">
        <f aca="false">IF(OR(E323="",N(F323)=0),"",G323/F323)</f>
        <v>0.764705882352941</v>
      </c>
      <c r="P323" s="60" t="n">
        <f aca="false">IF(E323="","",ROUND(N(G323)*N(H323)/60,1))</f>
        <v>13</v>
      </c>
      <c r="Q323" s="57" t="str">
        <f aca="false">IF(E323="","",IF(COUNTIFS($C$2:C323,C323,$E$2:E323,E323,$B$2:B323,B323)&gt;1,"No","Yes"))</f>
        <v>Yes</v>
      </c>
      <c r="R323" s="61" t="str">
        <f aca="false">IF(E323="","",IF(Q323="No","Duplicate of an earlier response",IF(L323="Not on SITES","Site not on SITES",IF(N(G323)&gt;N(F323),"Present is more than enrolled",IF(OR(I323&lt;1,I323&gt;5),"Score outside 1 to 5","")))))</f>
        <v/>
      </c>
    </row>
    <row r="324" customFormat="false" ht="15" hidden="false" customHeight="false" outlineLevel="0" collapsed="false">
      <c r="A324" s="52" t="n">
        <v>46008.7685185185</v>
      </c>
      <c r="B324" s="53" t="s">
        <v>132</v>
      </c>
      <c r="C324" s="53" t="s">
        <v>145</v>
      </c>
      <c r="D324" s="53" t="s">
        <v>119</v>
      </c>
      <c r="E324" s="54" t="n">
        <v>46008</v>
      </c>
      <c r="F324" s="55" t="n">
        <v>19</v>
      </c>
      <c r="G324" s="55" t="n">
        <v>13</v>
      </c>
      <c r="H324" s="55" t="n">
        <v>90</v>
      </c>
      <c r="I324" s="56" t="n">
        <v>3.3</v>
      </c>
      <c r="J324" s="53" t="s">
        <v>120</v>
      </c>
      <c r="K324" s="53"/>
      <c r="L324" s="57" t="str">
        <f aca="false">IF(C324="","",IFERROR(INDEX(site_ID,MATCH(C324,site_Name,0)),"Not on SITES"))</f>
        <v>LW-101</v>
      </c>
      <c r="M324" s="58" t="n">
        <f aca="false">IF(E324="","",DATE(YEAR(E324),MONTH(E324),1))</f>
        <v>45992</v>
      </c>
      <c r="N324" s="57" t="str">
        <f aca="false">IF(E324="","","FY"&amp;(YEAR(E324)+IF(AND(FYStart&gt;1,MONTH(E324)&gt;=FYStart),1,0))&amp;" Q"&amp;(INT(MOD(MONTH(E324)-FYStart,12)/3)+1))</f>
        <v>FY2026 Q2</v>
      </c>
      <c r="O324" s="59" t="n">
        <f aca="false">IF(OR(E324="",N(F324)=0),"",G324/F324)</f>
        <v>0.68421052631579</v>
      </c>
      <c r="P324" s="60" t="n">
        <f aca="false">IF(E324="","",ROUND(N(G324)*N(H324)/60,1))</f>
        <v>19.5</v>
      </c>
      <c r="Q324" s="57" t="str">
        <f aca="false">IF(E324="","",IF(COUNTIFS($C$2:C324,C324,$E$2:E324,E324,$B$2:B324,B324)&gt;1,"No","Yes"))</f>
        <v>Yes</v>
      </c>
      <c r="R324" s="61" t="str">
        <f aca="false">IF(E324="","",IF(Q324="No","Duplicate of an earlier response",IF(L324="Not on SITES","Site not on SITES",IF(N(G324)&gt;N(F324),"Present is more than enrolled",IF(OR(I324&lt;1,I324&gt;5),"Score outside 1 to 5","")))))</f>
        <v/>
      </c>
    </row>
    <row r="325" customFormat="false" ht="15" hidden="false" customHeight="false" outlineLevel="0" collapsed="false">
      <c r="A325" s="52" t="n">
        <v>46009.6381365741</v>
      </c>
      <c r="B325" s="53" t="s">
        <v>132</v>
      </c>
      <c r="C325" s="53" t="s">
        <v>150</v>
      </c>
      <c r="D325" s="53" t="s">
        <v>138</v>
      </c>
      <c r="E325" s="54" t="n">
        <v>46009</v>
      </c>
      <c r="F325" s="55" t="n">
        <v>21</v>
      </c>
      <c r="G325" s="55" t="n">
        <v>17</v>
      </c>
      <c r="H325" s="55" t="n">
        <v>90</v>
      </c>
      <c r="I325" s="56" t="n">
        <v>3.4</v>
      </c>
      <c r="J325" s="53" t="s">
        <v>164</v>
      </c>
      <c r="K325" s="53"/>
      <c r="L325" s="57" t="str">
        <f aca="false">IF(C325="","",IFERROR(INDEX(site_ID,MATCH(C325,site_Name,0)),"Not on SITES"))</f>
        <v>LW-117</v>
      </c>
      <c r="M325" s="58" t="n">
        <f aca="false">IF(E325="","",DATE(YEAR(E325),MONTH(E325),1))</f>
        <v>45992</v>
      </c>
      <c r="N325" s="57" t="str">
        <f aca="false">IF(E325="","","FY"&amp;(YEAR(E325)+IF(AND(FYStart&gt;1,MONTH(E325)&gt;=FYStart),1,0))&amp;" Q"&amp;(INT(MOD(MONTH(E325)-FYStart,12)/3)+1))</f>
        <v>FY2026 Q2</v>
      </c>
      <c r="O325" s="59" t="n">
        <f aca="false">IF(OR(E325="",N(F325)=0),"",G325/F325)</f>
        <v>0.80952380952381</v>
      </c>
      <c r="P325" s="60" t="n">
        <f aca="false">IF(E325="","",ROUND(N(G325)*N(H325)/60,1))</f>
        <v>25.5</v>
      </c>
      <c r="Q325" s="57" t="str">
        <f aca="false">IF(E325="","",IF(COUNTIFS($C$2:C325,C325,$E$2:E325,E325,$B$2:B325,B325)&gt;1,"No","Yes"))</f>
        <v>Yes</v>
      </c>
      <c r="R325" s="61" t="str">
        <f aca="false">IF(E325="","",IF(Q325="No","Duplicate of an earlier response",IF(L325="Not on SITES","Site not on SITES",IF(N(G325)&gt;N(F325),"Present is more than enrolled",IF(OR(I325&lt;1,I325&gt;5),"Score outside 1 to 5","")))))</f>
        <v/>
      </c>
    </row>
    <row r="326" customFormat="false" ht="15" hidden="false" customHeight="false" outlineLevel="0" collapsed="false">
      <c r="A326" s="52" t="n">
        <v>46009.6483796296</v>
      </c>
      <c r="B326" s="53" t="s">
        <v>121</v>
      </c>
      <c r="C326" s="53" t="s">
        <v>122</v>
      </c>
      <c r="D326" s="53" t="s">
        <v>116</v>
      </c>
      <c r="E326" s="54" t="n">
        <v>46009</v>
      </c>
      <c r="F326" s="55" t="n">
        <v>16</v>
      </c>
      <c r="G326" s="55" t="n">
        <v>11</v>
      </c>
      <c r="H326" s="55" t="n">
        <v>75</v>
      </c>
      <c r="I326" s="56" t="n">
        <v>3.1</v>
      </c>
      <c r="J326" s="53" t="s">
        <v>117</v>
      </c>
      <c r="K326" s="53"/>
      <c r="L326" s="57" t="str">
        <f aca="false">IF(C326="","",IFERROR(INDEX(site_ID,MATCH(C326,site_Name,0)),"Not on SITES"))</f>
        <v>LW-116</v>
      </c>
      <c r="M326" s="58" t="n">
        <f aca="false">IF(E326="","",DATE(YEAR(E326),MONTH(E326),1))</f>
        <v>45992</v>
      </c>
      <c r="N326" s="57" t="str">
        <f aca="false">IF(E326="","","FY"&amp;(YEAR(E326)+IF(AND(FYStart&gt;1,MONTH(E326)&gt;=FYStart),1,0))&amp;" Q"&amp;(INT(MOD(MONTH(E326)-FYStart,12)/3)+1))</f>
        <v>FY2026 Q2</v>
      </c>
      <c r="O326" s="59" t="n">
        <f aca="false">IF(OR(E326="",N(F326)=0),"",G326/F326)</f>
        <v>0.6875</v>
      </c>
      <c r="P326" s="60" t="n">
        <f aca="false">IF(E326="","",ROUND(N(G326)*N(H326)/60,1))</f>
        <v>13.8</v>
      </c>
      <c r="Q326" s="57" t="str">
        <f aca="false">IF(E326="","",IF(COUNTIFS($C$2:C326,C326,$E$2:E326,E326,$B$2:B326,B326)&gt;1,"No","Yes"))</f>
        <v>Yes</v>
      </c>
      <c r="R326" s="61" t="str">
        <f aca="false">IF(E326="","",IF(Q326="No","Duplicate of an earlier response",IF(L326="Not on SITES","Site not on SITES",IF(N(G326)&gt;N(F326),"Present is more than enrolled",IF(OR(I326&lt;1,I326&gt;5),"Score outside 1 to 5","")))))</f>
        <v/>
      </c>
    </row>
    <row r="327" customFormat="false" ht="15" hidden="false" customHeight="false" outlineLevel="0" collapsed="false">
      <c r="A327" s="52" t="n">
        <v>46009.7441435185</v>
      </c>
      <c r="B327" s="53" t="s">
        <v>124</v>
      </c>
      <c r="C327" s="53" t="s">
        <v>154</v>
      </c>
      <c r="D327" s="53" t="s">
        <v>116</v>
      </c>
      <c r="E327" s="54" t="n">
        <v>46009</v>
      </c>
      <c r="F327" s="55" t="n">
        <v>18</v>
      </c>
      <c r="G327" s="55" t="n">
        <v>15</v>
      </c>
      <c r="H327" s="55" t="n">
        <v>60</v>
      </c>
      <c r="I327" s="56" t="n">
        <v>3.7</v>
      </c>
      <c r="J327" s="53" t="s">
        <v>117</v>
      </c>
      <c r="K327" s="53"/>
      <c r="L327" s="57" t="str">
        <f aca="false">IF(C327="","",IFERROR(INDEX(site_ID,MATCH(C327,site_Name,0)),"Not on SITES"))</f>
        <v>LW-114</v>
      </c>
      <c r="M327" s="58" t="n">
        <f aca="false">IF(E327="","",DATE(YEAR(E327),MONTH(E327),1))</f>
        <v>45992</v>
      </c>
      <c r="N327" s="57" t="str">
        <f aca="false">IF(E327="","","FY"&amp;(YEAR(E327)+IF(AND(FYStart&gt;1,MONTH(E327)&gt;=FYStart),1,0))&amp;" Q"&amp;(INT(MOD(MONTH(E327)-FYStart,12)/3)+1))</f>
        <v>FY2026 Q2</v>
      </c>
      <c r="O327" s="59" t="n">
        <f aca="false">IF(OR(E327="",N(F327)=0),"",G327/F327)</f>
        <v>0.833333333333333</v>
      </c>
      <c r="P327" s="60" t="n">
        <f aca="false">IF(E327="","",ROUND(N(G327)*N(H327)/60,1))</f>
        <v>15</v>
      </c>
      <c r="Q327" s="57" t="str">
        <f aca="false">IF(E327="","",IF(COUNTIFS($C$2:C327,C327,$E$2:E327,E327,$B$2:B327,B327)&gt;1,"No","Yes"))</f>
        <v>Yes</v>
      </c>
      <c r="R327" s="61" t="str">
        <f aca="false">IF(E327="","",IF(Q327="No","Duplicate of an earlier response",IF(L327="Not on SITES","Site not on SITES",IF(N(G327)&gt;N(F327),"Present is more than enrolled",IF(OR(I327&lt;1,I327&gt;5),"Score outside 1 to 5","")))))</f>
        <v/>
      </c>
    </row>
    <row r="328" customFormat="false" ht="15" hidden="false" customHeight="false" outlineLevel="0" collapsed="false">
      <c r="A328" s="52" t="n">
        <v>46009.7699189815</v>
      </c>
      <c r="B328" s="53" t="s">
        <v>109</v>
      </c>
      <c r="C328" s="53" t="s">
        <v>146</v>
      </c>
      <c r="D328" s="53" t="s">
        <v>138</v>
      </c>
      <c r="E328" s="54" t="n">
        <v>46009</v>
      </c>
      <c r="F328" s="55" t="n">
        <v>15</v>
      </c>
      <c r="G328" s="55" t="n">
        <v>11</v>
      </c>
      <c r="H328" s="55" t="n">
        <v>90</v>
      </c>
      <c r="I328" s="56" t="n">
        <v>3.7</v>
      </c>
      <c r="J328" s="53" t="s">
        <v>163</v>
      </c>
      <c r="K328" s="53"/>
      <c r="L328" s="57" t="str">
        <f aca="false">IF(C328="","",IFERROR(INDEX(site_ID,MATCH(C328,site_Name,0)),"Not on SITES"))</f>
        <v>LW-105</v>
      </c>
      <c r="M328" s="58" t="n">
        <f aca="false">IF(E328="","",DATE(YEAR(E328),MONTH(E328),1))</f>
        <v>45992</v>
      </c>
      <c r="N328" s="57" t="str">
        <f aca="false">IF(E328="","","FY"&amp;(YEAR(E328)+IF(AND(FYStart&gt;1,MONTH(E328)&gt;=FYStart),1,0))&amp;" Q"&amp;(INT(MOD(MONTH(E328)-FYStart,12)/3)+1))</f>
        <v>FY2026 Q2</v>
      </c>
      <c r="O328" s="59" t="n">
        <f aca="false">IF(OR(E328="",N(F328)=0),"",G328/F328)</f>
        <v>0.733333333333333</v>
      </c>
      <c r="P328" s="60" t="n">
        <f aca="false">IF(E328="","",ROUND(N(G328)*N(H328)/60,1))</f>
        <v>16.5</v>
      </c>
      <c r="Q328" s="57" t="str">
        <f aca="false">IF(E328="","",IF(COUNTIFS($C$2:C328,C328,$E$2:E328,E328,$B$2:B328,B328)&gt;1,"No","Yes"))</f>
        <v>Yes</v>
      </c>
      <c r="R328" s="61" t="str">
        <f aca="false">IF(E328="","",IF(Q328="No","Duplicate of an earlier response",IF(L328="Not on SITES","Site not on SITES",IF(N(G328)&gt;N(F328),"Present is more than enrolled",IF(OR(I328&lt;1,I328&gt;5),"Score outside 1 to 5","")))))</f>
        <v/>
      </c>
    </row>
    <row r="329" customFormat="false" ht="15" hidden="false" customHeight="false" outlineLevel="0" collapsed="false">
      <c r="A329" s="52" t="n">
        <v>46009.7715277778</v>
      </c>
      <c r="B329" s="53" t="s">
        <v>111</v>
      </c>
      <c r="C329" s="53" t="s">
        <v>148</v>
      </c>
      <c r="D329" s="53" t="s">
        <v>116</v>
      </c>
      <c r="E329" s="54" t="n">
        <v>46009</v>
      </c>
      <c r="F329" s="55" t="n">
        <v>16</v>
      </c>
      <c r="G329" s="55" t="n">
        <v>11</v>
      </c>
      <c r="H329" s="55" t="n">
        <v>90</v>
      </c>
      <c r="I329" s="56" t="n">
        <v>3.5</v>
      </c>
      <c r="J329" s="53" t="s">
        <v>123</v>
      </c>
      <c r="K329" s="53"/>
      <c r="L329" s="57" t="str">
        <f aca="false">IF(C329="","",IFERROR(INDEX(site_ID,MATCH(C329,site_Name,0)),"Not on SITES"))</f>
        <v>LW-104</v>
      </c>
      <c r="M329" s="58" t="n">
        <f aca="false">IF(E329="","",DATE(YEAR(E329),MONTH(E329),1))</f>
        <v>45992</v>
      </c>
      <c r="N329" s="57" t="str">
        <f aca="false">IF(E329="","","FY"&amp;(YEAR(E329)+IF(AND(FYStart&gt;1,MONTH(E329)&gt;=FYStart),1,0))&amp;" Q"&amp;(INT(MOD(MONTH(E329)-FYStart,12)/3)+1))</f>
        <v>FY2026 Q2</v>
      </c>
      <c r="O329" s="59" t="n">
        <f aca="false">IF(OR(E329="",N(F329)=0),"",G329/F329)</f>
        <v>0.6875</v>
      </c>
      <c r="P329" s="60" t="n">
        <f aca="false">IF(E329="","",ROUND(N(G329)*N(H329)/60,1))</f>
        <v>16.5</v>
      </c>
      <c r="Q329" s="57" t="str">
        <f aca="false">IF(E329="","",IF(COUNTIFS($C$2:C329,C329,$E$2:E329,E329,$B$2:B329,B329)&gt;1,"No","Yes"))</f>
        <v>Yes</v>
      </c>
      <c r="R329" s="61" t="str">
        <f aca="false">IF(E329="","",IF(Q329="No","Duplicate of an earlier response",IF(L329="Not on SITES","Site not on SITES",IF(N(G329)&gt;N(F329),"Present is more than enrolled",IF(OR(I329&lt;1,I329&gt;5),"Score outside 1 to 5","")))))</f>
        <v/>
      </c>
    </row>
    <row r="330" customFormat="false" ht="15" hidden="false" customHeight="false" outlineLevel="0" collapsed="false">
      <c r="A330" s="52" t="n">
        <v>46009.8079282407</v>
      </c>
      <c r="B330" s="53" t="s">
        <v>105</v>
      </c>
      <c r="C330" s="53" t="s">
        <v>115</v>
      </c>
      <c r="D330" s="53" t="s">
        <v>116</v>
      </c>
      <c r="E330" s="54" t="n">
        <v>46006</v>
      </c>
      <c r="F330" s="55" t="n">
        <v>16</v>
      </c>
      <c r="G330" s="55" t="n">
        <v>14</v>
      </c>
      <c r="H330" s="55" t="n">
        <v>60</v>
      </c>
      <c r="I330" s="56" t="n">
        <v>3.4</v>
      </c>
      <c r="J330" s="53" t="s">
        <v>153</v>
      </c>
      <c r="K330" s="53"/>
      <c r="L330" s="57" t="str">
        <f aca="false">IF(C330="","",IFERROR(INDEX(site_ID,MATCH(C330,site_Name,0)),"Not on SITES"))</f>
        <v>LW-119</v>
      </c>
      <c r="M330" s="58" t="n">
        <f aca="false">IF(E330="","",DATE(YEAR(E330),MONTH(E330),1))</f>
        <v>45992</v>
      </c>
      <c r="N330" s="57" t="str">
        <f aca="false">IF(E330="","","FY"&amp;(YEAR(E330)+IF(AND(FYStart&gt;1,MONTH(E330)&gt;=FYStart),1,0))&amp;" Q"&amp;(INT(MOD(MONTH(E330)-FYStart,12)/3)+1))</f>
        <v>FY2026 Q2</v>
      </c>
      <c r="O330" s="59" t="n">
        <f aca="false">IF(OR(E330="",N(F330)=0),"",G330/F330)</f>
        <v>0.875</v>
      </c>
      <c r="P330" s="60" t="n">
        <f aca="false">IF(E330="","",ROUND(N(G330)*N(H330)/60,1))</f>
        <v>14</v>
      </c>
      <c r="Q330" s="57" t="str">
        <f aca="false">IF(E330="","",IF(COUNTIFS($C$2:C330,C330,$E$2:E330,E330,$B$2:B330,B330)&gt;1,"No","Yes"))</f>
        <v>Yes</v>
      </c>
      <c r="R330" s="61" t="str">
        <f aca="false">IF(E330="","",IF(Q330="No","Duplicate of an earlier response",IF(L330="Not on SITES","Site not on SITES",IF(N(G330)&gt;N(F330),"Present is more than enrolled",IF(OR(I330&lt;1,I330&gt;5),"Score outside 1 to 5","")))))</f>
        <v/>
      </c>
    </row>
    <row r="331" customFormat="false" ht="15" hidden="false" customHeight="false" outlineLevel="0" collapsed="false">
      <c r="A331" s="52" t="n">
        <v>46009.8164467593</v>
      </c>
      <c r="B331" s="53" t="s">
        <v>111</v>
      </c>
      <c r="C331" s="53" t="s">
        <v>149</v>
      </c>
      <c r="D331" s="53" t="s">
        <v>113</v>
      </c>
      <c r="E331" s="54" t="n">
        <v>46009</v>
      </c>
      <c r="F331" s="55" t="n">
        <v>21</v>
      </c>
      <c r="G331" s="55" t="n">
        <v>17</v>
      </c>
      <c r="H331" s="55" t="n">
        <v>75</v>
      </c>
      <c r="I331" s="56" t="n">
        <v>3.7</v>
      </c>
      <c r="J331" s="53" t="s">
        <v>131</v>
      </c>
      <c r="K331" s="53"/>
      <c r="L331" s="57" t="str">
        <f aca="false">IF(C331="","",IFERROR(INDEX(site_ID,MATCH(C331,site_Name,0)),"Not on SITES"))</f>
        <v>LW-112</v>
      </c>
      <c r="M331" s="58" t="n">
        <f aca="false">IF(E331="","",DATE(YEAR(E331),MONTH(E331),1))</f>
        <v>45992</v>
      </c>
      <c r="N331" s="57" t="str">
        <f aca="false">IF(E331="","","FY"&amp;(YEAR(E331)+IF(AND(FYStart&gt;1,MONTH(E331)&gt;=FYStart),1,0))&amp;" Q"&amp;(INT(MOD(MONTH(E331)-FYStart,12)/3)+1))</f>
        <v>FY2026 Q2</v>
      </c>
      <c r="O331" s="59" t="n">
        <f aca="false">IF(OR(E331="",N(F331)=0),"",G331/F331)</f>
        <v>0.80952380952381</v>
      </c>
      <c r="P331" s="60" t="n">
        <f aca="false">IF(E331="","",ROUND(N(G331)*N(H331)/60,1))</f>
        <v>21.3</v>
      </c>
      <c r="Q331" s="57" t="str">
        <f aca="false">IF(E331="","",IF(COUNTIFS($C$2:C331,C331,$E$2:E331,E331,$B$2:B331,B331)&gt;1,"No","Yes"))</f>
        <v>Yes</v>
      </c>
      <c r="R331" s="61" t="str">
        <f aca="false">IF(E331="","",IF(Q331="No","Duplicate of an earlier response",IF(L331="Not on SITES","Site not on SITES",IF(N(G331)&gt;N(F331),"Present is more than enrolled",IF(OR(I331&lt;1,I331&gt;5),"Score outside 1 to 5","")))))</f>
        <v/>
      </c>
    </row>
    <row r="332" customFormat="false" ht="15" hidden="false" customHeight="false" outlineLevel="0" collapsed="false">
      <c r="A332" s="52" t="n">
        <v>46009.8202430556</v>
      </c>
      <c r="B332" s="53" t="s">
        <v>140</v>
      </c>
      <c r="C332" s="53" t="s">
        <v>151</v>
      </c>
      <c r="D332" s="53" t="s">
        <v>138</v>
      </c>
      <c r="E332" s="54" t="n">
        <v>46009</v>
      </c>
      <c r="F332" s="55" t="n">
        <v>14</v>
      </c>
      <c r="G332" s="55" t="n">
        <v>11</v>
      </c>
      <c r="H332" s="55" t="n">
        <v>90</v>
      </c>
      <c r="I332" s="56" t="n">
        <v>3.5</v>
      </c>
      <c r="J332" s="53" t="s">
        <v>139</v>
      </c>
      <c r="K332" s="53"/>
      <c r="L332" s="57" t="str">
        <f aca="false">IF(C332="","",IFERROR(INDEX(site_ID,MATCH(C332,site_Name,0)),"Not on SITES"))</f>
        <v>LW-110</v>
      </c>
      <c r="M332" s="58" t="n">
        <f aca="false">IF(E332="","",DATE(YEAR(E332),MONTH(E332),1))</f>
        <v>45992</v>
      </c>
      <c r="N332" s="57" t="str">
        <f aca="false">IF(E332="","","FY"&amp;(YEAR(E332)+IF(AND(FYStart&gt;1,MONTH(E332)&gt;=FYStart),1,0))&amp;" Q"&amp;(INT(MOD(MONTH(E332)-FYStart,12)/3)+1))</f>
        <v>FY2026 Q2</v>
      </c>
      <c r="O332" s="59" t="n">
        <f aca="false">IF(OR(E332="",N(F332)=0),"",G332/F332)</f>
        <v>0.785714285714286</v>
      </c>
      <c r="P332" s="60" t="n">
        <f aca="false">IF(E332="","",ROUND(N(G332)*N(H332)/60,1))</f>
        <v>16.5</v>
      </c>
      <c r="Q332" s="57" t="str">
        <f aca="false">IF(E332="","",IF(COUNTIFS($C$2:C332,C332,$E$2:E332,E332,$B$2:B332,B332)&gt;1,"No","Yes"))</f>
        <v>Yes</v>
      </c>
      <c r="R332" s="61" t="str">
        <f aca="false">IF(E332="","",IF(Q332="No","Duplicate of an earlier response",IF(L332="Not on SITES","Site not on SITES",IF(N(G332)&gt;N(F332),"Present is more than enrolled",IF(OR(I332&lt;1,I332&gt;5),"Score outside 1 to 5","")))))</f>
        <v/>
      </c>
    </row>
    <row r="333" customFormat="false" ht="15" hidden="false" customHeight="false" outlineLevel="0" collapsed="false">
      <c r="A333" s="52" t="n">
        <v>46010.6746064815</v>
      </c>
      <c r="B333" s="53" t="s">
        <v>111</v>
      </c>
      <c r="C333" s="53" t="s">
        <v>112</v>
      </c>
      <c r="D333" s="53" t="s">
        <v>113</v>
      </c>
      <c r="E333" s="54" t="n">
        <v>46008</v>
      </c>
      <c r="F333" s="55" t="n">
        <v>16</v>
      </c>
      <c r="G333" s="55" t="n">
        <v>13</v>
      </c>
      <c r="H333" s="55" t="n">
        <v>60</v>
      </c>
      <c r="I333" s="56" t="n">
        <v>3.2</v>
      </c>
      <c r="J333" s="53" t="s">
        <v>136</v>
      </c>
      <c r="K333" s="53"/>
      <c r="L333" s="57" t="str">
        <f aca="false">IF(C333="","",IFERROR(INDEX(site_ID,MATCH(C333,site_Name,0)),"Not on SITES"))</f>
        <v>LW-120</v>
      </c>
      <c r="M333" s="58" t="n">
        <f aca="false">IF(E333="","",DATE(YEAR(E333),MONTH(E333),1))</f>
        <v>45992</v>
      </c>
      <c r="N333" s="57" t="str">
        <f aca="false">IF(E333="","","FY"&amp;(YEAR(E333)+IF(AND(FYStart&gt;1,MONTH(E333)&gt;=FYStart),1,0))&amp;" Q"&amp;(INT(MOD(MONTH(E333)-FYStart,12)/3)+1))</f>
        <v>FY2026 Q2</v>
      </c>
      <c r="O333" s="59" t="n">
        <f aca="false">IF(OR(E333="",N(F333)=0),"",G333/F333)</f>
        <v>0.8125</v>
      </c>
      <c r="P333" s="60" t="n">
        <f aca="false">IF(E333="","",ROUND(N(G333)*N(H333)/60,1))</f>
        <v>13</v>
      </c>
      <c r="Q333" s="57" t="str">
        <f aca="false">IF(E333="","",IF(COUNTIFS($C$2:C333,C333,$E$2:E333,E333,$B$2:B333,B333)&gt;1,"No","Yes"))</f>
        <v>Yes</v>
      </c>
      <c r="R333" s="61" t="str">
        <f aca="false">IF(E333="","",IF(Q333="No","Duplicate of an earlier response",IF(L333="Not on SITES","Site not on SITES",IF(N(G333)&gt;N(F333),"Present is more than enrolled",IF(OR(I333&lt;1,I333&gt;5),"Score outside 1 to 5","")))))</f>
        <v/>
      </c>
    </row>
    <row r="334" customFormat="false" ht="15" hidden="false" customHeight="false" outlineLevel="0" collapsed="false">
      <c r="A334" s="52" t="n">
        <v>46010.7919097222</v>
      </c>
      <c r="B334" s="53" t="s">
        <v>132</v>
      </c>
      <c r="C334" s="53" t="s">
        <v>133</v>
      </c>
      <c r="D334" s="53" t="s">
        <v>116</v>
      </c>
      <c r="E334" s="54" t="n">
        <v>46007</v>
      </c>
      <c r="F334" s="55" t="n">
        <v>18</v>
      </c>
      <c r="G334" s="55" t="n">
        <v>13</v>
      </c>
      <c r="H334" s="55" t="n">
        <v>60</v>
      </c>
      <c r="I334" s="56" t="n">
        <v>3.2</v>
      </c>
      <c r="J334" s="53" t="s">
        <v>123</v>
      </c>
      <c r="K334" s="53"/>
      <c r="L334" s="57" t="str">
        <f aca="false">IF(C334="","",IFERROR(INDEX(site_ID,MATCH(C334,site_Name,0)),"Not on SITES"))</f>
        <v>LW-109</v>
      </c>
      <c r="M334" s="58" t="n">
        <f aca="false">IF(E334="","",DATE(YEAR(E334),MONTH(E334),1))</f>
        <v>45992</v>
      </c>
      <c r="N334" s="57" t="str">
        <f aca="false">IF(E334="","","FY"&amp;(YEAR(E334)+IF(AND(FYStart&gt;1,MONTH(E334)&gt;=FYStart),1,0))&amp;" Q"&amp;(INT(MOD(MONTH(E334)-FYStart,12)/3)+1))</f>
        <v>FY2026 Q2</v>
      </c>
      <c r="O334" s="59" t="n">
        <f aca="false">IF(OR(E334="",N(F334)=0),"",G334/F334)</f>
        <v>0.722222222222222</v>
      </c>
      <c r="P334" s="60" t="n">
        <f aca="false">IF(E334="","",ROUND(N(G334)*N(H334)/60,1))</f>
        <v>13</v>
      </c>
      <c r="Q334" s="57" t="str">
        <f aca="false">IF(E334="","",IF(COUNTIFS($C$2:C334,C334,$E$2:E334,E334,$B$2:B334,B334)&gt;1,"No","Yes"))</f>
        <v>Yes</v>
      </c>
      <c r="R334" s="61" t="str">
        <f aca="false">IF(E334="","",IF(Q334="No","Duplicate of an earlier response",IF(L334="Not on SITES","Site not on SITES",IF(N(G334)&gt;N(F334),"Present is more than enrolled",IF(OR(I334&lt;1,I334&gt;5),"Score outside 1 to 5","")))))</f>
        <v/>
      </c>
    </row>
    <row r="335" customFormat="false" ht="15" hidden="false" customHeight="false" outlineLevel="0" collapsed="false">
      <c r="A335" s="52" t="n">
        <v>46010.8399537037</v>
      </c>
      <c r="B335" s="53" t="s">
        <v>129</v>
      </c>
      <c r="C335" s="53" t="s">
        <v>137</v>
      </c>
      <c r="D335" s="53" t="s">
        <v>138</v>
      </c>
      <c r="E335" s="54" t="n">
        <v>46010</v>
      </c>
      <c r="F335" s="55" t="n">
        <v>20</v>
      </c>
      <c r="G335" s="55" t="n">
        <v>15</v>
      </c>
      <c r="H335" s="55" t="n">
        <v>90</v>
      </c>
      <c r="I335" s="56" t="n">
        <v>3.3</v>
      </c>
      <c r="J335" s="53" t="s">
        <v>164</v>
      </c>
      <c r="K335" s="53"/>
      <c r="L335" s="57" t="str">
        <f aca="false">IF(C335="","",IFERROR(INDEX(site_ID,MATCH(C335,site_Name,0)),"Not on SITES"))</f>
        <v>LW-115</v>
      </c>
      <c r="M335" s="58" t="n">
        <f aca="false">IF(E335="","",DATE(YEAR(E335),MONTH(E335),1))</f>
        <v>45992</v>
      </c>
      <c r="N335" s="57" t="str">
        <f aca="false">IF(E335="","","FY"&amp;(YEAR(E335)+IF(AND(FYStart&gt;1,MONTH(E335)&gt;=FYStart),1,0))&amp;" Q"&amp;(INT(MOD(MONTH(E335)-FYStart,12)/3)+1))</f>
        <v>FY2026 Q2</v>
      </c>
      <c r="O335" s="59" t="n">
        <f aca="false">IF(OR(E335="",N(F335)=0),"",G335/F335)</f>
        <v>0.75</v>
      </c>
      <c r="P335" s="60" t="n">
        <f aca="false">IF(E335="","",ROUND(N(G335)*N(H335)/60,1))</f>
        <v>22.5</v>
      </c>
      <c r="Q335" s="57" t="str">
        <f aca="false">IF(E335="","",IF(COUNTIFS($C$2:C335,C335,$E$2:E335,E335,$B$2:B335,B335)&gt;1,"No","Yes"))</f>
        <v>Yes</v>
      </c>
      <c r="R335" s="61" t="str">
        <f aca="false">IF(E335="","",IF(Q335="No","Duplicate of an earlier response",IF(L335="Not on SITES","Site not on SITES",IF(N(G335)&gt;N(F335),"Present is more than enrolled",IF(OR(I335&lt;1,I335&gt;5),"Score outside 1 to 5","")))))</f>
        <v/>
      </c>
    </row>
    <row r="336" customFormat="false" ht="15" hidden="false" customHeight="false" outlineLevel="0" collapsed="false">
      <c r="A336" s="52" t="n">
        <v>46010.8660069444</v>
      </c>
      <c r="B336" s="53" t="s">
        <v>140</v>
      </c>
      <c r="C336" s="53" t="s">
        <v>141</v>
      </c>
      <c r="D336" s="53" t="s">
        <v>116</v>
      </c>
      <c r="E336" s="54" t="n">
        <v>46010</v>
      </c>
      <c r="F336" s="55" t="n">
        <v>13</v>
      </c>
      <c r="G336" s="55" t="n">
        <v>10</v>
      </c>
      <c r="H336" s="55" t="n">
        <v>60</v>
      </c>
      <c r="I336" s="56" t="n">
        <v>3.4</v>
      </c>
      <c r="J336" s="53" t="s">
        <v>117</v>
      </c>
      <c r="K336" s="53"/>
      <c r="L336" s="57" t="str">
        <f aca="false">IF(C336="","",IFERROR(INDEX(site_ID,MATCH(C336,site_Name,0)),"Not on SITES"))</f>
        <v>LW-118</v>
      </c>
      <c r="M336" s="58" t="n">
        <f aca="false">IF(E336="","",DATE(YEAR(E336),MONTH(E336),1))</f>
        <v>45992</v>
      </c>
      <c r="N336" s="57" t="str">
        <f aca="false">IF(E336="","","FY"&amp;(YEAR(E336)+IF(AND(FYStart&gt;1,MONTH(E336)&gt;=FYStart),1,0))&amp;" Q"&amp;(INT(MOD(MONTH(E336)-FYStart,12)/3)+1))</f>
        <v>FY2026 Q2</v>
      </c>
      <c r="O336" s="59" t="n">
        <f aca="false">IF(OR(E336="",N(F336)=0),"",G336/F336)</f>
        <v>0.769230769230769</v>
      </c>
      <c r="P336" s="60" t="n">
        <f aca="false">IF(E336="","",ROUND(N(G336)*N(H336)/60,1))</f>
        <v>10</v>
      </c>
      <c r="Q336" s="57" t="str">
        <f aca="false">IF(E336="","",IF(COUNTIFS($C$2:C336,C336,$E$2:E336,E336,$B$2:B336,B336)&gt;1,"No","Yes"))</f>
        <v>Yes</v>
      </c>
      <c r="R336" s="61" t="str">
        <f aca="false">IF(E336="","",IF(Q336="No","Duplicate of an earlier response",IF(L336="Not on SITES","Site not on SITES",IF(N(G336)&gt;N(F336),"Present is more than enrolled",IF(OR(I336&lt;1,I336&gt;5),"Score outside 1 to 5","")))))</f>
        <v/>
      </c>
    </row>
    <row r="337" customFormat="false" ht="15" hidden="false" customHeight="false" outlineLevel="0" collapsed="false">
      <c r="A337" s="52" t="n">
        <v>46011.6961111111</v>
      </c>
      <c r="B337" s="53" t="s">
        <v>140</v>
      </c>
      <c r="C337" s="53" t="s">
        <v>141</v>
      </c>
      <c r="D337" s="53" t="s">
        <v>116</v>
      </c>
      <c r="E337" s="54" t="n">
        <v>46008</v>
      </c>
      <c r="F337" s="55" t="n">
        <v>13</v>
      </c>
      <c r="G337" s="55" t="n">
        <v>10</v>
      </c>
      <c r="H337" s="55" t="n">
        <v>60</v>
      </c>
      <c r="I337" s="56" t="n">
        <v>3.9</v>
      </c>
      <c r="J337" s="53" t="s">
        <v>123</v>
      </c>
      <c r="K337" s="53"/>
      <c r="L337" s="57" t="str">
        <f aca="false">IF(C337="","",IFERROR(INDEX(site_ID,MATCH(C337,site_Name,0)),"Not on SITES"))</f>
        <v>LW-118</v>
      </c>
      <c r="M337" s="58" t="n">
        <f aca="false">IF(E337="","",DATE(YEAR(E337),MONTH(E337),1))</f>
        <v>45992</v>
      </c>
      <c r="N337" s="57" t="str">
        <f aca="false">IF(E337="","","FY"&amp;(YEAR(E337)+IF(AND(FYStart&gt;1,MONTH(E337)&gt;=FYStart),1,0))&amp;" Q"&amp;(INT(MOD(MONTH(E337)-FYStart,12)/3)+1))</f>
        <v>FY2026 Q2</v>
      </c>
      <c r="O337" s="59" t="n">
        <f aca="false">IF(OR(E337="",N(F337)=0),"",G337/F337)</f>
        <v>0.769230769230769</v>
      </c>
      <c r="P337" s="60" t="n">
        <f aca="false">IF(E337="","",ROUND(N(G337)*N(H337)/60,1))</f>
        <v>10</v>
      </c>
      <c r="Q337" s="57" t="str">
        <f aca="false">IF(E337="","",IF(COUNTIFS($C$2:C337,C337,$E$2:E337,E337,$B$2:B337,B337)&gt;1,"No","Yes"))</f>
        <v>Yes</v>
      </c>
      <c r="R337" s="61" t="str">
        <f aca="false">IF(E337="","",IF(Q337="No","Duplicate of an earlier response",IF(L337="Not on SITES","Site not on SITES",IF(N(G337)&gt;N(F337),"Present is more than enrolled",IF(OR(I337&lt;1,I337&gt;5),"Score outside 1 to 5","")))))</f>
        <v/>
      </c>
    </row>
    <row r="338" customFormat="false" ht="15" hidden="false" customHeight="false" outlineLevel="0" collapsed="false">
      <c r="A338" s="52" t="n">
        <v>46027.6923842593</v>
      </c>
      <c r="B338" s="53" t="s">
        <v>105</v>
      </c>
      <c r="C338" s="53" t="s">
        <v>115</v>
      </c>
      <c r="D338" s="53" t="s">
        <v>116</v>
      </c>
      <c r="E338" s="54" t="n">
        <v>46027</v>
      </c>
      <c r="F338" s="55" t="n">
        <v>16</v>
      </c>
      <c r="G338" s="55" t="n">
        <v>15</v>
      </c>
      <c r="H338" s="55" t="n">
        <v>60</v>
      </c>
      <c r="I338" s="56" t="n">
        <v>3.5</v>
      </c>
      <c r="J338" s="53" t="s">
        <v>134</v>
      </c>
      <c r="K338" s="53"/>
      <c r="L338" s="57" t="str">
        <f aca="false">IF(C338="","",IFERROR(INDEX(site_ID,MATCH(C338,site_Name,0)),"Not on SITES"))</f>
        <v>LW-119</v>
      </c>
      <c r="M338" s="58" t="n">
        <f aca="false">IF(E338="","",DATE(YEAR(E338),MONTH(E338),1))</f>
        <v>46023</v>
      </c>
      <c r="N338" s="57" t="str">
        <f aca="false">IF(E338="","","FY"&amp;(YEAR(E338)+IF(AND(FYStart&gt;1,MONTH(E338)&gt;=FYStart),1,0))&amp;" Q"&amp;(INT(MOD(MONTH(E338)-FYStart,12)/3)+1))</f>
        <v>FY2026 Q3</v>
      </c>
      <c r="O338" s="59" t="n">
        <f aca="false">IF(OR(E338="",N(F338)=0),"",G338/F338)</f>
        <v>0.9375</v>
      </c>
      <c r="P338" s="60" t="n">
        <f aca="false">IF(E338="","",ROUND(N(G338)*N(H338)/60,1))</f>
        <v>15</v>
      </c>
      <c r="Q338" s="57" t="str">
        <f aca="false">IF(E338="","",IF(COUNTIFS($C$2:C338,C338,$E$2:E338,E338,$B$2:B338,B338)&gt;1,"No","Yes"))</f>
        <v>Yes</v>
      </c>
      <c r="R338" s="61" t="str">
        <f aca="false">IF(E338="","",IF(Q338="No","Duplicate of an earlier response",IF(L338="Not on SITES","Site not on SITES",IF(N(G338)&gt;N(F338),"Present is more than enrolled",IF(OR(I338&lt;1,I338&gt;5),"Score outside 1 to 5","")))))</f>
        <v/>
      </c>
    </row>
    <row r="339" customFormat="false" ht="15" hidden="false" customHeight="false" outlineLevel="0" collapsed="false">
      <c r="A339" s="52" t="n">
        <v>46027.7123032407</v>
      </c>
      <c r="B339" s="53" t="s">
        <v>109</v>
      </c>
      <c r="C339" s="53" t="s">
        <v>110</v>
      </c>
      <c r="D339" s="53" t="s">
        <v>107</v>
      </c>
      <c r="E339" s="54" t="n">
        <v>46027</v>
      </c>
      <c r="F339" s="55" t="n">
        <v>21</v>
      </c>
      <c r="G339" s="55" t="n">
        <v>15</v>
      </c>
      <c r="H339" s="55" t="n">
        <v>90</v>
      </c>
      <c r="I339" s="56" t="n">
        <v>3.7</v>
      </c>
      <c r="J339" s="53" t="s">
        <v>166</v>
      </c>
      <c r="K339" s="53"/>
      <c r="L339" s="57" t="str">
        <f aca="false">IF(C339="","",IFERROR(INDEX(site_ID,MATCH(C339,site_Name,0)),"Not on SITES"))</f>
        <v>LW-113</v>
      </c>
      <c r="M339" s="58" t="n">
        <f aca="false">IF(E339="","",DATE(YEAR(E339),MONTH(E339),1))</f>
        <v>46023</v>
      </c>
      <c r="N339" s="57" t="str">
        <f aca="false">IF(E339="","","FY"&amp;(YEAR(E339)+IF(AND(FYStart&gt;1,MONTH(E339)&gt;=FYStart),1,0))&amp;" Q"&amp;(INT(MOD(MONTH(E339)-FYStart,12)/3)+1))</f>
        <v>FY2026 Q3</v>
      </c>
      <c r="O339" s="59" t="n">
        <f aca="false">IF(OR(E339="",N(F339)=0),"",G339/F339)</f>
        <v>0.714285714285714</v>
      </c>
      <c r="P339" s="60" t="n">
        <f aca="false">IF(E339="","",ROUND(N(G339)*N(H339)/60,1))</f>
        <v>22.5</v>
      </c>
      <c r="Q339" s="57" t="str">
        <f aca="false">IF(E339="","",IF(COUNTIFS($C$2:C339,C339,$E$2:E339,E339,$B$2:B339,B339)&gt;1,"No","Yes"))</f>
        <v>Yes</v>
      </c>
      <c r="R339" s="61" t="str">
        <f aca="false">IF(E339="","",IF(Q339="No","Duplicate of an earlier response",IF(L339="Not on SITES","Site not on SITES",IF(N(G339)&gt;N(F339),"Present is more than enrolled",IF(OR(I339&lt;1,I339&gt;5),"Score outside 1 to 5","")))))</f>
        <v/>
      </c>
    </row>
    <row r="340" customFormat="false" ht="15" hidden="false" customHeight="false" outlineLevel="0" collapsed="false">
      <c r="A340" s="52" t="n">
        <v>46027.7935416667</v>
      </c>
      <c r="B340" s="53" t="s">
        <v>105</v>
      </c>
      <c r="C340" s="53" t="s">
        <v>106</v>
      </c>
      <c r="D340" s="53" t="s">
        <v>107</v>
      </c>
      <c r="E340" s="54" t="n">
        <v>46027</v>
      </c>
      <c r="F340" s="55" t="n">
        <v>16</v>
      </c>
      <c r="G340" s="55" t="n">
        <v>13</v>
      </c>
      <c r="H340" s="55" t="n">
        <v>75</v>
      </c>
      <c r="I340" s="56" t="n">
        <v>3.9</v>
      </c>
      <c r="J340" s="53" t="s">
        <v>128</v>
      </c>
      <c r="K340" s="53"/>
      <c r="L340" s="57" t="str">
        <f aca="false">IF(C340="","",IFERROR(INDEX(site_ID,MATCH(C340,site_Name,0)),"Not on SITES"))</f>
        <v>LW-103</v>
      </c>
      <c r="M340" s="58" t="n">
        <f aca="false">IF(E340="","",DATE(YEAR(E340),MONTH(E340),1))</f>
        <v>46023</v>
      </c>
      <c r="N340" s="57" t="str">
        <f aca="false">IF(E340="","","FY"&amp;(YEAR(E340)+IF(AND(FYStart&gt;1,MONTH(E340)&gt;=FYStart),1,0))&amp;" Q"&amp;(INT(MOD(MONTH(E340)-FYStart,12)/3)+1))</f>
        <v>FY2026 Q3</v>
      </c>
      <c r="O340" s="59" t="n">
        <f aca="false">IF(OR(E340="",N(F340)=0),"",G340/F340)</f>
        <v>0.8125</v>
      </c>
      <c r="P340" s="60" t="n">
        <f aca="false">IF(E340="","",ROUND(N(G340)*N(H340)/60,1))</f>
        <v>16.3</v>
      </c>
      <c r="Q340" s="57" t="str">
        <f aca="false">IF(E340="","",IF(COUNTIFS($C$2:C340,C340,$E$2:E340,E340,$B$2:B340,B340)&gt;1,"No","Yes"))</f>
        <v>Yes</v>
      </c>
      <c r="R340" s="61" t="str">
        <f aca="false">IF(E340="","",IF(Q340="No","Duplicate of an earlier response",IF(L340="Not on SITES","Site not on SITES",IF(N(G340)&gt;N(F340),"Present is more than enrolled",IF(OR(I340&lt;1,I340&gt;5),"Score outside 1 to 5","")))))</f>
        <v/>
      </c>
    </row>
    <row r="341" customFormat="false" ht="15" hidden="false" customHeight="false" outlineLevel="0" collapsed="false">
      <c r="A341" s="52" t="n">
        <v>46027.8462037037</v>
      </c>
      <c r="B341" s="53" t="s">
        <v>105</v>
      </c>
      <c r="C341" s="53" t="s">
        <v>118</v>
      </c>
      <c r="D341" s="53" t="s">
        <v>119</v>
      </c>
      <c r="E341" s="54" t="n">
        <v>46027</v>
      </c>
      <c r="F341" s="55" t="n">
        <v>22</v>
      </c>
      <c r="G341" s="55" t="n">
        <v>15</v>
      </c>
      <c r="H341" s="55" t="n">
        <v>60</v>
      </c>
      <c r="I341" s="56" t="n">
        <v>3.5</v>
      </c>
      <c r="J341" s="53" t="s">
        <v>144</v>
      </c>
      <c r="K341" s="53"/>
      <c r="L341" s="57" t="str">
        <f aca="false">IF(C341="","",IFERROR(INDEX(site_ID,MATCH(C341,site_Name,0)),"Not on SITES"))</f>
        <v>LW-111</v>
      </c>
      <c r="M341" s="58" t="n">
        <f aca="false">IF(E341="","",DATE(YEAR(E341),MONTH(E341),1))</f>
        <v>46023</v>
      </c>
      <c r="N341" s="57" t="str">
        <f aca="false">IF(E341="","","FY"&amp;(YEAR(E341)+IF(AND(FYStart&gt;1,MONTH(E341)&gt;=FYStart),1,0))&amp;" Q"&amp;(INT(MOD(MONTH(E341)-FYStart,12)/3)+1))</f>
        <v>FY2026 Q3</v>
      </c>
      <c r="O341" s="59" t="n">
        <f aca="false">IF(OR(E341="",N(F341)=0),"",G341/F341)</f>
        <v>0.681818181818182</v>
      </c>
      <c r="P341" s="60" t="n">
        <f aca="false">IF(E341="","",ROUND(N(G341)*N(H341)/60,1))</f>
        <v>15</v>
      </c>
      <c r="Q341" s="57" t="str">
        <f aca="false">IF(E341="","",IF(COUNTIFS($C$2:C341,C341,$E$2:E341,E341,$B$2:B341,B341)&gt;1,"No","Yes"))</f>
        <v>Yes</v>
      </c>
      <c r="R341" s="61" t="str">
        <f aca="false">IF(E341="","",IF(Q341="No","Duplicate of an earlier response",IF(L341="Not on SITES","Site not on SITES",IF(N(G341)&gt;N(F341),"Present is more than enrolled",IF(OR(I341&lt;1,I341&gt;5),"Score outside 1 to 5","")))))</f>
        <v/>
      </c>
    </row>
    <row r="342" customFormat="false" ht="15" hidden="false" customHeight="false" outlineLevel="0" collapsed="false">
      <c r="A342" s="52" t="n">
        <v>46027.8680902778</v>
      </c>
      <c r="B342" s="53" t="s">
        <v>111</v>
      </c>
      <c r="C342" s="53" t="s">
        <v>112</v>
      </c>
      <c r="D342" s="53" t="s">
        <v>113</v>
      </c>
      <c r="E342" s="54" t="n">
        <v>46027</v>
      </c>
      <c r="F342" s="55" t="n">
        <v>16</v>
      </c>
      <c r="G342" s="55" t="n">
        <v>14</v>
      </c>
      <c r="H342" s="55" t="n">
        <v>90</v>
      </c>
      <c r="I342" s="56" t="n">
        <v>3.3</v>
      </c>
      <c r="J342" s="53" t="s">
        <v>165</v>
      </c>
      <c r="K342" s="53"/>
      <c r="L342" s="57" t="str">
        <f aca="false">IF(C342="","",IFERROR(INDEX(site_ID,MATCH(C342,site_Name,0)),"Not on SITES"))</f>
        <v>LW-120</v>
      </c>
      <c r="M342" s="58" t="n">
        <f aca="false">IF(E342="","",DATE(YEAR(E342),MONTH(E342),1))</f>
        <v>46023</v>
      </c>
      <c r="N342" s="57" t="str">
        <f aca="false">IF(E342="","","FY"&amp;(YEAR(E342)+IF(AND(FYStart&gt;1,MONTH(E342)&gt;=FYStart),1,0))&amp;" Q"&amp;(INT(MOD(MONTH(E342)-FYStart,12)/3)+1))</f>
        <v>FY2026 Q3</v>
      </c>
      <c r="O342" s="59" t="n">
        <f aca="false">IF(OR(E342="",N(F342)=0),"",G342/F342)</f>
        <v>0.875</v>
      </c>
      <c r="P342" s="60" t="n">
        <f aca="false">IF(E342="","",ROUND(N(G342)*N(H342)/60,1))</f>
        <v>21</v>
      </c>
      <c r="Q342" s="57" t="str">
        <f aca="false">IF(E342="","",IF(COUNTIFS($C$2:C342,C342,$E$2:E342,E342,$B$2:B342,B342)&gt;1,"No","Yes"))</f>
        <v>Yes</v>
      </c>
      <c r="R342" s="61" t="str">
        <f aca="false">IF(E342="","",IF(Q342="No","Duplicate of an earlier response",IF(L342="Not on SITES","Site not on SITES",IF(N(G342)&gt;N(F342),"Present is more than enrolled",IF(OR(I342&lt;1,I342&gt;5),"Score outside 1 to 5","")))))</f>
        <v/>
      </c>
    </row>
    <row r="343" customFormat="false" ht="15" hidden="false" customHeight="false" outlineLevel="0" collapsed="false">
      <c r="A343" s="52" t="n">
        <v>46028.8145023148</v>
      </c>
      <c r="B343" s="53" t="s">
        <v>121</v>
      </c>
      <c r="C343" s="53" t="s">
        <v>127</v>
      </c>
      <c r="D343" s="53" t="s">
        <v>107</v>
      </c>
      <c r="E343" s="54" t="n">
        <v>46028</v>
      </c>
      <c r="F343" s="55" t="n">
        <v>16</v>
      </c>
      <c r="G343" s="55" t="n">
        <v>15</v>
      </c>
      <c r="H343" s="55" t="n">
        <v>90</v>
      </c>
      <c r="I343" s="56" t="n">
        <v>3.9</v>
      </c>
      <c r="J343" s="53" t="s">
        <v>155</v>
      </c>
      <c r="K343" s="53"/>
      <c r="L343" s="57" t="str">
        <f aca="false">IF(C343="","",IFERROR(INDEX(site_ID,MATCH(C343,site_Name,0)),"Not on SITES"))</f>
        <v>LW-108</v>
      </c>
      <c r="M343" s="58" t="n">
        <f aca="false">IF(E343="","",DATE(YEAR(E343),MONTH(E343),1))</f>
        <v>46023</v>
      </c>
      <c r="N343" s="57" t="str">
        <f aca="false">IF(E343="","","FY"&amp;(YEAR(E343)+IF(AND(FYStart&gt;1,MONTH(E343)&gt;=FYStart),1,0))&amp;" Q"&amp;(INT(MOD(MONTH(E343)-FYStart,12)/3)+1))</f>
        <v>FY2026 Q3</v>
      </c>
      <c r="O343" s="59" t="n">
        <f aca="false">IF(OR(E343="",N(F343)=0),"",G343/F343)</f>
        <v>0.9375</v>
      </c>
      <c r="P343" s="60" t="n">
        <f aca="false">IF(E343="","",ROUND(N(G343)*N(H343)/60,1))</f>
        <v>22.5</v>
      </c>
      <c r="Q343" s="57" t="str">
        <f aca="false">IF(E343="","",IF(COUNTIFS($C$2:C343,C343,$E$2:E343,E343,$B$2:B343,B343)&gt;1,"No","Yes"))</f>
        <v>Yes</v>
      </c>
      <c r="R343" s="61" t="str">
        <f aca="false">IF(E343="","",IF(Q343="No","Duplicate of an earlier response",IF(L343="Not on SITES","Site not on SITES",IF(N(G343)&gt;N(F343),"Present is more than enrolled",IF(OR(I343&lt;1,I343&gt;5),"Score outside 1 to 5","")))))</f>
        <v/>
      </c>
    </row>
    <row r="344" customFormat="false" ht="15" hidden="false" customHeight="false" outlineLevel="0" collapsed="false">
      <c r="A344" s="52" t="n">
        <v>46028.8321180556</v>
      </c>
      <c r="B344" s="53" t="s">
        <v>132</v>
      </c>
      <c r="C344" s="53" t="s">
        <v>133</v>
      </c>
      <c r="D344" s="53" t="s">
        <v>116</v>
      </c>
      <c r="E344" s="54" t="n">
        <v>46028</v>
      </c>
      <c r="F344" s="55" t="n">
        <v>17</v>
      </c>
      <c r="G344" s="55" t="n">
        <v>13</v>
      </c>
      <c r="H344" s="55" t="n">
        <v>60</v>
      </c>
      <c r="I344" s="56" t="n">
        <v>3.7</v>
      </c>
      <c r="J344" s="53" t="s">
        <v>117</v>
      </c>
      <c r="K344" s="53"/>
      <c r="L344" s="57" t="str">
        <f aca="false">IF(C344="","",IFERROR(INDEX(site_ID,MATCH(C344,site_Name,0)),"Not on SITES"))</f>
        <v>LW-109</v>
      </c>
      <c r="M344" s="58" t="n">
        <f aca="false">IF(E344="","",DATE(YEAR(E344),MONTH(E344),1))</f>
        <v>46023</v>
      </c>
      <c r="N344" s="57" t="str">
        <f aca="false">IF(E344="","","FY"&amp;(YEAR(E344)+IF(AND(FYStart&gt;1,MONTH(E344)&gt;=FYStart),1,0))&amp;" Q"&amp;(INT(MOD(MONTH(E344)-FYStart,12)/3)+1))</f>
        <v>FY2026 Q3</v>
      </c>
      <c r="O344" s="59" t="n">
        <f aca="false">IF(OR(E344="",N(F344)=0),"",G344/F344)</f>
        <v>0.764705882352941</v>
      </c>
      <c r="P344" s="60" t="n">
        <f aca="false">IF(E344="","",ROUND(N(G344)*N(H344)/60,1))</f>
        <v>13</v>
      </c>
      <c r="Q344" s="57" t="str">
        <f aca="false">IF(E344="","",IF(COUNTIFS($C$2:C344,C344,$E$2:E344,E344,$B$2:B344,B344)&gt;1,"No","Yes"))</f>
        <v>Yes</v>
      </c>
      <c r="R344" s="61" t="str">
        <f aca="false">IF(E344="","",IF(Q344="No","Duplicate of an earlier response",IF(L344="Not on SITES","Site not on SITES",IF(N(G344)&gt;N(F344),"Present is more than enrolled",IF(OR(I344&lt;1,I344&gt;5),"Score outside 1 to 5","")))))</f>
        <v/>
      </c>
    </row>
    <row r="345" customFormat="false" ht="15" hidden="false" customHeight="false" outlineLevel="0" collapsed="false">
      <c r="A345" s="52" t="n">
        <v>46028.8568287037</v>
      </c>
      <c r="B345" s="53" t="s">
        <v>124</v>
      </c>
      <c r="C345" s="53" t="s">
        <v>125</v>
      </c>
      <c r="D345" s="53" t="s">
        <v>119</v>
      </c>
      <c r="E345" s="54" t="n">
        <v>46028</v>
      </c>
      <c r="F345" s="55" t="n">
        <v>18</v>
      </c>
      <c r="G345" s="55" t="n">
        <v>13</v>
      </c>
      <c r="H345" s="55" t="n">
        <v>90</v>
      </c>
      <c r="I345" s="56" t="n">
        <v>3.3</v>
      </c>
      <c r="J345" s="53" t="s">
        <v>162</v>
      </c>
      <c r="K345" s="53"/>
      <c r="L345" s="57" t="str">
        <f aca="false">IF(C345="","",IFERROR(INDEX(site_ID,MATCH(C345,site_Name,0)),"Not on SITES"))</f>
        <v>LW-106</v>
      </c>
      <c r="M345" s="58" t="n">
        <f aca="false">IF(E345="","",DATE(YEAR(E345),MONTH(E345),1))</f>
        <v>46023</v>
      </c>
      <c r="N345" s="57" t="str">
        <f aca="false">IF(E345="","","FY"&amp;(YEAR(E345)+IF(AND(FYStart&gt;1,MONTH(E345)&gt;=FYStart),1,0))&amp;" Q"&amp;(INT(MOD(MONTH(E345)-FYStart,12)/3)+1))</f>
        <v>FY2026 Q3</v>
      </c>
      <c r="O345" s="59" t="n">
        <f aca="false">IF(OR(E345="",N(F345)=0),"",G345/F345)</f>
        <v>0.722222222222222</v>
      </c>
      <c r="P345" s="60" t="n">
        <f aca="false">IF(E345="","",ROUND(N(G345)*N(H345)/60,1))</f>
        <v>19.5</v>
      </c>
      <c r="Q345" s="57" t="str">
        <f aca="false">IF(E345="","",IF(COUNTIFS($C$2:C345,C345,$E$2:E345,E345,$B$2:B345,B345)&gt;1,"No","Yes"))</f>
        <v>Yes</v>
      </c>
      <c r="R345" s="61" t="str">
        <f aca="false">IF(E345="","",IF(Q345="No","Duplicate of an earlier response",IF(L345="Not on SITES","Site not on SITES",IF(N(G345)&gt;N(F345),"Present is more than enrolled",IF(OR(I345&lt;1,I345&gt;5),"Score outside 1 to 5","")))))</f>
        <v/>
      </c>
    </row>
    <row r="346" customFormat="false" ht="15" hidden="false" customHeight="false" outlineLevel="0" collapsed="false">
      <c r="A346" s="52" t="n">
        <v>46029.6313310185</v>
      </c>
      <c r="B346" s="53" t="s">
        <v>105</v>
      </c>
      <c r="C346" s="53" t="s">
        <v>118</v>
      </c>
      <c r="D346" s="53" t="s">
        <v>119</v>
      </c>
      <c r="E346" s="54" t="n">
        <v>46029</v>
      </c>
      <c r="F346" s="55" t="n">
        <v>22</v>
      </c>
      <c r="G346" s="55" t="n">
        <v>17</v>
      </c>
      <c r="H346" s="55" t="n">
        <v>75</v>
      </c>
      <c r="I346" s="56" t="n">
        <v>3.2</v>
      </c>
      <c r="J346" s="53" t="s">
        <v>120</v>
      </c>
      <c r="K346" s="53"/>
      <c r="L346" s="57" t="str">
        <f aca="false">IF(C346="","",IFERROR(INDEX(site_ID,MATCH(C346,site_Name,0)),"Not on SITES"))</f>
        <v>LW-111</v>
      </c>
      <c r="M346" s="58" t="n">
        <f aca="false">IF(E346="","",DATE(YEAR(E346),MONTH(E346),1))</f>
        <v>46023</v>
      </c>
      <c r="N346" s="57" t="str">
        <f aca="false">IF(E346="","","FY"&amp;(YEAR(E346)+IF(AND(FYStart&gt;1,MONTH(E346)&gt;=FYStart),1,0))&amp;" Q"&amp;(INT(MOD(MONTH(E346)-FYStart,12)/3)+1))</f>
        <v>FY2026 Q3</v>
      </c>
      <c r="O346" s="59" t="n">
        <f aca="false">IF(OR(E346="",N(F346)=0),"",G346/F346)</f>
        <v>0.772727272727273</v>
      </c>
      <c r="P346" s="60" t="n">
        <f aca="false">IF(E346="","",ROUND(N(G346)*N(H346)/60,1))</f>
        <v>21.3</v>
      </c>
      <c r="Q346" s="57" t="str">
        <f aca="false">IF(E346="","",IF(COUNTIFS($C$2:C346,C346,$E$2:E346,E346,$B$2:B346,B346)&gt;1,"No","Yes"))</f>
        <v>Yes</v>
      </c>
      <c r="R346" s="61" t="str">
        <f aca="false">IF(E346="","",IF(Q346="No","Duplicate of an earlier response",IF(L346="Not on SITES","Site not on SITES",IF(N(G346)&gt;N(F346),"Present is more than enrolled",IF(OR(I346&lt;1,I346&gt;5),"Score outside 1 to 5","")))))</f>
        <v/>
      </c>
    </row>
    <row r="347" customFormat="false" ht="15" hidden="false" customHeight="false" outlineLevel="0" collapsed="false">
      <c r="A347" s="52" t="n">
        <v>46029.6438310185</v>
      </c>
      <c r="B347" s="53" t="s">
        <v>129</v>
      </c>
      <c r="C347" s="53" t="s">
        <v>130</v>
      </c>
      <c r="D347" s="53" t="s">
        <v>113</v>
      </c>
      <c r="E347" s="54" t="n">
        <v>46028</v>
      </c>
      <c r="F347" s="55" t="n">
        <v>16</v>
      </c>
      <c r="G347" s="55" t="n">
        <v>14</v>
      </c>
      <c r="H347" s="55" t="n">
        <v>60</v>
      </c>
      <c r="I347" s="56" t="n">
        <v>3.3</v>
      </c>
      <c r="J347" s="53" t="s">
        <v>114</v>
      </c>
      <c r="K347" s="53"/>
      <c r="L347" s="57" t="str">
        <f aca="false">IF(C347="","",IFERROR(INDEX(site_ID,MATCH(C347,site_Name,0)),"Not on SITES"))</f>
        <v>LW-107</v>
      </c>
      <c r="M347" s="58" t="n">
        <f aca="false">IF(E347="","",DATE(YEAR(E347),MONTH(E347),1))</f>
        <v>46023</v>
      </c>
      <c r="N347" s="57" t="str">
        <f aca="false">IF(E347="","","FY"&amp;(YEAR(E347)+IF(AND(FYStart&gt;1,MONTH(E347)&gt;=FYStart),1,0))&amp;" Q"&amp;(INT(MOD(MONTH(E347)-FYStart,12)/3)+1))</f>
        <v>FY2026 Q3</v>
      </c>
      <c r="O347" s="59" t="n">
        <f aca="false">IF(OR(E347="",N(F347)=0),"",G347/F347)</f>
        <v>0.875</v>
      </c>
      <c r="P347" s="60" t="n">
        <f aca="false">IF(E347="","",ROUND(N(G347)*N(H347)/60,1))</f>
        <v>14</v>
      </c>
      <c r="Q347" s="57" t="str">
        <f aca="false">IF(E347="","",IF(COUNTIFS($C$2:C347,C347,$E$2:E347,E347,$B$2:B347,B347)&gt;1,"No","Yes"))</f>
        <v>Yes</v>
      </c>
      <c r="R347" s="61" t="str">
        <f aca="false">IF(E347="","",IF(Q347="No","Duplicate of an earlier response",IF(L347="Not on SITES","Site not on SITES",IF(N(G347)&gt;N(F347),"Present is more than enrolled",IF(OR(I347&lt;1,I347&gt;5),"Score outside 1 to 5","")))))</f>
        <v/>
      </c>
    </row>
    <row r="348" customFormat="false" ht="15" hidden="false" customHeight="false" outlineLevel="0" collapsed="false">
      <c r="A348" s="52" t="n">
        <v>46029.6695717593</v>
      </c>
      <c r="B348" s="53" t="s">
        <v>121</v>
      </c>
      <c r="C348" s="53" t="s">
        <v>142</v>
      </c>
      <c r="D348" s="53" t="s">
        <v>113</v>
      </c>
      <c r="E348" s="54" t="n">
        <v>46029</v>
      </c>
      <c r="F348" s="55" t="n">
        <v>18</v>
      </c>
      <c r="G348" s="55" t="n">
        <v>16</v>
      </c>
      <c r="H348" s="55" t="n">
        <v>90</v>
      </c>
      <c r="I348" s="56" t="n">
        <v>3.9</v>
      </c>
      <c r="J348" s="53" t="s">
        <v>143</v>
      </c>
      <c r="K348" s="53"/>
      <c r="L348" s="57" t="str">
        <f aca="false">IF(C348="","",IFERROR(INDEX(site_ID,MATCH(C348,site_Name,0)),"Not on SITES"))</f>
        <v>LW-102</v>
      </c>
      <c r="M348" s="58" t="n">
        <f aca="false">IF(E348="","",DATE(YEAR(E348),MONTH(E348),1))</f>
        <v>46023</v>
      </c>
      <c r="N348" s="57" t="str">
        <f aca="false">IF(E348="","","FY"&amp;(YEAR(E348)+IF(AND(FYStart&gt;1,MONTH(E348)&gt;=FYStart),1,0))&amp;" Q"&amp;(INT(MOD(MONTH(E348)-FYStart,12)/3)+1))</f>
        <v>FY2026 Q3</v>
      </c>
      <c r="O348" s="59" t="n">
        <f aca="false">IF(OR(E348="",N(F348)=0),"",G348/F348)</f>
        <v>0.888888888888889</v>
      </c>
      <c r="P348" s="60" t="n">
        <f aca="false">IF(E348="","",ROUND(N(G348)*N(H348)/60,1))</f>
        <v>24</v>
      </c>
      <c r="Q348" s="57" t="str">
        <f aca="false">IF(E348="","",IF(COUNTIFS($C$2:C348,C348,$E$2:E348,E348,$B$2:B348,B348)&gt;1,"No","Yes"))</f>
        <v>Yes</v>
      </c>
      <c r="R348" s="61" t="str">
        <f aca="false">IF(E348="","",IF(Q348="No","Duplicate of an earlier response",IF(L348="Not on SITES","Site not on SITES",IF(N(G348)&gt;N(F348),"Present is more than enrolled",IF(OR(I348&lt;1,I348&gt;5),"Score outside 1 to 5","")))))</f>
        <v/>
      </c>
    </row>
    <row r="349" customFormat="false" ht="15" hidden="false" customHeight="false" outlineLevel="0" collapsed="false">
      <c r="A349" s="52" t="n">
        <v>46029.7908101852</v>
      </c>
      <c r="B349" s="53" t="s">
        <v>132</v>
      </c>
      <c r="C349" s="53" t="s">
        <v>145</v>
      </c>
      <c r="D349" s="53" t="s">
        <v>119</v>
      </c>
      <c r="E349" s="54" t="n">
        <v>46029</v>
      </c>
      <c r="F349" s="55" t="n">
        <v>19</v>
      </c>
      <c r="G349" s="55" t="n">
        <v>14</v>
      </c>
      <c r="H349" s="55" t="n">
        <v>60</v>
      </c>
      <c r="I349" s="56" t="n">
        <v>3.8</v>
      </c>
      <c r="J349" s="53" t="s">
        <v>157</v>
      </c>
      <c r="K349" s="53"/>
      <c r="L349" s="57" t="str">
        <f aca="false">IF(C349="","",IFERROR(INDEX(site_ID,MATCH(C349,site_Name,0)),"Not on SITES"))</f>
        <v>LW-101</v>
      </c>
      <c r="M349" s="58" t="n">
        <f aca="false">IF(E349="","",DATE(YEAR(E349),MONTH(E349),1))</f>
        <v>46023</v>
      </c>
      <c r="N349" s="57" t="str">
        <f aca="false">IF(E349="","","FY"&amp;(YEAR(E349)+IF(AND(FYStart&gt;1,MONTH(E349)&gt;=FYStart),1,0))&amp;" Q"&amp;(INT(MOD(MONTH(E349)-FYStart,12)/3)+1))</f>
        <v>FY2026 Q3</v>
      </c>
      <c r="O349" s="59" t="n">
        <f aca="false">IF(OR(E349="",N(F349)=0),"",G349/F349)</f>
        <v>0.736842105263158</v>
      </c>
      <c r="P349" s="60" t="n">
        <f aca="false">IF(E349="","",ROUND(N(G349)*N(H349)/60,1))</f>
        <v>14</v>
      </c>
      <c r="Q349" s="57" t="str">
        <f aca="false">IF(E349="","",IF(COUNTIFS($C$2:C349,C349,$E$2:E349,E349,$B$2:B349,B349)&gt;1,"No","Yes"))</f>
        <v>Yes</v>
      </c>
      <c r="R349" s="61" t="str">
        <f aca="false">IF(E349="","",IF(Q349="No","Duplicate of an earlier response",IF(L349="Not on SITES","Site not on SITES",IF(N(G349)&gt;N(F349),"Present is more than enrolled",IF(OR(I349&lt;1,I349&gt;5),"Score outside 1 to 5","")))))</f>
        <v/>
      </c>
    </row>
    <row r="350" customFormat="false" ht="15" hidden="false" customHeight="false" outlineLevel="0" collapsed="false">
      <c r="A350" s="52" t="n">
        <v>46029.8110763889</v>
      </c>
      <c r="B350" s="53" t="s">
        <v>140</v>
      </c>
      <c r="C350" s="53" t="s">
        <v>141</v>
      </c>
      <c r="D350" s="53" t="s">
        <v>116</v>
      </c>
      <c r="E350" s="54" t="n">
        <v>46029</v>
      </c>
      <c r="F350" s="55" t="n">
        <v>13</v>
      </c>
      <c r="G350" s="55" t="n">
        <v>11</v>
      </c>
      <c r="H350" s="55" t="n">
        <v>60</v>
      </c>
      <c r="I350" s="56" t="n">
        <v>3.5</v>
      </c>
      <c r="J350" s="53" t="s">
        <v>134</v>
      </c>
      <c r="K350" s="53"/>
      <c r="L350" s="57" t="str">
        <f aca="false">IF(C350="","",IFERROR(INDEX(site_ID,MATCH(C350,site_Name,0)),"Not on SITES"))</f>
        <v>LW-118</v>
      </c>
      <c r="M350" s="58" t="n">
        <f aca="false">IF(E350="","",DATE(YEAR(E350),MONTH(E350),1))</f>
        <v>46023</v>
      </c>
      <c r="N350" s="57" t="str">
        <f aca="false">IF(E350="","","FY"&amp;(YEAR(E350)+IF(AND(FYStart&gt;1,MONTH(E350)&gt;=FYStart),1,0))&amp;" Q"&amp;(INT(MOD(MONTH(E350)-FYStart,12)/3)+1))</f>
        <v>FY2026 Q3</v>
      </c>
      <c r="O350" s="59" t="n">
        <f aca="false">IF(OR(E350="",N(F350)=0),"",G350/F350)</f>
        <v>0.846153846153846</v>
      </c>
      <c r="P350" s="60" t="n">
        <f aca="false">IF(E350="","",ROUND(N(G350)*N(H350)/60,1))</f>
        <v>11</v>
      </c>
      <c r="Q350" s="57" t="str">
        <f aca="false">IF(E350="","",IF(COUNTIFS($C$2:C350,C350,$E$2:E350,E350,$B$2:B350,B350)&gt;1,"No","Yes"))</f>
        <v>Yes</v>
      </c>
      <c r="R350" s="61" t="str">
        <f aca="false">IF(E350="","",IF(Q350="No","Duplicate of an earlier response",IF(L350="Not on SITES","Site not on SITES",IF(N(G350)&gt;N(F350),"Present is more than enrolled",IF(OR(I350&lt;1,I350&gt;5),"Score outside 1 to 5","")))))</f>
        <v/>
      </c>
    </row>
    <row r="351" customFormat="false" ht="15" hidden="false" customHeight="false" outlineLevel="0" collapsed="false">
      <c r="A351" s="52" t="n">
        <v>46030.7346527778</v>
      </c>
      <c r="B351" s="53" t="s">
        <v>121</v>
      </c>
      <c r="C351" s="53" t="s">
        <v>122</v>
      </c>
      <c r="D351" s="53" t="s">
        <v>116</v>
      </c>
      <c r="E351" s="54" t="n">
        <v>46030</v>
      </c>
      <c r="F351" s="55" t="n">
        <v>16</v>
      </c>
      <c r="G351" s="55" t="n">
        <v>13</v>
      </c>
      <c r="H351" s="55" t="n">
        <v>75</v>
      </c>
      <c r="I351" s="56" t="n">
        <v>3.4</v>
      </c>
      <c r="J351" s="53" t="s">
        <v>153</v>
      </c>
      <c r="K351" s="53"/>
      <c r="L351" s="57" t="str">
        <f aca="false">IF(C351="","",IFERROR(INDEX(site_ID,MATCH(C351,site_Name,0)),"Not on SITES"))</f>
        <v>LW-116</v>
      </c>
      <c r="M351" s="58" t="n">
        <f aca="false">IF(E351="","",DATE(YEAR(E351),MONTH(E351),1))</f>
        <v>46023</v>
      </c>
      <c r="N351" s="57" t="str">
        <f aca="false">IF(E351="","","FY"&amp;(YEAR(E351)+IF(AND(FYStart&gt;1,MONTH(E351)&gt;=FYStart),1,0))&amp;" Q"&amp;(INT(MOD(MONTH(E351)-FYStart,12)/3)+1))</f>
        <v>FY2026 Q3</v>
      </c>
      <c r="O351" s="59" t="n">
        <f aca="false">IF(OR(E351="",N(F351)=0),"",G351/F351)</f>
        <v>0.8125</v>
      </c>
      <c r="P351" s="60" t="n">
        <f aca="false">IF(E351="","",ROUND(N(G351)*N(H351)/60,1))</f>
        <v>16.3</v>
      </c>
      <c r="Q351" s="57" t="str">
        <f aca="false">IF(E351="","",IF(COUNTIFS($C$2:C351,C351,$E$2:E351,E351,$B$2:B351,B351)&gt;1,"No","Yes"))</f>
        <v>Yes</v>
      </c>
      <c r="R351" s="61" t="str">
        <f aca="false">IF(E351="","",IF(Q351="No","Duplicate of an earlier response",IF(L351="Not on SITES","Site not on SITES",IF(N(G351)&gt;N(F351),"Present is more than enrolled",IF(OR(I351&lt;1,I351&gt;5),"Score outside 1 to 5","")))))</f>
        <v/>
      </c>
    </row>
    <row r="352" customFormat="false" ht="15" hidden="false" customHeight="false" outlineLevel="0" collapsed="false">
      <c r="A352" s="52" t="n">
        <v>46030.7462037037</v>
      </c>
      <c r="B352" s="53" t="s">
        <v>111</v>
      </c>
      <c r="C352" s="53" t="s">
        <v>112</v>
      </c>
      <c r="D352" s="53" t="s">
        <v>113</v>
      </c>
      <c r="E352" s="54" t="n">
        <v>46029</v>
      </c>
      <c r="F352" s="55" t="n">
        <v>16</v>
      </c>
      <c r="G352" s="55" t="n">
        <v>12</v>
      </c>
      <c r="H352" s="55" t="n">
        <v>75</v>
      </c>
      <c r="I352" s="56" t="n">
        <v>3.7</v>
      </c>
      <c r="J352" s="53" t="s">
        <v>114</v>
      </c>
      <c r="K352" s="53"/>
      <c r="L352" s="57" t="str">
        <f aca="false">IF(C352="","",IFERROR(INDEX(site_ID,MATCH(C352,site_Name,0)),"Not on SITES"))</f>
        <v>LW-120</v>
      </c>
      <c r="M352" s="58" t="n">
        <f aca="false">IF(E352="","",DATE(YEAR(E352),MONTH(E352),1))</f>
        <v>46023</v>
      </c>
      <c r="N352" s="57" t="str">
        <f aca="false">IF(E352="","","FY"&amp;(YEAR(E352)+IF(AND(FYStart&gt;1,MONTH(E352)&gt;=FYStart),1,0))&amp;" Q"&amp;(INT(MOD(MONTH(E352)-FYStart,12)/3)+1))</f>
        <v>FY2026 Q3</v>
      </c>
      <c r="O352" s="59" t="n">
        <f aca="false">IF(OR(E352="",N(F352)=0),"",G352/F352)</f>
        <v>0.75</v>
      </c>
      <c r="P352" s="60" t="n">
        <f aca="false">IF(E352="","",ROUND(N(G352)*N(H352)/60,1))</f>
        <v>15</v>
      </c>
      <c r="Q352" s="57" t="str">
        <f aca="false">IF(E352="","",IF(COUNTIFS($C$2:C352,C352,$E$2:E352,E352,$B$2:B352,B352)&gt;1,"No","Yes"))</f>
        <v>Yes</v>
      </c>
      <c r="R352" s="61" t="str">
        <f aca="false">IF(E352="","",IF(Q352="No","Duplicate of an earlier response",IF(L352="Not on SITES","Site not on SITES",IF(N(G352)&gt;N(F352),"Present is more than enrolled",IF(OR(I352&lt;1,I352&gt;5),"Score outside 1 to 5","")))))</f>
        <v/>
      </c>
    </row>
    <row r="353" customFormat="false" ht="15" hidden="false" customHeight="false" outlineLevel="0" collapsed="false">
      <c r="A353" s="52" t="n">
        <v>46030.7896180556</v>
      </c>
      <c r="B353" s="53" t="s">
        <v>109</v>
      </c>
      <c r="C353" s="53" t="s">
        <v>146</v>
      </c>
      <c r="D353" s="53" t="s">
        <v>138</v>
      </c>
      <c r="E353" s="54" t="n">
        <v>46030</v>
      </c>
      <c r="F353" s="55" t="n">
        <v>15</v>
      </c>
      <c r="G353" s="55" t="n">
        <v>12</v>
      </c>
      <c r="H353" s="55" t="n">
        <v>90</v>
      </c>
      <c r="I353" s="56" t="n">
        <v>3.4</v>
      </c>
      <c r="J353" s="53" t="s">
        <v>139</v>
      </c>
      <c r="K353" s="53"/>
      <c r="L353" s="57" t="str">
        <f aca="false">IF(C353="","",IFERROR(INDEX(site_ID,MATCH(C353,site_Name,0)),"Not on SITES"))</f>
        <v>LW-105</v>
      </c>
      <c r="M353" s="58" t="n">
        <f aca="false">IF(E353="","",DATE(YEAR(E353),MONTH(E353),1))</f>
        <v>46023</v>
      </c>
      <c r="N353" s="57" t="str">
        <f aca="false">IF(E353="","","FY"&amp;(YEAR(E353)+IF(AND(FYStart&gt;1,MONTH(E353)&gt;=FYStart),1,0))&amp;" Q"&amp;(INT(MOD(MONTH(E353)-FYStart,12)/3)+1))</f>
        <v>FY2026 Q3</v>
      </c>
      <c r="O353" s="59" t="n">
        <f aca="false">IF(OR(E353="",N(F353)=0),"",G353/F353)</f>
        <v>0.8</v>
      </c>
      <c r="P353" s="60" t="n">
        <f aca="false">IF(E353="","",ROUND(N(G353)*N(H353)/60,1))</f>
        <v>18</v>
      </c>
      <c r="Q353" s="57" t="str">
        <f aca="false">IF(E353="","",IF(COUNTIFS($C$2:C353,C353,$E$2:E353,E353,$B$2:B353,B353)&gt;1,"No","Yes"))</f>
        <v>Yes</v>
      </c>
      <c r="R353" s="61" t="str">
        <f aca="false">IF(E353="","",IF(Q353="No","Duplicate of an earlier response",IF(L353="Not on SITES","Site not on SITES",IF(N(G353)&gt;N(F353),"Present is more than enrolled",IF(OR(I353&lt;1,I353&gt;5),"Score outside 1 to 5","")))))</f>
        <v/>
      </c>
    </row>
    <row r="354" customFormat="false" ht="15" hidden="false" customHeight="false" outlineLevel="0" collapsed="false">
      <c r="A354" s="52" t="n">
        <v>46030.8053009259</v>
      </c>
      <c r="B354" s="53" t="s">
        <v>140</v>
      </c>
      <c r="C354" s="53" t="s">
        <v>151</v>
      </c>
      <c r="D354" s="53" t="s">
        <v>138</v>
      </c>
      <c r="E354" s="54" t="n">
        <v>46030</v>
      </c>
      <c r="F354" s="55" t="n">
        <v>14</v>
      </c>
      <c r="G354" s="55" t="n">
        <v>12</v>
      </c>
      <c r="H354" s="55" t="n">
        <v>90</v>
      </c>
      <c r="I354" s="56" t="n">
        <v>3.7</v>
      </c>
      <c r="J354" s="53" t="s">
        <v>152</v>
      </c>
      <c r="K354" s="53"/>
      <c r="L354" s="57" t="str">
        <f aca="false">IF(C354="","",IFERROR(INDEX(site_ID,MATCH(C354,site_Name,0)),"Not on SITES"))</f>
        <v>LW-110</v>
      </c>
      <c r="M354" s="58" t="n">
        <f aca="false">IF(E354="","",DATE(YEAR(E354),MONTH(E354),1))</f>
        <v>46023</v>
      </c>
      <c r="N354" s="57" t="str">
        <f aca="false">IF(E354="","","FY"&amp;(YEAR(E354)+IF(AND(FYStart&gt;1,MONTH(E354)&gt;=FYStart),1,0))&amp;" Q"&amp;(INT(MOD(MONTH(E354)-FYStart,12)/3)+1))</f>
        <v>FY2026 Q3</v>
      </c>
      <c r="O354" s="59" t="n">
        <f aca="false">IF(OR(E354="",N(F354)=0),"",G354/F354)</f>
        <v>0.857142857142857</v>
      </c>
      <c r="P354" s="60" t="n">
        <f aca="false">IF(E354="","",ROUND(N(G354)*N(H354)/60,1))</f>
        <v>18</v>
      </c>
      <c r="Q354" s="57" t="str">
        <f aca="false">IF(E354="","",IF(COUNTIFS($C$2:C354,C354,$E$2:E354,E354,$B$2:B354,B354)&gt;1,"No","Yes"))</f>
        <v>Yes</v>
      </c>
      <c r="R354" s="61" t="str">
        <f aca="false">IF(E354="","",IF(Q354="No","Duplicate of an earlier response",IF(L354="Not on SITES","Site not on SITES",IF(N(G354)&gt;N(F354),"Present is more than enrolled",IF(OR(I354&lt;1,I354&gt;5),"Score outside 1 to 5","")))))</f>
        <v/>
      </c>
    </row>
    <row r="355" customFormat="false" ht="15" hidden="false" customHeight="false" outlineLevel="0" collapsed="false">
      <c r="A355" s="52" t="n">
        <v>46030.8314236111</v>
      </c>
      <c r="B355" s="53" t="s">
        <v>129</v>
      </c>
      <c r="C355" s="53" t="s">
        <v>137</v>
      </c>
      <c r="D355" s="53" t="s">
        <v>138</v>
      </c>
      <c r="E355" s="54" t="n">
        <v>46029</v>
      </c>
      <c r="F355" s="55" t="n">
        <v>19</v>
      </c>
      <c r="G355" s="55" t="n">
        <v>18</v>
      </c>
      <c r="H355" s="55" t="n">
        <v>90</v>
      </c>
      <c r="I355" s="56" t="n">
        <v>3.6</v>
      </c>
      <c r="J355" s="53" t="s">
        <v>139</v>
      </c>
      <c r="K355" s="53"/>
      <c r="L355" s="57" t="str">
        <f aca="false">IF(C355="","",IFERROR(INDEX(site_ID,MATCH(C355,site_Name,0)),"Not on SITES"))</f>
        <v>LW-115</v>
      </c>
      <c r="M355" s="58" t="n">
        <f aca="false">IF(E355="","",DATE(YEAR(E355),MONTH(E355),1))</f>
        <v>46023</v>
      </c>
      <c r="N355" s="57" t="str">
        <f aca="false">IF(E355="","","FY"&amp;(YEAR(E355)+IF(AND(FYStart&gt;1,MONTH(E355)&gt;=FYStart),1,0))&amp;" Q"&amp;(INT(MOD(MONTH(E355)-FYStart,12)/3)+1))</f>
        <v>FY2026 Q3</v>
      </c>
      <c r="O355" s="59" t="n">
        <f aca="false">IF(OR(E355="",N(F355)=0),"",G355/F355)</f>
        <v>0.947368421052632</v>
      </c>
      <c r="P355" s="60" t="n">
        <f aca="false">IF(E355="","",ROUND(N(G355)*N(H355)/60,1))</f>
        <v>27</v>
      </c>
      <c r="Q355" s="57" t="str">
        <f aca="false">IF(E355="","",IF(COUNTIFS($C$2:C355,C355,$E$2:E355,E355,$B$2:B355,B355)&gt;1,"No","Yes"))</f>
        <v>Yes</v>
      </c>
      <c r="R355" s="61" t="str">
        <f aca="false">IF(E355="","",IF(Q355="No","Duplicate of an earlier response",IF(L355="Not on SITES","Site not on SITES",IF(N(G355)&gt;N(F355),"Present is more than enrolled",IF(OR(I355&lt;1,I355&gt;5),"Score outside 1 to 5","")))))</f>
        <v/>
      </c>
    </row>
    <row r="356" customFormat="false" ht="15" hidden="false" customHeight="false" outlineLevel="0" collapsed="false">
      <c r="A356" s="52" t="n">
        <v>46030.872349537</v>
      </c>
      <c r="B356" s="53" t="s">
        <v>111</v>
      </c>
      <c r="C356" s="53" t="s">
        <v>149</v>
      </c>
      <c r="D356" s="53" t="s">
        <v>113</v>
      </c>
      <c r="E356" s="54" t="n">
        <v>46030</v>
      </c>
      <c r="F356" s="55" t="n">
        <v>21</v>
      </c>
      <c r="G356" s="55" t="n">
        <v>17</v>
      </c>
      <c r="H356" s="55" t="n">
        <v>90</v>
      </c>
      <c r="I356" s="56" t="n">
        <v>4.1</v>
      </c>
      <c r="J356" s="53" t="s">
        <v>131</v>
      </c>
      <c r="K356" s="53"/>
      <c r="L356" s="57" t="str">
        <f aca="false">IF(C356="","",IFERROR(INDEX(site_ID,MATCH(C356,site_Name,0)),"Not on SITES"))</f>
        <v>LW-112</v>
      </c>
      <c r="M356" s="58" t="n">
        <f aca="false">IF(E356="","",DATE(YEAR(E356),MONTH(E356),1))</f>
        <v>46023</v>
      </c>
      <c r="N356" s="57" t="str">
        <f aca="false">IF(E356="","","FY"&amp;(YEAR(E356)+IF(AND(FYStart&gt;1,MONTH(E356)&gt;=FYStart),1,0))&amp;" Q"&amp;(INT(MOD(MONTH(E356)-FYStart,12)/3)+1))</f>
        <v>FY2026 Q3</v>
      </c>
      <c r="O356" s="59" t="n">
        <f aca="false">IF(OR(E356="",N(F356)=0),"",G356/F356)</f>
        <v>0.80952380952381</v>
      </c>
      <c r="P356" s="60" t="n">
        <f aca="false">IF(E356="","",ROUND(N(G356)*N(H356)/60,1))</f>
        <v>25.5</v>
      </c>
      <c r="Q356" s="57" t="str">
        <f aca="false">IF(E356="","",IF(COUNTIFS($C$2:C356,C356,$E$2:E356,E356,$B$2:B356,B356)&gt;1,"No","Yes"))</f>
        <v>Yes</v>
      </c>
      <c r="R356" s="61" t="str">
        <f aca="false">IF(E356="","",IF(Q356="No","Duplicate of an earlier response",IF(L356="Not on SITES","Site not on SITES",IF(N(G356)&gt;N(F356),"Present is more than enrolled",IF(OR(I356&lt;1,I356&gt;5),"Score outside 1 to 5","")))))</f>
        <v/>
      </c>
    </row>
    <row r="357" customFormat="false" ht="15" hidden="false" customHeight="false" outlineLevel="0" collapsed="false">
      <c r="A357" s="52" t="n">
        <v>46031.7137731482</v>
      </c>
      <c r="B357" s="53" t="s">
        <v>129</v>
      </c>
      <c r="C357" s="53" t="s">
        <v>137</v>
      </c>
      <c r="D357" s="53" t="s">
        <v>138</v>
      </c>
      <c r="E357" s="54" t="n">
        <v>46031</v>
      </c>
      <c r="F357" s="55" t="n">
        <v>19</v>
      </c>
      <c r="G357" s="55" t="n">
        <v>17</v>
      </c>
      <c r="H357" s="55" t="n">
        <v>90</v>
      </c>
      <c r="I357" s="56" t="n">
        <v>3.7</v>
      </c>
      <c r="J357" s="53" t="s">
        <v>139</v>
      </c>
      <c r="K357" s="53"/>
      <c r="L357" s="57" t="str">
        <f aca="false">IF(C357="","",IFERROR(INDEX(site_ID,MATCH(C357,site_Name,0)),"Not on SITES"))</f>
        <v>LW-115</v>
      </c>
      <c r="M357" s="58" t="n">
        <f aca="false">IF(E357="","",DATE(YEAR(E357),MONTH(E357),1))</f>
        <v>46023</v>
      </c>
      <c r="N357" s="57" t="str">
        <f aca="false">IF(E357="","","FY"&amp;(YEAR(E357)+IF(AND(FYStart&gt;1,MONTH(E357)&gt;=FYStart),1,0))&amp;" Q"&amp;(INT(MOD(MONTH(E357)-FYStart,12)/3)+1))</f>
        <v>FY2026 Q3</v>
      </c>
      <c r="O357" s="59" t="n">
        <f aca="false">IF(OR(E357="",N(F357)=0),"",G357/F357)</f>
        <v>0.894736842105263</v>
      </c>
      <c r="P357" s="60" t="n">
        <f aca="false">IF(E357="","",ROUND(N(G357)*N(H357)/60,1))</f>
        <v>25.5</v>
      </c>
      <c r="Q357" s="57" t="str">
        <f aca="false">IF(E357="","",IF(COUNTIFS($C$2:C357,C357,$E$2:E357,E357,$B$2:B357,B357)&gt;1,"No","Yes"))</f>
        <v>Yes</v>
      </c>
      <c r="R357" s="61" t="str">
        <f aca="false">IF(E357="","",IF(Q357="No","Duplicate of an earlier response",IF(L357="Not on SITES","Site not on SITES",IF(N(G357)&gt;N(F357),"Present is more than enrolled",IF(OR(I357&lt;1,I357&gt;5),"Score outside 1 to 5","")))))</f>
        <v/>
      </c>
    </row>
    <row r="358" customFormat="false" ht="15" hidden="false" customHeight="false" outlineLevel="0" collapsed="false">
      <c r="A358" s="52" t="n">
        <v>46031.7284259259</v>
      </c>
      <c r="B358" s="53" t="s">
        <v>140</v>
      </c>
      <c r="C358" s="53" t="s">
        <v>141</v>
      </c>
      <c r="D358" s="53" t="s">
        <v>116</v>
      </c>
      <c r="E358" s="54" t="n">
        <v>46031</v>
      </c>
      <c r="F358" s="55" t="n">
        <v>13</v>
      </c>
      <c r="G358" s="55" t="n">
        <v>11</v>
      </c>
      <c r="H358" s="55" t="n">
        <v>60</v>
      </c>
      <c r="I358" s="56" t="n">
        <v>3.7</v>
      </c>
      <c r="J358" s="53" t="s">
        <v>117</v>
      </c>
      <c r="K358" s="53"/>
      <c r="L358" s="57" t="str">
        <f aca="false">IF(C358="","",IFERROR(INDEX(site_ID,MATCH(C358,site_Name,0)),"Not on SITES"))</f>
        <v>LW-118</v>
      </c>
      <c r="M358" s="58" t="n">
        <f aca="false">IF(E358="","",DATE(YEAR(E358),MONTH(E358),1))</f>
        <v>46023</v>
      </c>
      <c r="N358" s="57" t="str">
        <f aca="false">IF(E358="","","FY"&amp;(YEAR(E358)+IF(AND(FYStart&gt;1,MONTH(E358)&gt;=FYStart),1,0))&amp;" Q"&amp;(INT(MOD(MONTH(E358)-FYStart,12)/3)+1))</f>
        <v>FY2026 Q3</v>
      </c>
      <c r="O358" s="59" t="n">
        <f aca="false">IF(OR(E358="",N(F358)=0),"",G358/F358)</f>
        <v>0.846153846153846</v>
      </c>
      <c r="P358" s="60" t="n">
        <f aca="false">IF(E358="","",ROUND(N(G358)*N(H358)/60,1))</f>
        <v>11</v>
      </c>
      <c r="Q358" s="57" t="str">
        <f aca="false">IF(E358="","",IF(COUNTIFS($C$2:C358,C358,$E$2:E358,E358,$B$2:B358,B358)&gt;1,"No","Yes"))</f>
        <v>Yes</v>
      </c>
      <c r="R358" s="61" t="str">
        <f aca="false">IF(E358="","",IF(Q358="No","Duplicate of an earlier response",IF(L358="Not on SITES","Site not on SITES",IF(N(G358)&gt;N(F358),"Present is more than enrolled",IF(OR(I358&lt;1,I358&gt;5),"Score outside 1 to 5","")))))</f>
        <v/>
      </c>
    </row>
    <row r="359" customFormat="false" ht="15" hidden="false" customHeight="false" outlineLevel="0" collapsed="false">
      <c r="A359" s="52" t="n">
        <v>46031.7874884259</v>
      </c>
      <c r="B359" s="53" t="s">
        <v>121</v>
      </c>
      <c r="C359" s="53" t="s">
        <v>122</v>
      </c>
      <c r="D359" s="53" t="s">
        <v>116</v>
      </c>
      <c r="E359" s="54" t="n">
        <v>46028</v>
      </c>
      <c r="F359" s="55" t="n">
        <v>16</v>
      </c>
      <c r="G359" s="55" t="n">
        <v>12</v>
      </c>
      <c r="H359" s="55" t="n">
        <v>60</v>
      </c>
      <c r="I359" s="56" t="n">
        <v>3.6</v>
      </c>
      <c r="J359" s="53" t="s">
        <v>134</v>
      </c>
      <c r="K359" s="53"/>
      <c r="L359" s="57" t="str">
        <f aca="false">IF(C359="","",IFERROR(INDEX(site_ID,MATCH(C359,site_Name,0)),"Not on SITES"))</f>
        <v>LW-116</v>
      </c>
      <c r="M359" s="58" t="n">
        <f aca="false">IF(E359="","",DATE(YEAR(E359),MONTH(E359),1))</f>
        <v>46023</v>
      </c>
      <c r="N359" s="57" t="str">
        <f aca="false">IF(E359="","","FY"&amp;(YEAR(E359)+IF(AND(FYStart&gt;1,MONTH(E359)&gt;=FYStart),1,0))&amp;" Q"&amp;(INT(MOD(MONTH(E359)-FYStart,12)/3)+1))</f>
        <v>FY2026 Q3</v>
      </c>
      <c r="O359" s="59" t="n">
        <f aca="false">IF(OR(E359="",N(F359)=0),"",G359/F359)</f>
        <v>0.75</v>
      </c>
      <c r="P359" s="60" t="n">
        <f aca="false">IF(E359="","",ROUND(N(G359)*N(H359)/60,1))</f>
        <v>12</v>
      </c>
      <c r="Q359" s="57" t="str">
        <f aca="false">IF(E359="","",IF(COUNTIFS($C$2:C359,C359,$E$2:E359,E359,$B$2:B359,B359)&gt;1,"No","Yes"))</f>
        <v>Yes</v>
      </c>
      <c r="R359" s="61" t="str">
        <f aca="false">IF(E359="","",IF(Q359="No","Duplicate of an earlier response",IF(L359="Not on SITES","Site not on SITES",IF(N(G359)&gt;N(F359),"Present is more than enrolled",IF(OR(I359&lt;1,I359&gt;5),"Score outside 1 to 5","")))))</f>
        <v/>
      </c>
    </row>
    <row r="360" customFormat="false" ht="15" hidden="false" customHeight="false" outlineLevel="0" collapsed="false">
      <c r="A360" s="52" t="n">
        <v>46032.6316782407</v>
      </c>
      <c r="B360" s="53" t="s">
        <v>111</v>
      </c>
      <c r="C360" s="53" t="s">
        <v>148</v>
      </c>
      <c r="D360" s="53" t="s">
        <v>116</v>
      </c>
      <c r="E360" s="54" t="n">
        <v>46030</v>
      </c>
      <c r="F360" s="55" t="n">
        <v>16</v>
      </c>
      <c r="G360" s="55" t="n">
        <v>11</v>
      </c>
      <c r="H360" s="55" t="n">
        <v>75</v>
      </c>
      <c r="I360" s="56" t="n">
        <v>3.5</v>
      </c>
      <c r="J360" s="53" t="s">
        <v>117</v>
      </c>
      <c r="K360" s="53"/>
      <c r="L360" s="57" t="str">
        <f aca="false">IF(C360="","",IFERROR(INDEX(site_ID,MATCH(C360,site_Name,0)),"Not on SITES"))</f>
        <v>LW-104</v>
      </c>
      <c r="M360" s="58" t="n">
        <f aca="false">IF(E360="","",DATE(YEAR(E360),MONTH(E360),1))</f>
        <v>46023</v>
      </c>
      <c r="N360" s="57" t="str">
        <f aca="false">IF(E360="","","FY"&amp;(YEAR(E360)+IF(AND(FYStart&gt;1,MONTH(E360)&gt;=FYStart),1,0))&amp;" Q"&amp;(INT(MOD(MONTH(E360)-FYStart,12)/3)+1))</f>
        <v>FY2026 Q3</v>
      </c>
      <c r="O360" s="59" t="n">
        <f aca="false">IF(OR(E360="",N(F360)=0),"",G360/F360)</f>
        <v>0.6875</v>
      </c>
      <c r="P360" s="60" t="n">
        <f aca="false">IF(E360="","",ROUND(N(G360)*N(H360)/60,1))</f>
        <v>13.8</v>
      </c>
      <c r="Q360" s="57" t="str">
        <f aca="false">IF(E360="","",IF(COUNTIFS($C$2:C360,C360,$E$2:E360,E360,$B$2:B360,B360)&gt;1,"No","Yes"))</f>
        <v>Yes</v>
      </c>
      <c r="R360" s="61" t="str">
        <f aca="false">IF(E360="","",IF(Q360="No","Duplicate of an earlier response",IF(L360="Not on SITES","Site not on SITES",IF(N(G360)&gt;N(F360),"Present is more than enrolled",IF(OR(I360&lt;1,I360&gt;5),"Score outside 1 to 5","")))))</f>
        <v/>
      </c>
    </row>
    <row r="361" customFormat="false" ht="15" hidden="false" customHeight="false" outlineLevel="0" collapsed="false">
      <c r="A361" s="52" t="n">
        <v>46032.6343402778</v>
      </c>
      <c r="B361" s="53" t="s">
        <v>124</v>
      </c>
      <c r="C361" s="53" t="s">
        <v>154</v>
      </c>
      <c r="D361" s="53" t="s">
        <v>116</v>
      </c>
      <c r="E361" s="54" t="n">
        <v>46030</v>
      </c>
      <c r="F361" s="55" t="n">
        <v>18</v>
      </c>
      <c r="G361" s="55" t="n">
        <v>15</v>
      </c>
      <c r="H361" s="55" t="n">
        <v>75</v>
      </c>
      <c r="I361" s="56" t="n">
        <v>3.9</v>
      </c>
      <c r="J361" s="53" t="s">
        <v>160</v>
      </c>
      <c r="K361" s="53"/>
      <c r="L361" s="57" t="str">
        <f aca="false">IF(C361="","",IFERROR(INDEX(site_ID,MATCH(C361,site_Name,0)),"Not on SITES"))</f>
        <v>LW-114</v>
      </c>
      <c r="M361" s="58" t="n">
        <f aca="false">IF(E361="","",DATE(YEAR(E361),MONTH(E361),1))</f>
        <v>46023</v>
      </c>
      <c r="N361" s="57" t="str">
        <f aca="false">IF(E361="","","FY"&amp;(YEAR(E361)+IF(AND(FYStart&gt;1,MONTH(E361)&gt;=FYStart),1,0))&amp;" Q"&amp;(INT(MOD(MONTH(E361)-FYStart,12)/3)+1))</f>
        <v>FY2026 Q3</v>
      </c>
      <c r="O361" s="59" t="n">
        <f aca="false">IF(OR(E361="",N(F361)=0),"",G361/F361)</f>
        <v>0.833333333333333</v>
      </c>
      <c r="P361" s="60" t="n">
        <f aca="false">IF(E361="","",ROUND(N(G361)*N(H361)/60,1))</f>
        <v>18.8</v>
      </c>
      <c r="Q361" s="57" t="str">
        <f aca="false">IF(E361="","",IF(COUNTIFS($C$2:C361,C361,$E$2:E361,E361,$B$2:B361,B361)&gt;1,"No","Yes"))</f>
        <v>Yes</v>
      </c>
      <c r="R361" s="61" t="str">
        <f aca="false">IF(E361="","",IF(Q361="No","Duplicate of an earlier response",IF(L361="Not on SITES","Site not on SITES",IF(N(G361)&gt;N(F361),"Present is more than enrolled",IF(OR(I361&lt;1,I361&gt;5),"Score outside 1 to 5","")))))</f>
        <v/>
      </c>
    </row>
    <row r="362" customFormat="false" ht="15" hidden="false" customHeight="false" outlineLevel="0" collapsed="false">
      <c r="A362" s="52" t="n">
        <v>46033.7716550926</v>
      </c>
      <c r="B362" s="53" t="s">
        <v>132</v>
      </c>
      <c r="C362" s="53" t="s">
        <v>150</v>
      </c>
      <c r="D362" s="53" t="s">
        <v>138</v>
      </c>
      <c r="E362" s="54" t="n">
        <v>46030</v>
      </c>
      <c r="F362" s="55" t="n">
        <v>21</v>
      </c>
      <c r="G362" s="55" t="n">
        <v>17</v>
      </c>
      <c r="H362" s="55" t="n">
        <v>90</v>
      </c>
      <c r="I362" s="56" t="n">
        <v>3.6</v>
      </c>
      <c r="J362" s="53" t="s">
        <v>152</v>
      </c>
      <c r="K362" s="53"/>
      <c r="L362" s="57" t="str">
        <f aca="false">IF(C362="","",IFERROR(INDEX(site_ID,MATCH(C362,site_Name,0)),"Not on SITES"))</f>
        <v>LW-117</v>
      </c>
      <c r="M362" s="58" t="n">
        <f aca="false">IF(E362="","",DATE(YEAR(E362),MONTH(E362),1))</f>
        <v>46023</v>
      </c>
      <c r="N362" s="57" t="str">
        <f aca="false">IF(E362="","","FY"&amp;(YEAR(E362)+IF(AND(FYStart&gt;1,MONTH(E362)&gt;=FYStart),1,0))&amp;" Q"&amp;(INT(MOD(MONTH(E362)-FYStart,12)/3)+1))</f>
        <v>FY2026 Q3</v>
      </c>
      <c r="O362" s="59" t="n">
        <f aca="false">IF(OR(E362="",N(F362)=0),"",G362/F362)</f>
        <v>0.80952380952381</v>
      </c>
      <c r="P362" s="60" t="n">
        <f aca="false">IF(E362="","",ROUND(N(G362)*N(H362)/60,1))</f>
        <v>25.5</v>
      </c>
      <c r="Q362" s="57" t="str">
        <f aca="false">IF(E362="","",IF(COUNTIFS($C$2:C362,C362,$E$2:E362,E362,$B$2:B362,B362)&gt;1,"No","Yes"))</f>
        <v>Yes</v>
      </c>
      <c r="R362" s="61" t="str">
        <f aca="false">IF(E362="","",IF(Q362="No","Duplicate of an earlier response",IF(L362="Not on SITES","Site not on SITES",IF(N(G362)&gt;N(F362),"Present is more than enrolled",IF(OR(I362&lt;1,I362&gt;5),"Score outside 1 to 5","")))))</f>
        <v/>
      </c>
    </row>
    <row r="363" customFormat="false" ht="15" hidden="false" customHeight="false" outlineLevel="0" collapsed="false">
      <c r="A363" s="52" t="n">
        <v>46034.6547685185</v>
      </c>
      <c r="B363" s="53" t="s">
        <v>105</v>
      </c>
      <c r="C363" s="53" t="s">
        <v>106</v>
      </c>
      <c r="D363" s="53" t="s">
        <v>107</v>
      </c>
      <c r="E363" s="54" t="n">
        <v>46034</v>
      </c>
      <c r="F363" s="55" t="n">
        <v>16</v>
      </c>
      <c r="G363" s="55" t="n">
        <v>12</v>
      </c>
      <c r="H363" s="55" t="n">
        <v>60</v>
      </c>
      <c r="I363" s="56" t="n">
        <v>3.2</v>
      </c>
      <c r="J363" s="53" t="s">
        <v>128</v>
      </c>
      <c r="K363" s="53"/>
      <c r="L363" s="57" t="str">
        <f aca="false">IF(C363="","",IFERROR(INDEX(site_ID,MATCH(C363,site_Name,0)),"Not on SITES"))</f>
        <v>LW-103</v>
      </c>
      <c r="M363" s="58" t="n">
        <f aca="false">IF(E363="","",DATE(YEAR(E363),MONTH(E363),1))</f>
        <v>46023</v>
      </c>
      <c r="N363" s="57" t="str">
        <f aca="false">IF(E363="","","FY"&amp;(YEAR(E363)+IF(AND(FYStart&gt;1,MONTH(E363)&gt;=FYStart),1,0))&amp;" Q"&amp;(INT(MOD(MONTH(E363)-FYStart,12)/3)+1))</f>
        <v>FY2026 Q3</v>
      </c>
      <c r="O363" s="59" t="n">
        <f aca="false">IF(OR(E363="",N(F363)=0),"",G363/F363)</f>
        <v>0.75</v>
      </c>
      <c r="P363" s="60" t="n">
        <f aca="false">IF(E363="","",ROUND(N(G363)*N(H363)/60,1))</f>
        <v>12</v>
      </c>
      <c r="Q363" s="57" t="str">
        <f aca="false">IF(E363="","",IF(COUNTIFS($C$2:C363,C363,$E$2:E363,E363,$B$2:B363,B363)&gt;1,"No","Yes"))</f>
        <v>Yes</v>
      </c>
      <c r="R363" s="61" t="str">
        <f aca="false">IF(E363="","",IF(Q363="No","Duplicate of an earlier response",IF(L363="Not on SITES","Site not on SITES",IF(N(G363)&gt;N(F363),"Present is more than enrolled",IF(OR(I363&lt;1,I363&gt;5),"Score outside 1 to 5","")))))</f>
        <v/>
      </c>
    </row>
    <row r="364" customFormat="false" ht="15" hidden="false" customHeight="false" outlineLevel="0" collapsed="false">
      <c r="A364" s="52" t="n">
        <v>46034.7750115741</v>
      </c>
      <c r="B364" s="53" t="s">
        <v>111</v>
      </c>
      <c r="C364" s="53" t="s">
        <v>112</v>
      </c>
      <c r="D364" s="53" t="s">
        <v>113</v>
      </c>
      <c r="E364" s="54" t="n">
        <v>46034</v>
      </c>
      <c r="F364" s="55" t="n">
        <v>16</v>
      </c>
      <c r="G364" s="55" t="n">
        <v>14</v>
      </c>
      <c r="H364" s="55" t="n">
        <v>90</v>
      </c>
      <c r="I364" s="56" t="n">
        <v>4.1</v>
      </c>
      <c r="J364" s="53" t="s">
        <v>143</v>
      </c>
      <c r="K364" s="53"/>
      <c r="L364" s="57" t="str">
        <f aca="false">IF(C364="","",IFERROR(INDEX(site_ID,MATCH(C364,site_Name,0)),"Not on SITES"))</f>
        <v>LW-120</v>
      </c>
      <c r="M364" s="58" t="n">
        <f aca="false">IF(E364="","",DATE(YEAR(E364),MONTH(E364),1))</f>
        <v>46023</v>
      </c>
      <c r="N364" s="57" t="str">
        <f aca="false">IF(E364="","","FY"&amp;(YEAR(E364)+IF(AND(FYStart&gt;1,MONTH(E364)&gt;=FYStart),1,0))&amp;" Q"&amp;(INT(MOD(MONTH(E364)-FYStart,12)/3)+1))</f>
        <v>FY2026 Q3</v>
      </c>
      <c r="O364" s="59" t="n">
        <f aca="false">IF(OR(E364="",N(F364)=0),"",G364/F364)</f>
        <v>0.875</v>
      </c>
      <c r="P364" s="60" t="n">
        <f aca="false">IF(E364="","",ROUND(N(G364)*N(H364)/60,1))</f>
        <v>21</v>
      </c>
      <c r="Q364" s="57" t="str">
        <f aca="false">IF(E364="","",IF(COUNTIFS($C$2:C364,C364,$E$2:E364,E364,$B$2:B364,B364)&gt;1,"No","Yes"))</f>
        <v>Yes</v>
      </c>
      <c r="R364" s="61" t="str">
        <f aca="false">IF(E364="","",IF(Q364="No","Duplicate of an earlier response",IF(L364="Not on SITES","Site not on SITES",IF(N(G364)&gt;N(F364),"Present is more than enrolled",IF(OR(I364&lt;1,I364&gt;5),"Score outside 1 to 5","")))))</f>
        <v/>
      </c>
    </row>
    <row r="365" customFormat="false" ht="15" hidden="false" customHeight="false" outlineLevel="0" collapsed="false">
      <c r="A365" s="52" t="n">
        <v>46034.8047685185</v>
      </c>
      <c r="B365" s="53" t="s">
        <v>109</v>
      </c>
      <c r="C365" s="53" t="s">
        <v>110</v>
      </c>
      <c r="D365" s="53" t="s">
        <v>107</v>
      </c>
      <c r="E365" s="54" t="n">
        <v>46034</v>
      </c>
      <c r="F365" s="55" t="n">
        <v>21</v>
      </c>
      <c r="G365" s="55" t="n">
        <v>13</v>
      </c>
      <c r="H365" s="55" t="n">
        <v>90</v>
      </c>
      <c r="I365" s="56" t="n">
        <v>4</v>
      </c>
      <c r="J365" s="53" t="s">
        <v>166</v>
      </c>
      <c r="K365" s="53"/>
      <c r="L365" s="57" t="str">
        <f aca="false">IF(C365="","",IFERROR(INDEX(site_ID,MATCH(C365,site_Name,0)),"Not on SITES"))</f>
        <v>LW-113</v>
      </c>
      <c r="M365" s="58" t="n">
        <f aca="false">IF(E365="","",DATE(YEAR(E365),MONTH(E365),1))</f>
        <v>46023</v>
      </c>
      <c r="N365" s="57" t="str">
        <f aca="false">IF(E365="","","FY"&amp;(YEAR(E365)+IF(AND(FYStart&gt;1,MONTH(E365)&gt;=FYStart),1,0))&amp;" Q"&amp;(INT(MOD(MONTH(E365)-FYStart,12)/3)+1))</f>
        <v>FY2026 Q3</v>
      </c>
      <c r="O365" s="59" t="n">
        <f aca="false">IF(OR(E365="",N(F365)=0),"",G365/F365)</f>
        <v>0.619047619047619</v>
      </c>
      <c r="P365" s="60" t="n">
        <f aca="false">IF(E365="","",ROUND(N(G365)*N(H365)/60,1))</f>
        <v>19.5</v>
      </c>
      <c r="Q365" s="57" t="str">
        <f aca="false">IF(E365="","",IF(COUNTIFS($C$2:C365,C365,$E$2:E365,E365,$B$2:B365,B365)&gt;1,"No","Yes"))</f>
        <v>Yes</v>
      </c>
      <c r="R365" s="61" t="str">
        <f aca="false">IF(E365="","",IF(Q365="No","Duplicate of an earlier response",IF(L365="Not on SITES","Site not on SITES",IF(N(G365)&gt;N(F365),"Present is more than enrolled",IF(OR(I365&lt;1,I365&gt;5),"Score outside 1 to 5","")))))</f>
        <v/>
      </c>
    </row>
    <row r="366" customFormat="false" ht="15" hidden="false" customHeight="false" outlineLevel="0" collapsed="false">
      <c r="A366" s="52" t="n">
        <v>46035.7102314815</v>
      </c>
      <c r="B366" s="53" t="s">
        <v>105</v>
      </c>
      <c r="C366" s="53" t="s">
        <v>118</v>
      </c>
      <c r="D366" s="53" t="s">
        <v>119</v>
      </c>
      <c r="E366" s="54" t="n">
        <v>46034</v>
      </c>
      <c r="F366" s="55" t="n">
        <v>22</v>
      </c>
      <c r="G366" s="55" t="n">
        <v>19</v>
      </c>
      <c r="H366" s="55" t="n">
        <v>60</v>
      </c>
      <c r="I366" s="56" t="n">
        <v>3.2</v>
      </c>
      <c r="J366" s="53" t="s">
        <v>162</v>
      </c>
      <c r="K366" s="53"/>
      <c r="L366" s="57" t="str">
        <f aca="false">IF(C366="","",IFERROR(INDEX(site_ID,MATCH(C366,site_Name,0)),"Not on SITES"))</f>
        <v>LW-111</v>
      </c>
      <c r="M366" s="58" t="n">
        <f aca="false">IF(E366="","",DATE(YEAR(E366),MONTH(E366),1))</f>
        <v>46023</v>
      </c>
      <c r="N366" s="57" t="str">
        <f aca="false">IF(E366="","","FY"&amp;(YEAR(E366)+IF(AND(FYStart&gt;1,MONTH(E366)&gt;=FYStart),1,0))&amp;" Q"&amp;(INT(MOD(MONTH(E366)-FYStart,12)/3)+1))</f>
        <v>FY2026 Q3</v>
      </c>
      <c r="O366" s="59" t="n">
        <f aca="false">IF(OR(E366="",N(F366)=0),"",G366/F366)</f>
        <v>0.863636363636364</v>
      </c>
      <c r="P366" s="60" t="n">
        <f aca="false">IF(E366="","",ROUND(N(G366)*N(H366)/60,1))</f>
        <v>19</v>
      </c>
      <c r="Q366" s="57" t="str">
        <f aca="false">IF(E366="","",IF(COUNTIFS($C$2:C366,C366,$E$2:E366,E366,$B$2:B366,B366)&gt;1,"No","Yes"))</f>
        <v>Yes</v>
      </c>
      <c r="R366" s="61" t="str">
        <f aca="false">IF(E366="","",IF(Q366="No","Duplicate of an earlier response",IF(L366="Not on SITES","Site not on SITES",IF(N(G366)&gt;N(F366),"Present is more than enrolled",IF(OR(I366&lt;1,I366&gt;5),"Score outside 1 to 5","")))))</f>
        <v/>
      </c>
    </row>
    <row r="367" customFormat="false" ht="15" hidden="false" customHeight="false" outlineLevel="0" collapsed="false">
      <c r="A367" s="52" t="n">
        <v>46035.7510185185</v>
      </c>
      <c r="B367" s="53" t="s">
        <v>121</v>
      </c>
      <c r="C367" s="53" t="s">
        <v>127</v>
      </c>
      <c r="D367" s="53" t="s">
        <v>107</v>
      </c>
      <c r="E367" s="54" t="n">
        <v>46035</v>
      </c>
      <c r="F367" s="55" t="n">
        <v>16</v>
      </c>
      <c r="G367" s="55" t="n">
        <v>14</v>
      </c>
      <c r="H367" s="55" t="n">
        <v>60</v>
      </c>
      <c r="I367" s="56" t="n">
        <v>4.4</v>
      </c>
      <c r="J367" s="53" t="s">
        <v>128</v>
      </c>
      <c r="K367" s="53"/>
      <c r="L367" s="57" t="str">
        <f aca="false">IF(C367="","",IFERROR(INDEX(site_ID,MATCH(C367,site_Name,0)),"Not on SITES"))</f>
        <v>LW-108</v>
      </c>
      <c r="M367" s="58" t="n">
        <f aca="false">IF(E367="","",DATE(YEAR(E367),MONTH(E367),1))</f>
        <v>46023</v>
      </c>
      <c r="N367" s="57" t="str">
        <f aca="false">IF(E367="","","FY"&amp;(YEAR(E367)+IF(AND(FYStart&gt;1,MONTH(E367)&gt;=FYStart),1,0))&amp;" Q"&amp;(INT(MOD(MONTH(E367)-FYStart,12)/3)+1))</f>
        <v>FY2026 Q3</v>
      </c>
      <c r="O367" s="59" t="n">
        <f aca="false">IF(OR(E367="",N(F367)=0),"",G367/F367)</f>
        <v>0.875</v>
      </c>
      <c r="P367" s="60" t="n">
        <f aca="false">IF(E367="","",ROUND(N(G367)*N(H367)/60,1))</f>
        <v>14</v>
      </c>
      <c r="Q367" s="57" t="str">
        <f aca="false">IF(E367="","",IF(COUNTIFS($C$2:C367,C367,$E$2:E367,E367,$B$2:B367,B367)&gt;1,"No","Yes"))</f>
        <v>Yes</v>
      </c>
      <c r="R367" s="61" t="str">
        <f aca="false">IF(E367="","",IF(Q367="No","Duplicate of an earlier response",IF(L367="Not on SITES","Site not on SITES",IF(N(G367)&gt;N(F367),"Present is more than enrolled",IF(OR(I367&lt;1,I367&gt;5),"Score outside 1 to 5","")))))</f>
        <v/>
      </c>
    </row>
    <row r="368" customFormat="false" ht="15" hidden="false" customHeight="false" outlineLevel="0" collapsed="false">
      <c r="A368" s="52" t="n">
        <v>46035.763587963</v>
      </c>
      <c r="B368" s="53" t="s">
        <v>132</v>
      </c>
      <c r="C368" s="53" t="s">
        <v>133</v>
      </c>
      <c r="D368" s="53" t="s">
        <v>116</v>
      </c>
      <c r="E368" s="54" t="n">
        <v>46035</v>
      </c>
      <c r="F368" s="55" t="n">
        <v>17</v>
      </c>
      <c r="G368" s="55" t="n">
        <v>14</v>
      </c>
      <c r="H368" s="55" t="n">
        <v>60</v>
      </c>
      <c r="I368" s="56" t="n">
        <v>3.5</v>
      </c>
      <c r="J368" s="53" t="s">
        <v>134</v>
      </c>
      <c r="K368" s="53"/>
      <c r="L368" s="57" t="str">
        <f aca="false">IF(C368="","",IFERROR(INDEX(site_ID,MATCH(C368,site_Name,0)),"Not on SITES"))</f>
        <v>LW-109</v>
      </c>
      <c r="M368" s="58" t="n">
        <f aca="false">IF(E368="","",DATE(YEAR(E368),MONTH(E368),1))</f>
        <v>46023</v>
      </c>
      <c r="N368" s="57" t="str">
        <f aca="false">IF(E368="","","FY"&amp;(YEAR(E368)+IF(AND(FYStart&gt;1,MONTH(E368)&gt;=FYStart),1,0))&amp;" Q"&amp;(INT(MOD(MONTH(E368)-FYStart,12)/3)+1))</f>
        <v>FY2026 Q3</v>
      </c>
      <c r="O368" s="59" t="n">
        <f aca="false">IF(OR(E368="",N(F368)=0),"",G368/F368)</f>
        <v>0.823529411764706</v>
      </c>
      <c r="P368" s="60" t="n">
        <f aca="false">IF(E368="","",ROUND(N(G368)*N(H368)/60,1))</f>
        <v>14</v>
      </c>
      <c r="Q368" s="57" t="str">
        <f aca="false">IF(E368="","",IF(COUNTIFS($C$2:C368,C368,$E$2:E368,E368,$B$2:B368,B368)&gt;1,"No","Yes"))</f>
        <v>Yes</v>
      </c>
      <c r="R368" s="61" t="str">
        <f aca="false">IF(E368="","",IF(Q368="No","Duplicate of an earlier response",IF(L368="Not on SITES","Site not on SITES",IF(N(G368)&gt;N(F368),"Present is more than enrolled",IF(OR(I368&lt;1,I368&gt;5),"Score outside 1 to 5","")))))</f>
        <v/>
      </c>
    </row>
    <row r="369" customFormat="false" ht="15" hidden="false" customHeight="false" outlineLevel="0" collapsed="false">
      <c r="A369" s="52" t="n">
        <v>46035.8495601852</v>
      </c>
      <c r="B369" s="53" t="s">
        <v>121</v>
      </c>
      <c r="C369" s="53" t="s">
        <v>130</v>
      </c>
      <c r="D369" s="53" t="s">
        <v>113</v>
      </c>
      <c r="E369" s="54" t="n">
        <v>46035</v>
      </c>
      <c r="F369" s="55" t="n">
        <v>16</v>
      </c>
      <c r="G369" s="55" t="n">
        <v>12</v>
      </c>
      <c r="H369" s="55" t="n">
        <v>60</v>
      </c>
      <c r="I369" s="56" t="n">
        <v>3.5</v>
      </c>
      <c r="J369" s="53" t="s">
        <v>114</v>
      </c>
      <c r="K369" s="53"/>
      <c r="L369" s="57" t="str">
        <f aca="false">IF(C369="","",IFERROR(INDEX(site_ID,MATCH(C369,site_Name,0)),"Not on SITES"))</f>
        <v>LW-107</v>
      </c>
      <c r="M369" s="58" t="n">
        <f aca="false">IF(E369="","",DATE(YEAR(E369),MONTH(E369),1))</f>
        <v>46023</v>
      </c>
      <c r="N369" s="57" t="str">
        <f aca="false">IF(E369="","","FY"&amp;(YEAR(E369)+IF(AND(FYStart&gt;1,MONTH(E369)&gt;=FYStart),1,0))&amp;" Q"&amp;(INT(MOD(MONTH(E369)-FYStart,12)/3)+1))</f>
        <v>FY2026 Q3</v>
      </c>
      <c r="O369" s="59" t="n">
        <f aca="false">IF(OR(E369="",N(F369)=0),"",G369/F369)</f>
        <v>0.75</v>
      </c>
      <c r="P369" s="60" t="n">
        <f aca="false">IF(E369="","",ROUND(N(G369)*N(H369)/60,1))</f>
        <v>12</v>
      </c>
      <c r="Q369" s="57" t="str">
        <f aca="false">IF(E369="","",IF(COUNTIFS($C$2:C369,C369,$E$2:E369,E369,$B$2:B369,B369)&gt;1,"No","Yes"))</f>
        <v>Yes</v>
      </c>
      <c r="R369" s="61" t="str">
        <f aca="false">IF(E369="","",IF(Q369="No","Duplicate of an earlier response",IF(L369="Not on SITES","Site not on SITES",IF(N(G369)&gt;N(F369),"Present is more than enrolled",IF(OR(I369&lt;1,I369&gt;5),"Score outside 1 to 5","")))))</f>
        <v/>
      </c>
    </row>
    <row r="370" customFormat="false" ht="15" hidden="false" customHeight="false" outlineLevel="0" collapsed="false">
      <c r="A370" s="52" t="n">
        <v>46036.6810532407</v>
      </c>
      <c r="B370" s="53" t="s">
        <v>140</v>
      </c>
      <c r="C370" s="53" t="s">
        <v>142</v>
      </c>
      <c r="D370" s="53" t="s">
        <v>113</v>
      </c>
      <c r="E370" s="54" t="n">
        <v>46036</v>
      </c>
      <c r="F370" s="55" t="n">
        <v>18</v>
      </c>
      <c r="G370" s="55" t="n">
        <v>15</v>
      </c>
      <c r="H370" s="55" t="n">
        <v>75</v>
      </c>
      <c r="I370" s="56" t="n">
        <v>3.6</v>
      </c>
      <c r="J370" s="53" t="s">
        <v>114</v>
      </c>
      <c r="K370" s="53"/>
      <c r="L370" s="57" t="str">
        <f aca="false">IF(C370="","",IFERROR(INDEX(site_ID,MATCH(C370,site_Name,0)),"Not on SITES"))</f>
        <v>LW-102</v>
      </c>
      <c r="M370" s="58" t="n">
        <f aca="false">IF(E370="","",DATE(YEAR(E370),MONTH(E370),1))</f>
        <v>46023</v>
      </c>
      <c r="N370" s="57" t="str">
        <f aca="false">IF(E370="","","FY"&amp;(YEAR(E370)+IF(AND(FYStart&gt;1,MONTH(E370)&gt;=FYStart),1,0))&amp;" Q"&amp;(INT(MOD(MONTH(E370)-FYStart,12)/3)+1))</f>
        <v>FY2026 Q3</v>
      </c>
      <c r="O370" s="59" t="n">
        <f aca="false">IF(OR(E370="",N(F370)=0),"",G370/F370)</f>
        <v>0.833333333333333</v>
      </c>
      <c r="P370" s="60" t="n">
        <f aca="false">IF(E370="","",ROUND(N(G370)*N(H370)/60,1))</f>
        <v>18.8</v>
      </c>
      <c r="Q370" s="57" t="str">
        <f aca="false">IF(E370="","",IF(COUNTIFS($C$2:C370,C370,$E$2:E370,E370,$B$2:B370,B370)&gt;1,"No","Yes"))</f>
        <v>Yes</v>
      </c>
      <c r="R370" s="61" t="str">
        <f aca="false">IF(E370="","",IF(Q370="No","Duplicate of an earlier response",IF(L370="Not on SITES","Site not on SITES",IF(N(G370)&gt;N(F370),"Present is more than enrolled",IF(OR(I370&lt;1,I370&gt;5),"Score outside 1 to 5","")))))</f>
        <v/>
      </c>
    </row>
    <row r="371" customFormat="false" ht="15" hidden="false" customHeight="false" outlineLevel="0" collapsed="false">
      <c r="A371" s="52" t="n">
        <v>46036.7333680556</v>
      </c>
      <c r="B371" s="53" t="s">
        <v>129</v>
      </c>
      <c r="C371" s="53" t="s">
        <v>137</v>
      </c>
      <c r="D371" s="53" t="s">
        <v>138</v>
      </c>
      <c r="E371" s="54" t="n">
        <v>46036</v>
      </c>
      <c r="F371" s="55" t="n">
        <v>19</v>
      </c>
      <c r="G371" s="55" t="n">
        <v>17</v>
      </c>
      <c r="H371" s="55" t="n">
        <v>90</v>
      </c>
      <c r="I371" s="56" t="n">
        <v>3.6</v>
      </c>
      <c r="J371" s="53" t="s">
        <v>147</v>
      </c>
      <c r="K371" s="53"/>
      <c r="L371" s="57" t="str">
        <f aca="false">IF(C371="","",IFERROR(INDEX(site_ID,MATCH(C371,site_Name,0)),"Not on SITES"))</f>
        <v>LW-115</v>
      </c>
      <c r="M371" s="58" t="n">
        <f aca="false">IF(E371="","",DATE(YEAR(E371),MONTH(E371),1))</f>
        <v>46023</v>
      </c>
      <c r="N371" s="57" t="str">
        <f aca="false">IF(E371="","","FY"&amp;(YEAR(E371)+IF(AND(FYStart&gt;1,MONTH(E371)&gt;=FYStart),1,0))&amp;" Q"&amp;(INT(MOD(MONTH(E371)-FYStart,12)/3)+1))</f>
        <v>FY2026 Q3</v>
      </c>
      <c r="O371" s="59" t="n">
        <f aca="false">IF(OR(E371="",N(F371)=0),"",G371/F371)</f>
        <v>0.894736842105263</v>
      </c>
      <c r="P371" s="60" t="n">
        <f aca="false">IF(E371="","",ROUND(N(G371)*N(H371)/60,1))</f>
        <v>25.5</v>
      </c>
      <c r="Q371" s="57" t="str">
        <f aca="false">IF(E371="","",IF(COUNTIFS($C$2:C371,C371,$E$2:E371,E371,$B$2:B371,B371)&gt;1,"No","Yes"))</f>
        <v>Yes</v>
      </c>
      <c r="R371" s="61" t="str">
        <f aca="false">IF(E371="","",IF(Q371="No","Duplicate of an earlier response",IF(L371="Not on SITES","Site not on SITES",IF(N(G371)&gt;N(F371),"Present is more than enrolled",IF(OR(I371&lt;1,I371&gt;5),"Score outside 1 to 5","")))))</f>
        <v/>
      </c>
    </row>
    <row r="372" customFormat="false" ht="15" hidden="false" customHeight="false" outlineLevel="0" collapsed="false">
      <c r="A372" s="52" t="n">
        <v>46036.767037037</v>
      </c>
      <c r="B372" s="53" t="s">
        <v>111</v>
      </c>
      <c r="C372" s="53" t="s">
        <v>112</v>
      </c>
      <c r="D372" s="53" t="s">
        <v>113</v>
      </c>
      <c r="E372" s="54" t="n">
        <v>46036</v>
      </c>
      <c r="F372" s="55" t="n">
        <v>16</v>
      </c>
      <c r="G372" s="55" t="n">
        <v>14</v>
      </c>
      <c r="H372" s="55" t="n">
        <v>60</v>
      </c>
      <c r="I372" s="56" t="n">
        <v>3.8</v>
      </c>
      <c r="J372" s="53" t="s">
        <v>114</v>
      </c>
      <c r="K372" s="53"/>
      <c r="L372" s="57" t="str">
        <f aca="false">IF(C372="","",IFERROR(INDEX(site_ID,MATCH(C372,site_Name,0)),"Not on SITES"))</f>
        <v>LW-120</v>
      </c>
      <c r="M372" s="58" t="n">
        <f aca="false">IF(E372="","",DATE(YEAR(E372),MONTH(E372),1))</f>
        <v>46023</v>
      </c>
      <c r="N372" s="57" t="str">
        <f aca="false">IF(E372="","","FY"&amp;(YEAR(E372)+IF(AND(FYStart&gt;1,MONTH(E372)&gt;=FYStart),1,0))&amp;" Q"&amp;(INT(MOD(MONTH(E372)-FYStart,12)/3)+1))</f>
        <v>FY2026 Q3</v>
      </c>
      <c r="O372" s="59" t="n">
        <f aca="false">IF(OR(E372="",N(F372)=0),"",G372/F372)</f>
        <v>0.875</v>
      </c>
      <c r="P372" s="60" t="n">
        <f aca="false">IF(E372="","",ROUND(N(G372)*N(H372)/60,1))</f>
        <v>14</v>
      </c>
      <c r="Q372" s="57" t="str">
        <f aca="false">IF(E372="","",IF(COUNTIFS($C$2:C372,C372,$E$2:E372,E372,$B$2:B372,B372)&gt;1,"No","Yes"))</f>
        <v>Yes</v>
      </c>
      <c r="R372" s="61" t="str">
        <f aca="false">IF(E372="","",IF(Q372="No","Duplicate of an earlier response",IF(L372="Not on SITES","Site not on SITES",IF(N(G372)&gt;N(F372),"Present is more than enrolled",IF(OR(I372&lt;1,I372&gt;5),"Score outside 1 to 5","")))))</f>
        <v/>
      </c>
    </row>
    <row r="373" customFormat="false" ht="15" hidden="false" customHeight="false" outlineLevel="0" collapsed="false">
      <c r="A373" s="52" t="n">
        <v>46036.7827662037</v>
      </c>
      <c r="B373" s="53" t="s">
        <v>124</v>
      </c>
      <c r="C373" s="53" t="s">
        <v>125</v>
      </c>
      <c r="D373" s="53" t="s">
        <v>119</v>
      </c>
      <c r="E373" s="54" t="n">
        <v>46035</v>
      </c>
      <c r="F373" s="55" t="n">
        <v>18</v>
      </c>
      <c r="G373" s="55" t="n">
        <v>17</v>
      </c>
      <c r="H373" s="55" t="n">
        <v>90</v>
      </c>
      <c r="I373" s="56" t="n">
        <v>3.6</v>
      </c>
      <c r="J373" s="53" t="s">
        <v>120</v>
      </c>
      <c r="K373" s="53"/>
      <c r="L373" s="57" t="str">
        <f aca="false">IF(C373="","",IFERROR(INDEX(site_ID,MATCH(C373,site_Name,0)),"Not on SITES"))</f>
        <v>LW-106</v>
      </c>
      <c r="M373" s="58" t="n">
        <f aca="false">IF(E373="","",DATE(YEAR(E373),MONTH(E373),1))</f>
        <v>46023</v>
      </c>
      <c r="N373" s="57" t="str">
        <f aca="false">IF(E373="","","FY"&amp;(YEAR(E373)+IF(AND(FYStart&gt;1,MONTH(E373)&gt;=FYStart),1,0))&amp;" Q"&amp;(INT(MOD(MONTH(E373)-FYStart,12)/3)+1))</f>
        <v>FY2026 Q3</v>
      </c>
      <c r="O373" s="59" t="n">
        <f aca="false">IF(OR(E373="",N(F373)=0),"",G373/F373)</f>
        <v>0.944444444444444</v>
      </c>
      <c r="P373" s="60" t="n">
        <f aca="false">IF(E373="","",ROUND(N(G373)*N(H373)/60,1))</f>
        <v>25.5</v>
      </c>
      <c r="Q373" s="57" t="str">
        <f aca="false">IF(E373="","",IF(COUNTIFS($C$2:C373,C373,$E$2:E373,E373,$B$2:B373,B373)&gt;1,"No","Yes"))</f>
        <v>Yes</v>
      </c>
      <c r="R373" s="61" t="str">
        <f aca="false">IF(E373="","",IF(Q373="No","Duplicate of an earlier response",IF(L373="Not on SITES","Site not on SITES",IF(N(G373)&gt;N(F373),"Present is more than enrolled",IF(OR(I373&lt;1,I373&gt;5),"Score outside 1 to 5","")))))</f>
        <v/>
      </c>
    </row>
    <row r="374" customFormat="false" ht="15" hidden="false" customHeight="false" outlineLevel="0" collapsed="false">
      <c r="A374" s="52" t="n">
        <v>46036.7851736111</v>
      </c>
      <c r="B374" s="53" t="s">
        <v>132</v>
      </c>
      <c r="C374" s="53" t="s">
        <v>145</v>
      </c>
      <c r="D374" s="53" t="s">
        <v>119</v>
      </c>
      <c r="E374" s="54" t="n">
        <v>46036</v>
      </c>
      <c r="F374" s="55" t="n">
        <v>19</v>
      </c>
      <c r="G374" s="55" t="n">
        <v>17</v>
      </c>
      <c r="H374" s="55" t="n">
        <v>60</v>
      </c>
      <c r="I374" s="56" t="n">
        <v>3.7</v>
      </c>
      <c r="J374" s="53" t="s">
        <v>126</v>
      </c>
      <c r="K374" s="53"/>
      <c r="L374" s="57" t="str">
        <f aca="false">IF(C374="","",IFERROR(INDEX(site_ID,MATCH(C374,site_Name,0)),"Not on SITES"))</f>
        <v>LW-101</v>
      </c>
      <c r="M374" s="58" t="n">
        <f aca="false">IF(E374="","",DATE(YEAR(E374),MONTH(E374),1))</f>
        <v>46023</v>
      </c>
      <c r="N374" s="57" t="str">
        <f aca="false">IF(E374="","","FY"&amp;(YEAR(E374)+IF(AND(FYStart&gt;1,MONTH(E374)&gt;=FYStart),1,0))&amp;" Q"&amp;(INT(MOD(MONTH(E374)-FYStart,12)/3)+1))</f>
        <v>FY2026 Q3</v>
      </c>
      <c r="O374" s="59" t="n">
        <f aca="false">IF(OR(E374="",N(F374)=0),"",G374/F374)</f>
        <v>0.894736842105263</v>
      </c>
      <c r="P374" s="60" t="n">
        <f aca="false">IF(E374="","",ROUND(N(G374)*N(H374)/60,1))</f>
        <v>17</v>
      </c>
      <c r="Q374" s="57" t="str">
        <f aca="false">IF(E374="","",IF(COUNTIFS($C$2:C374,C374,$E$2:E374,E374,$B$2:B374,B374)&gt;1,"No","Yes"))</f>
        <v>Yes</v>
      </c>
      <c r="R374" s="61" t="str">
        <f aca="false">IF(E374="","",IF(Q374="No","Duplicate of an earlier response",IF(L374="Not on SITES","Site not on SITES",IF(N(G374)&gt;N(F374),"Present is more than enrolled",IF(OR(I374&lt;1,I374&gt;5),"Score outside 1 to 5","")))))</f>
        <v/>
      </c>
    </row>
    <row r="375" customFormat="false" ht="15" hidden="false" customHeight="false" outlineLevel="0" collapsed="false">
      <c r="A375" s="52" t="n">
        <v>46036.8117592593</v>
      </c>
      <c r="B375" s="53" t="s">
        <v>105</v>
      </c>
      <c r="C375" s="53" t="s">
        <v>118</v>
      </c>
      <c r="D375" s="53" t="s">
        <v>119</v>
      </c>
      <c r="E375" s="54" t="n">
        <v>46036</v>
      </c>
      <c r="F375" s="55" t="n">
        <v>22</v>
      </c>
      <c r="G375" s="55" t="n">
        <v>14</v>
      </c>
      <c r="H375" s="55" t="n">
        <v>90</v>
      </c>
      <c r="I375" s="56" t="n">
        <v>3.7</v>
      </c>
      <c r="J375" s="53" t="s">
        <v>126</v>
      </c>
      <c r="K375" s="53"/>
      <c r="L375" s="57" t="str">
        <f aca="false">IF(C375="","",IFERROR(INDEX(site_ID,MATCH(C375,site_Name,0)),"Not on SITES"))</f>
        <v>LW-111</v>
      </c>
      <c r="M375" s="58" t="n">
        <f aca="false">IF(E375="","",DATE(YEAR(E375),MONTH(E375),1))</f>
        <v>46023</v>
      </c>
      <c r="N375" s="57" t="str">
        <f aca="false">IF(E375="","","FY"&amp;(YEAR(E375)+IF(AND(FYStart&gt;1,MONTH(E375)&gt;=FYStart),1,0))&amp;" Q"&amp;(INT(MOD(MONTH(E375)-FYStart,12)/3)+1))</f>
        <v>FY2026 Q3</v>
      </c>
      <c r="O375" s="59" t="n">
        <f aca="false">IF(OR(E375="",N(F375)=0),"",G375/F375)</f>
        <v>0.636363636363636</v>
      </c>
      <c r="P375" s="60" t="n">
        <f aca="false">IF(E375="","",ROUND(N(G375)*N(H375)/60,1))</f>
        <v>21</v>
      </c>
      <c r="Q375" s="57" t="str">
        <f aca="false">IF(E375="","",IF(COUNTIFS($C$2:C375,C375,$E$2:E375,E375,$B$2:B375,B375)&gt;1,"No","Yes"))</f>
        <v>Yes</v>
      </c>
      <c r="R375" s="61" t="str">
        <f aca="false">IF(E375="","",IF(Q375="No","Duplicate of an earlier response",IF(L375="Not on SITES","Site not on SITES",IF(N(G375)&gt;N(F375),"Present is more than enrolled",IF(OR(I375&lt;1,I375&gt;5),"Score outside 1 to 5","")))))</f>
        <v/>
      </c>
    </row>
    <row r="376" customFormat="false" ht="15" hidden="false" customHeight="false" outlineLevel="0" collapsed="false">
      <c r="A376" s="52" t="n">
        <v>46036.8125347222</v>
      </c>
      <c r="B376" s="53" t="s">
        <v>140</v>
      </c>
      <c r="C376" s="53" t="s">
        <v>141</v>
      </c>
      <c r="D376" s="53" t="s">
        <v>116</v>
      </c>
      <c r="E376" s="54" t="n">
        <v>46036</v>
      </c>
      <c r="F376" s="55" t="n">
        <v>13</v>
      </c>
      <c r="G376" s="55" t="n">
        <v>10</v>
      </c>
      <c r="H376" s="55" t="n">
        <v>75</v>
      </c>
      <c r="I376" s="56" t="n">
        <v>3.8</v>
      </c>
      <c r="J376" s="53" t="s">
        <v>160</v>
      </c>
      <c r="K376" s="53" t="s">
        <v>158</v>
      </c>
      <c r="L376" s="57" t="str">
        <f aca="false">IF(C376="","",IFERROR(INDEX(site_ID,MATCH(C376,site_Name,0)),"Not on SITES"))</f>
        <v>LW-118</v>
      </c>
      <c r="M376" s="58" t="n">
        <f aca="false">IF(E376="","",DATE(YEAR(E376),MONTH(E376),1))</f>
        <v>46023</v>
      </c>
      <c r="N376" s="57" t="str">
        <f aca="false">IF(E376="","","FY"&amp;(YEAR(E376)+IF(AND(FYStart&gt;1,MONTH(E376)&gt;=FYStart),1,0))&amp;" Q"&amp;(INT(MOD(MONTH(E376)-FYStart,12)/3)+1))</f>
        <v>FY2026 Q3</v>
      </c>
      <c r="O376" s="59" t="n">
        <f aca="false">IF(OR(E376="",N(F376)=0),"",G376/F376)</f>
        <v>0.769230769230769</v>
      </c>
      <c r="P376" s="60" t="n">
        <f aca="false">IF(E376="","",ROUND(N(G376)*N(H376)/60,1))</f>
        <v>12.5</v>
      </c>
      <c r="Q376" s="57" t="str">
        <f aca="false">IF(E376="","",IF(COUNTIFS($C$2:C376,C376,$E$2:E376,E376,$B$2:B376,B376)&gt;1,"No","Yes"))</f>
        <v>Yes</v>
      </c>
      <c r="R376" s="61" t="str">
        <f aca="false">IF(E376="","",IF(Q376="No","Duplicate of an earlier response",IF(L376="Not on SITES","Site not on SITES",IF(N(G376)&gt;N(F376),"Present is more than enrolled",IF(OR(I376&lt;1,I376&gt;5),"Score outside 1 to 5","")))))</f>
        <v/>
      </c>
    </row>
    <row r="377" customFormat="false" ht="15" hidden="false" customHeight="false" outlineLevel="0" collapsed="false">
      <c r="A377" s="52" t="n">
        <v>46037.6596296296</v>
      </c>
      <c r="B377" s="53" t="s">
        <v>111</v>
      </c>
      <c r="C377" s="53" t="s">
        <v>149</v>
      </c>
      <c r="D377" s="53" t="s">
        <v>113</v>
      </c>
      <c r="E377" s="54" t="n">
        <v>46037</v>
      </c>
      <c r="F377" s="55" t="n">
        <v>21</v>
      </c>
      <c r="G377" s="55" t="n">
        <v>17</v>
      </c>
      <c r="H377" s="55" t="n">
        <v>60</v>
      </c>
      <c r="I377" s="56" t="n">
        <v>3.7</v>
      </c>
      <c r="J377" s="53" t="s">
        <v>165</v>
      </c>
      <c r="K377" s="53"/>
      <c r="L377" s="57" t="str">
        <f aca="false">IF(C377="","",IFERROR(INDEX(site_ID,MATCH(C377,site_Name,0)),"Not on SITES"))</f>
        <v>LW-112</v>
      </c>
      <c r="M377" s="58" t="n">
        <f aca="false">IF(E377="","",DATE(YEAR(E377),MONTH(E377),1))</f>
        <v>46023</v>
      </c>
      <c r="N377" s="57" t="str">
        <f aca="false">IF(E377="","","FY"&amp;(YEAR(E377)+IF(AND(FYStart&gt;1,MONTH(E377)&gt;=FYStart),1,0))&amp;" Q"&amp;(INT(MOD(MONTH(E377)-FYStart,12)/3)+1))</f>
        <v>FY2026 Q3</v>
      </c>
      <c r="O377" s="59" t="n">
        <f aca="false">IF(OR(E377="",N(F377)=0),"",G377/F377)</f>
        <v>0.80952380952381</v>
      </c>
      <c r="P377" s="60" t="n">
        <f aca="false">IF(E377="","",ROUND(N(G377)*N(H377)/60,1))</f>
        <v>17</v>
      </c>
      <c r="Q377" s="57" t="str">
        <f aca="false">IF(E377="","",IF(COUNTIFS($C$2:C377,C377,$E$2:E377,E377,$B$2:B377,B377)&gt;1,"No","Yes"))</f>
        <v>Yes</v>
      </c>
      <c r="R377" s="61" t="str">
        <f aca="false">IF(E377="","",IF(Q377="No","Duplicate of an earlier response",IF(L377="Not on SITES","Site not on SITES",IF(N(G377)&gt;N(F377),"Present is more than enrolled",IF(OR(I377&lt;1,I377&gt;5),"Score outside 1 to 5","")))))</f>
        <v/>
      </c>
    </row>
    <row r="378" customFormat="false" ht="15" hidden="false" customHeight="false" outlineLevel="0" collapsed="false">
      <c r="A378" s="52" t="n">
        <v>46037.6695486111</v>
      </c>
      <c r="B378" s="53" t="s">
        <v>105</v>
      </c>
      <c r="C378" s="53" t="s">
        <v>115</v>
      </c>
      <c r="D378" s="53" t="s">
        <v>116</v>
      </c>
      <c r="E378" s="54" t="n">
        <v>46034</v>
      </c>
      <c r="F378" s="55" t="n">
        <v>16</v>
      </c>
      <c r="G378" s="55" t="n">
        <v>14</v>
      </c>
      <c r="H378" s="55" t="n">
        <v>90</v>
      </c>
      <c r="I378" s="56" t="n">
        <v>3.7</v>
      </c>
      <c r="J378" s="53" t="s">
        <v>160</v>
      </c>
      <c r="K378" s="53"/>
      <c r="L378" s="57" t="str">
        <f aca="false">IF(C378="","",IFERROR(INDEX(site_ID,MATCH(C378,site_Name,0)),"Not on SITES"))</f>
        <v>LW-119</v>
      </c>
      <c r="M378" s="58" t="n">
        <f aca="false">IF(E378="","",DATE(YEAR(E378),MONTH(E378),1))</f>
        <v>46023</v>
      </c>
      <c r="N378" s="57" t="str">
        <f aca="false">IF(E378="","","FY"&amp;(YEAR(E378)+IF(AND(FYStart&gt;1,MONTH(E378)&gt;=FYStart),1,0))&amp;" Q"&amp;(INT(MOD(MONTH(E378)-FYStart,12)/3)+1))</f>
        <v>FY2026 Q3</v>
      </c>
      <c r="O378" s="59" t="n">
        <f aca="false">IF(OR(E378="",N(F378)=0),"",G378/F378)</f>
        <v>0.875</v>
      </c>
      <c r="P378" s="60" t="n">
        <f aca="false">IF(E378="","",ROUND(N(G378)*N(H378)/60,1))</f>
        <v>21</v>
      </c>
      <c r="Q378" s="57" t="str">
        <f aca="false">IF(E378="","",IF(COUNTIFS($C$2:C378,C378,$E$2:E378,E378,$B$2:B378,B378)&gt;1,"No","Yes"))</f>
        <v>Yes</v>
      </c>
      <c r="R378" s="61" t="str">
        <f aca="false">IF(E378="","",IF(Q378="No","Duplicate of an earlier response",IF(L378="Not on SITES","Site not on SITES",IF(N(G378)&gt;N(F378),"Present is more than enrolled",IF(OR(I378&lt;1,I378&gt;5),"Score outside 1 to 5","")))))</f>
        <v/>
      </c>
    </row>
    <row r="379" customFormat="false" ht="15" hidden="false" customHeight="false" outlineLevel="0" collapsed="false">
      <c r="A379" s="52" t="n">
        <v>46037.6910069444</v>
      </c>
      <c r="B379" s="53" t="s">
        <v>111</v>
      </c>
      <c r="C379" s="53" t="s">
        <v>148</v>
      </c>
      <c r="D379" s="53" t="s">
        <v>116</v>
      </c>
      <c r="E379" s="54" t="n">
        <v>46037</v>
      </c>
      <c r="F379" s="55" t="n">
        <v>16</v>
      </c>
      <c r="G379" s="55" t="n">
        <v>10</v>
      </c>
      <c r="H379" s="55" t="n">
        <v>90</v>
      </c>
      <c r="I379" s="56" t="n">
        <v>3.4</v>
      </c>
      <c r="J379" s="53" t="s">
        <v>153</v>
      </c>
      <c r="K379" s="53"/>
      <c r="L379" s="57" t="str">
        <f aca="false">IF(C379="","",IFERROR(INDEX(site_ID,MATCH(C379,site_Name,0)),"Not on SITES"))</f>
        <v>LW-104</v>
      </c>
      <c r="M379" s="58" t="n">
        <f aca="false">IF(E379="","",DATE(YEAR(E379),MONTH(E379),1))</f>
        <v>46023</v>
      </c>
      <c r="N379" s="57" t="str">
        <f aca="false">IF(E379="","","FY"&amp;(YEAR(E379)+IF(AND(FYStart&gt;1,MONTH(E379)&gt;=FYStart),1,0))&amp;" Q"&amp;(INT(MOD(MONTH(E379)-FYStart,12)/3)+1))</f>
        <v>FY2026 Q3</v>
      </c>
      <c r="O379" s="59" t="n">
        <f aca="false">IF(OR(E379="",N(F379)=0),"",G379/F379)</f>
        <v>0.625</v>
      </c>
      <c r="P379" s="60" t="n">
        <f aca="false">IF(E379="","",ROUND(N(G379)*N(H379)/60,1))</f>
        <v>15</v>
      </c>
      <c r="Q379" s="57" t="str">
        <f aca="false">IF(E379="","",IF(COUNTIFS($C$2:C379,C379,$E$2:E379,E379,$B$2:B379,B379)&gt;1,"No","Yes"))</f>
        <v>Yes</v>
      </c>
      <c r="R379" s="61" t="str">
        <f aca="false">IF(E379="","",IF(Q379="No","Duplicate of an earlier response",IF(L379="Not on SITES","Site not on SITES",IF(N(G379)&gt;N(F379),"Present is more than enrolled",IF(OR(I379&lt;1,I379&gt;5),"Score outside 1 to 5","")))))</f>
        <v/>
      </c>
    </row>
    <row r="380" customFormat="false" ht="15" hidden="false" customHeight="false" outlineLevel="0" collapsed="false">
      <c r="A380" s="52" t="n">
        <v>46037.7313773148</v>
      </c>
      <c r="B380" s="53" t="s">
        <v>121</v>
      </c>
      <c r="C380" s="53" t="s">
        <v>122</v>
      </c>
      <c r="D380" s="53" t="s">
        <v>116</v>
      </c>
      <c r="E380" s="54" t="n">
        <v>46037</v>
      </c>
      <c r="F380" s="55" t="n">
        <v>16</v>
      </c>
      <c r="G380" s="55" t="n">
        <v>13</v>
      </c>
      <c r="H380" s="55" t="n">
        <v>60</v>
      </c>
      <c r="I380" s="56" t="n">
        <v>3.8</v>
      </c>
      <c r="J380" s="53" t="s">
        <v>134</v>
      </c>
      <c r="K380" s="53"/>
      <c r="L380" s="57" t="str">
        <f aca="false">IF(C380="","",IFERROR(INDEX(site_ID,MATCH(C380,site_Name,0)),"Not on SITES"))</f>
        <v>LW-116</v>
      </c>
      <c r="M380" s="58" t="n">
        <f aca="false">IF(E380="","",DATE(YEAR(E380),MONTH(E380),1))</f>
        <v>46023</v>
      </c>
      <c r="N380" s="57" t="str">
        <f aca="false">IF(E380="","","FY"&amp;(YEAR(E380)+IF(AND(FYStart&gt;1,MONTH(E380)&gt;=FYStart),1,0))&amp;" Q"&amp;(INT(MOD(MONTH(E380)-FYStart,12)/3)+1))</f>
        <v>FY2026 Q3</v>
      </c>
      <c r="O380" s="59" t="n">
        <f aca="false">IF(OR(E380="",N(F380)=0),"",G380/F380)</f>
        <v>0.8125</v>
      </c>
      <c r="P380" s="60" t="n">
        <f aca="false">IF(E380="","",ROUND(N(G380)*N(H380)/60,1))</f>
        <v>13</v>
      </c>
      <c r="Q380" s="57" t="str">
        <f aca="false">IF(E380="","",IF(COUNTIFS($C$2:C380,C380,$E$2:E380,E380,$B$2:B380,B380)&gt;1,"No","Yes"))</f>
        <v>Yes</v>
      </c>
      <c r="R380" s="61" t="str">
        <f aca="false">IF(E380="","",IF(Q380="No","Duplicate of an earlier response",IF(L380="Not on SITES","Site not on SITES",IF(N(G380)&gt;N(F380),"Present is more than enrolled",IF(OR(I380&lt;1,I380&gt;5),"Score outside 1 to 5","")))))</f>
        <v/>
      </c>
    </row>
    <row r="381" customFormat="false" ht="15" hidden="false" customHeight="false" outlineLevel="0" collapsed="false">
      <c r="A381" s="52" t="n">
        <v>46037.7356944445</v>
      </c>
      <c r="B381" s="53" t="s">
        <v>121</v>
      </c>
      <c r="C381" s="53" t="s">
        <v>122</v>
      </c>
      <c r="D381" s="53" t="s">
        <v>116</v>
      </c>
      <c r="E381" s="54" t="n">
        <v>46035</v>
      </c>
      <c r="F381" s="55" t="n">
        <v>16</v>
      </c>
      <c r="G381" s="55" t="n">
        <v>11</v>
      </c>
      <c r="H381" s="55" t="n">
        <v>60</v>
      </c>
      <c r="I381" s="56" t="n">
        <v>4</v>
      </c>
      <c r="J381" s="53" t="s">
        <v>160</v>
      </c>
      <c r="K381" s="53"/>
      <c r="L381" s="57" t="str">
        <f aca="false">IF(C381="","",IFERROR(INDEX(site_ID,MATCH(C381,site_Name,0)),"Not on SITES"))</f>
        <v>LW-116</v>
      </c>
      <c r="M381" s="58" t="n">
        <f aca="false">IF(E381="","",DATE(YEAR(E381),MONTH(E381),1))</f>
        <v>46023</v>
      </c>
      <c r="N381" s="57" t="str">
        <f aca="false">IF(E381="","","FY"&amp;(YEAR(E381)+IF(AND(FYStart&gt;1,MONTH(E381)&gt;=FYStart),1,0))&amp;" Q"&amp;(INT(MOD(MONTH(E381)-FYStart,12)/3)+1))</f>
        <v>FY2026 Q3</v>
      </c>
      <c r="O381" s="59" t="n">
        <f aca="false">IF(OR(E381="",N(F381)=0),"",G381/F381)</f>
        <v>0.6875</v>
      </c>
      <c r="P381" s="60" t="n">
        <f aca="false">IF(E381="","",ROUND(N(G381)*N(H381)/60,1))</f>
        <v>11</v>
      </c>
      <c r="Q381" s="57" t="str">
        <f aca="false">IF(E381="","",IF(COUNTIFS($C$2:C381,C381,$E$2:E381,E381,$B$2:B381,B381)&gt;1,"No","Yes"))</f>
        <v>Yes</v>
      </c>
      <c r="R381" s="61" t="str">
        <f aca="false">IF(E381="","",IF(Q381="No","Duplicate of an earlier response",IF(L381="Not on SITES","Site not on SITES",IF(N(G381)&gt;N(F381),"Present is more than enrolled",IF(OR(I381&lt;1,I381&gt;5),"Score outside 1 to 5","")))))</f>
        <v/>
      </c>
    </row>
    <row r="382" customFormat="false" ht="15" hidden="false" customHeight="false" outlineLevel="0" collapsed="false">
      <c r="A382" s="52" t="n">
        <v>46037.7756134259</v>
      </c>
      <c r="B382" s="53" t="s">
        <v>140</v>
      </c>
      <c r="C382" s="53" t="s">
        <v>151</v>
      </c>
      <c r="D382" s="53" t="s">
        <v>138</v>
      </c>
      <c r="E382" s="54" t="n">
        <v>46037</v>
      </c>
      <c r="F382" s="55" t="n">
        <v>14</v>
      </c>
      <c r="G382" s="55" t="n">
        <v>12</v>
      </c>
      <c r="H382" s="55" t="n">
        <v>90</v>
      </c>
      <c r="I382" s="56" t="n">
        <v>3.4</v>
      </c>
      <c r="J382" s="53" t="s">
        <v>152</v>
      </c>
      <c r="K382" s="53"/>
      <c r="L382" s="57" t="str">
        <f aca="false">IF(C382="","",IFERROR(INDEX(site_ID,MATCH(C382,site_Name,0)),"Not on SITES"))</f>
        <v>LW-110</v>
      </c>
      <c r="M382" s="58" t="n">
        <f aca="false">IF(E382="","",DATE(YEAR(E382),MONTH(E382),1))</f>
        <v>46023</v>
      </c>
      <c r="N382" s="57" t="str">
        <f aca="false">IF(E382="","","FY"&amp;(YEAR(E382)+IF(AND(FYStart&gt;1,MONTH(E382)&gt;=FYStart),1,0))&amp;" Q"&amp;(INT(MOD(MONTH(E382)-FYStart,12)/3)+1))</f>
        <v>FY2026 Q3</v>
      </c>
      <c r="O382" s="59" t="n">
        <f aca="false">IF(OR(E382="",N(F382)=0),"",G382/F382)</f>
        <v>0.857142857142857</v>
      </c>
      <c r="P382" s="60" t="n">
        <f aca="false">IF(E382="","",ROUND(N(G382)*N(H382)/60,1))</f>
        <v>18</v>
      </c>
      <c r="Q382" s="57" t="str">
        <f aca="false">IF(E382="","",IF(COUNTIFS($C$2:C382,C382,$E$2:E382,E382,$B$2:B382,B382)&gt;1,"No","Yes"))</f>
        <v>Yes</v>
      </c>
      <c r="R382" s="61" t="str">
        <f aca="false">IF(E382="","",IF(Q382="No","Duplicate of an earlier response",IF(L382="Not on SITES","Site not on SITES",IF(N(G382)&gt;N(F382),"Present is more than enrolled",IF(OR(I382&lt;1,I382&gt;5),"Score outside 1 to 5","")))))</f>
        <v/>
      </c>
    </row>
    <row r="383" customFormat="false" ht="15" hidden="false" customHeight="false" outlineLevel="0" collapsed="false">
      <c r="A383" s="52" t="n">
        <v>46037.8059027778</v>
      </c>
      <c r="B383" s="53" t="s">
        <v>109</v>
      </c>
      <c r="C383" s="53" t="s">
        <v>146</v>
      </c>
      <c r="D383" s="53" t="s">
        <v>138</v>
      </c>
      <c r="E383" s="54" t="n">
        <v>46037</v>
      </c>
      <c r="F383" s="55" t="n">
        <v>15</v>
      </c>
      <c r="G383" s="55" t="n">
        <v>12</v>
      </c>
      <c r="H383" s="55" t="n">
        <v>90</v>
      </c>
      <c r="I383" s="56" t="n">
        <v>3.5</v>
      </c>
      <c r="J383" s="53" t="s">
        <v>164</v>
      </c>
      <c r="K383" s="53"/>
      <c r="L383" s="57" t="str">
        <f aca="false">IF(C383="","",IFERROR(INDEX(site_ID,MATCH(C383,site_Name,0)),"Not on SITES"))</f>
        <v>LW-105</v>
      </c>
      <c r="M383" s="58" t="n">
        <f aca="false">IF(E383="","",DATE(YEAR(E383),MONTH(E383),1))</f>
        <v>46023</v>
      </c>
      <c r="N383" s="57" t="str">
        <f aca="false">IF(E383="","","FY"&amp;(YEAR(E383)+IF(AND(FYStart&gt;1,MONTH(E383)&gt;=FYStart),1,0))&amp;" Q"&amp;(INT(MOD(MONTH(E383)-FYStart,12)/3)+1))</f>
        <v>FY2026 Q3</v>
      </c>
      <c r="O383" s="59" t="n">
        <f aca="false">IF(OR(E383="",N(F383)=0),"",G383/F383)</f>
        <v>0.8</v>
      </c>
      <c r="P383" s="60" t="n">
        <f aca="false">IF(E383="","",ROUND(N(G383)*N(H383)/60,1))</f>
        <v>18</v>
      </c>
      <c r="Q383" s="57" t="str">
        <f aca="false">IF(E383="","",IF(COUNTIFS($C$2:C383,C383,$E$2:E383,E383,$B$2:B383,B383)&gt;1,"No","Yes"))</f>
        <v>Yes</v>
      </c>
      <c r="R383" s="61" t="str">
        <f aca="false">IF(E383="","",IF(Q383="No","Duplicate of an earlier response",IF(L383="Not on SITES","Site not on SITES",IF(N(G383)&gt;N(F383),"Present is more than enrolled",IF(OR(I383&lt;1,I383&gt;5),"Score outside 1 to 5","")))))</f>
        <v/>
      </c>
    </row>
    <row r="384" customFormat="false" ht="15" hidden="false" customHeight="false" outlineLevel="0" collapsed="false">
      <c r="A384" s="52" t="n">
        <v>46037.8612731482</v>
      </c>
      <c r="B384" s="53" t="s">
        <v>124</v>
      </c>
      <c r="C384" s="53" t="s">
        <v>154</v>
      </c>
      <c r="D384" s="53" t="s">
        <v>116</v>
      </c>
      <c r="E384" s="54" t="n">
        <v>46037</v>
      </c>
      <c r="F384" s="55" t="n">
        <v>18</v>
      </c>
      <c r="G384" s="55" t="n">
        <v>15</v>
      </c>
      <c r="H384" s="55" t="n">
        <v>60</v>
      </c>
      <c r="I384" s="56" t="n">
        <v>3.8</v>
      </c>
      <c r="J384" s="53" t="s">
        <v>153</v>
      </c>
      <c r="K384" s="53"/>
      <c r="L384" s="57" t="str">
        <f aca="false">IF(C384="","",IFERROR(INDEX(site_ID,MATCH(C384,site_Name,0)),"Not on SITES"))</f>
        <v>LW-114</v>
      </c>
      <c r="M384" s="58" t="n">
        <f aca="false">IF(E384="","",DATE(YEAR(E384),MONTH(E384),1))</f>
        <v>46023</v>
      </c>
      <c r="N384" s="57" t="str">
        <f aca="false">IF(E384="","","FY"&amp;(YEAR(E384)+IF(AND(FYStart&gt;1,MONTH(E384)&gt;=FYStart),1,0))&amp;" Q"&amp;(INT(MOD(MONTH(E384)-FYStart,12)/3)+1))</f>
        <v>FY2026 Q3</v>
      </c>
      <c r="O384" s="59" t="n">
        <f aca="false">IF(OR(E384="",N(F384)=0),"",G384/F384)</f>
        <v>0.833333333333333</v>
      </c>
      <c r="P384" s="60" t="n">
        <f aca="false">IF(E384="","",ROUND(N(G384)*N(H384)/60,1))</f>
        <v>15</v>
      </c>
      <c r="Q384" s="57" t="str">
        <f aca="false">IF(E384="","",IF(COUNTIFS($C$2:C384,C384,$E$2:E384,E384,$B$2:B384,B384)&gt;1,"No","Yes"))</f>
        <v>Yes</v>
      </c>
      <c r="R384" s="61" t="str">
        <f aca="false">IF(E384="","",IF(Q384="No","Duplicate of an earlier response",IF(L384="Not on SITES","Site not on SITES",IF(N(G384)&gt;N(F384),"Present is more than enrolled",IF(OR(I384&lt;1,I384&gt;5),"Score outside 1 to 5","")))))</f>
        <v/>
      </c>
    </row>
    <row r="385" customFormat="false" ht="15" hidden="false" customHeight="false" outlineLevel="0" collapsed="false">
      <c r="A385" s="52" t="n">
        <v>46038.7101041667</v>
      </c>
      <c r="B385" s="53" t="s">
        <v>140</v>
      </c>
      <c r="C385" s="53" t="s">
        <v>137</v>
      </c>
      <c r="D385" s="53" t="s">
        <v>138</v>
      </c>
      <c r="E385" s="54" t="n">
        <v>46038</v>
      </c>
      <c r="F385" s="55" t="n">
        <v>19</v>
      </c>
      <c r="G385" s="55" t="n">
        <v>17</v>
      </c>
      <c r="H385" s="55" t="n">
        <v>90</v>
      </c>
      <c r="I385" s="56" t="n">
        <v>3.9</v>
      </c>
      <c r="J385" s="53" t="s">
        <v>163</v>
      </c>
      <c r="K385" s="53"/>
      <c r="L385" s="57" t="str">
        <f aca="false">IF(C385="","",IFERROR(INDEX(site_ID,MATCH(C385,site_Name,0)),"Not on SITES"))</f>
        <v>LW-115</v>
      </c>
      <c r="M385" s="58" t="n">
        <f aca="false">IF(E385="","",DATE(YEAR(E385),MONTH(E385),1))</f>
        <v>46023</v>
      </c>
      <c r="N385" s="57" t="str">
        <f aca="false">IF(E385="","","FY"&amp;(YEAR(E385)+IF(AND(FYStart&gt;1,MONTH(E385)&gt;=FYStart),1,0))&amp;" Q"&amp;(INT(MOD(MONTH(E385)-FYStart,12)/3)+1))</f>
        <v>FY2026 Q3</v>
      </c>
      <c r="O385" s="59" t="n">
        <f aca="false">IF(OR(E385="",N(F385)=0),"",G385/F385)</f>
        <v>0.894736842105263</v>
      </c>
      <c r="P385" s="60" t="n">
        <f aca="false">IF(E385="","",ROUND(N(G385)*N(H385)/60,1))</f>
        <v>25.5</v>
      </c>
      <c r="Q385" s="57" t="str">
        <f aca="false">IF(E385="","",IF(COUNTIFS($C$2:C385,C385,$E$2:E385,E385,$B$2:B385,B385)&gt;1,"No","Yes"))</f>
        <v>Yes</v>
      </c>
      <c r="R385" s="61" t="str">
        <f aca="false">IF(E385="","",IF(Q385="No","Duplicate of an earlier response",IF(L385="Not on SITES","Site not on SITES",IF(N(G385)&gt;N(F385),"Present is more than enrolled",IF(OR(I385&lt;1,I385&gt;5),"Score outside 1 to 5","")))))</f>
        <v/>
      </c>
    </row>
    <row r="386" customFormat="false" ht="15" hidden="false" customHeight="false" outlineLevel="0" collapsed="false">
      <c r="A386" s="52" t="n">
        <v>46038.7594791667</v>
      </c>
      <c r="B386" s="53" t="s">
        <v>140</v>
      </c>
      <c r="C386" s="53" t="s">
        <v>141</v>
      </c>
      <c r="D386" s="53" t="s">
        <v>116</v>
      </c>
      <c r="E386" s="54" t="n">
        <v>46038</v>
      </c>
      <c r="F386" s="55" t="n">
        <v>13</v>
      </c>
      <c r="G386" s="55" t="n">
        <v>11</v>
      </c>
      <c r="H386" s="55" t="n">
        <v>60</v>
      </c>
      <c r="I386" s="56" t="n">
        <v>3.9</v>
      </c>
      <c r="J386" s="53" t="s">
        <v>134</v>
      </c>
      <c r="K386" s="53"/>
      <c r="L386" s="57" t="str">
        <f aca="false">IF(C386="","",IFERROR(INDEX(site_ID,MATCH(C386,site_Name,0)),"Not on SITES"))</f>
        <v>LW-118</v>
      </c>
      <c r="M386" s="58" t="n">
        <f aca="false">IF(E386="","",DATE(YEAR(E386),MONTH(E386),1))</f>
        <v>46023</v>
      </c>
      <c r="N386" s="57" t="str">
        <f aca="false">IF(E386="","","FY"&amp;(YEAR(E386)+IF(AND(FYStart&gt;1,MONTH(E386)&gt;=FYStart),1,0))&amp;" Q"&amp;(INT(MOD(MONTH(E386)-FYStart,12)/3)+1))</f>
        <v>FY2026 Q3</v>
      </c>
      <c r="O386" s="59" t="n">
        <f aca="false">IF(OR(E386="",N(F386)=0),"",G386/F386)</f>
        <v>0.846153846153846</v>
      </c>
      <c r="P386" s="60" t="n">
        <f aca="false">IF(E386="","",ROUND(N(G386)*N(H386)/60,1))</f>
        <v>11</v>
      </c>
      <c r="Q386" s="57" t="str">
        <f aca="false">IF(E386="","",IF(COUNTIFS($C$2:C386,C386,$E$2:E386,E386,$B$2:B386,B386)&gt;1,"No","Yes"))</f>
        <v>Yes</v>
      </c>
      <c r="R386" s="61" t="str">
        <f aca="false">IF(E386="","",IF(Q386="No","Duplicate of an earlier response",IF(L386="Not on SITES","Site not on SITES",IF(N(G386)&gt;N(F386),"Present is more than enrolled",IF(OR(I386&lt;1,I386&gt;5),"Score outside 1 to 5","")))))</f>
        <v/>
      </c>
    </row>
    <row r="387" customFormat="false" ht="15" hidden="false" customHeight="false" outlineLevel="0" collapsed="false">
      <c r="A387" s="52" t="n">
        <v>46039.6521064815</v>
      </c>
      <c r="B387" s="53" t="s">
        <v>132</v>
      </c>
      <c r="C387" s="53" t="s">
        <v>150</v>
      </c>
      <c r="D387" s="53" t="s">
        <v>138</v>
      </c>
      <c r="E387" s="54" t="n">
        <v>46037</v>
      </c>
      <c r="F387" s="55" t="n">
        <v>21</v>
      </c>
      <c r="G387" s="55" t="n">
        <v>18</v>
      </c>
      <c r="H387" s="55" t="n">
        <v>90</v>
      </c>
      <c r="I387" s="56" t="n">
        <v>3.8</v>
      </c>
      <c r="J387" s="53" t="s">
        <v>147</v>
      </c>
      <c r="K387" s="53"/>
      <c r="L387" s="57" t="str">
        <f aca="false">IF(C387="","",IFERROR(INDEX(site_ID,MATCH(C387,site_Name,0)),"Not on SITES"))</f>
        <v>LW-117</v>
      </c>
      <c r="M387" s="58" t="n">
        <f aca="false">IF(E387="","",DATE(YEAR(E387),MONTH(E387),1))</f>
        <v>46023</v>
      </c>
      <c r="N387" s="57" t="str">
        <f aca="false">IF(E387="","","FY"&amp;(YEAR(E387)+IF(AND(FYStart&gt;1,MONTH(E387)&gt;=FYStart),1,0))&amp;" Q"&amp;(INT(MOD(MONTH(E387)-FYStart,12)/3)+1))</f>
        <v>FY2026 Q3</v>
      </c>
      <c r="O387" s="59" t="n">
        <f aca="false">IF(OR(E387="",N(F387)=0),"",G387/F387)</f>
        <v>0.857142857142857</v>
      </c>
      <c r="P387" s="60" t="n">
        <f aca="false">IF(E387="","",ROUND(N(G387)*N(H387)/60,1))</f>
        <v>27</v>
      </c>
      <c r="Q387" s="57" t="str">
        <f aca="false">IF(E387="","",IF(COUNTIFS($C$2:C387,C387,$E$2:E387,E387,$B$2:B387,B387)&gt;1,"No","Yes"))</f>
        <v>Yes</v>
      </c>
      <c r="R387" s="61" t="str">
        <f aca="false">IF(E387="","",IF(Q387="No","Duplicate of an earlier response",IF(L387="Not on SITES","Site not on SITES",IF(N(G387)&gt;N(F387),"Present is more than enrolled",IF(OR(I387&lt;1,I387&gt;5),"Score outside 1 to 5","")))))</f>
        <v/>
      </c>
    </row>
    <row r="388" customFormat="false" ht="15" hidden="false" customHeight="false" outlineLevel="0" collapsed="false">
      <c r="A388" s="52" t="n">
        <v>46041.7270486111</v>
      </c>
      <c r="B388" s="53" t="s">
        <v>111</v>
      </c>
      <c r="C388" s="53" t="s">
        <v>112</v>
      </c>
      <c r="D388" s="53" t="s">
        <v>113</v>
      </c>
      <c r="E388" s="54" t="n">
        <v>46041</v>
      </c>
      <c r="F388" s="55" t="n">
        <v>15</v>
      </c>
      <c r="G388" s="55" t="n">
        <v>13</v>
      </c>
      <c r="H388" s="55" t="n">
        <v>75</v>
      </c>
      <c r="I388" s="56" t="n">
        <v>3.4</v>
      </c>
      <c r="J388" s="53" t="s">
        <v>136</v>
      </c>
      <c r="K388" s="53"/>
      <c r="L388" s="57" t="str">
        <f aca="false">IF(C388="","",IFERROR(INDEX(site_ID,MATCH(C388,site_Name,0)),"Not on SITES"))</f>
        <v>LW-120</v>
      </c>
      <c r="M388" s="58" t="n">
        <f aca="false">IF(E388="","",DATE(YEAR(E388),MONTH(E388),1))</f>
        <v>46023</v>
      </c>
      <c r="N388" s="57" t="str">
        <f aca="false">IF(E388="","","FY"&amp;(YEAR(E388)+IF(AND(FYStart&gt;1,MONTH(E388)&gt;=FYStart),1,0))&amp;" Q"&amp;(INT(MOD(MONTH(E388)-FYStart,12)/3)+1))</f>
        <v>FY2026 Q3</v>
      </c>
      <c r="O388" s="59" t="n">
        <f aca="false">IF(OR(E388="",N(F388)=0),"",G388/F388)</f>
        <v>0.866666666666667</v>
      </c>
      <c r="P388" s="60" t="n">
        <f aca="false">IF(E388="","",ROUND(N(G388)*N(H388)/60,1))</f>
        <v>16.3</v>
      </c>
      <c r="Q388" s="57" t="str">
        <f aca="false">IF(E388="","",IF(COUNTIFS($C$2:C388,C388,$E$2:E388,E388,$B$2:B388,B388)&gt;1,"No","Yes"))</f>
        <v>Yes</v>
      </c>
      <c r="R388" s="61" t="str">
        <f aca="false">IF(E388="","",IF(Q388="No","Duplicate of an earlier response",IF(L388="Not on SITES","Site not on SITES",IF(N(G388)&gt;N(F388),"Present is more than enrolled",IF(OR(I388&lt;1,I388&gt;5),"Score outside 1 to 5","")))))</f>
        <v/>
      </c>
    </row>
    <row r="389" customFormat="false" ht="15" hidden="false" customHeight="false" outlineLevel="0" collapsed="false">
      <c r="A389" s="52" t="n">
        <v>46041.7845717593</v>
      </c>
      <c r="B389" s="53" t="s">
        <v>105</v>
      </c>
      <c r="C389" s="53" t="s">
        <v>106</v>
      </c>
      <c r="D389" s="53" t="s">
        <v>107</v>
      </c>
      <c r="E389" s="54" t="n">
        <v>46041</v>
      </c>
      <c r="F389" s="55" t="n">
        <v>16</v>
      </c>
      <c r="G389" s="55" t="n">
        <v>12</v>
      </c>
      <c r="H389" s="55" t="n">
        <v>60</v>
      </c>
      <c r="I389" s="56" t="n">
        <v>3.7</v>
      </c>
      <c r="J389" s="53" t="s">
        <v>108</v>
      </c>
      <c r="K389" s="53"/>
      <c r="L389" s="57" t="str">
        <f aca="false">IF(C389="","",IFERROR(INDEX(site_ID,MATCH(C389,site_Name,0)),"Not on SITES"))</f>
        <v>LW-103</v>
      </c>
      <c r="M389" s="58" t="n">
        <f aca="false">IF(E389="","",DATE(YEAR(E389),MONTH(E389),1))</f>
        <v>46023</v>
      </c>
      <c r="N389" s="57" t="str">
        <f aca="false">IF(E389="","","FY"&amp;(YEAR(E389)+IF(AND(FYStart&gt;1,MONTH(E389)&gt;=FYStart),1,0))&amp;" Q"&amp;(INT(MOD(MONTH(E389)-FYStart,12)/3)+1))</f>
        <v>FY2026 Q3</v>
      </c>
      <c r="O389" s="59" t="n">
        <f aca="false">IF(OR(E389="",N(F389)=0),"",G389/F389)</f>
        <v>0.75</v>
      </c>
      <c r="P389" s="60" t="n">
        <f aca="false">IF(E389="","",ROUND(N(G389)*N(H389)/60,1))</f>
        <v>12</v>
      </c>
      <c r="Q389" s="57" t="str">
        <f aca="false">IF(E389="","",IF(COUNTIFS($C$2:C389,C389,$E$2:E389,E389,$B$2:B389,B389)&gt;1,"No","Yes"))</f>
        <v>Yes</v>
      </c>
      <c r="R389" s="61" t="str">
        <f aca="false">IF(E389="","",IF(Q389="No","Duplicate of an earlier response",IF(L389="Not on SITES","Site not on SITES",IF(N(G389)&gt;N(F389),"Present is more than enrolled",IF(OR(I389&lt;1,I389&gt;5),"Score outside 1 to 5","")))))</f>
        <v/>
      </c>
    </row>
    <row r="390" customFormat="false" ht="15" hidden="false" customHeight="false" outlineLevel="0" collapsed="false">
      <c r="A390" s="52" t="n">
        <v>46041.7994328704</v>
      </c>
      <c r="B390" s="53" t="s">
        <v>109</v>
      </c>
      <c r="C390" s="53" t="s">
        <v>110</v>
      </c>
      <c r="D390" s="53" t="s">
        <v>107</v>
      </c>
      <c r="E390" s="54" t="n">
        <v>46041</v>
      </c>
      <c r="F390" s="55" t="n">
        <v>21</v>
      </c>
      <c r="G390" s="55" t="n">
        <v>16</v>
      </c>
      <c r="H390" s="55" t="n">
        <v>90</v>
      </c>
      <c r="I390" s="56" t="n">
        <v>3.4</v>
      </c>
      <c r="J390" s="53" t="s">
        <v>166</v>
      </c>
      <c r="K390" s="53"/>
      <c r="L390" s="57" t="str">
        <f aca="false">IF(C390="","",IFERROR(INDEX(site_ID,MATCH(C390,site_Name,0)),"Not on SITES"))</f>
        <v>LW-113</v>
      </c>
      <c r="M390" s="58" t="n">
        <f aca="false">IF(E390="","",DATE(YEAR(E390),MONTH(E390),1))</f>
        <v>46023</v>
      </c>
      <c r="N390" s="57" t="str">
        <f aca="false">IF(E390="","","FY"&amp;(YEAR(E390)+IF(AND(FYStart&gt;1,MONTH(E390)&gt;=FYStart),1,0))&amp;" Q"&amp;(INT(MOD(MONTH(E390)-FYStart,12)/3)+1))</f>
        <v>FY2026 Q3</v>
      </c>
      <c r="O390" s="59" t="n">
        <f aca="false">IF(OR(E390="",N(F390)=0),"",G390/F390)</f>
        <v>0.761904761904762</v>
      </c>
      <c r="P390" s="60" t="n">
        <f aca="false">IF(E390="","",ROUND(N(G390)*N(H390)/60,1))</f>
        <v>24</v>
      </c>
      <c r="Q390" s="57" t="str">
        <f aca="false">IF(E390="","",IF(COUNTIFS($C$2:C390,C390,$E$2:E390,E390,$B$2:B390,B390)&gt;1,"No","Yes"))</f>
        <v>Yes</v>
      </c>
      <c r="R390" s="61" t="str">
        <f aca="false">IF(E390="","",IF(Q390="No","Duplicate of an earlier response",IF(L390="Not on SITES","Site not on SITES",IF(N(G390)&gt;N(F390),"Present is more than enrolled",IF(OR(I390&lt;1,I390&gt;5),"Score outside 1 to 5","")))))</f>
        <v/>
      </c>
    </row>
    <row r="391" customFormat="false" ht="15" hidden="false" customHeight="false" outlineLevel="0" collapsed="false">
      <c r="A391" s="52" t="n">
        <v>46041.8533912037</v>
      </c>
      <c r="B391" s="53" t="s">
        <v>105</v>
      </c>
      <c r="C391" s="53" t="s">
        <v>118</v>
      </c>
      <c r="D391" s="53" t="s">
        <v>119</v>
      </c>
      <c r="E391" s="54" t="n">
        <v>46041</v>
      </c>
      <c r="F391" s="55" t="n">
        <v>22</v>
      </c>
      <c r="G391" s="55" t="n">
        <v>18</v>
      </c>
      <c r="H391" s="55" t="n">
        <v>60</v>
      </c>
      <c r="I391" s="56" t="n">
        <v>3.5</v>
      </c>
      <c r="J391" s="53" t="s">
        <v>162</v>
      </c>
      <c r="K391" s="53"/>
      <c r="L391" s="57" t="str">
        <f aca="false">IF(C391="","",IFERROR(INDEX(site_ID,MATCH(C391,site_Name,0)),"Not on SITES"))</f>
        <v>LW-111</v>
      </c>
      <c r="M391" s="58" t="n">
        <f aca="false">IF(E391="","",DATE(YEAR(E391),MONTH(E391),1))</f>
        <v>46023</v>
      </c>
      <c r="N391" s="57" t="str">
        <f aca="false">IF(E391="","","FY"&amp;(YEAR(E391)+IF(AND(FYStart&gt;1,MONTH(E391)&gt;=FYStart),1,0))&amp;" Q"&amp;(INT(MOD(MONTH(E391)-FYStart,12)/3)+1))</f>
        <v>FY2026 Q3</v>
      </c>
      <c r="O391" s="59" t="n">
        <f aca="false">IF(OR(E391="",N(F391)=0),"",G391/F391)</f>
        <v>0.818181818181818</v>
      </c>
      <c r="P391" s="60" t="n">
        <f aca="false">IF(E391="","",ROUND(N(G391)*N(H391)/60,1))</f>
        <v>18</v>
      </c>
      <c r="Q391" s="57" t="str">
        <f aca="false">IF(E391="","",IF(COUNTIFS($C$2:C391,C391,$E$2:E391,E391,$B$2:B391,B391)&gt;1,"No","Yes"))</f>
        <v>Yes</v>
      </c>
      <c r="R391" s="61" t="str">
        <f aca="false">IF(E391="","",IF(Q391="No","Duplicate of an earlier response",IF(L391="Not on SITES","Site not on SITES",IF(N(G391)&gt;N(F391),"Present is more than enrolled",IF(OR(I391&lt;1,I391&gt;5),"Score outside 1 to 5","")))))</f>
        <v/>
      </c>
    </row>
    <row r="392" customFormat="false" ht="15" hidden="false" customHeight="false" outlineLevel="0" collapsed="false">
      <c r="A392" s="52" t="n">
        <v>46042.6370023148</v>
      </c>
      <c r="B392" s="53" t="s">
        <v>121</v>
      </c>
      <c r="C392" s="53" t="s">
        <v>122</v>
      </c>
      <c r="D392" s="53" t="s">
        <v>116</v>
      </c>
      <c r="E392" s="54" t="n">
        <v>46042</v>
      </c>
      <c r="F392" s="55" t="n">
        <v>16</v>
      </c>
      <c r="G392" s="55" t="n">
        <v>11</v>
      </c>
      <c r="H392" s="55" t="n">
        <v>60</v>
      </c>
      <c r="I392" s="56" t="n">
        <v>3.6</v>
      </c>
      <c r="J392" s="53" t="s">
        <v>160</v>
      </c>
      <c r="K392" s="53"/>
      <c r="L392" s="57" t="str">
        <f aca="false">IF(C392="","",IFERROR(INDEX(site_ID,MATCH(C392,site_Name,0)),"Not on SITES"))</f>
        <v>LW-116</v>
      </c>
      <c r="M392" s="58" t="n">
        <f aca="false">IF(E392="","",DATE(YEAR(E392),MONTH(E392),1))</f>
        <v>46023</v>
      </c>
      <c r="N392" s="57" t="str">
        <f aca="false">IF(E392="","","FY"&amp;(YEAR(E392)+IF(AND(FYStart&gt;1,MONTH(E392)&gt;=FYStart),1,0))&amp;" Q"&amp;(INT(MOD(MONTH(E392)-FYStart,12)/3)+1))</f>
        <v>FY2026 Q3</v>
      </c>
      <c r="O392" s="59" t="n">
        <f aca="false">IF(OR(E392="",N(F392)=0),"",G392/F392)</f>
        <v>0.6875</v>
      </c>
      <c r="P392" s="60" t="n">
        <f aca="false">IF(E392="","",ROUND(N(G392)*N(H392)/60,1))</f>
        <v>11</v>
      </c>
      <c r="Q392" s="57" t="str">
        <f aca="false">IF(E392="","",IF(COUNTIFS($C$2:C392,C392,$E$2:E392,E392,$B$2:B392,B392)&gt;1,"No","Yes"))</f>
        <v>Yes</v>
      </c>
      <c r="R392" s="61" t="str">
        <f aca="false">IF(E392="","",IF(Q392="No","Duplicate of an earlier response",IF(L392="Not on SITES","Site not on SITES",IF(N(G392)&gt;N(F392),"Present is more than enrolled",IF(OR(I392&lt;1,I392&gt;5),"Score outside 1 to 5","")))))</f>
        <v/>
      </c>
    </row>
    <row r="393" customFormat="false" ht="15" hidden="false" customHeight="false" outlineLevel="0" collapsed="false">
      <c r="A393" s="52" t="n">
        <v>46042.7292476852</v>
      </c>
      <c r="B393" s="53" t="s">
        <v>129</v>
      </c>
      <c r="C393" s="53" t="s">
        <v>130</v>
      </c>
      <c r="D393" s="53" t="s">
        <v>113</v>
      </c>
      <c r="E393" s="54" t="n">
        <v>46042</v>
      </c>
      <c r="F393" s="55" t="n">
        <v>16</v>
      </c>
      <c r="G393" s="55" t="n">
        <v>12</v>
      </c>
      <c r="H393" s="55" t="n">
        <v>75</v>
      </c>
      <c r="I393" s="56" t="n">
        <v>3</v>
      </c>
      <c r="J393" s="53" t="s">
        <v>136</v>
      </c>
      <c r="K393" s="53"/>
      <c r="L393" s="57" t="str">
        <f aca="false">IF(C393="","",IFERROR(INDEX(site_ID,MATCH(C393,site_Name,0)),"Not on SITES"))</f>
        <v>LW-107</v>
      </c>
      <c r="M393" s="58" t="n">
        <f aca="false">IF(E393="","",DATE(YEAR(E393),MONTH(E393),1))</f>
        <v>46023</v>
      </c>
      <c r="N393" s="57" t="str">
        <f aca="false">IF(E393="","","FY"&amp;(YEAR(E393)+IF(AND(FYStart&gt;1,MONTH(E393)&gt;=FYStart),1,0))&amp;" Q"&amp;(INT(MOD(MONTH(E393)-FYStart,12)/3)+1))</f>
        <v>FY2026 Q3</v>
      </c>
      <c r="O393" s="59" t="n">
        <f aca="false">IF(OR(E393="",N(F393)=0),"",G393/F393)</f>
        <v>0.75</v>
      </c>
      <c r="P393" s="60" t="n">
        <f aca="false">IF(E393="","",ROUND(N(G393)*N(H393)/60,1))</f>
        <v>15</v>
      </c>
      <c r="Q393" s="57" t="str">
        <f aca="false">IF(E393="","",IF(COUNTIFS($C$2:C393,C393,$E$2:E393,E393,$B$2:B393,B393)&gt;1,"No","Yes"))</f>
        <v>Yes</v>
      </c>
      <c r="R393" s="61" t="str">
        <f aca="false">IF(E393="","",IF(Q393="No","Duplicate of an earlier response",IF(L393="Not on SITES","Site not on SITES",IF(N(G393)&gt;N(F393),"Present is more than enrolled",IF(OR(I393&lt;1,I393&gt;5),"Score outside 1 to 5","")))))</f>
        <v/>
      </c>
    </row>
    <row r="394" customFormat="false" ht="15" hidden="false" customHeight="false" outlineLevel="0" collapsed="false">
      <c r="A394" s="52" t="n">
        <v>46042.8314814815</v>
      </c>
      <c r="B394" s="53" t="s">
        <v>124</v>
      </c>
      <c r="C394" s="53" t="s">
        <v>125</v>
      </c>
      <c r="D394" s="53" t="s">
        <v>119</v>
      </c>
      <c r="E394" s="54" t="n">
        <v>46042</v>
      </c>
      <c r="F394" s="55" t="n">
        <v>18</v>
      </c>
      <c r="G394" s="55" t="n">
        <v>16</v>
      </c>
      <c r="H394" s="55" t="n">
        <v>75</v>
      </c>
      <c r="I394" s="56" t="n">
        <v>3.5</v>
      </c>
      <c r="J394" s="53" t="s">
        <v>126</v>
      </c>
      <c r="K394" s="53" t="s">
        <v>168</v>
      </c>
      <c r="L394" s="57" t="str">
        <f aca="false">IF(C394="","",IFERROR(INDEX(site_ID,MATCH(C394,site_Name,0)),"Not on SITES"))</f>
        <v>LW-106</v>
      </c>
      <c r="M394" s="58" t="n">
        <f aca="false">IF(E394="","",DATE(YEAR(E394),MONTH(E394),1))</f>
        <v>46023</v>
      </c>
      <c r="N394" s="57" t="str">
        <f aca="false">IF(E394="","","FY"&amp;(YEAR(E394)+IF(AND(FYStart&gt;1,MONTH(E394)&gt;=FYStart),1,0))&amp;" Q"&amp;(INT(MOD(MONTH(E394)-FYStart,12)/3)+1))</f>
        <v>FY2026 Q3</v>
      </c>
      <c r="O394" s="59" t="n">
        <f aca="false">IF(OR(E394="",N(F394)=0),"",G394/F394)</f>
        <v>0.888888888888889</v>
      </c>
      <c r="P394" s="60" t="n">
        <f aca="false">IF(E394="","",ROUND(N(G394)*N(H394)/60,1))</f>
        <v>20</v>
      </c>
      <c r="Q394" s="57" t="str">
        <f aca="false">IF(E394="","",IF(COUNTIFS($C$2:C394,C394,$E$2:E394,E394,$B$2:B394,B394)&gt;1,"No","Yes"))</f>
        <v>Yes</v>
      </c>
      <c r="R394" s="61" t="str">
        <f aca="false">IF(E394="","",IF(Q394="No","Duplicate of an earlier response",IF(L394="Not on SITES","Site not on SITES",IF(N(G394)&gt;N(F394),"Present is more than enrolled",IF(OR(I394&lt;1,I394&gt;5),"Score outside 1 to 5","")))))</f>
        <v/>
      </c>
    </row>
    <row r="395" customFormat="false" ht="15" hidden="false" customHeight="false" outlineLevel="0" collapsed="false">
      <c r="A395" s="52" t="n">
        <v>46042.8405208333</v>
      </c>
      <c r="B395" s="53" t="s">
        <v>121</v>
      </c>
      <c r="C395" s="53" t="s">
        <v>127</v>
      </c>
      <c r="D395" s="53" t="s">
        <v>107</v>
      </c>
      <c r="E395" s="54" t="n">
        <v>46042</v>
      </c>
      <c r="F395" s="55" t="n">
        <v>15</v>
      </c>
      <c r="G395" s="55" t="n">
        <v>12</v>
      </c>
      <c r="H395" s="55" t="n">
        <v>75</v>
      </c>
      <c r="I395" s="56" t="n">
        <v>3.9</v>
      </c>
      <c r="J395" s="53" t="s">
        <v>155</v>
      </c>
      <c r="K395" s="53" t="s">
        <v>168</v>
      </c>
      <c r="L395" s="57" t="str">
        <f aca="false">IF(C395="","",IFERROR(INDEX(site_ID,MATCH(C395,site_Name,0)),"Not on SITES"))</f>
        <v>LW-108</v>
      </c>
      <c r="M395" s="58" t="n">
        <f aca="false">IF(E395="","",DATE(YEAR(E395),MONTH(E395),1))</f>
        <v>46023</v>
      </c>
      <c r="N395" s="57" t="str">
        <f aca="false">IF(E395="","","FY"&amp;(YEAR(E395)+IF(AND(FYStart&gt;1,MONTH(E395)&gt;=FYStart),1,0))&amp;" Q"&amp;(INT(MOD(MONTH(E395)-FYStart,12)/3)+1))</f>
        <v>FY2026 Q3</v>
      </c>
      <c r="O395" s="59" t="n">
        <f aca="false">IF(OR(E395="",N(F395)=0),"",G395/F395)</f>
        <v>0.8</v>
      </c>
      <c r="P395" s="60" t="n">
        <f aca="false">IF(E395="","",ROUND(N(G395)*N(H395)/60,1))</f>
        <v>15</v>
      </c>
      <c r="Q395" s="57" t="str">
        <f aca="false">IF(E395="","",IF(COUNTIFS($C$2:C395,C395,$E$2:E395,E395,$B$2:B395,B395)&gt;1,"No","Yes"))</f>
        <v>Yes</v>
      </c>
      <c r="R395" s="61" t="str">
        <f aca="false">IF(E395="","",IF(Q395="No","Duplicate of an earlier response",IF(L395="Not on SITES","Site not on SITES",IF(N(G395)&gt;N(F395),"Present is more than enrolled",IF(OR(I395&lt;1,I395&gt;5),"Score outside 1 to 5","")))))</f>
        <v/>
      </c>
    </row>
    <row r="396" customFormat="false" ht="15" hidden="false" customHeight="false" outlineLevel="0" collapsed="false">
      <c r="A396" s="52" t="n">
        <v>46043.6435185185</v>
      </c>
      <c r="B396" s="53" t="s">
        <v>129</v>
      </c>
      <c r="C396" s="53" t="s">
        <v>137</v>
      </c>
      <c r="D396" s="53" t="s">
        <v>138</v>
      </c>
      <c r="E396" s="54" t="n">
        <v>46043</v>
      </c>
      <c r="F396" s="55" t="n">
        <v>18</v>
      </c>
      <c r="G396" s="55" t="n">
        <v>16</v>
      </c>
      <c r="H396" s="55" t="n">
        <v>90</v>
      </c>
      <c r="I396" s="56" t="n">
        <v>3.7</v>
      </c>
      <c r="J396" s="53" t="s">
        <v>152</v>
      </c>
      <c r="K396" s="53"/>
      <c r="L396" s="57" t="str">
        <f aca="false">IF(C396="","",IFERROR(INDEX(site_ID,MATCH(C396,site_Name,0)),"Not on SITES"))</f>
        <v>LW-115</v>
      </c>
      <c r="M396" s="58" t="n">
        <f aca="false">IF(E396="","",DATE(YEAR(E396),MONTH(E396),1))</f>
        <v>46023</v>
      </c>
      <c r="N396" s="57" t="str">
        <f aca="false">IF(E396="","","FY"&amp;(YEAR(E396)+IF(AND(FYStart&gt;1,MONTH(E396)&gt;=FYStart),1,0))&amp;" Q"&amp;(INT(MOD(MONTH(E396)-FYStart,12)/3)+1))</f>
        <v>FY2026 Q3</v>
      </c>
      <c r="O396" s="59" t="n">
        <f aca="false">IF(OR(E396="",N(F396)=0),"",G396/F396)</f>
        <v>0.888888888888889</v>
      </c>
      <c r="P396" s="60" t="n">
        <f aca="false">IF(E396="","",ROUND(N(G396)*N(H396)/60,1))</f>
        <v>24</v>
      </c>
      <c r="Q396" s="57" t="str">
        <f aca="false">IF(E396="","",IF(COUNTIFS($C$2:C396,C396,$E$2:E396,E396,$B$2:B396,B396)&gt;1,"No","Yes"))</f>
        <v>Yes</v>
      </c>
      <c r="R396" s="61" t="str">
        <f aca="false">IF(E396="","",IF(Q396="No","Duplicate of an earlier response",IF(L396="Not on SITES","Site not on SITES",IF(N(G396)&gt;N(F396),"Present is more than enrolled",IF(OR(I396&lt;1,I396&gt;5),"Score outside 1 to 5","")))))</f>
        <v/>
      </c>
    </row>
    <row r="397" customFormat="false" ht="15" hidden="false" customHeight="false" outlineLevel="0" collapsed="false">
      <c r="A397" s="52" t="n">
        <v>46043.6853240741</v>
      </c>
      <c r="B397" s="53" t="s">
        <v>105</v>
      </c>
      <c r="C397" s="53" t="s">
        <v>118</v>
      </c>
      <c r="D397" s="53" t="s">
        <v>119</v>
      </c>
      <c r="E397" s="54" t="n">
        <v>46043</v>
      </c>
      <c r="F397" s="55" t="n">
        <v>22</v>
      </c>
      <c r="G397" s="55" t="n">
        <v>17</v>
      </c>
      <c r="H397" s="55" t="n">
        <v>90</v>
      </c>
      <c r="I397" s="56" t="n">
        <v>3.6</v>
      </c>
      <c r="J397" s="53" t="s">
        <v>159</v>
      </c>
      <c r="K397" s="53"/>
      <c r="L397" s="57" t="str">
        <f aca="false">IF(C397="","",IFERROR(INDEX(site_ID,MATCH(C397,site_Name,0)),"Not on SITES"))</f>
        <v>LW-111</v>
      </c>
      <c r="M397" s="58" t="n">
        <f aca="false">IF(E397="","",DATE(YEAR(E397),MONTH(E397),1))</f>
        <v>46023</v>
      </c>
      <c r="N397" s="57" t="str">
        <f aca="false">IF(E397="","","FY"&amp;(YEAR(E397)+IF(AND(FYStart&gt;1,MONTH(E397)&gt;=FYStart),1,0))&amp;" Q"&amp;(INT(MOD(MONTH(E397)-FYStart,12)/3)+1))</f>
        <v>FY2026 Q3</v>
      </c>
      <c r="O397" s="59" t="n">
        <f aca="false">IF(OR(E397="",N(F397)=0),"",G397/F397)</f>
        <v>0.772727272727273</v>
      </c>
      <c r="P397" s="60" t="n">
        <f aca="false">IF(E397="","",ROUND(N(G397)*N(H397)/60,1))</f>
        <v>25.5</v>
      </c>
      <c r="Q397" s="57" t="str">
        <f aca="false">IF(E397="","",IF(COUNTIFS($C$2:C397,C397,$E$2:E397,E397,$B$2:B397,B397)&gt;1,"No","Yes"))</f>
        <v>Yes</v>
      </c>
      <c r="R397" s="61" t="str">
        <f aca="false">IF(E397="","",IF(Q397="No","Duplicate of an earlier response",IF(L397="Not on SITES","Site not on SITES",IF(N(G397)&gt;N(F397),"Present is more than enrolled",IF(OR(I397&lt;1,I397&gt;5),"Score outside 1 to 5","")))))</f>
        <v/>
      </c>
    </row>
    <row r="398" customFormat="false" ht="15" hidden="false" customHeight="false" outlineLevel="0" collapsed="false">
      <c r="A398" s="52" t="n">
        <v>46043.6963310185</v>
      </c>
      <c r="B398" s="53" t="s">
        <v>111</v>
      </c>
      <c r="C398" s="53" t="s">
        <v>112</v>
      </c>
      <c r="D398" s="53" t="s">
        <v>113</v>
      </c>
      <c r="E398" s="54" t="n">
        <v>46043</v>
      </c>
      <c r="F398" s="55" t="n">
        <v>15</v>
      </c>
      <c r="G398" s="55" t="n">
        <v>12</v>
      </c>
      <c r="H398" s="55" t="n">
        <v>75</v>
      </c>
      <c r="I398" s="56" t="n">
        <v>3.8</v>
      </c>
      <c r="J398" s="53" t="s">
        <v>165</v>
      </c>
      <c r="K398" s="53"/>
      <c r="L398" s="57" t="str">
        <f aca="false">IF(C398="","",IFERROR(INDEX(site_ID,MATCH(C398,site_Name,0)),"Not on SITES"))</f>
        <v>LW-120</v>
      </c>
      <c r="M398" s="58" t="n">
        <f aca="false">IF(E398="","",DATE(YEAR(E398),MONTH(E398),1))</f>
        <v>46023</v>
      </c>
      <c r="N398" s="57" t="str">
        <f aca="false">IF(E398="","","FY"&amp;(YEAR(E398)+IF(AND(FYStart&gt;1,MONTH(E398)&gt;=FYStart),1,0))&amp;" Q"&amp;(INT(MOD(MONTH(E398)-FYStart,12)/3)+1))</f>
        <v>FY2026 Q3</v>
      </c>
      <c r="O398" s="59" t="n">
        <f aca="false">IF(OR(E398="",N(F398)=0),"",G398/F398)</f>
        <v>0.8</v>
      </c>
      <c r="P398" s="60" t="n">
        <f aca="false">IF(E398="","",ROUND(N(G398)*N(H398)/60,1))</f>
        <v>15</v>
      </c>
      <c r="Q398" s="57" t="str">
        <f aca="false">IF(E398="","",IF(COUNTIFS($C$2:C398,C398,$E$2:E398,E398,$B$2:B398,B398)&gt;1,"No","Yes"))</f>
        <v>Yes</v>
      </c>
      <c r="R398" s="61" t="str">
        <f aca="false">IF(E398="","",IF(Q398="No","Duplicate of an earlier response",IF(L398="Not on SITES","Site not on SITES",IF(N(G398)&gt;N(F398),"Present is more than enrolled",IF(OR(I398&lt;1,I398&gt;5),"Score outside 1 to 5","")))))</f>
        <v/>
      </c>
    </row>
    <row r="399" customFormat="false" ht="15" hidden="false" customHeight="false" outlineLevel="0" collapsed="false">
      <c r="A399" s="52" t="n">
        <v>46043.7470833333</v>
      </c>
      <c r="B399" s="53" t="s">
        <v>140</v>
      </c>
      <c r="C399" s="53" t="s">
        <v>141</v>
      </c>
      <c r="D399" s="53" t="s">
        <v>116</v>
      </c>
      <c r="E399" s="54" t="n">
        <v>46043</v>
      </c>
      <c r="F399" s="55" t="n">
        <v>13</v>
      </c>
      <c r="G399" s="55" t="n">
        <v>10</v>
      </c>
      <c r="H399" s="55" t="n">
        <v>60</v>
      </c>
      <c r="I399" s="56" t="n">
        <v>4</v>
      </c>
      <c r="J399" s="53" t="s">
        <v>160</v>
      </c>
      <c r="K399" s="53"/>
      <c r="L399" s="57" t="str">
        <f aca="false">IF(C399="","",IFERROR(INDEX(site_ID,MATCH(C399,site_Name,0)),"Not on SITES"))</f>
        <v>LW-118</v>
      </c>
      <c r="M399" s="58" t="n">
        <f aca="false">IF(E399="","",DATE(YEAR(E399),MONTH(E399),1))</f>
        <v>46023</v>
      </c>
      <c r="N399" s="57" t="str">
        <f aca="false">IF(E399="","","FY"&amp;(YEAR(E399)+IF(AND(FYStart&gt;1,MONTH(E399)&gt;=FYStart),1,0))&amp;" Q"&amp;(INT(MOD(MONTH(E399)-FYStart,12)/3)+1))</f>
        <v>FY2026 Q3</v>
      </c>
      <c r="O399" s="59" t="n">
        <f aca="false">IF(OR(E399="",N(F399)=0),"",G399/F399)</f>
        <v>0.769230769230769</v>
      </c>
      <c r="P399" s="60" t="n">
        <f aca="false">IF(E399="","",ROUND(N(G399)*N(H399)/60,1))</f>
        <v>10</v>
      </c>
      <c r="Q399" s="57" t="str">
        <f aca="false">IF(E399="","",IF(COUNTIFS($C$2:C399,C399,$E$2:E399,E399,$B$2:B399,B399)&gt;1,"No","Yes"))</f>
        <v>Yes</v>
      </c>
      <c r="R399" s="61" t="str">
        <f aca="false">IF(E399="","",IF(Q399="No","Duplicate of an earlier response",IF(L399="Not on SITES","Site not on SITES",IF(N(G399)&gt;N(F399),"Present is more than enrolled",IF(OR(I399&lt;1,I399&gt;5),"Score outside 1 to 5","")))))</f>
        <v/>
      </c>
    </row>
    <row r="400" customFormat="false" ht="15" hidden="false" customHeight="false" outlineLevel="0" collapsed="false">
      <c r="A400" s="52" t="n">
        <v>46043.7571759259</v>
      </c>
      <c r="B400" s="53" t="s">
        <v>132</v>
      </c>
      <c r="C400" s="53" t="s">
        <v>145</v>
      </c>
      <c r="D400" s="53" t="s">
        <v>119</v>
      </c>
      <c r="E400" s="54" t="n">
        <v>46043</v>
      </c>
      <c r="F400" s="55" t="n">
        <v>19</v>
      </c>
      <c r="G400" s="55" t="n">
        <v>15</v>
      </c>
      <c r="H400" s="55" t="n">
        <v>60</v>
      </c>
      <c r="I400" s="56" t="n">
        <v>3.7</v>
      </c>
      <c r="J400" s="53" t="s">
        <v>144</v>
      </c>
      <c r="K400" s="53"/>
      <c r="L400" s="57" t="str">
        <f aca="false">IF(C400="","",IFERROR(INDEX(site_ID,MATCH(C400,site_Name,0)),"Not on SITES"))</f>
        <v>LW-101</v>
      </c>
      <c r="M400" s="58" t="n">
        <f aca="false">IF(E400="","",DATE(YEAR(E400),MONTH(E400),1))</f>
        <v>46023</v>
      </c>
      <c r="N400" s="57" t="str">
        <f aca="false">IF(E400="","","FY"&amp;(YEAR(E400)+IF(AND(FYStart&gt;1,MONTH(E400)&gt;=FYStart),1,0))&amp;" Q"&amp;(INT(MOD(MONTH(E400)-FYStart,12)/3)+1))</f>
        <v>FY2026 Q3</v>
      </c>
      <c r="O400" s="59" t="n">
        <f aca="false">IF(OR(E400="",N(F400)=0),"",G400/F400)</f>
        <v>0.789473684210526</v>
      </c>
      <c r="P400" s="60" t="n">
        <f aca="false">IF(E400="","",ROUND(N(G400)*N(H400)/60,1))</f>
        <v>15</v>
      </c>
      <c r="Q400" s="57" t="str">
        <f aca="false">IF(E400="","",IF(COUNTIFS($C$2:C400,C400,$E$2:E400,E400,$B$2:B400,B400)&gt;1,"No","Yes"))</f>
        <v>Yes</v>
      </c>
      <c r="R400" s="61" t="str">
        <f aca="false">IF(E400="","",IF(Q400="No","Duplicate of an earlier response",IF(L400="Not on SITES","Site not on SITES",IF(N(G400)&gt;N(F400),"Present is more than enrolled",IF(OR(I400&lt;1,I400&gt;5),"Score outside 1 to 5","")))))</f>
        <v/>
      </c>
    </row>
    <row r="401" customFormat="false" ht="15" hidden="false" customHeight="false" outlineLevel="0" collapsed="false">
      <c r="A401" s="52" t="n">
        <v>46043.7655671296</v>
      </c>
      <c r="B401" s="53" t="s">
        <v>140</v>
      </c>
      <c r="C401" s="53" t="s">
        <v>115</v>
      </c>
      <c r="D401" s="53" t="s">
        <v>116</v>
      </c>
      <c r="E401" s="54" t="n">
        <v>46041</v>
      </c>
      <c r="F401" s="55" t="n">
        <v>16</v>
      </c>
      <c r="G401" s="55" t="n">
        <v>15</v>
      </c>
      <c r="H401" s="55" t="n">
        <v>60</v>
      </c>
      <c r="I401" s="56" t="n">
        <v>3.8</v>
      </c>
      <c r="J401" s="53" t="s">
        <v>153</v>
      </c>
      <c r="K401" s="53"/>
      <c r="L401" s="57" t="str">
        <f aca="false">IF(C401="","",IFERROR(INDEX(site_ID,MATCH(C401,site_Name,0)),"Not on SITES"))</f>
        <v>LW-119</v>
      </c>
      <c r="M401" s="58" t="n">
        <f aca="false">IF(E401="","",DATE(YEAR(E401),MONTH(E401),1))</f>
        <v>46023</v>
      </c>
      <c r="N401" s="57" t="str">
        <f aca="false">IF(E401="","","FY"&amp;(YEAR(E401)+IF(AND(FYStart&gt;1,MONTH(E401)&gt;=FYStart),1,0))&amp;" Q"&amp;(INT(MOD(MONTH(E401)-FYStart,12)/3)+1))</f>
        <v>FY2026 Q3</v>
      </c>
      <c r="O401" s="59" t="n">
        <f aca="false">IF(OR(E401="",N(F401)=0),"",G401/F401)</f>
        <v>0.9375</v>
      </c>
      <c r="P401" s="60" t="n">
        <f aca="false">IF(E401="","",ROUND(N(G401)*N(H401)/60,1))</f>
        <v>15</v>
      </c>
      <c r="Q401" s="57" t="str">
        <f aca="false">IF(E401="","",IF(COUNTIFS($C$2:C401,C401,$E$2:E401,E401,$B$2:B401,B401)&gt;1,"No","Yes"))</f>
        <v>Yes</v>
      </c>
      <c r="R401" s="61" t="str">
        <f aca="false">IF(E401="","",IF(Q401="No","Duplicate of an earlier response",IF(L401="Not on SITES","Site not on SITES",IF(N(G401)&gt;N(F401),"Present is more than enrolled",IF(OR(I401&lt;1,I401&gt;5),"Score outside 1 to 5","")))))</f>
        <v/>
      </c>
    </row>
    <row r="402" customFormat="false" ht="15" hidden="false" customHeight="false" outlineLevel="0" collapsed="false">
      <c r="A402" s="52" t="n">
        <v>46043.7979513889</v>
      </c>
      <c r="B402" s="53" t="s">
        <v>140</v>
      </c>
      <c r="C402" s="53" t="s">
        <v>142</v>
      </c>
      <c r="D402" s="53" t="s">
        <v>113</v>
      </c>
      <c r="E402" s="54" t="n">
        <v>46043</v>
      </c>
      <c r="F402" s="55" t="n">
        <v>18</v>
      </c>
      <c r="G402" s="55" t="n">
        <v>17</v>
      </c>
      <c r="H402" s="55" t="n">
        <v>60</v>
      </c>
      <c r="I402" s="56" t="n">
        <v>3</v>
      </c>
      <c r="J402" s="53" t="s">
        <v>136</v>
      </c>
      <c r="K402" s="53"/>
      <c r="L402" s="57" t="str">
        <f aca="false">IF(C402="","",IFERROR(INDEX(site_ID,MATCH(C402,site_Name,0)),"Not on SITES"))</f>
        <v>LW-102</v>
      </c>
      <c r="M402" s="58" t="n">
        <f aca="false">IF(E402="","",DATE(YEAR(E402),MONTH(E402),1))</f>
        <v>46023</v>
      </c>
      <c r="N402" s="57" t="str">
        <f aca="false">IF(E402="","","FY"&amp;(YEAR(E402)+IF(AND(FYStart&gt;1,MONTH(E402)&gt;=FYStart),1,0))&amp;" Q"&amp;(INT(MOD(MONTH(E402)-FYStart,12)/3)+1))</f>
        <v>FY2026 Q3</v>
      </c>
      <c r="O402" s="59" t="n">
        <f aca="false">IF(OR(E402="",N(F402)=0),"",G402/F402)</f>
        <v>0.944444444444444</v>
      </c>
      <c r="P402" s="60" t="n">
        <f aca="false">IF(E402="","",ROUND(N(G402)*N(H402)/60,1))</f>
        <v>17</v>
      </c>
      <c r="Q402" s="57" t="str">
        <f aca="false">IF(E402="","",IF(COUNTIFS($C$2:C402,C402,$E$2:E402,E402,$B$2:B402,B402)&gt;1,"No","Yes"))</f>
        <v>Yes</v>
      </c>
      <c r="R402" s="61" t="str">
        <f aca="false">IF(E402="","",IF(Q402="No","Duplicate of an earlier response",IF(L402="Not on SITES","Site not on SITES",IF(N(G402)&gt;N(F402),"Present is more than enrolled",IF(OR(I402&lt;1,I402&gt;5),"Score outside 1 to 5","")))))</f>
        <v/>
      </c>
    </row>
    <row r="403" customFormat="false" ht="15" hidden="false" customHeight="false" outlineLevel="0" collapsed="false">
      <c r="A403" s="52" t="n">
        <v>46044.6373148148</v>
      </c>
      <c r="B403" s="53" t="s">
        <v>132</v>
      </c>
      <c r="C403" s="53" t="s">
        <v>149</v>
      </c>
      <c r="D403" s="53" t="s">
        <v>113</v>
      </c>
      <c r="E403" s="54" t="n">
        <v>46044</v>
      </c>
      <c r="F403" s="55" t="n">
        <v>21</v>
      </c>
      <c r="G403" s="55" t="n">
        <v>17</v>
      </c>
      <c r="H403" s="55" t="n">
        <v>60</v>
      </c>
      <c r="I403" s="56" t="n">
        <v>3.4</v>
      </c>
      <c r="J403" s="53" t="s">
        <v>131</v>
      </c>
      <c r="K403" s="53"/>
      <c r="L403" s="57" t="str">
        <f aca="false">IF(C403="","",IFERROR(INDEX(site_ID,MATCH(C403,site_Name,0)),"Not on SITES"))</f>
        <v>LW-112</v>
      </c>
      <c r="M403" s="58" t="n">
        <f aca="false">IF(E403="","",DATE(YEAR(E403),MONTH(E403),1))</f>
        <v>46023</v>
      </c>
      <c r="N403" s="57" t="str">
        <f aca="false">IF(E403="","","FY"&amp;(YEAR(E403)+IF(AND(FYStart&gt;1,MONTH(E403)&gt;=FYStart),1,0))&amp;" Q"&amp;(INT(MOD(MONTH(E403)-FYStart,12)/3)+1))</f>
        <v>FY2026 Q3</v>
      </c>
      <c r="O403" s="59" t="n">
        <f aca="false">IF(OR(E403="",N(F403)=0),"",G403/F403)</f>
        <v>0.80952380952381</v>
      </c>
      <c r="P403" s="60" t="n">
        <f aca="false">IF(E403="","",ROUND(N(G403)*N(H403)/60,1))</f>
        <v>17</v>
      </c>
      <c r="Q403" s="57" t="str">
        <f aca="false">IF(E403="","",IF(COUNTIFS($C$2:C403,C403,$E$2:E403,E403,$B$2:B403,B403)&gt;1,"No","Yes"))</f>
        <v>Yes</v>
      </c>
      <c r="R403" s="61" t="str">
        <f aca="false">IF(E403="","",IF(Q403="No","Duplicate of an earlier response",IF(L403="Not on SITES","Site not on SITES",IF(N(G403)&gt;N(F403),"Present is more than enrolled",IF(OR(I403&lt;1,I403&gt;5),"Score outside 1 to 5","")))))</f>
        <v/>
      </c>
    </row>
    <row r="404" customFormat="false" ht="15" hidden="false" customHeight="false" outlineLevel="0" collapsed="false">
      <c r="A404" s="52" t="n">
        <v>46044.6620833333</v>
      </c>
      <c r="B404" s="53" t="s">
        <v>124</v>
      </c>
      <c r="C404" s="53" t="s">
        <v>154</v>
      </c>
      <c r="D404" s="53" t="s">
        <v>116</v>
      </c>
      <c r="E404" s="54" t="n">
        <v>46044</v>
      </c>
      <c r="F404" s="55" t="n">
        <v>18</v>
      </c>
      <c r="G404" s="55" t="n">
        <v>15</v>
      </c>
      <c r="H404" s="55" t="n">
        <v>60</v>
      </c>
      <c r="I404" s="56" t="n">
        <v>3.8</v>
      </c>
      <c r="J404" s="53" t="s">
        <v>123</v>
      </c>
      <c r="K404" s="53"/>
      <c r="L404" s="57" t="str">
        <f aca="false">IF(C404="","",IFERROR(INDEX(site_ID,MATCH(C404,site_Name,0)),"Not on SITES"))</f>
        <v>LW-114</v>
      </c>
      <c r="M404" s="58" t="n">
        <f aca="false">IF(E404="","",DATE(YEAR(E404),MONTH(E404),1))</f>
        <v>46023</v>
      </c>
      <c r="N404" s="57" t="str">
        <f aca="false">IF(E404="","","FY"&amp;(YEAR(E404)+IF(AND(FYStart&gt;1,MONTH(E404)&gt;=FYStart),1,0))&amp;" Q"&amp;(INT(MOD(MONTH(E404)-FYStart,12)/3)+1))</f>
        <v>FY2026 Q3</v>
      </c>
      <c r="O404" s="59" t="n">
        <f aca="false">IF(OR(E404="",N(F404)=0),"",G404/F404)</f>
        <v>0.833333333333333</v>
      </c>
      <c r="P404" s="60" t="n">
        <f aca="false">IF(E404="","",ROUND(N(G404)*N(H404)/60,1))</f>
        <v>15</v>
      </c>
      <c r="Q404" s="57" t="str">
        <f aca="false">IF(E404="","",IF(COUNTIFS($C$2:C404,C404,$E$2:E404,E404,$B$2:B404,B404)&gt;1,"No","Yes"))</f>
        <v>Yes</v>
      </c>
      <c r="R404" s="61" t="str">
        <f aca="false">IF(E404="","",IF(Q404="No","Duplicate of an earlier response",IF(L404="Not on SITES","Site not on SITES",IF(N(G404)&gt;N(F404),"Present is more than enrolled",IF(OR(I404&lt;1,I404&gt;5),"Score outside 1 to 5","")))))</f>
        <v/>
      </c>
    </row>
    <row r="405" customFormat="false" ht="15" hidden="false" customHeight="false" outlineLevel="0" collapsed="false">
      <c r="A405" s="52" t="n">
        <v>46044.8246412037</v>
      </c>
      <c r="B405" s="53" t="s">
        <v>132</v>
      </c>
      <c r="C405" s="53" t="s">
        <v>133</v>
      </c>
      <c r="D405" s="53" t="s">
        <v>116</v>
      </c>
      <c r="E405" s="54" t="n">
        <v>46042</v>
      </c>
      <c r="F405" s="55" t="n">
        <v>17</v>
      </c>
      <c r="G405" s="55" t="n">
        <v>15</v>
      </c>
      <c r="H405" s="55" t="n">
        <v>60</v>
      </c>
      <c r="I405" s="56" t="n">
        <v>3.3</v>
      </c>
      <c r="J405" s="53" t="s">
        <v>160</v>
      </c>
      <c r="K405" s="53"/>
      <c r="L405" s="57" t="str">
        <f aca="false">IF(C405="","",IFERROR(INDEX(site_ID,MATCH(C405,site_Name,0)),"Not on SITES"))</f>
        <v>LW-109</v>
      </c>
      <c r="M405" s="58" t="n">
        <f aca="false">IF(E405="","",DATE(YEAR(E405),MONTH(E405),1))</f>
        <v>46023</v>
      </c>
      <c r="N405" s="57" t="str">
        <f aca="false">IF(E405="","","FY"&amp;(YEAR(E405)+IF(AND(FYStart&gt;1,MONTH(E405)&gt;=FYStart),1,0))&amp;" Q"&amp;(INT(MOD(MONTH(E405)-FYStart,12)/3)+1))</f>
        <v>FY2026 Q3</v>
      </c>
      <c r="O405" s="59" t="n">
        <f aca="false">IF(OR(E405="",N(F405)=0),"",G405/F405)</f>
        <v>0.882352941176471</v>
      </c>
      <c r="P405" s="60" t="n">
        <f aca="false">IF(E405="","",ROUND(N(G405)*N(H405)/60,1))</f>
        <v>15</v>
      </c>
      <c r="Q405" s="57" t="str">
        <f aca="false">IF(E405="","",IF(COUNTIFS($C$2:C405,C405,$E$2:E405,E405,$B$2:B405,B405)&gt;1,"No","Yes"))</f>
        <v>Yes</v>
      </c>
      <c r="R405" s="61" t="str">
        <f aca="false">IF(E405="","",IF(Q405="No","Duplicate of an earlier response",IF(L405="Not on SITES","Site not on SITES",IF(N(G405)&gt;N(F405),"Present is more than enrolled",IF(OR(I405&lt;1,I405&gt;5),"Score outside 1 to 5","")))))</f>
        <v/>
      </c>
    </row>
    <row r="406" customFormat="false" ht="15" hidden="false" customHeight="false" outlineLevel="0" collapsed="false">
      <c r="A406" s="52" t="n">
        <v>46044.8263888889</v>
      </c>
      <c r="B406" s="53" t="s">
        <v>111</v>
      </c>
      <c r="C406" s="53" t="s">
        <v>148</v>
      </c>
      <c r="D406" s="53" t="s">
        <v>116</v>
      </c>
      <c r="E406" s="54" t="n">
        <v>46044</v>
      </c>
      <c r="F406" s="55" t="n">
        <v>16</v>
      </c>
      <c r="G406" s="55" t="n">
        <v>12</v>
      </c>
      <c r="H406" s="55" t="n">
        <v>90</v>
      </c>
      <c r="I406" s="56" t="n">
        <v>3.6</v>
      </c>
      <c r="J406" s="53" t="s">
        <v>117</v>
      </c>
      <c r="K406" s="53"/>
      <c r="L406" s="57" t="str">
        <f aca="false">IF(C406="","",IFERROR(INDEX(site_ID,MATCH(C406,site_Name,0)),"Not on SITES"))</f>
        <v>LW-104</v>
      </c>
      <c r="M406" s="58" t="n">
        <f aca="false">IF(E406="","",DATE(YEAR(E406),MONTH(E406),1))</f>
        <v>46023</v>
      </c>
      <c r="N406" s="57" t="str">
        <f aca="false">IF(E406="","","FY"&amp;(YEAR(E406)+IF(AND(FYStart&gt;1,MONTH(E406)&gt;=FYStart),1,0))&amp;" Q"&amp;(INT(MOD(MONTH(E406)-FYStart,12)/3)+1))</f>
        <v>FY2026 Q3</v>
      </c>
      <c r="O406" s="59" t="n">
        <f aca="false">IF(OR(E406="",N(F406)=0),"",G406/F406)</f>
        <v>0.75</v>
      </c>
      <c r="P406" s="60" t="n">
        <f aca="false">IF(E406="","",ROUND(N(G406)*N(H406)/60,1))</f>
        <v>18</v>
      </c>
      <c r="Q406" s="57" t="str">
        <f aca="false">IF(E406="","",IF(COUNTIFS($C$2:C406,C406,$E$2:E406,E406,$B$2:B406,B406)&gt;1,"No","Yes"))</f>
        <v>Yes</v>
      </c>
      <c r="R406" s="61" t="str">
        <f aca="false">IF(E406="","",IF(Q406="No","Duplicate of an earlier response",IF(L406="Not on SITES","Site not on SITES",IF(N(G406)&gt;N(F406),"Present is more than enrolled",IF(OR(I406&lt;1,I406&gt;5),"Score outside 1 to 5","")))))</f>
        <v/>
      </c>
    </row>
    <row r="407" customFormat="false" ht="15" hidden="false" customHeight="false" outlineLevel="0" collapsed="false">
      <c r="A407" s="52" t="n">
        <v>46044.8432986111</v>
      </c>
      <c r="B407" s="53" t="s">
        <v>121</v>
      </c>
      <c r="C407" s="53" t="s">
        <v>122</v>
      </c>
      <c r="D407" s="53" t="s">
        <v>116</v>
      </c>
      <c r="E407" s="54" t="n">
        <v>46044</v>
      </c>
      <c r="F407" s="55" t="n">
        <v>16</v>
      </c>
      <c r="G407" s="55" t="n">
        <v>15</v>
      </c>
      <c r="H407" s="55" t="n">
        <v>75</v>
      </c>
      <c r="I407" s="56" t="n">
        <v>3.4</v>
      </c>
      <c r="J407" s="53" t="s">
        <v>153</v>
      </c>
      <c r="K407" s="53"/>
      <c r="L407" s="57" t="str">
        <f aca="false">IF(C407="","",IFERROR(INDEX(site_ID,MATCH(C407,site_Name,0)),"Not on SITES"))</f>
        <v>LW-116</v>
      </c>
      <c r="M407" s="58" t="n">
        <f aca="false">IF(E407="","",DATE(YEAR(E407),MONTH(E407),1))</f>
        <v>46023</v>
      </c>
      <c r="N407" s="57" t="str">
        <f aca="false">IF(E407="","","FY"&amp;(YEAR(E407)+IF(AND(FYStart&gt;1,MONTH(E407)&gt;=FYStart),1,0))&amp;" Q"&amp;(INT(MOD(MONTH(E407)-FYStart,12)/3)+1))</f>
        <v>FY2026 Q3</v>
      </c>
      <c r="O407" s="59" t="n">
        <f aca="false">IF(OR(E407="",N(F407)=0),"",G407/F407)</f>
        <v>0.9375</v>
      </c>
      <c r="P407" s="60" t="n">
        <f aca="false">IF(E407="","",ROUND(N(G407)*N(H407)/60,1))</f>
        <v>18.8</v>
      </c>
      <c r="Q407" s="57" t="str">
        <f aca="false">IF(E407="","",IF(COUNTIFS($C$2:C407,C407,$E$2:E407,E407,$B$2:B407,B407)&gt;1,"No","Yes"))</f>
        <v>Yes</v>
      </c>
      <c r="R407" s="61" t="str">
        <f aca="false">IF(E407="","",IF(Q407="No","Duplicate of an earlier response",IF(L407="Not on SITES","Site not on SITES",IF(N(G407)&gt;N(F407),"Present is more than enrolled",IF(OR(I407&lt;1,I407&gt;5),"Score outside 1 to 5","")))))</f>
        <v/>
      </c>
    </row>
    <row r="408" customFormat="false" ht="15" hidden="false" customHeight="false" outlineLevel="0" collapsed="false">
      <c r="A408" s="52" t="n">
        <v>46045.7209722222</v>
      </c>
      <c r="B408" s="53" t="s">
        <v>129</v>
      </c>
      <c r="C408" s="53" t="s">
        <v>137</v>
      </c>
      <c r="D408" s="53" t="s">
        <v>138</v>
      </c>
      <c r="E408" s="54" t="n">
        <v>46045</v>
      </c>
      <c r="F408" s="55" t="n">
        <v>18</v>
      </c>
      <c r="G408" s="55" t="n">
        <v>15</v>
      </c>
      <c r="H408" s="55" t="n">
        <v>90</v>
      </c>
      <c r="I408" s="56" t="n">
        <v>3.8</v>
      </c>
      <c r="J408" s="53" t="s">
        <v>139</v>
      </c>
      <c r="K408" s="53"/>
      <c r="L408" s="57" t="str">
        <f aca="false">IF(C408="","",IFERROR(INDEX(site_ID,MATCH(C408,site_Name,0)),"Not on SITES"))</f>
        <v>LW-115</v>
      </c>
      <c r="M408" s="58" t="n">
        <f aca="false">IF(E408="","",DATE(YEAR(E408),MONTH(E408),1))</f>
        <v>46023</v>
      </c>
      <c r="N408" s="57" t="str">
        <f aca="false">IF(E408="","","FY"&amp;(YEAR(E408)+IF(AND(FYStart&gt;1,MONTH(E408)&gt;=FYStart),1,0))&amp;" Q"&amp;(INT(MOD(MONTH(E408)-FYStart,12)/3)+1))</f>
        <v>FY2026 Q3</v>
      </c>
      <c r="O408" s="59" t="n">
        <f aca="false">IF(OR(E408="",N(F408)=0),"",G408/F408)</f>
        <v>0.833333333333333</v>
      </c>
      <c r="P408" s="60" t="n">
        <f aca="false">IF(E408="","",ROUND(N(G408)*N(H408)/60,1))</f>
        <v>22.5</v>
      </c>
      <c r="Q408" s="57" t="str">
        <f aca="false">IF(E408="","",IF(COUNTIFS($C$2:C408,C408,$E$2:E408,E408,$B$2:B408,B408)&gt;1,"No","Yes"))</f>
        <v>Yes</v>
      </c>
      <c r="R408" s="61" t="str">
        <f aca="false">IF(E408="","",IF(Q408="No","Duplicate of an earlier response",IF(L408="Not on SITES","Site not on SITES",IF(N(G408)&gt;N(F408),"Present is more than enrolled",IF(OR(I408&lt;1,I408&gt;5),"Score outside 1 to 5","")))))</f>
        <v/>
      </c>
    </row>
    <row r="409" customFormat="false" ht="15" hidden="false" customHeight="false" outlineLevel="0" collapsed="false">
      <c r="A409" s="52" t="n">
        <v>46045.7351273148</v>
      </c>
      <c r="B409" s="53" t="s">
        <v>132</v>
      </c>
      <c r="C409" s="53" t="s">
        <v>150</v>
      </c>
      <c r="D409" s="53" t="s">
        <v>138</v>
      </c>
      <c r="E409" s="54" t="n">
        <v>46044</v>
      </c>
      <c r="F409" s="55" t="n">
        <v>21</v>
      </c>
      <c r="G409" s="55" t="n">
        <v>19</v>
      </c>
      <c r="H409" s="55" t="n">
        <v>90</v>
      </c>
      <c r="I409" s="56" t="n">
        <v>3.6</v>
      </c>
      <c r="J409" s="53" t="s">
        <v>152</v>
      </c>
      <c r="K409" s="53"/>
      <c r="L409" s="57" t="str">
        <f aca="false">IF(C409="","",IFERROR(INDEX(site_ID,MATCH(C409,site_Name,0)),"Not on SITES"))</f>
        <v>LW-117</v>
      </c>
      <c r="M409" s="58" t="n">
        <f aca="false">IF(E409="","",DATE(YEAR(E409),MONTH(E409),1))</f>
        <v>46023</v>
      </c>
      <c r="N409" s="57" t="str">
        <f aca="false">IF(E409="","","FY"&amp;(YEAR(E409)+IF(AND(FYStart&gt;1,MONTH(E409)&gt;=FYStart),1,0))&amp;" Q"&amp;(INT(MOD(MONTH(E409)-FYStart,12)/3)+1))</f>
        <v>FY2026 Q3</v>
      </c>
      <c r="O409" s="59" t="n">
        <f aca="false">IF(OR(E409="",N(F409)=0),"",G409/F409)</f>
        <v>0.904761904761905</v>
      </c>
      <c r="P409" s="60" t="n">
        <f aca="false">IF(E409="","",ROUND(N(G409)*N(H409)/60,1))</f>
        <v>28.5</v>
      </c>
      <c r="Q409" s="57" t="str">
        <f aca="false">IF(E409="","",IF(COUNTIFS($C$2:C409,C409,$E$2:E409,E409,$B$2:B409,B409)&gt;1,"No","Yes"))</f>
        <v>Yes</v>
      </c>
      <c r="R409" s="61" t="str">
        <f aca="false">IF(E409="","",IF(Q409="No","Duplicate of an earlier response",IF(L409="Not on SITES","Site not on SITES",IF(N(G409)&gt;N(F409),"Present is more than enrolled",IF(OR(I409&lt;1,I409&gt;5),"Score outside 1 to 5","")))))</f>
        <v/>
      </c>
    </row>
    <row r="410" customFormat="false" ht="15" hidden="false" customHeight="false" outlineLevel="0" collapsed="false">
      <c r="A410" s="52" t="n">
        <v>46045.7690625</v>
      </c>
      <c r="B410" s="53" t="s">
        <v>140</v>
      </c>
      <c r="C410" s="53" t="s">
        <v>141</v>
      </c>
      <c r="D410" s="53" t="s">
        <v>116</v>
      </c>
      <c r="E410" s="54" t="n">
        <v>46045</v>
      </c>
      <c r="F410" s="55" t="n">
        <v>13</v>
      </c>
      <c r="G410" s="55" t="n">
        <v>11</v>
      </c>
      <c r="H410" s="55" t="n">
        <v>90</v>
      </c>
      <c r="I410" s="56" t="n">
        <v>3.6</v>
      </c>
      <c r="J410" s="53" t="s">
        <v>160</v>
      </c>
      <c r="K410" s="53"/>
      <c r="L410" s="57" t="str">
        <f aca="false">IF(C410="","",IFERROR(INDEX(site_ID,MATCH(C410,site_Name,0)),"Not on SITES"))</f>
        <v>LW-118</v>
      </c>
      <c r="M410" s="58" t="n">
        <f aca="false">IF(E410="","",DATE(YEAR(E410),MONTH(E410),1))</f>
        <v>46023</v>
      </c>
      <c r="N410" s="57" t="str">
        <f aca="false">IF(E410="","","FY"&amp;(YEAR(E410)+IF(AND(FYStart&gt;1,MONTH(E410)&gt;=FYStart),1,0))&amp;" Q"&amp;(INT(MOD(MONTH(E410)-FYStart,12)/3)+1))</f>
        <v>FY2026 Q3</v>
      </c>
      <c r="O410" s="59" t="n">
        <f aca="false">IF(OR(E410="",N(F410)=0),"",G410/F410)</f>
        <v>0.846153846153846</v>
      </c>
      <c r="P410" s="60" t="n">
        <f aca="false">IF(E410="","",ROUND(N(G410)*N(H410)/60,1))</f>
        <v>16.5</v>
      </c>
      <c r="Q410" s="57" t="str">
        <f aca="false">IF(E410="","",IF(COUNTIFS($C$2:C410,C410,$E$2:E410,E410,$B$2:B410,B410)&gt;1,"No","Yes"))</f>
        <v>Yes</v>
      </c>
      <c r="R410" s="61" t="str">
        <f aca="false">IF(E410="","",IF(Q410="No","Duplicate of an earlier response",IF(L410="Not on SITES","Site not on SITES",IF(N(G410)&gt;N(F410),"Present is more than enrolled",IF(OR(I410&lt;1,I410&gt;5),"Score outside 1 to 5","")))))</f>
        <v/>
      </c>
    </row>
    <row r="411" customFormat="false" ht="15" hidden="false" customHeight="false" outlineLevel="0" collapsed="false">
      <c r="A411" s="52" t="n">
        <v>46048.720462963</v>
      </c>
      <c r="B411" s="53" t="s">
        <v>105</v>
      </c>
      <c r="C411" s="53" t="s">
        <v>118</v>
      </c>
      <c r="D411" s="53" t="s">
        <v>119</v>
      </c>
      <c r="E411" s="54" t="n">
        <v>46048</v>
      </c>
      <c r="F411" s="55" t="n">
        <v>22</v>
      </c>
      <c r="G411" s="55" t="n">
        <v>19</v>
      </c>
      <c r="H411" s="55" t="n">
        <v>60</v>
      </c>
      <c r="I411" s="56" t="n">
        <v>3.4</v>
      </c>
      <c r="J411" s="53" t="s">
        <v>159</v>
      </c>
      <c r="K411" s="53"/>
      <c r="L411" s="57" t="str">
        <f aca="false">IF(C411="","",IFERROR(INDEX(site_ID,MATCH(C411,site_Name,0)),"Not on SITES"))</f>
        <v>LW-111</v>
      </c>
      <c r="M411" s="58" t="n">
        <f aca="false">IF(E411="","",DATE(YEAR(E411),MONTH(E411),1))</f>
        <v>46023</v>
      </c>
      <c r="N411" s="57" t="str">
        <f aca="false">IF(E411="","","FY"&amp;(YEAR(E411)+IF(AND(FYStart&gt;1,MONTH(E411)&gt;=FYStart),1,0))&amp;" Q"&amp;(INT(MOD(MONTH(E411)-FYStart,12)/3)+1))</f>
        <v>FY2026 Q3</v>
      </c>
      <c r="O411" s="59" t="n">
        <f aca="false">IF(OR(E411="",N(F411)=0),"",G411/F411)</f>
        <v>0.863636363636364</v>
      </c>
      <c r="P411" s="60" t="n">
        <f aca="false">IF(E411="","",ROUND(N(G411)*N(H411)/60,1))</f>
        <v>19</v>
      </c>
      <c r="Q411" s="57" t="str">
        <f aca="false">IF(E411="","",IF(COUNTIFS($C$2:C411,C411,$E$2:E411,E411,$B$2:B411,B411)&gt;1,"No","Yes"))</f>
        <v>Yes</v>
      </c>
      <c r="R411" s="61" t="str">
        <f aca="false">IF(E411="","",IF(Q411="No","Duplicate of an earlier response",IF(L411="Not on SITES","Site not on SITES",IF(N(G411)&gt;N(F411),"Present is more than enrolled",IF(OR(I411&lt;1,I411&gt;5),"Score outside 1 to 5","")))))</f>
        <v/>
      </c>
    </row>
    <row r="412" customFormat="false" ht="15" hidden="false" customHeight="false" outlineLevel="0" collapsed="false">
      <c r="A412" s="52" t="n">
        <v>46048.7910300926</v>
      </c>
      <c r="B412" s="53" t="s">
        <v>111</v>
      </c>
      <c r="C412" s="53" t="s">
        <v>112</v>
      </c>
      <c r="D412" s="53" t="s">
        <v>113</v>
      </c>
      <c r="E412" s="54" t="n">
        <v>46048</v>
      </c>
      <c r="F412" s="55" t="n">
        <v>15</v>
      </c>
      <c r="G412" s="55" t="n">
        <v>13</v>
      </c>
      <c r="H412" s="55" t="n">
        <v>60</v>
      </c>
      <c r="I412" s="56" t="n">
        <v>3.5</v>
      </c>
      <c r="J412" s="53" t="s">
        <v>165</v>
      </c>
      <c r="K412" s="53"/>
      <c r="L412" s="57" t="str">
        <f aca="false">IF(C412="","",IFERROR(INDEX(site_ID,MATCH(C412,site_Name,0)),"Not on SITES"))</f>
        <v>LW-120</v>
      </c>
      <c r="M412" s="58" t="n">
        <f aca="false">IF(E412="","",DATE(YEAR(E412),MONTH(E412),1))</f>
        <v>46023</v>
      </c>
      <c r="N412" s="57" t="str">
        <f aca="false">IF(E412="","","FY"&amp;(YEAR(E412)+IF(AND(FYStart&gt;1,MONTH(E412)&gt;=FYStart),1,0))&amp;" Q"&amp;(INT(MOD(MONTH(E412)-FYStart,12)/3)+1))</f>
        <v>FY2026 Q3</v>
      </c>
      <c r="O412" s="59" t="n">
        <f aca="false">IF(OR(E412="",N(F412)=0),"",G412/F412)</f>
        <v>0.866666666666667</v>
      </c>
      <c r="P412" s="60" t="n">
        <f aca="false">IF(E412="","",ROUND(N(G412)*N(H412)/60,1))</f>
        <v>13</v>
      </c>
      <c r="Q412" s="57" t="str">
        <f aca="false">IF(E412="","",IF(COUNTIFS($C$2:C412,C412,$E$2:E412,E412,$B$2:B412,B412)&gt;1,"No","Yes"))</f>
        <v>Yes</v>
      </c>
      <c r="R412" s="61" t="str">
        <f aca="false">IF(E412="","",IF(Q412="No","Duplicate of an earlier response",IF(L412="Not on SITES","Site not on SITES",IF(N(G412)&gt;N(F412),"Present is more than enrolled",IF(OR(I412&lt;1,I412&gt;5),"Score outside 1 to 5","")))))</f>
        <v/>
      </c>
    </row>
    <row r="413" customFormat="false" ht="15" hidden="false" customHeight="false" outlineLevel="0" collapsed="false">
      <c r="A413" s="52" t="n">
        <v>46048.815162037</v>
      </c>
      <c r="B413" s="53" t="s">
        <v>109</v>
      </c>
      <c r="C413" s="53" t="s">
        <v>110</v>
      </c>
      <c r="D413" s="53" t="s">
        <v>107</v>
      </c>
      <c r="E413" s="54" t="n">
        <v>46048</v>
      </c>
      <c r="F413" s="55" t="n">
        <v>21</v>
      </c>
      <c r="G413" s="55" t="n">
        <v>14</v>
      </c>
      <c r="H413" s="55" t="n">
        <v>90</v>
      </c>
      <c r="I413" s="56" t="n">
        <v>3.8</v>
      </c>
      <c r="J413" s="53" t="s">
        <v>155</v>
      </c>
      <c r="K413" s="53"/>
      <c r="L413" s="57" t="str">
        <f aca="false">IF(C413="","",IFERROR(INDEX(site_ID,MATCH(C413,site_Name,0)),"Not on SITES"))</f>
        <v>LW-113</v>
      </c>
      <c r="M413" s="58" t="n">
        <f aca="false">IF(E413="","",DATE(YEAR(E413),MONTH(E413),1))</f>
        <v>46023</v>
      </c>
      <c r="N413" s="57" t="str">
        <f aca="false">IF(E413="","","FY"&amp;(YEAR(E413)+IF(AND(FYStart&gt;1,MONTH(E413)&gt;=FYStart),1,0))&amp;" Q"&amp;(INT(MOD(MONTH(E413)-FYStart,12)/3)+1))</f>
        <v>FY2026 Q3</v>
      </c>
      <c r="O413" s="59" t="n">
        <f aca="false">IF(OR(E413="",N(F413)=0),"",G413/F413)</f>
        <v>0.666666666666667</v>
      </c>
      <c r="P413" s="60" t="n">
        <f aca="false">IF(E413="","",ROUND(N(G413)*N(H413)/60,1))</f>
        <v>21</v>
      </c>
      <c r="Q413" s="57" t="str">
        <f aca="false">IF(E413="","",IF(COUNTIFS($C$2:C413,C413,$E$2:E413,E413,$B$2:B413,B413)&gt;1,"No","Yes"))</f>
        <v>Yes</v>
      </c>
      <c r="R413" s="61" t="str">
        <f aca="false">IF(E413="","",IF(Q413="No","Duplicate of an earlier response",IF(L413="Not on SITES","Site not on SITES",IF(N(G413)&gt;N(F413),"Present is more than enrolled",IF(OR(I413&lt;1,I413&gt;5),"Score outside 1 to 5","")))))</f>
        <v/>
      </c>
    </row>
    <row r="414" customFormat="false" ht="15" hidden="false" customHeight="false" outlineLevel="0" collapsed="false">
      <c r="A414" s="52" t="n">
        <v>46048.8552777778</v>
      </c>
      <c r="B414" s="53" t="s">
        <v>105</v>
      </c>
      <c r="C414" s="53" t="s">
        <v>115</v>
      </c>
      <c r="D414" s="53" t="s">
        <v>116</v>
      </c>
      <c r="E414" s="54" t="n">
        <v>46048</v>
      </c>
      <c r="F414" s="55" t="n">
        <v>16</v>
      </c>
      <c r="G414" s="55" t="n">
        <v>14</v>
      </c>
      <c r="H414" s="55" t="n">
        <v>75</v>
      </c>
      <c r="I414" s="56" t="n">
        <v>3.2</v>
      </c>
      <c r="J414" s="53" t="s">
        <v>123</v>
      </c>
      <c r="K414" s="53"/>
      <c r="L414" s="57" t="str">
        <f aca="false">IF(C414="","",IFERROR(INDEX(site_ID,MATCH(C414,site_Name,0)),"Not on SITES"))</f>
        <v>LW-119</v>
      </c>
      <c r="M414" s="58" t="n">
        <f aca="false">IF(E414="","",DATE(YEAR(E414),MONTH(E414),1))</f>
        <v>46023</v>
      </c>
      <c r="N414" s="57" t="str">
        <f aca="false">IF(E414="","","FY"&amp;(YEAR(E414)+IF(AND(FYStart&gt;1,MONTH(E414)&gt;=FYStart),1,0))&amp;" Q"&amp;(INT(MOD(MONTH(E414)-FYStart,12)/3)+1))</f>
        <v>FY2026 Q3</v>
      </c>
      <c r="O414" s="59" t="n">
        <f aca="false">IF(OR(E414="",N(F414)=0),"",G414/F414)</f>
        <v>0.875</v>
      </c>
      <c r="P414" s="60" t="n">
        <f aca="false">IF(E414="","",ROUND(N(G414)*N(H414)/60,1))</f>
        <v>17.5</v>
      </c>
      <c r="Q414" s="57" t="str">
        <f aca="false">IF(E414="","",IF(COUNTIFS($C$2:C414,C414,$E$2:E414,E414,$B$2:B414,B414)&gt;1,"No","Yes"))</f>
        <v>Yes</v>
      </c>
      <c r="R414" s="61" t="str">
        <f aca="false">IF(E414="","",IF(Q414="No","Duplicate of an earlier response",IF(L414="Not on SITES","Site not on SITES",IF(N(G414)&gt;N(F414),"Present is more than enrolled",IF(OR(I414&lt;1,I414&gt;5),"Score outside 1 to 5","")))))</f>
        <v/>
      </c>
    </row>
    <row r="415" customFormat="false" ht="15" hidden="false" customHeight="false" outlineLevel="0" collapsed="false">
      <c r="A415" s="52" t="n">
        <v>46048.8667708333</v>
      </c>
      <c r="B415" s="53" t="s">
        <v>105</v>
      </c>
      <c r="C415" s="53" t="s">
        <v>106</v>
      </c>
      <c r="D415" s="53" t="s">
        <v>107</v>
      </c>
      <c r="E415" s="54" t="n">
        <v>46048</v>
      </c>
      <c r="F415" s="55" t="n">
        <v>16</v>
      </c>
      <c r="G415" s="55" t="n">
        <v>11</v>
      </c>
      <c r="H415" s="55" t="n">
        <v>90</v>
      </c>
      <c r="I415" s="56" t="n">
        <v>3.3</v>
      </c>
      <c r="J415" s="53" t="s">
        <v>166</v>
      </c>
      <c r="K415" s="53"/>
      <c r="L415" s="57" t="str">
        <f aca="false">IF(C415="","",IFERROR(INDEX(site_ID,MATCH(C415,site_Name,0)),"Not on SITES"))</f>
        <v>LW-103</v>
      </c>
      <c r="M415" s="58" t="n">
        <f aca="false">IF(E415="","",DATE(YEAR(E415),MONTH(E415),1))</f>
        <v>46023</v>
      </c>
      <c r="N415" s="57" t="str">
        <f aca="false">IF(E415="","","FY"&amp;(YEAR(E415)+IF(AND(FYStart&gt;1,MONTH(E415)&gt;=FYStart),1,0))&amp;" Q"&amp;(INT(MOD(MONTH(E415)-FYStart,12)/3)+1))</f>
        <v>FY2026 Q3</v>
      </c>
      <c r="O415" s="59" t="n">
        <f aca="false">IF(OR(E415="",N(F415)=0),"",G415/F415)</f>
        <v>0.6875</v>
      </c>
      <c r="P415" s="60" t="n">
        <f aca="false">IF(E415="","",ROUND(N(G415)*N(H415)/60,1))</f>
        <v>16.5</v>
      </c>
      <c r="Q415" s="57" t="str">
        <f aca="false">IF(E415="","",IF(COUNTIFS($C$2:C415,C415,$E$2:E415,E415,$B$2:B415,B415)&gt;1,"No","Yes"))</f>
        <v>Yes</v>
      </c>
      <c r="R415" s="61" t="str">
        <f aca="false">IF(E415="","",IF(Q415="No","Duplicate of an earlier response",IF(L415="Not on SITES","Site not on SITES",IF(N(G415)&gt;N(F415),"Present is more than enrolled",IF(OR(I415&lt;1,I415&gt;5),"Score outside 1 to 5","")))))</f>
        <v/>
      </c>
    </row>
    <row r="416" customFormat="false" ht="15" hidden="false" customHeight="false" outlineLevel="0" collapsed="false">
      <c r="A416" s="52" t="n">
        <v>46049.6335532407</v>
      </c>
      <c r="B416" s="53" t="s">
        <v>121</v>
      </c>
      <c r="C416" s="53" t="s">
        <v>127</v>
      </c>
      <c r="D416" s="53" t="s">
        <v>107</v>
      </c>
      <c r="E416" s="54" t="n">
        <v>46049</v>
      </c>
      <c r="F416" s="55" t="n">
        <v>15</v>
      </c>
      <c r="G416" s="55" t="n">
        <v>12</v>
      </c>
      <c r="H416" s="55" t="n">
        <v>60</v>
      </c>
      <c r="I416" s="56" t="n">
        <v>3.5</v>
      </c>
      <c r="J416" s="53" t="s">
        <v>128</v>
      </c>
      <c r="K416" s="53"/>
      <c r="L416" s="57" t="str">
        <f aca="false">IF(C416="","",IFERROR(INDEX(site_ID,MATCH(C416,site_Name,0)),"Not on SITES"))</f>
        <v>LW-108</v>
      </c>
      <c r="M416" s="58" t="n">
        <f aca="false">IF(E416="","",DATE(YEAR(E416),MONTH(E416),1))</f>
        <v>46023</v>
      </c>
      <c r="N416" s="57" t="str">
        <f aca="false">IF(E416="","","FY"&amp;(YEAR(E416)+IF(AND(FYStart&gt;1,MONTH(E416)&gt;=FYStart),1,0))&amp;" Q"&amp;(INT(MOD(MONTH(E416)-FYStart,12)/3)+1))</f>
        <v>FY2026 Q3</v>
      </c>
      <c r="O416" s="59" t="n">
        <f aca="false">IF(OR(E416="",N(F416)=0),"",G416/F416)</f>
        <v>0.8</v>
      </c>
      <c r="P416" s="60" t="n">
        <f aca="false">IF(E416="","",ROUND(N(G416)*N(H416)/60,1))</f>
        <v>12</v>
      </c>
      <c r="Q416" s="57" t="str">
        <f aca="false">IF(E416="","",IF(COUNTIFS($C$2:C416,C416,$E$2:E416,E416,$B$2:B416,B416)&gt;1,"No","Yes"))</f>
        <v>Yes</v>
      </c>
      <c r="R416" s="61" t="str">
        <f aca="false">IF(E416="","",IF(Q416="No","Duplicate of an earlier response",IF(L416="Not on SITES","Site not on SITES",IF(N(G416)&gt;N(F416),"Present is more than enrolled",IF(OR(I416&lt;1,I416&gt;5),"Score outside 1 to 5","")))))</f>
        <v/>
      </c>
    </row>
    <row r="417" customFormat="false" ht="15" hidden="false" customHeight="false" outlineLevel="0" collapsed="false">
      <c r="A417" s="52" t="n">
        <v>46049.6432291667</v>
      </c>
      <c r="B417" s="53" t="s">
        <v>129</v>
      </c>
      <c r="C417" s="53" t="s">
        <v>130</v>
      </c>
      <c r="D417" s="53" t="s">
        <v>113</v>
      </c>
      <c r="E417" s="54" t="n">
        <v>46049</v>
      </c>
      <c r="F417" s="55" t="n">
        <v>16</v>
      </c>
      <c r="G417" s="55" t="n">
        <v>12</v>
      </c>
      <c r="H417" s="55" t="n">
        <v>60</v>
      </c>
      <c r="I417" s="56" t="n">
        <v>3.4</v>
      </c>
      <c r="J417" s="53" t="s">
        <v>131</v>
      </c>
      <c r="K417" s="53"/>
      <c r="L417" s="57" t="str">
        <f aca="false">IF(C417="","",IFERROR(INDEX(site_ID,MATCH(C417,site_Name,0)),"Not on SITES"))</f>
        <v>LW-107</v>
      </c>
      <c r="M417" s="58" t="n">
        <f aca="false">IF(E417="","",DATE(YEAR(E417),MONTH(E417),1))</f>
        <v>46023</v>
      </c>
      <c r="N417" s="57" t="str">
        <f aca="false">IF(E417="","","FY"&amp;(YEAR(E417)+IF(AND(FYStart&gt;1,MONTH(E417)&gt;=FYStart),1,0))&amp;" Q"&amp;(INT(MOD(MONTH(E417)-FYStart,12)/3)+1))</f>
        <v>FY2026 Q3</v>
      </c>
      <c r="O417" s="59" t="n">
        <f aca="false">IF(OR(E417="",N(F417)=0),"",G417/F417)</f>
        <v>0.75</v>
      </c>
      <c r="P417" s="60" t="n">
        <f aca="false">IF(E417="","",ROUND(N(G417)*N(H417)/60,1))</f>
        <v>12</v>
      </c>
      <c r="Q417" s="57" t="str">
        <f aca="false">IF(E417="","",IF(COUNTIFS($C$2:C417,C417,$E$2:E417,E417,$B$2:B417,B417)&gt;1,"No","Yes"))</f>
        <v>Yes</v>
      </c>
      <c r="R417" s="61" t="str">
        <f aca="false">IF(E417="","",IF(Q417="No","Duplicate of an earlier response",IF(L417="Not on SITES","Site not on SITES",IF(N(G417)&gt;N(F417),"Present is more than enrolled",IF(OR(I417&lt;1,I417&gt;5),"Score outside 1 to 5","")))))</f>
        <v/>
      </c>
    </row>
    <row r="418" customFormat="false" ht="15" hidden="false" customHeight="false" outlineLevel="0" collapsed="false">
      <c r="A418" s="52" t="n">
        <v>46049.7913773148</v>
      </c>
      <c r="B418" s="53" t="s">
        <v>124</v>
      </c>
      <c r="C418" s="53" t="s">
        <v>125</v>
      </c>
      <c r="D418" s="53" t="s">
        <v>119</v>
      </c>
      <c r="E418" s="54" t="n">
        <v>46049</v>
      </c>
      <c r="F418" s="55" t="n">
        <v>18</v>
      </c>
      <c r="G418" s="55" t="n">
        <v>15</v>
      </c>
      <c r="H418" s="55" t="n">
        <v>60</v>
      </c>
      <c r="I418" s="56" t="n">
        <v>3.1</v>
      </c>
      <c r="J418" s="53" t="s">
        <v>144</v>
      </c>
      <c r="K418" s="53"/>
      <c r="L418" s="57" t="str">
        <f aca="false">IF(C418="","",IFERROR(INDEX(site_ID,MATCH(C418,site_Name,0)),"Not on SITES"))</f>
        <v>LW-106</v>
      </c>
      <c r="M418" s="58" t="n">
        <f aca="false">IF(E418="","",DATE(YEAR(E418),MONTH(E418),1))</f>
        <v>46023</v>
      </c>
      <c r="N418" s="57" t="str">
        <f aca="false">IF(E418="","","FY"&amp;(YEAR(E418)+IF(AND(FYStart&gt;1,MONTH(E418)&gt;=FYStart),1,0))&amp;" Q"&amp;(INT(MOD(MONTH(E418)-FYStart,12)/3)+1))</f>
        <v>FY2026 Q3</v>
      </c>
      <c r="O418" s="59" t="n">
        <f aca="false">IF(OR(E418="",N(F418)=0),"",G418/F418)</f>
        <v>0.833333333333333</v>
      </c>
      <c r="P418" s="60" t="n">
        <f aca="false">IF(E418="","",ROUND(N(G418)*N(H418)/60,1))</f>
        <v>15</v>
      </c>
      <c r="Q418" s="57" t="str">
        <f aca="false">IF(E418="","",IF(COUNTIFS($C$2:C418,C418,$E$2:E418,E418,$B$2:B418,B418)&gt;1,"No","Yes"))</f>
        <v>Yes</v>
      </c>
      <c r="R418" s="61" t="str">
        <f aca="false">IF(E418="","",IF(Q418="No","Duplicate of an earlier response",IF(L418="Not on SITES","Site not on SITES",IF(N(G418)&gt;N(F418),"Present is more than enrolled",IF(OR(I418&lt;1,I418&gt;5),"Score outside 1 to 5","")))))</f>
        <v/>
      </c>
    </row>
    <row r="419" customFormat="false" ht="15" hidden="false" customHeight="false" outlineLevel="0" collapsed="false">
      <c r="A419" s="52" t="n">
        <v>46049.8372453704</v>
      </c>
      <c r="B419" s="53" t="s">
        <v>121</v>
      </c>
      <c r="C419" s="53" t="s">
        <v>122</v>
      </c>
      <c r="D419" s="53" t="s">
        <v>116</v>
      </c>
      <c r="E419" s="54" t="n">
        <v>46049</v>
      </c>
      <c r="F419" s="55" t="n">
        <v>16</v>
      </c>
      <c r="G419" s="55" t="n">
        <v>11</v>
      </c>
      <c r="H419" s="55" t="n">
        <v>60</v>
      </c>
      <c r="I419" s="56" t="n">
        <v>3.4</v>
      </c>
      <c r="J419" s="53" t="s">
        <v>117</v>
      </c>
      <c r="K419" s="53"/>
      <c r="L419" s="57" t="str">
        <f aca="false">IF(C419="","",IFERROR(INDEX(site_ID,MATCH(C419,site_Name,0)),"Not on SITES"))</f>
        <v>LW-116</v>
      </c>
      <c r="M419" s="58" t="n">
        <f aca="false">IF(E419="","",DATE(YEAR(E419),MONTH(E419),1))</f>
        <v>46023</v>
      </c>
      <c r="N419" s="57" t="str">
        <f aca="false">IF(E419="","","FY"&amp;(YEAR(E419)+IF(AND(FYStart&gt;1,MONTH(E419)&gt;=FYStart),1,0))&amp;" Q"&amp;(INT(MOD(MONTH(E419)-FYStart,12)/3)+1))</f>
        <v>FY2026 Q3</v>
      </c>
      <c r="O419" s="59" t="n">
        <f aca="false">IF(OR(E419="",N(F419)=0),"",G419/F419)</f>
        <v>0.6875</v>
      </c>
      <c r="P419" s="60" t="n">
        <f aca="false">IF(E419="","",ROUND(N(G419)*N(H419)/60,1))</f>
        <v>11</v>
      </c>
      <c r="Q419" s="57" t="str">
        <f aca="false">IF(E419="","",IF(COUNTIFS($C$2:C419,C419,$E$2:E419,E419,$B$2:B419,B419)&gt;1,"No","Yes"))</f>
        <v>Yes</v>
      </c>
      <c r="R419" s="61" t="str">
        <f aca="false">IF(E419="","",IF(Q419="No","Duplicate of an earlier response",IF(L419="Not on SITES","Site not on SITES",IF(N(G419)&gt;N(F419),"Present is more than enrolled",IF(OR(I419&lt;1,I419&gt;5),"Score outside 1 to 5","")))))</f>
        <v/>
      </c>
    </row>
    <row r="420" customFormat="false" ht="15" hidden="false" customHeight="false" outlineLevel="0" collapsed="false">
      <c r="A420" s="52" t="n">
        <v>46050.648587963</v>
      </c>
      <c r="B420" s="53" t="s">
        <v>140</v>
      </c>
      <c r="C420" s="53" t="s">
        <v>141</v>
      </c>
      <c r="D420" s="53" t="s">
        <v>116</v>
      </c>
      <c r="E420" s="54" t="n">
        <v>46050</v>
      </c>
      <c r="F420" s="55" t="n">
        <v>13</v>
      </c>
      <c r="G420" s="55" t="n">
        <v>10</v>
      </c>
      <c r="H420" s="55" t="n">
        <v>90</v>
      </c>
      <c r="I420" s="56" t="n">
        <v>3.8</v>
      </c>
      <c r="J420" s="53" t="s">
        <v>153</v>
      </c>
      <c r="K420" s="53"/>
      <c r="L420" s="57" t="str">
        <f aca="false">IF(C420="","",IFERROR(INDEX(site_ID,MATCH(C420,site_Name,0)),"Not on SITES"))</f>
        <v>LW-118</v>
      </c>
      <c r="M420" s="58" t="n">
        <f aca="false">IF(E420="","",DATE(YEAR(E420),MONTH(E420),1))</f>
        <v>46023</v>
      </c>
      <c r="N420" s="57" t="str">
        <f aca="false">IF(E420="","","FY"&amp;(YEAR(E420)+IF(AND(FYStart&gt;1,MONTH(E420)&gt;=FYStart),1,0))&amp;" Q"&amp;(INT(MOD(MONTH(E420)-FYStart,12)/3)+1))</f>
        <v>FY2026 Q3</v>
      </c>
      <c r="O420" s="59" t="n">
        <f aca="false">IF(OR(E420="",N(F420)=0),"",G420/F420)</f>
        <v>0.769230769230769</v>
      </c>
      <c r="P420" s="60" t="n">
        <f aca="false">IF(E420="","",ROUND(N(G420)*N(H420)/60,1))</f>
        <v>15</v>
      </c>
      <c r="Q420" s="57" t="str">
        <f aca="false">IF(E420="","",IF(COUNTIFS($C$2:C420,C420,$E$2:E420,E420,$B$2:B420,B420)&gt;1,"No","Yes"))</f>
        <v>Yes</v>
      </c>
      <c r="R420" s="61" t="str">
        <f aca="false">IF(E420="","",IF(Q420="No","Duplicate of an earlier response",IF(L420="Not on SITES","Site not on SITES",IF(N(G420)&gt;N(F420),"Present is more than enrolled",IF(OR(I420&lt;1,I420&gt;5),"Score outside 1 to 5","")))))</f>
        <v/>
      </c>
    </row>
    <row r="421" customFormat="false" ht="15" hidden="false" customHeight="false" outlineLevel="0" collapsed="false">
      <c r="A421" s="52" t="n">
        <v>46050.7569675926</v>
      </c>
      <c r="B421" s="53" t="s">
        <v>111</v>
      </c>
      <c r="C421" s="53" t="s">
        <v>112</v>
      </c>
      <c r="D421" s="53" t="s">
        <v>113</v>
      </c>
      <c r="E421" s="54" t="n">
        <v>46050</v>
      </c>
      <c r="F421" s="55" t="n">
        <v>15</v>
      </c>
      <c r="G421" s="55" t="n">
        <v>13</v>
      </c>
      <c r="H421" s="55" t="n">
        <v>60</v>
      </c>
      <c r="I421" s="56" t="n">
        <v>3.8</v>
      </c>
      <c r="J421" s="53" t="s">
        <v>114</v>
      </c>
      <c r="K421" s="53"/>
      <c r="L421" s="57" t="str">
        <f aca="false">IF(C421="","",IFERROR(INDEX(site_ID,MATCH(C421,site_Name,0)),"Not on SITES"))</f>
        <v>LW-120</v>
      </c>
      <c r="M421" s="58" t="n">
        <f aca="false">IF(E421="","",DATE(YEAR(E421),MONTH(E421),1))</f>
        <v>46023</v>
      </c>
      <c r="N421" s="57" t="str">
        <f aca="false">IF(E421="","","FY"&amp;(YEAR(E421)+IF(AND(FYStart&gt;1,MONTH(E421)&gt;=FYStart),1,0))&amp;" Q"&amp;(INT(MOD(MONTH(E421)-FYStart,12)/3)+1))</f>
        <v>FY2026 Q3</v>
      </c>
      <c r="O421" s="59" t="n">
        <f aca="false">IF(OR(E421="",N(F421)=0),"",G421/F421)</f>
        <v>0.866666666666667</v>
      </c>
      <c r="P421" s="60" t="n">
        <f aca="false">IF(E421="","",ROUND(N(G421)*N(H421)/60,1))</f>
        <v>13</v>
      </c>
      <c r="Q421" s="57" t="str">
        <f aca="false">IF(E421="","",IF(COUNTIFS($C$2:C421,C421,$E$2:E421,E421,$B$2:B421,B421)&gt;1,"No","Yes"))</f>
        <v>Yes</v>
      </c>
      <c r="R421" s="61" t="str">
        <f aca="false">IF(E421="","",IF(Q421="No","Duplicate of an earlier response",IF(L421="Not on SITES","Site not on SITES",IF(N(G421)&gt;N(F421),"Present is more than enrolled",IF(OR(I421&lt;1,I421&gt;5),"Score outside 1 to 5","")))))</f>
        <v/>
      </c>
    </row>
    <row r="422" customFormat="false" ht="15" hidden="false" customHeight="false" outlineLevel="0" collapsed="false">
      <c r="A422" s="52" t="n">
        <v>46050.7760300926</v>
      </c>
      <c r="B422" s="53" t="s">
        <v>132</v>
      </c>
      <c r="C422" s="53" t="s">
        <v>133</v>
      </c>
      <c r="D422" s="53" t="s">
        <v>116</v>
      </c>
      <c r="E422" s="54" t="n">
        <v>46049</v>
      </c>
      <c r="F422" s="55" t="n">
        <v>17</v>
      </c>
      <c r="G422" s="55" t="n">
        <v>15</v>
      </c>
      <c r="H422" s="55" t="n">
        <v>75</v>
      </c>
      <c r="I422" s="56" t="n">
        <v>3.4</v>
      </c>
      <c r="J422" s="53" t="s">
        <v>134</v>
      </c>
      <c r="K422" s="53"/>
      <c r="L422" s="57" t="str">
        <f aca="false">IF(C422="","",IFERROR(INDEX(site_ID,MATCH(C422,site_Name,0)),"Not on SITES"))</f>
        <v>LW-109</v>
      </c>
      <c r="M422" s="58" t="n">
        <f aca="false">IF(E422="","",DATE(YEAR(E422),MONTH(E422),1))</f>
        <v>46023</v>
      </c>
      <c r="N422" s="57" t="str">
        <f aca="false">IF(E422="","","FY"&amp;(YEAR(E422)+IF(AND(FYStart&gt;1,MONTH(E422)&gt;=FYStart),1,0))&amp;" Q"&amp;(INT(MOD(MONTH(E422)-FYStart,12)/3)+1))</f>
        <v>FY2026 Q3</v>
      </c>
      <c r="O422" s="59" t="n">
        <f aca="false">IF(OR(E422="",N(F422)=0),"",G422/F422)</f>
        <v>0.882352941176471</v>
      </c>
      <c r="P422" s="60" t="n">
        <f aca="false">IF(E422="","",ROUND(N(G422)*N(H422)/60,1))</f>
        <v>18.8</v>
      </c>
      <c r="Q422" s="57" t="str">
        <f aca="false">IF(E422="","",IF(COUNTIFS($C$2:C422,C422,$E$2:E422,E422,$B$2:B422,B422)&gt;1,"No","Yes"))</f>
        <v>Yes</v>
      </c>
      <c r="R422" s="61" t="str">
        <f aca="false">IF(E422="","",IF(Q422="No","Duplicate of an earlier response",IF(L422="Not on SITES","Site not on SITES",IF(N(G422)&gt;N(F422),"Present is more than enrolled",IF(OR(I422&lt;1,I422&gt;5),"Score outside 1 to 5","")))))</f>
        <v/>
      </c>
    </row>
    <row r="423" customFormat="false" ht="15" hidden="false" customHeight="false" outlineLevel="0" collapsed="false">
      <c r="A423" s="52" t="n">
        <v>46050.8190162037</v>
      </c>
      <c r="B423" s="53" t="s">
        <v>140</v>
      </c>
      <c r="C423" s="53" t="s">
        <v>142</v>
      </c>
      <c r="D423" s="53" t="s">
        <v>113</v>
      </c>
      <c r="E423" s="54" t="n">
        <v>46050</v>
      </c>
      <c r="F423" s="55" t="n">
        <v>18</v>
      </c>
      <c r="G423" s="55" t="n">
        <v>16</v>
      </c>
      <c r="H423" s="55" t="n">
        <v>60</v>
      </c>
      <c r="I423" s="56" t="n">
        <v>3.3</v>
      </c>
      <c r="J423" s="53" t="s">
        <v>143</v>
      </c>
      <c r="K423" s="53"/>
      <c r="L423" s="57" t="str">
        <f aca="false">IF(C423="","",IFERROR(INDEX(site_ID,MATCH(C423,site_Name,0)),"Not on SITES"))</f>
        <v>LW-102</v>
      </c>
      <c r="M423" s="58" t="n">
        <f aca="false">IF(E423="","",DATE(YEAR(E423),MONTH(E423),1))</f>
        <v>46023</v>
      </c>
      <c r="N423" s="57" t="str">
        <f aca="false">IF(E423="","","FY"&amp;(YEAR(E423)+IF(AND(FYStart&gt;1,MONTH(E423)&gt;=FYStart),1,0))&amp;" Q"&amp;(INT(MOD(MONTH(E423)-FYStart,12)/3)+1))</f>
        <v>FY2026 Q3</v>
      </c>
      <c r="O423" s="59" t="n">
        <f aca="false">IF(OR(E423="",N(F423)=0),"",G423/F423)</f>
        <v>0.888888888888889</v>
      </c>
      <c r="P423" s="60" t="n">
        <f aca="false">IF(E423="","",ROUND(N(G423)*N(H423)/60,1))</f>
        <v>16</v>
      </c>
      <c r="Q423" s="57" t="str">
        <f aca="false">IF(E423="","",IF(COUNTIFS($C$2:C423,C423,$E$2:E423,E423,$B$2:B423,B423)&gt;1,"No","Yes"))</f>
        <v>Yes</v>
      </c>
      <c r="R423" s="61" t="str">
        <f aca="false">IF(E423="","",IF(Q423="No","Duplicate of an earlier response",IF(L423="Not on SITES","Site not on SITES",IF(N(G423)&gt;N(F423),"Present is more than enrolled",IF(OR(I423&lt;1,I423&gt;5),"Score outside 1 to 5","")))))</f>
        <v/>
      </c>
    </row>
    <row r="424" customFormat="false" ht="15" hidden="false" customHeight="false" outlineLevel="0" collapsed="false">
      <c r="A424" s="52" t="n">
        <v>46050.8229976852</v>
      </c>
      <c r="B424" s="53" t="s">
        <v>132</v>
      </c>
      <c r="C424" s="53" t="s">
        <v>145</v>
      </c>
      <c r="D424" s="53" t="s">
        <v>119</v>
      </c>
      <c r="E424" s="54" t="n">
        <v>46050</v>
      </c>
      <c r="F424" s="55" t="n">
        <v>19</v>
      </c>
      <c r="G424" s="55" t="n">
        <v>15</v>
      </c>
      <c r="H424" s="55" t="n">
        <v>60</v>
      </c>
      <c r="I424" s="56" t="n">
        <v>3.7</v>
      </c>
      <c r="J424" s="53" t="s">
        <v>157</v>
      </c>
      <c r="K424" s="53"/>
      <c r="L424" s="57" t="str">
        <f aca="false">IF(C424="","",IFERROR(INDEX(site_ID,MATCH(C424,site_Name,0)),"Not on SITES"))</f>
        <v>LW-101</v>
      </c>
      <c r="M424" s="58" t="n">
        <f aca="false">IF(E424="","",DATE(YEAR(E424),MONTH(E424),1))</f>
        <v>46023</v>
      </c>
      <c r="N424" s="57" t="str">
        <f aca="false">IF(E424="","","FY"&amp;(YEAR(E424)+IF(AND(FYStart&gt;1,MONTH(E424)&gt;=FYStart),1,0))&amp;" Q"&amp;(INT(MOD(MONTH(E424)-FYStart,12)/3)+1))</f>
        <v>FY2026 Q3</v>
      </c>
      <c r="O424" s="59" t="n">
        <f aca="false">IF(OR(E424="",N(F424)=0),"",G424/F424)</f>
        <v>0.789473684210526</v>
      </c>
      <c r="P424" s="60" t="n">
        <f aca="false">IF(E424="","",ROUND(N(G424)*N(H424)/60,1))</f>
        <v>15</v>
      </c>
      <c r="Q424" s="57" t="str">
        <f aca="false">IF(E424="","",IF(COUNTIFS($C$2:C424,C424,$E$2:E424,E424,$B$2:B424,B424)&gt;1,"No","Yes"))</f>
        <v>Yes</v>
      </c>
      <c r="R424" s="61" t="str">
        <f aca="false">IF(E424="","",IF(Q424="No","Duplicate of an earlier response",IF(L424="Not on SITES","Site not on SITES",IF(N(G424)&gt;N(F424),"Present is more than enrolled",IF(OR(I424&lt;1,I424&gt;5),"Score outside 1 to 5","")))))</f>
        <v/>
      </c>
    </row>
    <row r="425" customFormat="false" ht="15" hidden="false" customHeight="false" outlineLevel="0" collapsed="false">
      <c r="A425" s="52" t="n">
        <v>46050.8282523148</v>
      </c>
      <c r="B425" s="53" t="s">
        <v>105</v>
      </c>
      <c r="C425" s="53" t="s">
        <v>118</v>
      </c>
      <c r="D425" s="53" t="s">
        <v>119</v>
      </c>
      <c r="E425" s="54" t="n">
        <v>46050</v>
      </c>
      <c r="F425" s="55" t="n">
        <v>22</v>
      </c>
      <c r="G425" s="55" t="n">
        <v>16</v>
      </c>
      <c r="H425" s="55" t="n">
        <v>60</v>
      </c>
      <c r="I425" s="56" t="n">
        <v>3.4</v>
      </c>
      <c r="J425" s="53" t="s">
        <v>162</v>
      </c>
      <c r="K425" s="53"/>
      <c r="L425" s="57" t="str">
        <f aca="false">IF(C425="","",IFERROR(INDEX(site_ID,MATCH(C425,site_Name,0)),"Not on SITES"))</f>
        <v>LW-111</v>
      </c>
      <c r="M425" s="58" t="n">
        <f aca="false">IF(E425="","",DATE(YEAR(E425),MONTH(E425),1))</f>
        <v>46023</v>
      </c>
      <c r="N425" s="57" t="str">
        <f aca="false">IF(E425="","","FY"&amp;(YEAR(E425)+IF(AND(FYStart&gt;1,MONTH(E425)&gt;=FYStart),1,0))&amp;" Q"&amp;(INT(MOD(MONTH(E425)-FYStart,12)/3)+1))</f>
        <v>FY2026 Q3</v>
      </c>
      <c r="O425" s="59" t="n">
        <f aca="false">IF(OR(E425="",N(F425)=0),"",G425/F425)</f>
        <v>0.727272727272727</v>
      </c>
      <c r="P425" s="60" t="n">
        <f aca="false">IF(E425="","",ROUND(N(G425)*N(H425)/60,1))</f>
        <v>16</v>
      </c>
      <c r="Q425" s="57" t="str">
        <f aca="false">IF(E425="","",IF(COUNTIFS($C$2:C425,C425,$E$2:E425,E425,$B$2:B425,B425)&gt;1,"No","Yes"))</f>
        <v>Yes</v>
      </c>
      <c r="R425" s="61" t="str">
        <f aca="false">IF(E425="","",IF(Q425="No","Duplicate of an earlier response",IF(L425="Not on SITES","Site not on SITES",IF(N(G425)&gt;N(F425),"Present is more than enrolled",IF(OR(I425&lt;1,I425&gt;5),"Score outside 1 to 5","")))))</f>
        <v/>
      </c>
    </row>
    <row r="426" customFormat="false" ht="15" hidden="false" customHeight="false" outlineLevel="0" collapsed="false">
      <c r="A426" s="52" t="n">
        <v>46051.7022106482</v>
      </c>
      <c r="B426" s="53" t="s">
        <v>140</v>
      </c>
      <c r="C426" s="53" t="s">
        <v>149</v>
      </c>
      <c r="D426" s="53" t="s">
        <v>113</v>
      </c>
      <c r="E426" s="54" t="n">
        <v>46051</v>
      </c>
      <c r="F426" s="55" t="n">
        <v>21</v>
      </c>
      <c r="G426" s="55" t="n">
        <v>17</v>
      </c>
      <c r="H426" s="55" t="n">
        <v>60</v>
      </c>
      <c r="I426" s="56" t="n">
        <v>3.9</v>
      </c>
      <c r="J426" s="53" t="s">
        <v>131</v>
      </c>
      <c r="K426" s="53"/>
      <c r="L426" s="57" t="str">
        <f aca="false">IF(C426="","",IFERROR(INDEX(site_ID,MATCH(C426,site_Name,0)),"Not on SITES"))</f>
        <v>LW-112</v>
      </c>
      <c r="M426" s="58" t="n">
        <f aca="false">IF(E426="","",DATE(YEAR(E426),MONTH(E426),1))</f>
        <v>46023</v>
      </c>
      <c r="N426" s="57" t="str">
        <f aca="false">IF(E426="","","FY"&amp;(YEAR(E426)+IF(AND(FYStart&gt;1,MONTH(E426)&gt;=FYStart),1,0))&amp;" Q"&amp;(INT(MOD(MONTH(E426)-FYStart,12)/3)+1))</f>
        <v>FY2026 Q3</v>
      </c>
      <c r="O426" s="59" t="n">
        <f aca="false">IF(OR(E426="",N(F426)=0),"",G426/F426)</f>
        <v>0.80952380952381</v>
      </c>
      <c r="P426" s="60" t="n">
        <f aca="false">IF(E426="","",ROUND(N(G426)*N(H426)/60,1))</f>
        <v>17</v>
      </c>
      <c r="Q426" s="57" t="str">
        <f aca="false">IF(E426="","",IF(COUNTIFS($C$2:C426,C426,$E$2:E426,E426,$B$2:B426,B426)&gt;1,"No","Yes"))</f>
        <v>Yes</v>
      </c>
      <c r="R426" s="61" t="str">
        <f aca="false">IF(E426="","",IF(Q426="No","Duplicate of an earlier response",IF(L426="Not on SITES","Site not on SITES",IF(N(G426)&gt;N(F426),"Present is more than enrolled",IF(OR(I426&lt;1,I426&gt;5),"Score outside 1 to 5","")))))</f>
        <v/>
      </c>
    </row>
    <row r="427" customFormat="false" ht="15" hidden="false" customHeight="false" outlineLevel="0" collapsed="false">
      <c r="A427" s="52" t="n">
        <v>46051.7580787037</v>
      </c>
      <c r="B427" s="53" t="s">
        <v>111</v>
      </c>
      <c r="C427" s="53" t="s">
        <v>148</v>
      </c>
      <c r="D427" s="53" t="s">
        <v>116</v>
      </c>
      <c r="E427" s="54" t="n">
        <v>46051</v>
      </c>
      <c r="F427" s="55" t="n">
        <v>16</v>
      </c>
      <c r="G427" s="55" t="n">
        <v>11</v>
      </c>
      <c r="H427" s="55" t="n">
        <v>60</v>
      </c>
      <c r="I427" s="56" t="n">
        <v>3.7</v>
      </c>
      <c r="J427" s="53" t="s">
        <v>153</v>
      </c>
      <c r="K427" s="53"/>
      <c r="L427" s="57" t="str">
        <f aca="false">IF(C427="","",IFERROR(INDEX(site_ID,MATCH(C427,site_Name,0)),"Not on SITES"))</f>
        <v>LW-104</v>
      </c>
      <c r="M427" s="58" t="n">
        <f aca="false">IF(E427="","",DATE(YEAR(E427),MONTH(E427),1))</f>
        <v>46023</v>
      </c>
      <c r="N427" s="57" t="str">
        <f aca="false">IF(E427="","","FY"&amp;(YEAR(E427)+IF(AND(FYStart&gt;1,MONTH(E427)&gt;=FYStart),1,0))&amp;" Q"&amp;(INT(MOD(MONTH(E427)-FYStart,12)/3)+1))</f>
        <v>FY2026 Q3</v>
      </c>
      <c r="O427" s="59" t="n">
        <f aca="false">IF(OR(E427="",N(F427)=0),"",G427/F427)</f>
        <v>0.6875</v>
      </c>
      <c r="P427" s="60" t="n">
        <f aca="false">IF(E427="","",ROUND(N(G427)*N(H427)/60,1))</f>
        <v>11</v>
      </c>
      <c r="Q427" s="57" t="str">
        <f aca="false">IF(E427="","",IF(COUNTIFS($C$2:C427,C427,$E$2:E427,E427,$B$2:B427,B427)&gt;1,"No","Yes"))</f>
        <v>Yes</v>
      </c>
      <c r="R427" s="61" t="str">
        <f aca="false">IF(E427="","",IF(Q427="No","Duplicate of an earlier response",IF(L427="Not on SITES","Site not on SITES",IF(N(G427)&gt;N(F427),"Present is more than enrolled",IF(OR(I427&lt;1,I427&gt;5),"Score outside 1 to 5","")))))</f>
        <v/>
      </c>
    </row>
    <row r="428" customFormat="false" ht="15" hidden="false" customHeight="false" outlineLevel="0" collapsed="false">
      <c r="A428" s="52" t="n">
        <v>46051.8115393519</v>
      </c>
      <c r="B428" s="53" t="s">
        <v>121</v>
      </c>
      <c r="C428" s="53" t="s">
        <v>122</v>
      </c>
      <c r="D428" s="53" t="s">
        <v>116</v>
      </c>
      <c r="E428" s="54" t="n">
        <v>46051</v>
      </c>
      <c r="F428" s="55" t="n">
        <v>16</v>
      </c>
      <c r="G428" s="55" t="n">
        <v>11</v>
      </c>
      <c r="H428" s="55" t="n">
        <v>90</v>
      </c>
      <c r="I428" s="56" t="n">
        <v>3.7</v>
      </c>
      <c r="J428" s="53" t="s">
        <v>160</v>
      </c>
      <c r="K428" s="53"/>
      <c r="L428" s="57" t="str">
        <f aca="false">IF(C428="","",IFERROR(INDEX(site_ID,MATCH(C428,site_Name,0)),"Not on SITES"))</f>
        <v>LW-116</v>
      </c>
      <c r="M428" s="58" t="n">
        <f aca="false">IF(E428="","",DATE(YEAR(E428),MONTH(E428),1))</f>
        <v>46023</v>
      </c>
      <c r="N428" s="57" t="str">
        <f aca="false">IF(E428="","","FY"&amp;(YEAR(E428)+IF(AND(FYStart&gt;1,MONTH(E428)&gt;=FYStart),1,0))&amp;" Q"&amp;(INT(MOD(MONTH(E428)-FYStart,12)/3)+1))</f>
        <v>FY2026 Q3</v>
      </c>
      <c r="O428" s="59" t="n">
        <f aca="false">IF(OR(E428="",N(F428)=0),"",G428/F428)</f>
        <v>0.6875</v>
      </c>
      <c r="P428" s="60" t="n">
        <f aca="false">IF(E428="","",ROUND(N(G428)*N(H428)/60,1))</f>
        <v>16.5</v>
      </c>
      <c r="Q428" s="57" t="str">
        <f aca="false">IF(E428="","",IF(COUNTIFS($C$2:C428,C428,$E$2:E428,E428,$B$2:B428,B428)&gt;1,"No","Yes"))</f>
        <v>Yes</v>
      </c>
      <c r="R428" s="61" t="str">
        <f aca="false">IF(E428="","",IF(Q428="No","Duplicate of an earlier response",IF(L428="Not on SITES","Site not on SITES",IF(N(G428)&gt;N(F428),"Present is more than enrolled",IF(OR(I428&lt;1,I428&gt;5),"Score outside 1 to 5","")))))</f>
        <v/>
      </c>
    </row>
    <row r="429" customFormat="false" ht="15" hidden="false" customHeight="false" outlineLevel="0" collapsed="false">
      <c r="A429" s="52" t="n">
        <v>46051.8141666667</v>
      </c>
      <c r="B429" s="53" t="s">
        <v>124</v>
      </c>
      <c r="C429" s="53" t="s">
        <v>154</v>
      </c>
      <c r="D429" s="53" t="s">
        <v>116</v>
      </c>
      <c r="E429" s="54" t="n">
        <v>46051</v>
      </c>
      <c r="F429" s="55" t="n">
        <v>18</v>
      </c>
      <c r="G429" s="55" t="n">
        <v>15</v>
      </c>
      <c r="H429" s="55" t="n">
        <v>75</v>
      </c>
      <c r="I429" s="56" t="n">
        <v>4.1</v>
      </c>
      <c r="J429" s="53" t="s">
        <v>117</v>
      </c>
      <c r="K429" s="53"/>
      <c r="L429" s="57" t="str">
        <f aca="false">IF(C429="","",IFERROR(INDEX(site_ID,MATCH(C429,site_Name,0)),"Not on SITES"))</f>
        <v>LW-114</v>
      </c>
      <c r="M429" s="58" t="n">
        <f aca="false">IF(E429="","",DATE(YEAR(E429),MONTH(E429),1))</f>
        <v>46023</v>
      </c>
      <c r="N429" s="57" t="str">
        <f aca="false">IF(E429="","","FY"&amp;(YEAR(E429)+IF(AND(FYStart&gt;1,MONTH(E429)&gt;=FYStart),1,0))&amp;" Q"&amp;(INT(MOD(MONTH(E429)-FYStart,12)/3)+1))</f>
        <v>FY2026 Q3</v>
      </c>
      <c r="O429" s="59" t="n">
        <f aca="false">IF(OR(E429="",N(F429)=0),"",G429/F429)</f>
        <v>0.833333333333333</v>
      </c>
      <c r="P429" s="60" t="n">
        <f aca="false">IF(E429="","",ROUND(N(G429)*N(H429)/60,1))</f>
        <v>18.8</v>
      </c>
      <c r="Q429" s="57" t="str">
        <f aca="false">IF(E429="","",IF(COUNTIFS($C$2:C429,C429,$E$2:E429,E429,$B$2:B429,B429)&gt;1,"No","Yes"))</f>
        <v>Yes</v>
      </c>
      <c r="R429" s="61" t="str">
        <f aca="false">IF(E429="","",IF(Q429="No","Duplicate of an earlier response",IF(L429="Not on SITES","Site not on SITES",IF(N(G429)&gt;N(F429),"Present is more than enrolled",IF(OR(I429&lt;1,I429&gt;5),"Score outside 1 to 5","")))))</f>
        <v/>
      </c>
    </row>
    <row r="430" customFormat="false" ht="15" hidden="false" customHeight="false" outlineLevel="0" collapsed="false">
      <c r="A430" s="52" t="n">
        <v>46051.8380555556</v>
      </c>
      <c r="B430" s="53" t="s">
        <v>109</v>
      </c>
      <c r="C430" s="53" t="s">
        <v>146</v>
      </c>
      <c r="D430" s="53" t="s">
        <v>138</v>
      </c>
      <c r="E430" s="54" t="n">
        <v>46051</v>
      </c>
      <c r="F430" s="55" t="n">
        <v>14</v>
      </c>
      <c r="G430" s="55" t="n">
        <v>10</v>
      </c>
      <c r="H430" s="55" t="n">
        <v>90</v>
      </c>
      <c r="I430" s="56" t="n">
        <v>3.4</v>
      </c>
      <c r="J430" s="53" t="s">
        <v>139</v>
      </c>
      <c r="K430" s="53"/>
      <c r="L430" s="57" t="str">
        <f aca="false">IF(C430="","",IFERROR(INDEX(site_ID,MATCH(C430,site_Name,0)),"Not on SITES"))</f>
        <v>LW-105</v>
      </c>
      <c r="M430" s="58" t="n">
        <f aca="false">IF(E430="","",DATE(YEAR(E430),MONTH(E430),1))</f>
        <v>46023</v>
      </c>
      <c r="N430" s="57" t="str">
        <f aca="false">IF(E430="","","FY"&amp;(YEAR(E430)+IF(AND(FYStart&gt;1,MONTH(E430)&gt;=FYStart),1,0))&amp;" Q"&amp;(INT(MOD(MONTH(E430)-FYStart,12)/3)+1))</f>
        <v>FY2026 Q3</v>
      </c>
      <c r="O430" s="59" t="n">
        <f aca="false">IF(OR(E430="",N(F430)=0),"",G430/F430)</f>
        <v>0.714285714285714</v>
      </c>
      <c r="P430" s="60" t="n">
        <f aca="false">IF(E430="","",ROUND(N(G430)*N(H430)/60,1))</f>
        <v>15</v>
      </c>
      <c r="Q430" s="57" t="str">
        <f aca="false">IF(E430="","",IF(COUNTIFS($C$2:C430,C430,$E$2:E430,E430,$B$2:B430,B430)&gt;1,"No","Yes"))</f>
        <v>Yes</v>
      </c>
      <c r="R430" s="61" t="str">
        <f aca="false">IF(E430="","",IF(Q430="No","Duplicate of an earlier response",IF(L430="Not on SITES","Site not on SITES",IF(N(G430)&gt;N(F430),"Present is more than enrolled",IF(OR(I430&lt;1,I430&gt;5),"Score outside 1 to 5","")))))</f>
        <v/>
      </c>
    </row>
    <row r="431" customFormat="false" ht="15" hidden="false" customHeight="false" outlineLevel="0" collapsed="false">
      <c r="A431" s="52" t="n">
        <v>46051.8443518519</v>
      </c>
      <c r="B431" s="53" t="s">
        <v>132</v>
      </c>
      <c r="C431" s="53" t="s">
        <v>150</v>
      </c>
      <c r="D431" s="53" t="s">
        <v>138</v>
      </c>
      <c r="E431" s="54" t="n">
        <v>46051</v>
      </c>
      <c r="F431" s="55" t="n">
        <v>21</v>
      </c>
      <c r="G431" s="55" t="n">
        <v>16</v>
      </c>
      <c r="H431" s="55" t="n">
        <v>90</v>
      </c>
      <c r="I431" s="56" t="n">
        <v>3.6</v>
      </c>
      <c r="J431" s="53" t="s">
        <v>163</v>
      </c>
      <c r="K431" s="53"/>
      <c r="L431" s="57" t="str">
        <f aca="false">IF(C431="","",IFERROR(INDEX(site_ID,MATCH(C431,site_Name,0)),"Not on SITES"))</f>
        <v>LW-117</v>
      </c>
      <c r="M431" s="58" t="n">
        <f aca="false">IF(E431="","",DATE(YEAR(E431),MONTH(E431),1))</f>
        <v>46023</v>
      </c>
      <c r="N431" s="57" t="str">
        <f aca="false">IF(E431="","","FY"&amp;(YEAR(E431)+IF(AND(FYStart&gt;1,MONTH(E431)&gt;=FYStart),1,0))&amp;" Q"&amp;(INT(MOD(MONTH(E431)-FYStart,12)/3)+1))</f>
        <v>FY2026 Q3</v>
      </c>
      <c r="O431" s="59" t="n">
        <f aca="false">IF(OR(E431="",N(F431)=0),"",G431/F431)</f>
        <v>0.761904761904762</v>
      </c>
      <c r="P431" s="60" t="n">
        <f aca="false">IF(E431="","",ROUND(N(G431)*N(H431)/60,1))</f>
        <v>24</v>
      </c>
      <c r="Q431" s="57" t="str">
        <f aca="false">IF(E431="","",IF(COUNTIFS($C$2:C431,C431,$E$2:E431,E431,$B$2:B431,B431)&gt;1,"No","Yes"))</f>
        <v>Yes</v>
      </c>
      <c r="R431" s="61" t="str">
        <f aca="false">IF(E431="","",IF(Q431="No","Duplicate of an earlier response",IF(L431="Not on SITES","Site not on SITES",IF(N(G431)&gt;N(F431),"Present is more than enrolled",IF(OR(I431&lt;1,I431&gt;5),"Score outside 1 to 5","")))))</f>
        <v/>
      </c>
    </row>
    <row r="432" customFormat="false" ht="15" hidden="false" customHeight="false" outlineLevel="0" collapsed="false">
      <c r="A432" s="52" t="n">
        <v>46051.868275463</v>
      </c>
      <c r="B432" s="53" t="s">
        <v>140</v>
      </c>
      <c r="C432" s="53" t="s">
        <v>151</v>
      </c>
      <c r="D432" s="53" t="s">
        <v>138</v>
      </c>
      <c r="E432" s="54" t="n">
        <v>46051</v>
      </c>
      <c r="F432" s="55" t="n">
        <v>13</v>
      </c>
      <c r="G432" s="55" t="n">
        <v>10</v>
      </c>
      <c r="H432" s="55" t="n">
        <v>90</v>
      </c>
      <c r="I432" s="56" t="n">
        <v>3.6</v>
      </c>
      <c r="J432" s="53" t="s">
        <v>164</v>
      </c>
      <c r="K432" s="53"/>
      <c r="L432" s="57" t="str">
        <f aca="false">IF(C432="","",IFERROR(INDEX(site_ID,MATCH(C432,site_Name,0)),"Not on SITES"))</f>
        <v>LW-110</v>
      </c>
      <c r="M432" s="58" t="n">
        <f aca="false">IF(E432="","",DATE(YEAR(E432),MONTH(E432),1))</f>
        <v>46023</v>
      </c>
      <c r="N432" s="57" t="str">
        <f aca="false">IF(E432="","","FY"&amp;(YEAR(E432)+IF(AND(FYStart&gt;1,MONTH(E432)&gt;=FYStart),1,0))&amp;" Q"&amp;(INT(MOD(MONTH(E432)-FYStart,12)/3)+1))</f>
        <v>FY2026 Q3</v>
      </c>
      <c r="O432" s="59" t="n">
        <f aca="false">IF(OR(E432="",N(F432)=0),"",G432/F432)</f>
        <v>0.769230769230769</v>
      </c>
      <c r="P432" s="60" t="n">
        <f aca="false">IF(E432="","",ROUND(N(G432)*N(H432)/60,1))</f>
        <v>15</v>
      </c>
      <c r="Q432" s="57" t="str">
        <f aca="false">IF(E432="","",IF(COUNTIFS($C$2:C432,C432,$E$2:E432,E432,$B$2:B432,B432)&gt;1,"No","Yes"))</f>
        <v>Yes</v>
      </c>
      <c r="R432" s="61" t="str">
        <f aca="false">IF(E432="","",IF(Q432="No","Duplicate of an earlier response",IF(L432="Not on SITES","Site not on SITES",IF(N(G432)&gt;N(F432),"Present is more than enrolled",IF(OR(I432&lt;1,I432&gt;5),"Score outside 1 to 5","")))))</f>
        <v/>
      </c>
    </row>
    <row r="433" customFormat="false" ht="15" hidden="false" customHeight="false" outlineLevel="0" collapsed="false">
      <c r="A433" s="52" t="n">
        <v>46052.7122106482</v>
      </c>
      <c r="B433" s="53" t="s">
        <v>129</v>
      </c>
      <c r="C433" s="53" t="s">
        <v>137</v>
      </c>
      <c r="D433" s="53" t="s">
        <v>138</v>
      </c>
      <c r="E433" s="54" t="n">
        <v>46050</v>
      </c>
      <c r="F433" s="55" t="n">
        <v>17</v>
      </c>
      <c r="G433" s="55" t="n">
        <v>15</v>
      </c>
      <c r="H433" s="55" t="n">
        <v>90</v>
      </c>
      <c r="I433" s="56" t="n">
        <v>3.7</v>
      </c>
      <c r="J433" s="53" t="s">
        <v>163</v>
      </c>
      <c r="K433" s="53"/>
      <c r="L433" s="57" t="str">
        <f aca="false">IF(C433="","",IFERROR(INDEX(site_ID,MATCH(C433,site_Name,0)),"Not on SITES"))</f>
        <v>LW-115</v>
      </c>
      <c r="M433" s="58" t="n">
        <f aca="false">IF(E433="","",DATE(YEAR(E433),MONTH(E433),1))</f>
        <v>46023</v>
      </c>
      <c r="N433" s="57" t="str">
        <f aca="false">IF(E433="","","FY"&amp;(YEAR(E433)+IF(AND(FYStart&gt;1,MONTH(E433)&gt;=FYStart),1,0))&amp;" Q"&amp;(INT(MOD(MONTH(E433)-FYStart,12)/3)+1))</f>
        <v>FY2026 Q3</v>
      </c>
      <c r="O433" s="59" t="n">
        <f aca="false">IF(OR(E433="",N(F433)=0),"",G433/F433)</f>
        <v>0.882352941176471</v>
      </c>
      <c r="P433" s="60" t="n">
        <f aca="false">IF(E433="","",ROUND(N(G433)*N(H433)/60,1))</f>
        <v>22.5</v>
      </c>
      <c r="Q433" s="57" t="str">
        <f aca="false">IF(E433="","",IF(COUNTIFS($C$2:C433,C433,$E$2:E433,E433,$B$2:B433,B433)&gt;1,"No","Yes"))</f>
        <v>Yes</v>
      </c>
      <c r="R433" s="61" t="str">
        <f aca="false">IF(E433="","",IF(Q433="No","Duplicate of an earlier response",IF(L433="Not on SITES","Site not on SITES",IF(N(G433)&gt;N(F433),"Present is more than enrolled",IF(OR(I433&lt;1,I433&gt;5),"Score outside 1 to 5","")))))</f>
        <v/>
      </c>
    </row>
    <row r="434" customFormat="false" ht="15" hidden="false" customHeight="false" outlineLevel="0" collapsed="false">
      <c r="A434" s="52" t="n">
        <v>46052.8702199074</v>
      </c>
      <c r="B434" s="53" t="s">
        <v>129</v>
      </c>
      <c r="C434" s="53" t="s">
        <v>137</v>
      </c>
      <c r="D434" s="53" t="s">
        <v>138</v>
      </c>
      <c r="E434" s="54" t="n">
        <v>46052</v>
      </c>
      <c r="F434" s="55" t="n">
        <v>16</v>
      </c>
      <c r="G434" s="55" t="n">
        <v>14</v>
      </c>
      <c r="H434" s="55" t="n">
        <v>90</v>
      </c>
      <c r="I434" s="56" t="n">
        <v>3.8</v>
      </c>
      <c r="J434" s="53" t="s">
        <v>147</v>
      </c>
      <c r="K434" s="53"/>
      <c r="L434" s="57" t="str">
        <f aca="false">IF(C434="","",IFERROR(INDEX(site_ID,MATCH(C434,site_Name,0)),"Not on SITES"))</f>
        <v>LW-115</v>
      </c>
      <c r="M434" s="58" t="n">
        <f aca="false">IF(E434="","",DATE(YEAR(E434),MONTH(E434),1))</f>
        <v>46023</v>
      </c>
      <c r="N434" s="57" t="str">
        <f aca="false">IF(E434="","","FY"&amp;(YEAR(E434)+IF(AND(FYStart&gt;1,MONTH(E434)&gt;=FYStart),1,0))&amp;" Q"&amp;(INT(MOD(MONTH(E434)-FYStart,12)/3)+1))</f>
        <v>FY2026 Q3</v>
      </c>
      <c r="O434" s="59" t="n">
        <f aca="false">IF(OR(E434="",N(F434)=0),"",G434/F434)</f>
        <v>0.875</v>
      </c>
      <c r="P434" s="60" t="n">
        <f aca="false">IF(E434="","",ROUND(N(G434)*N(H434)/60,1))</f>
        <v>21</v>
      </c>
      <c r="Q434" s="57" t="str">
        <f aca="false">IF(E434="","",IF(COUNTIFS($C$2:C434,C434,$E$2:E434,E434,$B$2:B434,B434)&gt;1,"No","Yes"))</f>
        <v>Yes</v>
      </c>
      <c r="R434" s="61" t="str">
        <f aca="false">IF(E434="","",IF(Q434="No","Duplicate of an earlier response",IF(L434="Not on SITES","Site not on SITES",IF(N(G434)&gt;N(F434),"Present is more than enrolled",IF(OR(I434&lt;1,I434&gt;5),"Score outside 1 to 5","")))))</f>
        <v/>
      </c>
    </row>
    <row r="435" customFormat="false" ht="15" hidden="false" customHeight="false" outlineLevel="0" collapsed="false">
      <c r="A435" s="52" t="n">
        <v>46053.651875</v>
      </c>
      <c r="B435" s="53" t="s">
        <v>140</v>
      </c>
      <c r="C435" s="53" t="s">
        <v>141</v>
      </c>
      <c r="D435" s="53" t="s">
        <v>116</v>
      </c>
      <c r="E435" s="54" t="n">
        <v>46052</v>
      </c>
      <c r="F435" s="55" t="n">
        <v>13</v>
      </c>
      <c r="G435" s="55" t="n">
        <v>10</v>
      </c>
      <c r="H435" s="55" t="n">
        <v>90</v>
      </c>
      <c r="I435" s="56" t="n">
        <v>3.9</v>
      </c>
      <c r="J435" s="53" t="s">
        <v>123</v>
      </c>
      <c r="K435" s="53"/>
      <c r="L435" s="57" t="str">
        <f aca="false">IF(C435="","",IFERROR(INDEX(site_ID,MATCH(C435,site_Name,0)),"Not on SITES"))</f>
        <v>LW-118</v>
      </c>
      <c r="M435" s="58" t="n">
        <f aca="false">IF(E435="","",DATE(YEAR(E435),MONTH(E435),1))</f>
        <v>46023</v>
      </c>
      <c r="N435" s="57" t="str">
        <f aca="false">IF(E435="","","FY"&amp;(YEAR(E435)+IF(AND(FYStart&gt;1,MONTH(E435)&gt;=FYStart),1,0))&amp;" Q"&amp;(INT(MOD(MONTH(E435)-FYStart,12)/3)+1))</f>
        <v>FY2026 Q3</v>
      </c>
      <c r="O435" s="59" t="n">
        <f aca="false">IF(OR(E435="",N(F435)=0),"",G435/F435)</f>
        <v>0.769230769230769</v>
      </c>
      <c r="P435" s="60" t="n">
        <f aca="false">IF(E435="","",ROUND(N(G435)*N(H435)/60,1))</f>
        <v>15</v>
      </c>
      <c r="Q435" s="57" t="str">
        <f aca="false">IF(E435="","",IF(COUNTIFS($C$2:C435,C435,$E$2:E435,E435,$B$2:B435,B435)&gt;1,"No","Yes"))</f>
        <v>Yes</v>
      </c>
      <c r="R435" s="61" t="str">
        <f aca="false">IF(E435="","",IF(Q435="No","Duplicate of an earlier response",IF(L435="Not on SITES","Site not on SITES",IF(N(G435)&gt;N(F435),"Present is more than enrolled",IF(OR(I435&lt;1,I435&gt;5),"Score outside 1 to 5","")))))</f>
        <v/>
      </c>
    </row>
    <row r="436" customFormat="false" ht="15" hidden="false" customHeight="false" outlineLevel="0" collapsed="false">
      <c r="A436" s="52" t="n">
        <v>46055.6957175926</v>
      </c>
      <c r="B436" s="53" t="s">
        <v>105</v>
      </c>
      <c r="C436" s="53" t="s">
        <v>118</v>
      </c>
      <c r="D436" s="53" t="s">
        <v>119</v>
      </c>
      <c r="E436" s="54" t="n">
        <v>46055</v>
      </c>
      <c r="F436" s="55" t="n">
        <v>22</v>
      </c>
      <c r="G436" s="55" t="n">
        <v>16</v>
      </c>
      <c r="H436" s="55" t="n">
        <v>75</v>
      </c>
      <c r="I436" s="56" t="n">
        <v>3.7</v>
      </c>
      <c r="J436" s="53" t="s">
        <v>126</v>
      </c>
      <c r="K436" s="53"/>
      <c r="L436" s="57" t="str">
        <f aca="false">IF(C436="","",IFERROR(INDEX(site_ID,MATCH(C436,site_Name,0)),"Not on SITES"))</f>
        <v>LW-111</v>
      </c>
      <c r="M436" s="58" t="n">
        <f aca="false">IF(E436="","",DATE(YEAR(E436),MONTH(E436),1))</f>
        <v>46054</v>
      </c>
      <c r="N436" s="57" t="str">
        <f aca="false">IF(E436="","","FY"&amp;(YEAR(E436)+IF(AND(FYStart&gt;1,MONTH(E436)&gt;=FYStart),1,0))&amp;" Q"&amp;(INT(MOD(MONTH(E436)-FYStart,12)/3)+1))</f>
        <v>FY2026 Q3</v>
      </c>
      <c r="O436" s="59" t="n">
        <f aca="false">IF(OR(E436="",N(F436)=0),"",G436/F436)</f>
        <v>0.727272727272727</v>
      </c>
      <c r="P436" s="60" t="n">
        <f aca="false">IF(E436="","",ROUND(N(G436)*N(H436)/60,1))</f>
        <v>20</v>
      </c>
      <c r="Q436" s="57" t="str">
        <f aca="false">IF(E436="","",IF(COUNTIFS($C$2:C436,C436,$E$2:E436,E436,$B$2:B436,B436)&gt;1,"No","Yes"))</f>
        <v>Yes</v>
      </c>
      <c r="R436" s="61" t="str">
        <f aca="false">IF(E436="","",IF(Q436="No","Duplicate of an earlier response",IF(L436="Not on SITES","Site not on SITES",IF(N(G436)&gt;N(F436),"Present is more than enrolled",IF(OR(I436&lt;1,I436&gt;5),"Score outside 1 to 5","")))))</f>
        <v/>
      </c>
    </row>
    <row r="437" customFormat="false" ht="15" hidden="false" customHeight="false" outlineLevel="0" collapsed="false">
      <c r="A437" s="52" t="n">
        <v>46055.7422106482</v>
      </c>
      <c r="B437" s="53" t="s">
        <v>109</v>
      </c>
      <c r="C437" s="53" t="s">
        <v>110</v>
      </c>
      <c r="D437" s="53" t="s">
        <v>107</v>
      </c>
      <c r="E437" s="54" t="n">
        <v>46055</v>
      </c>
      <c r="F437" s="55" t="n">
        <v>21</v>
      </c>
      <c r="G437" s="55" t="n">
        <v>13</v>
      </c>
      <c r="H437" s="55" t="n">
        <v>60</v>
      </c>
      <c r="I437" s="56" t="n">
        <v>4.2</v>
      </c>
      <c r="J437" s="53" t="s">
        <v>156</v>
      </c>
      <c r="K437" s="53"/>
      <c r="L437" s="57" t="str">
        <f aca="false">IF(C437="","",IFERROR(INDEX(site_ID,MATCH(C437,site_Name,0)),"Not on SITES"))</f>
        <v>LW-113</v>
      </c>
      <c r="M437" s="58" t="n">
        <f aca="false">IF(E437="","",DATE(YEAR(E437),MONTH(E437),1))</f>
        <v>46054</v>
      </c>
      <c r="N437" s="57" t="str">
        <f aca="false">IF(E437="","","FY"&amp;(YEAR(E437)+IF(AND(FYStart&gt;1,MONTH(E437)&gt;=FYStart),1,0))&amp;" Q"&amp;(INT(MOD(MONTH(E437)-FYStart,12)/3)+1))</f>
        <v>FY2026 Q3</v>
      </c>
      <c r="O437" s="59" t="n">
        <f aca="false">IF(OR(E437="",N(F437)=0),"",G437/F437)</f>
        <v>0.619047619047619</v>
      </c>
      <c r="P437" s="60" t="n">
        <f aca="false">IF(E437="","",ROUND(N(G437)*N(H437)/60,1))</f>
        <v>13</v>
      </c>
      <c r="Q437" s="57" t="str">
        <f aca="false">IF(E437="","",IF(COUNTIFS($C$2:C437,C437,$E$2:E437,E437,$B$2:B437,B437)&gt;1,"No","Yes"))</f>
        <v>Yes</v>
      </c>
      <c r="R437" s="61" t="str">
        <f aca="false">IF(E437="","",IF(Q437="No","Duplicate of an earlier response",IF(L437="Not on SITES","Site not on SITES",IF(N(G437)&gt;N(F437),"Present is more than enrolled",IF(OR(I437&lt;1,I437&gt;5),"Score outside 1 to 5","")))))</f>
        <v/>
      </c>
    </row>
    <row r="438" customFormat="false" ht="15" hidden="false" customHeight="false" outlineLevel="0" collapsed="false">
      <c r="A438" s="52" t="n">
        <v>46055.856712963</v>
      </c>
      <c r="B438" s="53" t="s">
        <v>111</v>
      </c>
      <c r="C438" s="53" t="s">
        <v>112</v>
      </c>
      <c r="D438" s="53" t="s">
        <v>113</v>
      </c>
      <c r="E438" s="54" t="n">
        <v>46055</v>
      </c>
      <c r="F438" s="55" t="n">
        <v>15</v>
      </c>
      <c r="G438" s="55" t="n">
        <v>11</v>
      </c>
      <c r="H438" s="55" t="n">
        <v>90</v>
      </c>
      <c r="I438" s="56" t="n">
        <v>3</v>
      </c>
      <c r="J438" s="53" t="s">
        <v>143</v>
      </c>
      <c r="K438" s="53"/>
      <c r="L438" s="57" t="str">
        <f aca="false">IF(C438="","",IFERROR(INDEX(site_ID,MATCH(C438,site_Name,0)),"Not on SITES"))</f>
        <v>LW-120</v>
      </c>
      <c r="M438" s="58" t="n">
        <f aca="false">IF(E438="","",DATE(YEAR(E438),MONTH(E438),1))</f>
        <v>46054</v>
      </c>
      <c r="N438" s="57" t="str">
        <f aca="false">IF(E438="","","FY"&amp;(YEAR(E438)+IF(AND(FYStart&gt;1,MONTH(E438)&gt;=FYStart),1,0))&amp;" Q"&amp;(INT(MOD(MONTH(E438)-FYStart,12)/3)+1))</f>
        <v>FY2026 Q3</v>
      </c>
      <c r="O438" s="59" t="n">
        <f aca="false">IF(OR(E438="",N(F438)=0),"",G438/F438)</f>
        <v>0.733333333333333</v>
      </c>
      <c r="P438" s="60" t="n">
        <f aca="false">IF(E438="","",ROUND(N(G438)*N(H438)/60,1))</f>
        <v>16.5</v>
      </c>
      <c r="Q438" s="57" t="str">
        <f aca="false">IF(E438="","",IF(COUNTIFS($C$2:C438,C438,$E$2:E438,E438,$B$2:B438,B438)&gt;1,"No","Yes"))</f>
        <v>Yes</v>
      </c>
      <c r="R438" s="61" t="str">
        <f aca="false">IF(E438="","",IF(Q438="No","Duplicate of an earlier response",IF(L438="Not on SITES","Site not on SITES",IF(N(G438)&gt;N(F438),"Present is more than enrolled",IF(OR(I438&lt;1,I438&gt;5),"Score outside 1 to 5","")))))</f>
        <v/>
      </c>
    </row>
    <row r="439" customFormat="false" ht="15" hidden="false" customHeight="false" outlineLevel="0" collapsed="false">
      <c r="A439" s="52" t="n">
        <v>46055.8633680556</v>
      </c>
      <c r="B439" s="53" t="s">
        <v>105</v>
      </c>
      <c r="C439" s="53" t="s">
        <v>106</v>
      </c>
      <c r="D439" s="53" t="s">
        <v>107</v>
      </c>
      <c r="E439" s="54" t="n">
        <v>46055</v>
      </c>
      <c r="F439" s="55" t="n">
        <v>16</v>
      </c>
      <c r="G439" s="55" t="n">
        <v>13</v>
      </c>
      <c r="H439" s="55" t="n">
        <v>75</v>
      </c>
      <c r="I439" s="56" t="n">
        <v>3.7</v>
      </c>
      <c r="J439" s="53" t="s">
        <v>156</v>
      </c>
      <c r="K439" s="53"/>
      <c r="L439" s="57" t="str">
        <f aca="false">IF(C439="","",IFERROR(INDEX(site_ID,MATCH(C439,site_Name,0)),"Not on SITES"))</f>
        <v>LW-103</v>
      </c>
      <c r="M439" s="58" t="n">
        <f aca="false">IF(E439="","",DATE(YEAR(E439),MONTH(E439),1))</f>
        <v>46054</v>
      </c>
      <c r="N439" s="57" t="str">
        <f aca="false">IF(E439="","","FY"&amp;(YEAR(E439)+IF(AND(FYStart&gt;1,MONTH(E439)&gt;=FYStart),1,0))&amp;" Q"&amp;(INT(MOD(MONTH(E439)-FYStart,12)/3)+1))</f>
        <v>FY2026 Q3</v>
      </c>
      <c r="O439" s="59" t="n">
        <f aca="false">IF(OR(E439="",N(F439)=0),"",G439/F439)</f>
        <v>0.8125</v>
      </c>
      <c r="P439" s="60" t="n">
        <f aca="false">IF(E439="","",ROUND(N(G439)*N(H439)/60,1))</f>
        <v>16.3</v>
      </c>
      <c r="Q439" s="57" t="str">
        <f aca="false">IF(E439="","",IF(COUNTIFS($C$2:C439,C439,$E$2:E439,E439,$B$2:B439,B439)&gt;1,"No","Yes"))</f>
        <v>Yes</v>
      </c>
      <c r="R439" s="61" t="str">
        <f aca="false">IF(E439="","",IF(Q439="No","Duplicate of an earlier response",IF(L439="Not on SITES","Site not on SITES",IF(N(G439)&gt;N(F439),"Present is more than enrolled",IF(OR(I439&lt;1,I439&gt;5),"Score outside 1 to 5","")))))</f>
        <v/>
      </c>
    </row>
    <row r="440" customFormat="false" ht="15" hidden="false" customHeight="false" outlineLevel="0" collapsed="false">
      <c r="A440" s="52" t="n">
        <v>46056.6811921296</v>
      </c>
      <c r="B440" s="53" t="s">
        <v>129</v>
      </c>
      <c r="C440" s="53" t="s">
        <v>130</v>
      </c>
      <c r="D440" s="53" t="s">
        <v>113</v>
      </c>
      <c r="E440" s="54" t="n">
        <v>46056</v>
      </c>
      <c r="F440" s="55" t="n">
        <v>16</v>
      </c>
      <c r="G440" s="55" t="n">
        <v>13</v>
      </c>
      <c r="H440" s="55" t="n">
        <v>75</v>
      </c>
      <c r="I440" s="56" t="n">
        <v>3.1</v>
      </c>
      <c r="J440" s="53" t="s">
        <v>131</v>
      </c>
      <c r="K440" s="53"/>
      <c r="L440" s="57" t="str">
        <f aca="false">IF(C440="","",IFERROR(INDEX(site_ID,MATCH(C440,site_Name,0)),"Not on SITES"))</f>
        <v>LW-107</v>
      </c>
      <c r="M440" s="58" t="n">
        <f aca="false">IF(E440="","",DATE(YEAR(E440),MONTH(E440),1))</f>
        <v>46054</v>
      </c>
      <c r="N440" s="57" t="str">
        <f aca="false">IF(E440="","","FY"&amp;(YEAR(E440)+IF(AND(FYStart&gt;1,MONTH(E440)&gt;=FYStart),1,0))&amp;" Q"&amp;(INT(MOD(MONTH(E440)-FYStart,12)/3)+1))</f>
        <v>FY2026 Q3</v>
      </c>
      <c r="O440" s="59" t="n">
        <f aca="false">IF(OR(E440="",N(F440)=0),"",G440/F440)</f>
        <v>0.8125</v>
      </c>
      <c r="P440" s="60" t="n">
        <f aca="false">IF(E440="","",ROUND(N(G440)*N(H440)/60,1))</f>
        <v>16.3</v>
      </c>
      <c r="Q440" s="57" t="str">
        <f aca="false">IF(E440="","",IF(COUNTIFS($C$2:C440,C440,$E$2:E440,E440,$B$2:B440,B440)&gt;1,"No","Yes"))</f>
        <v>Yes</v>
      </c>
      <c r="R440" s="61" t="str">
        <f aca="false">IF(E440="","",IF(Q440="No","Duplicate of an earlier response",IF(L440="Not on SITES","Site not on SITES",IF(N(G440)&gt;N(F440),"Present is more than enrolled",IF(OR(I440&lt;1,I440&gt;5),"Score outside 1 to 5","")))))</f>
        <v/>
      </c>
    </row>
    <row r="441" customFormat="false" ht="15" hidden="false" customHeight="false" outlineLevel="0" collapsed="false">
      <c r="A441" s="52" t="n">
        <v>46056.7114930556</v>
      </c>
      <c r="B441" s="53" t="s">
        <v>121</v>
      </c>
      <c r="C441" s="53" t="s">
        <v>127</v>
      </c>
      <c r="D441" s="53" t="s">
        <v>107</v>
      </c>
      <c r="E441" s="54" t="n">
        <v>46056</v>
      </c>
      <c r="F441" s="55" t="n">
        <v>15</v>
      </c>
      <c r="G441" s="55" t="n">
        <v>11</v>
      </c>
      <c r="H441" s="55" t="n">
        <v>90</v>
      </c>
      <c r="I441" s="56" t="n">
        <v>4</v>
      </c>
      <c r="J441" s="53" t="s">
        <v>166</v>
      </c>
      <c r="K441" s="53"/>
      <c r="L441" s="57" t="str">
        <f aca="false">IF(C441="","",IFERROR(INDEX(site_ID,MATCH(C441,site_Name,0)),"Not on SITES"))</f>
        <v>LW-108</v>
      </c>
      <c r="M441" s="58" t="n">
        <f aca="false">IF(E441="","",DATE(YEAR(E441),MONTH(E441),1))</f>
        <v>46054</v>
      </c>
      <c r="N441" s="57" t="str">
        <f aca="false">IF(E441="","","FY"&amp;(YEAR(E441)+IF(AND(FYStart&gt;1,MONTH(E441)&gt;=FYStart),1,0))&amp;" Q"&amp;(INT(MOD(MONTH(E441)-FYStart,12)/3)+1))</f>
        <v>FY2026 Q3</v>
      </c>
      <c r="O441" s="59" t="n">
        <f aca="false">IF(OR(E441="",N(F441)=0),"",G441/F441)</f>
        <v>0.733333333333333</v>
      </c>
      <c r="P441" s="60" t="n">
        <f aca="false">IF(E441="","",ROUND(N(G441)*N(H441)/60,1))</f>
        <v>16.5</v>
      </c>
      <c r="Q441" s="57" t="str">
        <f aca="false">IF(E441="","",IF(COUNTIFS($C$2:C441,C441,$E$2:E441,E441,$B$2:B441,B441)&gt;1,"No","Yes"))</f>
        <v>Yes</v>
      </c>
      <c r="R441" s="61" t="str">
        <f aca="false">IF(E441="","",IF(Q441="No","Duplicate of an earlier response",IF(L441="Not on SITES","Site not on SITES",IF(N(G441)&gt;N(F441),"Present is more than enrolled",IF(OR(I441&lt;1,I441&gt;5),"Score outside 1 to 5","")))))</f>
        <v/>
      </c>
    </row>
    <row r="442" customFormat="false" ht="15" hidden="false" customHeight="false" outlineLevel="0" collapsed="false">
      <c r="A442" s="52" t="n">
        <v>46056.8044444445</v>
      </c>
      <c r="B442" s="53" t="s">
        <v>132</v>
      </c>
      <c r="C442" s="53" t="s">
        <v>133</v>
      </c>
      <c r="D442" s="53" t="s">
        <v>116</v>
      </c>
      <c r="E442" s="54" t="n">
        <v>46056</v>
      </c>
      <c r="F442" s="55" t="n">
        <v>17</v>
      </c>
      <c r="G442" s="55" t="n">
        <v>13</v>
      </c>
      <c r="H442" s="55" t="n">
        <v>60</v>
      </c>
      <c r="I442" s="56" t="n">
        <v>3.3</v>
      </c>
      <c r="J442" s="53" t="s">
        <v>117</v>
      </c>
      <c r="K442" s="53"/>
      <c r="L442" s="57" t="str">
        <f aca="false">IF(C442="","",IFERROR(INDEX(site_ID,MATCH(C442,site_Name,0)),"Not on SITES"))</f>
        <v>LW-109</v>
      </c>
      <c r="M442" s="58" t="n">
        <f aca="false">IF(E442="","",DATE(YEAR(E442),MONTH(E442),1))</f>
        <v>46054</v>
      </c>
      <c r="N442" s="57" t="str">
        <f aca="false">IF(E442="","","FY"&amp;(YEAR(E442)+IF(AND(FYStart&gt;1,MONTH(E442)&gt;=FYStart),1,0))&amp;" Q"&amp;(INT(MOD(MONTH(E442)-FYStart,12)/3)+1))</f>
        <v>FY2026 Q3</v>
      </c>
      <c r="O442" s="59" t="n">
        <f aca="false">IF(OR(E442="",N(F442)=0),"",G442/F442)</f>
        <v>0.764705882352941</v>
      </c>
      <c r="P442" s="60" t="n">
        <f aca="false">IF(E442="","",ROUND(N(G442)*N(H442)/60,1))</f>
        <v>13</v>
      </c>
      <c r="Q442" s="57" t="str">
        <f aca="false">IF(E442="","",IF(COUNTIFS($C$2:C442,C442,$E$2:E442,E442,$B$2:B442,B442)&gt;1,"No","Yes"))</f>
        <v>Yes</v>
      </c>
      <c r="R442" s="61" t="str">
        <f aca="false">IF(E442="","",IF(Q442="No","Duplicate of an earlier response",IF(L442="Not on SITES","Site not on SITES",IF(N(G442)&gt;N(F442),"Present is more than enrolled",IF(OR(I442&lt;1,I442&gt;5),"Score outside 1 to 5","")))))</f>
        <v/>
      </c>
    </row>
    <row r="443" customFormat="false" ht="15" hidden="false" customHeight="false" outlineLevel="0" collapsed="false">
      <c r="A443" s="52" t="n">
        <v>46056.8366898148</v>
      </c>
      <c r="B443" s="53" t="s">
        <v>124</v>
      </c>
      <c r="C443" s="53" t="s">
        <v>125</v>
      </c>
      <c r="D443" s="53" t="s">
        <v>119</v>
      </c>
      <c r="E443" s="54" t="n">
        <v>46056</v>
      </c>
      <c r="F443" s="55" t="n">
        <v>18</v>
      </c>
      <c r="G443" s="55" t="n">
        <v>10</v>
      </c>
      <c r="H443" s="55" t="n">
        <v>60</v>
      </c>
      <c r="I443" s="56" t="n">
        <v>3.4</v>
      </c>
      <c r="J443" s="53" t="s">
        <v>126</v>
      </c>
      <c r="K443" s="53"/>
      <c r="L443" s="57" t="str">
        <f aca="false">IF(C443="","",IFERROR(INDEX(site_ID,MATCH(C443,site_Name,0)),"Not on SITES"))</f>
        <v>LW-106</v>
      </c>
      <c r="M443" s="58" t="n">
        <f aca="false">IF(E443="","",DATE(YEAR(E443),MONTH(E443),1))</f>
        <v>46054</v>
      </c>
      <c r="N443" s="57" t="str">
        <f aca="false">IF(E443="","","FY"&amp;(YEAR(E443)+IF(AND(FYStart&gt;1,MONTH(E443)&gt;=FYStart),1,0))&amp;" Q"&amp;(INT(MOD(MONTH(E443)-FYStart,12)/3)+1))</f>
        <v>FY2026 Q3</v>
      </c>
      <c r="O443" s="59" t="n">
        <f aca="false">IF(OR(E443="",N(F443)=0),"",G443/F443)</f>
        <v>0.555555555555556</v>
      </c>
      <c r="P443" s="60" t="n">
        <f aca="false">IF(E443="","",ROUND(N(G443)*N(H443)/60,1))</f>
        <v>10</v>
      </c>
      <c r="Q443" s="57" t="str">
        <f aca="false">IF(E443="","",IF(COUNTIFS($C$2:C443,C443,$E$2:E443,E443,$B$2:B443,B443)&gt;1,"No","Yes"))</f>
        <v>Yes</v>
      </c>
      <c r="R443" s="61" t="str">
        <f aca="false">IF(E443="","",IF(Q443="No","Duplicate of an earlier response",IF(L443="Not on SITES","Site not on SITES",IF(N(G443)&gt;N(F443),"Present is more than enrolled",IF(OR(I443&lt;1,I443&gt;5),"Score outside 1 to 5","")))))</f>
        <v/>
      </c>
    </row>
    <row r="444" customFormat="false" ht="15" hidden="false" customHeight="false" outlineLevel="0" collapsed="false">
      <c r="A444" s="52" t="n">
        <v>46057.677025463</v>
      </c>
      <c r="B444" s="53" t="s">
        <v>111</v>
      </c>
      <c r="C444" s="53" t="s">
        <v>112</v>
      </c>
      <c r="D444" s="53" t="s">
        <v>113</v>
      </c>
      <c r="E444" s="54" t="n">
        <v>46057</v>
      </c>
      <c r="F444" s="55" t="n">
        <v>15</v>
      </c>
      <c r="G444" s="55" t="n">
        <v>13</v>
      </c>
      <c r="H444" s="55" t="n">
        <v>60</v>
      </c>
      <c r="I444" s="56" t="n">
        <v>3.2</v>
      </c>
      <c r="J444" s="53" t="s">
        <v>131</v>
      </c>
      <c r="K444" s="53"/>
      <c r="L444" s="57" t="str">
        <f aca="false">IF(C444="","",IFERROR(INDEX(site_ID,MATCH(C444,site_Name,0)),"Not on SITES"))</f>
        <v>LW-120</v>
      </c>
      <c r="M444" s="58" t="n">
        <f aca="false">IF(E444="","",DATE(YEAR(E444),MONTH(E444),1))</f>
        <v>46054</v>
      </c>
      <c r="N444" s="57" t="str">
        <f aca="false">IF(E444="","","FY"&amp;(YEAR(E444)+IF(AND(FYStart&gt;1,MONTH(E444)&gt;=FYStart),1,0))&amp;" Q"&amp;(INT(MOD(MONTH(E444)-FYStart,12)/3)+1))</f>
        <v>FY2026 Q3</v>
      </c>
      <c r="O444" s="59" t="n">
        <f aca="false">IF(OR(E444="",N(F444)=0),"",G444/F444)</f>
        <v>0.866666666666667</v>
      </c>
      <c r="P444" s="60" t="n">
        <f aca="false">IF(E444="","",ROUND(N(G444)*N(H444)/60,1))</f>
        <v>13</v>
      </c>
      <c r="Q444" s="57" t="str">
        <f aca="false">IF(E444="","",IF(COUNTIFS($C$2:C444,C444,$E$2:E444,E444,$B$2:B444,B444)&gt;1,"No","Yes"))</f>
        <v>Yes</v>
      </c>
      <c r="R444" s="61" t="str">
        <f aca="false">IF(E444="","",IF(Q444="No","Duplicate of an earlier response",IF(L444="Not on SITES","Site not on SITES",IF(N(G444)&gt;N(F444),"Present is more than enrolled",IF(OR(I444&lt;1,I444&gt;5),"Score outside 1 to 5","")))))</f>
        <v/>
      </c>
    </row>
    <row r="445" customFormat="false" ht="15" hidden="false" customHeight="false" outlineLevel="0" collapsed="false">
      <c r="A445" s="52" t="n">
        <v>46057.6798726852</v>
      </c>
      <c r="B445" s="53" t="s">
        <v>140</v>
      </c>
      <c r="C445" s="53" t="s">
        <v>142</v>
      </c>
      <c r="D445" s="53" t="s">
        <v>113</v>
      </c>
      <c r="E445" s="54" t="n">
        <v>46057</v>
      </c>
      <c r="F445" s="55" t="n">
        <v>18</v>
      </c>
      <c r="G445" s="55" t="n">
        <v>16</v>
      </c>
      <c r="H445" s="55" t="n">
        <v>60</v>
      </c>
      <c r="I445" s="56" t="n">
        <v>3.7</v>
      </c>
      <c r="J445" s="53" t="s">
        <v>131</v>
      </c>
      <c r="K445" s="53"/>
      <c r="L445" s="57" t="str">
        <f aca="false">IF(C445="","",IFERROR(INDEX(site_ID,MATCH(C445,site_Name,0)),"Not on SITES"))</f>
        <v>LW-102</v>
      </c>
      <c r="M445" s="58" t="n">
        <f aca="false">IF(E445="","",DATE(YEAR(E445),MONTH(E445),1))</f>
        <v>46054</v>
      </c>
      <c r="N445" s="57" t="str">
        <f aca="false">IF(E445="","","FY"&amp;(YEAR(E445)+IF(AND(FYStart&gt;1,MONTH(E445)&gt;=FYStart),1,0))&amp;" Q"&amp;(INT(MOD(MONTH(E445)-FYStart,12)/3)+1))</f>
        <v>FY2026 Q3</v>
      </c>
      <c r="O445" s="59" t="n">
        <f aca="false">IF(OR(E445="",N(F445)=0),"",G445/F445)</f>
        <v>0.888888888888889</v>
      </c>
      <c r="P445" s="60" t="n">
        <f aca="false">IF(E445="","",ROUND(N(G445)*N(H445)/60,1))</f>
        <v>16</v>
      </c>
      <c r="Q445" s="57" t="str">
        <f aca="false">IF(E445="","",IF(COUNTIFS($C$2:C445,C445,$E$2:E445,E445,$B$2:B445,B445)&gt;1,"No","Yes"))</f>
        <v>Yes</v>
      </c>
      <c r="R445" s="61" t="str">
        <f aca="false">IF(E445="","",IF(Q445="No","Duplicate of an earlier response",IF(L445="Not on SITES","Site not on SITES",IF(N(G445)&gt;N(F445),"Present is more than enrolled",IF(OR(I445&lt;1,I445&gt;5),"Score outside 1 to 5","")))))</f>
        <v/>
      </c>
    </row>
    <row r="446" customFormat="false" ht="15" hidden="false" customHeight="false" outlineLevel="0" collapsed="false">
      <c r="A446" s="52" t="n">
        <v>46057.7213425926</v>
      </c>
      <c r="B446" s="53" t="s">
        <v>140</v>
      </c>
      <c r="C446" s="53" t="s">
        <v>141</v>
      </c>
      <c r="D446" s="53" t="s">
        <v>116</v>
      </c>
      <c r="E446" s="54" t="n">
        <v>46057</v>
      </c>
      <c r="F446" s="55" t="n">
        <v>13</v>
      </c>
      <c r="G446" s="55" t="n">
        <v>10</v>
      </c>
      <c r="H446" s="55" t="n">
        <v>60</v>
      </c>
      <c r="I446" s="56" t="n">
        <v>4.2</v>
      </c>
      <c r="J446" s="53" t="s">
        <v>117</v>
      </c>
      <c r="K446" s="53"/>
      <c r="L446" s="57" t="str">
        <f aca="false">IF(C446="","",IFERROR(INDEX(site_ID,MATCH(C446,site_Name,0)),"Not on SITES"))</f>
        <v>LW-118</v>
      </c>
      <c r="M446" s="58" t="n">
        <f aca="false">IF(E446="","",DATE(YEAR(E446),MONTH(E446),1))</f>
        <v>46054</v>
      </c>
      <c r="N446" s="57" t="str">
        <f aca="false">IF(E446="","","FY"&amp;(YEAR(E446)+IF(AND(FYStart&gt;1,MONTH(E446)&gt;=FYStart),1,0))&amp;" Q"&amp;(INT(MOD(MONTH(E446)-FYStart,12)/3)+1))</f>
        <v>FY2026 Q3</v>
      </c>
      <c r="O446" s="59" t="n">
        <f aca="false">IF(OR(E446="",N(F446)=0),"",G446/F446)</f>
        <v>0.769230769230769</v>
      </c>
      <c r="P446" s="60" t="n">
        <f aca="false">IF(E446="","",ROUND(N(G446)*N(H446)/60,1))</f>
        <v>10</v>
      </c>
      <c r="Q446" s="57" t="str">
        <f aca="false">IF(E446="","",IF(COUNTIFS($C$2:C446,C446,$E$2:E446,E446,$B$2:B446,B446)&gt;1,"No","Yes"))</f>
        <v>Yes</v>
      </c>
      <c r="R446" s="61" t="str">
        <f aca="false">IF(E446="","",IF(Q446="No","Duplicate of an earlier response",IF(L446="Not on SITES","Site not on SITES",IF(N(G446)&gt;N(F446),"Present is more than enrolled",IF(OR(I446&lt;1,I446&gt;5),"Score outside 1 to 5","")))))</f>
        <v/>
      </c>
    </row>
    <row r="447" customFormat="false" ht="15" hidden="false" customHeight="false" outlineLevel="0" collapsed="false">
      <c r="A447" s="52" t="n">
        <v>46057.8284606482</v>
      </c>
      <c r="B447" s="53" t="s">
        <v>129</v>
      </c>
      <c r="C447" s="53" t="s">
        <v>137</v>
      </c>
      <c r="D447" s="53" t="s">
        <v>138</v>
      </c>
      <c r="E447" s="54" t="n">
        <v>46057</v>
      </c>
      <c r="F447" s="55" t="n">
        <v>16</v>
      </c>
      <c r="G447" s="55" t="n">
        <v>13</v>
      </c>
      <c r="H447" s="55" t="n">
        <v>90</v>
      </c>
      <c r="I447" s="56" t="n">
        <v>3.9</v>
      </c>
      <c r="J447" s="53" t="s">
        <v>147</v>
      </c>
      <c r="K447" s="53"/>
      <c r="L447" s="57" t="str">
        <f aca="false">IF(C447="","",IFERROR(INDEX(site_ID,MATCH(C447,site_Name,0)),"Not on SITES"))</f>
        <v>LW-115</v>
      </c>
      <c r="M447" s="58" t="n">
        <f aca="false">IF(E447="","",DATE(YEAR(E447),MONTH(E447),1))</f>
        <v>46054</v>
      </c>
      <c r="N447" s="57" t="str">
        <f aca="false">IF(E447="","","FY"&amp;(YEAR(E447)+IF(AND(FYStart&gt;1,MONTH(E447)&gt;=FYStart),1,0))&amp;" Q"&amp;(INT(MOD(MONTH(E447)-FYStart,12)/3)+1))</f>
        <v>FY2026 Q3</v>
      </c>
      <c r="O447" s="59" t="n">
        <f aca="false">IF(OR(E447="",N(F447)=0),"",G447/F447)</f>
        <v>0.8125</v>
      </c>
      <c r="P447" s="60" t="n">
        <f aca="false">IF(E447="","",ROUND(N(G447)*N(H447)/60,1))</f>
        <v>19.5</v>
      </c>
      <c r="Q447" s="57" t="str">
        <f aca="false">IF(E447="","",IF(COUNTIFS($C$2:C447,C447,$E$2:E447,E447,$B$2:B447,B447)&gt;1,"No","Yes"))</f>
        <v>Yes</v>
      </c>
      <c r="R447" s="61" t="str">
        <f aca="false">IF(E447="","",IF(Q447="No","Duplicate of an earlier response",IF(L447="Not on SITES","Site not on SITES",IF(N(G447)&gt;N(F447),"Present is more than enrolled",IF(OR(I447&lt;1,I447&gt;5),"Score outside 1 to 5","")))))</f>
        <v/>
      </c>
    </row>
    <row r="448" customFormat="false" ht="15" hidden="false" customHeight="false" outlineLevel="0" collapsed="false">
      <c r="A448" s="52" t="n">
        <v>46058.6880787037</v>
      </c>
      <c r="B448" s="53" t="s">
        <v>121</v>
      </c>
      <c r="C448" s="53" t="s">
        <v>122</v>
      </c>
      <c r="D448" s="53" t="s">
        <v>116</v>
      </c>
      <c r="E448" s="54" t="n">
        <v>46058</v>
      </c>
      <c r="F448" s="55" t="n">
        <v>16</v>
      </c>
      <c r="G448" s="55" t="n">
        <v>10</v>
      </c>
      <c r="H448" s="55" t="n">
        <v>60</v>
      </c>
      <c r="I448" s="56" t="n">
        <v>3.6</v>
      </c>
      <c r="J448" s="53" t="s">
        <v>160</v>
      </c>
      <c r="K448" s="53"/>
      <c r="L448" s="57" t="str">
        <f aca="false">IF(C448="","",IFERROR(INDEX(site_ID,MATCH(C448,site_Name,0)),"Not on SITES"))</f>
        <v>LW-116</v>
      </c>
      <c r="M448" s="58" t="n">
        <f aca="false">IF(E448="","",DATE(YEAR(E448),MONTH(E448),1))</f>
        <v>46054</v>
      </c>
      <c r="N448" s="57" t="str">
        <f aca="false">IF(E448="","","FY"&amp;(YEAR(E448)+IF(AND(FYStart&gt;1,MONTH(E448)&gt;=FYStart),1,0))&amp;" Q"&amp;(INT(MOD(MONTH(E448)-FYStart,12)/3)+1))</f>
        <v>FY2026 Q3</v>
      </c>
      <c r="O448" s="59" t="n">
        <f aca="false">IF(OR(E448="",N(F448)=0),"",G448/F448)</f>
        <v>0.625</v>
      </c>
      <c r="P448" s="60" t="n">
        <f aca="false">IF(E448="","",ROUND(N(G448)*N(H448)/60,1))</f>
        <v>10</v>
      </c>
      <c r="Q448" s="57" t="str">
        <f aca="false">IF(E448="","",IF(COUNTIFS($C$2:C448,C448,$E$2:E448,E448,$B$2:B448,B448)&gt;1,"No","Yes"))</f>
        <v>Yes</v>
      </c>
      <c r="R448" s="61" t="str">
        <f aca="false">IF(E448="","",IF(Q448="No","Duplicate of an earlier response",IF(L448="Not on SITES","Site not on SITES",IF(N(G448)&gt;N(F448),"Present is more than enrolled",IF(OR(I448&lt;1,I448&gt;5),"Score outside 1 to 5","")))))</f>
        <v/>
      </c>
    </row>
    <row r="449" customFormat="false" ht="15" hidden="false" customHeight="false" outlineLevel="0" collapsed="false">
      <c r="A449" s="52" t="n">
        <v>46058.6900578704</v>
      </c>
      <c r="B449" s="53" t="s">
        <v>140</v>
      </c>
      <c r="C449" s="53" t="s">
        <v>151</v>
      </c>
      <c r="D449" s="53" t="s">
        <v>138</v>
      </c>
      <c r="E449" s="54" t="n">
        <v>46058</v>
      </c>
      <c r="F449" s="55" t="n">
        <v>13</v>
      </c>
      <c r="G449" s="55" t="n">
        <v>10</v>
      </c>
      <c r="H449" s="55" t="n">
        <v>90</v>
      </c>
      <c r="I449" s="56" t="n">
        <v>3.9</v>
      </c>
      <c r="J449" s="53" t="s">
        <v>163</v>
      </c>
      <c r="K449" s="53" t="s">
        <v>158</v>
      </c>
      <c r="L449" s="57" t="str">
        <f aca="false">IF(C449="","",IFERROR(INDEX(site_ID,MATCH(C449,site_Name,0)),"Not on SITES"))</f>
        <v>LW-110</v>
      </c>
      <c r="M449" s="58" t="n">
        <f aca="false">IF(E449="","",DATE(YEAR(E449),MONTH(E449),1))</f>
        <v>46054</v>
      </c>
      <c r="N449" s="57" t="str">
        <f aca="false">IF(E449="","","FY"&amp;(YEAR(E449)+IF(AND(FYStart&gt;1,MONTH(E449)&gt;=FYStart),1,0))&amp;" Q"&amp;(INT(MOD(MONTH(E449)-FYStart,12)/3)+1))</f>
        <v>FY2026 Q3</v>
      </c>
      <c r="O449" s="59" t="n">
        <f aca="false">IF(OR(E449="",N(F449)=0),"",G449/F449)</f>
        <v>0.769230769230769</v>
      </c>
      <c r="P449" s="60" t="n">
        <f aca="false">IF(E449="","",ROUND(N(G449)*N(H449)/60,1))</f>
        <v>15</v>
      </c>
      <c r="Q449" s="57" t="str">
        <f aca="false">IF(E449="","",IF(COUNTIFS($C$2:C449,C449,$E$2:E449,E449,$B$2:B449,B449)&gt;1,"No","Yes"))</f>
        <v>Yes</v>
      </c>
      <c r="R449" s="61" t="str">
        <f aca="false">IF(E449="","",IF(Q449="No","Duplicate of an earlier response",IF(L449="Not on SITES","Site not on SITES",IF(N(G449)&gt;N(F449),"Present is more than enrolled",IF(OR(I449&lt;1,I449&gt;5),"Score outside 1 to 5","")))))</f>
        <v/>
      </c>
    </row>
    <row r="450" customFormat="false" ht="15" hidden="false" customHeight="false" outlineLevel="0" collapsed="false">
      <c r="A450" s="52" t="n">
        <v>46058.7244328704</v>
      </c>
      <c r="B450" s="53" t="s">
        <v>111</v>
      </c>
      <c r="C450" s="53" t="s">
        <v>148</v>
      </c>
      <c r="D450" s="53" t="s">
        <v>116</v>
      </c>
      <c r="E450" s="54" t="n">
        <v>46058</v>
      </c>
      <c r="F450" s="55" t="n">
        <v>16</v>
      </c>
      <c r="G450" s="55" t="n">
        <v>12</v>
      </c>
      <c r="H450" s="55" t="n">
        <v>60</v>
      </c>
      <c r="I450" s="56" t="n">
        <v>4</v>
      </c>
      <c r="J450" s="53" t="s">
        <v>153</v>
      </c>
      <c r="K450" s="53"/>
      <c r="L450" s="57" t="str">
        <f aca="false">IF(C450="","",IFERROR(INDEX(site_ID,MATCH(C450,site_Name,0)),"Not on SITES"))</f>
        <v>LW-104</v>
      </c>
      <c r="M450" s="58" t="n">
        <f aca="false">IF(E450="","",DATE(YEAR(E450),MONTH(E450),1))</f>
        <v>46054</v>
      </c>
      <c r="N450" s="57" t="str">
        <f aca="false">IF(E450="","","FY"&amp;(YEAR(E450)+IF(AND(FYStart&gt;1,MONTH(E450)&gt;=FYStart),1,0))&amp;" Q"&amp;(INT(MOD(MONTH(E450)-FYStart,12)/3)+1))</f>
        <v>FY2026 Q3</v>
      </c>
      <c r="O450" s="59" t="n">
        <f aca="false">IF(OR(E450="",N(F450)=0),"",G450/F450)</f>
        <v>0.75</v>
      </c>
      <c r="P450" s="60" t="n">
        <f aca="false">IF(E450="","",ROUND(N(G450)*N(H450)/60,1))</f>
        <v>12</v>
      </c>
      <c r="Q450" s="57" t="str">
        <f aca="false">IF(E450="","",IF(COUNTIFS($C$2:C450,C450,$E$2:E450,E450,$B$2:B450,B450)&gt;1,"No","Yes"))</f>
        <v>Yes</v>
      </c>
      <c r="R450" s="61" t="str">
        <f aca="false">IF(E450="","",IF(Q450="No","Duplicate of an earlier response",IF(L450="Not on SITES","Site not on SITES",IF(N(G450)&gt;N(F450),"Present is more than enrolled",IF(OR(I450&lt;1,I450&gt;5),"Score outside 1 to 5","")))))</f>
        <v/>
      </c>
    </row>
    <row r="451" customFormat="false" ht="15" hidden="false" customHeight="false" outlineLevel="0" collapsed="false">
      <c r="A451" s="52" t="n">
        <v>46058.7595601852</v>
      </c>
      <c r="B451" s="53" t="s">
        <v>132</v>
      </c>
      <c r="C451" s="53" t="s">
        <v>150</v>
      </c>
      <c r="D451" s="53" t="s">
        <v>138</v>
      </c>
      <c r="E451" s="54" t="n">
        <v>46058</v>
      </c>
      <c r="F451" s="55" t="n">
        <v>21</v>
      </c>
      <c r="G451" s="55" t="n">
        <v>18</v>
      </c>
      <c r="H451" s="55" t="n">
        <v>90</v>
      </c>
      <c r="I451" s="56" t="n">
        <v>3.5</v>
      </c>
      <c r="J451" s="53" t="s">
        <v>164</v>
      </c>
      <c r="K451" s="53"/>
      <c r="L451" s="57" t="str">
        <f aca="false">IF(C451="","",IFERROR(INDEX(site_ID,MATCH(C451,site_Name,0)),"Not on SITES"))</f>
        <v>LW-117</v>
      </c>
      <c r="M451" s="58" t="n">
        <f aca="false">IF(E451="","",DATE(YEAR(E451),MONTH(E451),1))</f>
        <v>46054</v>
      </c>
      <c r="N451" s="57" t="str">
        <f aca="false">IF(E451="","","FY"&amp;(YEAR(E451)+IF(AND(FYStart&gt;1,MONTH(E451)&gt;=FYStart),1,0))&amp;" Q"&amp;(INT(MOD(MONTH(E451)-FYStart,12)/3)+1))</f>
        <v>FY2026 Q3</v>
      </c>
      <c r="O451" s="59" t="n">
        <f aca="false">IF(OR(E451="",N(F451)=0),"",G451/F451)</f>
        <v>0.857142857142857</v>
      </c>
      <c r="P451" s="60" t="n">
        <f aca="false">IF(E451="","",ROUND(N(G451)*N(H451)/60,1))</f>
        <v>27</v>
      </c>
      <c r="Q451" s="57" t="str">
        <f aca="false">IF(E451="","",IF(COUNTIFS($C$2:C451,C451,$E$2:E451,E451,$B$2:B451,B451)&gt;1,"No","Yes"))</f>
        <v>Yes</v>
      </c>
      <c r="R451" s="61" t="str">
        <f aca="false">IF(E451="","",IF(Q451="No","Duplicate of an earlier response",IF(L451="Not on SITES","Site not on SITES",IF(N(G451)&gt;N(F451),"Present is more than enrolled",IF(OR(I451&lt;1,I451&gt;5),"Score outside 1 to 5","")))))</f>
        <v/>
      </c>
    </row>
    <row r="452" customFormat="false" ht="15" hidden="false" customHeight="false" outlineLevel="0" collapsed="false">
      <c r="A452" s="52" t="n">
        <v>46058.7822222222</v>
      </c>
      <c r="B452" s="53" t="s">
        <v>111</v>
      </c>
      <c r="C452" s="53" t="s">
        <v>149</v>
      </c>
      <c r="D452" s="53" t="s">
        <v>113</v>
      </c>
      <c r="E452" s="54" t="n">
        <v>46058</v>
      </c>
      <c r="F452" s="55" t="n">
        <v>21</v>
      </c>
      <c r="G452" s="55" t="n">
        <v>16</v>
      </c>
      <c r="H452" s="55" t="n">
        <v>60</v>
      </c>
      <c r="I452" s="56" t="n">
        <v>3.9</v>
      </c>
      <c r="J452" s="53" t="s">
        <v>165</v>
      </c>
      <c r="K452" s="53"/>
      <c r="L452" s="57" t="str">
        <f aca="false">IF(C452="","",IFERROR(INDEX(site_ID,MATCH(C452,site_Name,0)),"Not on SITES"))</f>
        <v>LW-112</v>
      </c>
      <c r="M452" s="58" t="n">
        <f aca="false">IF(E452="","",DATE(YEAR(E452),MONTH(E452),1))</f>
        <v>46054</v>
      </c>
      <c r="N452" s="57" t="str">
        <f aca="false">IF(E452="","","FY"&amp;(YEAR(E452)+IF(AND(FYStart&gt;1,MONTH(E452)&gt;=FYStart),1,0))&amp;" Q"&amp;(INT(MOD(MONTH(E452)-FYStart,12)/3)+1))</f>
        <v>FY2026 Q3</v>
      </c>
      <c r="O452" s="59" t="n">
        <f aca="false">IF(OR(E452="",N(F452)=0),"",G452/F452)</f>
        <v>0.761904761904762</v>
      </c>
      <c r="P452" s="60" t="n">
        <f aca="false">IF(E452="","",ROUND(N(G452)*N(H452)/60,1))</f>
        <v>16</v>
      </c>
      <c r="Q452" s="57" t="str">
        <f aca="false">IF(E452="","",IF(COUNTIFS($C$2:C452,C452,$E$2:E452,E452,$B$2:B452,B452)&gt;1,"No","Yes"))</f>
        <v>Yes</v>
      </c>
      <c r="R452" s="61" t="str">
        <f aca="false">IF(E452="","",IF(Q452="No","Duplicate of an earlier response",IF(L452="Not on SITES","Site not on SITES",IF(N(G452)&gt;N(F452),"Present is more than enrolled",IF(OR(I452&lt;1,I452&gt;5),"Score outside 1 to 5","")))))</f>
        <v/>
      </c>
    </row>
    <row r="453" customFormat="false" ht="15" hidden="false" customHeight="false" outlineLevel="0" collapsed="false">
      <c r="A453" s="52" t="n">
        <v>46058.8080439815</v>
      </c>
      <c r="B453" s="53" t="s">
        <v>124</v>
      </c>
      <c r="C453" s="53" t="s">
        <v>154</v>
      </c>
      <c r="D453" s="53" t="s">
        <v>116</v>
      </c>
      <c r="E453" s="54" t="n">
        <v>46058</v>
      </c>
      <c r="F453" s="55" t="n">
        <v>18</v>
      </c>
      <c r="G453" s="55" t="n">
        <v>15</v>
      </c>
      <c r="H453" s="55" t="n">
        <v>75</v>
      </c>
      <c r="I453" s="56" t="n">
        <v>4.4</v>
      </c>
      <c r="J453" s="53" t="s">
        <v>134</v>
      </c>
      <c r="K453" s="53"/>
      <c r="L453" s="57" t="str">
        <f aca="false">IF(C453="","",IFERROR(INDEX(site_ID,MATCH(C453,site_Name,0)),"Not on SITES"))</f>
        <v>LW-114</v>
      </c>
      <c r="M453" s="58" t="n">
        <f aca="false">IF(E453="","",DATE(YEAR(E453),MONTH(E453),1))</f>
        <v>46054</v>
      </c>
      <c r="N453" s="57" t="str">
        <f aca="false">IF(E453="","","FY"&amp;(YEAR(E453)+IF(AND(FYStart&gt;1,MONTH(E453)&gt;=FYStart),1,0))&amp;" Q"&amp;(INT(MOD(MONTH(E453)-FYStart,12)/3)+1))</f>
        <v>FY2026 Q3</v>
      </c>
      <c r="O453" s="59" t="n">
        <f aca="false">IF(OR(E453="",N(F453)=0),"",G453/F453)</f>
        <v>0.833333333333333</v>
      </c>
      <c r="P453" s="60" t="n">
        <f aca="false">IF(E453="","",ROUND(N(G453)*N(H453)/60,1))</f>
        <v>18.8</v>
      </c>
      <c r="Q453" s="57" t="str">
        <f aca="false">IF(E453="","",IF(COUNTIFS($C$2:C453,C453,$E$2:E453,E453,$B$2:B453,B453)&gt;1,"No","Yes"))</f>
        <v>Yes</v>
      </c>
      <c r="R453" s="61" t="str">
        <f aca="false">IF(E453="","",IF(Q453="No","Duplicate of an earlier response",IF(L453="Not on SITES","Site not on SITES",IF(N(G453)&gt;N(F453),"Present is more than enrolled",IF(OR(I453&lt;1,I453&gt;5),"Score outside 1 to 5","")))))</f>
        <v/>
      </c>
    </row>
    <row r="454" customFormat="false" ht="15" hidden="false" customHeight="false" outlineLevel="0" collapsed="false">
      <c r="A454" s="52" t="n">
        <v>46058.8534143519</v>
      </c>
      <c r="B454" s="53" t="s">
        <v>109</v>
      </c>
      <c r="C454" s="53" t="s">
        <v>146</v>
      </c>
      <c r="D454" s="53" t="s">
        <v>138</v>
      </c>
      <c r="E454" s="54" t="n">
        <v>46058</v>
      </c>
      <c r="F454" s="55" t="n">
        <v>14</v>
      </c>
      <c r="G454" s="55" t="n">
        <v>11</v>
      </c>
      <c r="H454" s="55" t="n">
        <v>90</v>
      </c>
      <c r="I454" s="56" t="n">
        <v>3.3</v>
      </c>
      <c r="J454" s="53" t="s">
        <v>163</v>
      </c>
      <c r="K454" s="53" t="s">
        <v>167</v>
      </c>
      <c r="L454" s="57" t="str">
        <f aca="false">IF(C454="","",IFERROR(INDEX(site_ID,MATCH(C454,site_Name,0)),"Not on SITES"))</f>
        <v>LW-105</v>
      </c>
      <c r="M454" s="58" t="n">
        <f aca="false">IF(E454="","",DATE(YEAR(E454),MONTH(E454),1))</f>
        <v>46054</v>
      </c>
      <c r="N454" s="57" t="str">
        <f aca="false">IF(E454="","","FY"&amp;(YEAR(E454)+IF(AND(FYStart&gt;1,MONTH(E454)&gt;=FYStart),1,0))&amp;" Q"&amp;(INT(MOD(MONTH(E454)-FYStart,12)/3)+1))</f>
        <v>FY2026 Q3</v>
      </c>
      <c r="O454" s="59" t="n">
        <f aca="false">IF(OR(E454="",N(F454)=0),"",G454/F454)</f>
        <v>0.785714285714286</v>
      </c>
      <c r="P454" s="60" t="n">
        <f aca="false">IF(E454="","",ROUND(N(G454)*N(H454)/60,1))</f>
        <v>16.5</v>
      </c>
      <c r="Q454" s="57" t="str">
        <f aca="false">IF(E454="","",IF(COUNTIFS($C$2:C454,C454,$E$2:E454,E454,$B$2:B454,B454)&gt;1,"No","Yes"))</f>
        <v>Yes</v>
      </c>
      <c r="R454" s="61" t="str">
        <f aca="false">IF(E454="","",IF(Q454="No","Duplicate of an earlier response",IF(L454="Not on SITES","Site not on SITES",IF(N(G454)&gt;N(F454),"Present is more than enrolled",IF(OR(I454&lt;1,I454&gt;5),"Score outside 1 to 5","")))))</f>
        <v/>
      </c>
    </row>
    <row r="455" customFormat="false" ht="15" hidden="false" customHeight="false" outlineLevel="0" collapsed="false">
      <c r="A455" s="52" t="n">
        <v>46058.8735648148</v>
      </c>
      <c r="B455" s="53" t="s">
        <v>132</v>
      </c>
      <c r="C455" s="53" t="s">
        <v>145</v>
      </c>
      <c r="D455" s="53" t="s">
        <v>119</v>
      </c>
      <c r="E455" s="54" t="n">
        <v>46057</v>
      </c>
      <c r="F455" s="55" t="n">
        <v>19</v>
      </c>
      <c r="G455" s="55" t="n">
        <v>14</v>
      </c>
      <c r="H455" s="55" t="n">
        <v>60</v>
      </c>
      <c r="I455" s="56" t="n">
        <v>3.9</v>
      </c>
      <c r="J455" s="53" t="s">
        <v>144</v>
      </c>
      <c r="K455" s="53"/>
      <c r="L455" s="57" t="str">
        <f aca="false">IF(C455="","",IFERROR(INDEX(site_ID,MATCH(C455,site_Name,0)),"Not on SITES"))</f>
        <v>LW-101</v>
      </c>
      <c r="M455" s="58" t="n">
        <f aca="false">IF(E455="","",DATE(YEAR(E455),MONTH(E455),1))</f>
        <v>46054</v>
      </c>
      <c r="N455" s="57" t="str">
        <f aca="false">IF(E455="","","FY"&amp;(YEAR(E455)+IF(AND(FYStart&gt;1,MONTH(E455)&gt;=FYStart),1,0))&amp;" Q"&amp;(INT(MOD(MONTH(E455)-FYStart,12)/3)+1))</f>
        <v>FY2026 Q3</v>
      </c>
      <c r="O455" s="59" t="n">
        <f aca="false">IF(OR(E455="",N(F455)=0),"",G455/F455)</f>
        <v>0.736842105263158</v>
      </c>
      <c r="P455" s="60" t="n">
        <f aca="false">IF(E455="","",ROUND(N(G455)*N(H455)/60,1))</f>
        <v>14</v>
      </c>
      <c r="Q455" s="57" t="str">
        <f aca="false">IF(E455="","",IF(COUNTIFS($C$2:C455,C455,$E$2:E455,E455,$B$2:B455,B455)&gt;1,"No","Yes"))</f>
        <v>Yes</v>
      </c>
      <c r="R455" s="61" t="str">
        <f aca="false">IF(E455="","",IF(Q455="No","Duplicate of an earlier response",IF(L455="Not on SITES","Site not on SITES",IF(N(G455)&gt;N(F455),"Present is more than enrolled",IF(OR(I455&lt;1,I455&gt;5),"Score outside 1 to 5","")))))</f>
        <v/>
      </c>
    </row>
    <row r="456" customFormat="false" ht="15" hidden="false" customHeight="false" outlineLevel="0" collapsed="false">
      <c r="A456" s="52" t="n">
        <v>46059.6376157407</v>
      </c>
      <c r="B456" s="53" t="s">
        <v>140</v>
      </c>
      <c r="C456" s="53" t="s">
        <v>141</v>
      </c>
      <c r="D456" s="53" t="s">
        <v>116</v>
      </c>
      <c r="E456" s="54" t="n">
        <v>46059</v>
      </c>
      <c r="F456" s="55" t="n">
        <v>13</v>
      </c>
      <c r="G456" s="55" t="n">
        <v>10</v>
      </c>
      <c r="H456" s="55" t="n">
        <v>90</v>
      </c>
      <c r="I456" s="56" t="n">
        <v>3.6</v>
      </c>
      <c r="J456" s="53" t="s">
        <v>153</v>
      </c>
      <c r="K456" s="53"/>
      <c r="L456" s="57" t="str">
        <f aca="false">IF(C456="","",IFERROR(INDEX(site_ID,MATCH(C456,site_Name,0)),"Not on SITES"))</f>
        <v>LW-118</v>
      </c>
      <c r="M456" s="58" t="n">
        <f aca="false">IF(E456="","",DATE(YEAR(E456),MONTH(E456),1))</f>
        <v>46054</v>
      </c>
      <c r="N456" s="57" t="str">
        <f aca="false">IF(E456="","","FY"&amp;(YEAR(E456)+IF(AND(FYStart&gt;1,MONTH(E456)&gt;=FYStart),1,0))&amp;" Q"&amp;(INT(MOD(MONTH(E456)-FYStart,12)/3)+1))</f>
        <v>FY2026 Q3</v>
      </c>
      <c r="O456" s="59" t="n">
        <f aca="false">IF(OR(E456="",N(F456)=0),"",G456/F456)</f>
        <v>0.769230769230769</v>
      </c>
      <c r="P456" s="60" t="n">
        <f aca="false">IF(E456="","",ROUND(N(G456)*N(H456)/60,1))</f>
        <v>15</v>
      </c>
      <c r="Q456" s="57" t="str">
        <f aca="false">IF(E456="","",IF(COUNTIFS($C$2:C456,C456,$E$2:E456,E456,$B$2:B456,B456)&gt;1,"No","Yes"))</f>
        <v>Yes</v>
      </c>
      <c r="R456" s="61" t="str">
        <f aca="false">IF(E456="","",IF(Q456="No","Duplicate of an earlier response",IF(L456="Not on SITES","Site not on SITES",IF(N(G456)&gt;N(F456),"Present is more than enrolled",IF(OR(I456&lt;1,I456&gt;5),"Score outside 1 to 5","")))))</f>
        <v/>
      </c>
    </row>
    <row r="457" customFormat="false" ht="15" hidden="false" customHeight="false" outlineLevel="0" collapsed="false">
      <c r="A457" s="52" t="n">
        <v>46059.7146296296</v>
      </c>
      <c r="B457" s="53" t="s">
        <v>105</v>
      </c>
      <c r="C457" s="53" t="s">
        <v>118</v>
      </c>
      <c r="D457" s="53" t="s">
        <v>119</v>
      </c>
      <c r="E457" s="54" t="n">
        <v>46057</v>
      </c>
      <c r="F457" s="55" t="n">
        <v>22</v>
      </c>
      <c r="G457" s="55" t="n">
        <v>16</v>
      </c>
      <c r="H457" s="55" t="n">
        <v>60</v>
      </c>
      <c r="I457" s="56" t="n">
        <v>3.3</v>
      </c>
      <c r="J457" s="53" t="s">
        <v>162</v>
      </c>
      <c r="K457" s="53"/>
      <c r="L457" s="57" t="str">
        <f aca="false">IF(C457="","",IFERROR(INDEX(site_ID,MATCH(C457,site_Name,0)),"Not on SITES"))</f>
        <v>LW-111</v>
      </c>
      <c r="M457" s="58" t="n">
        <f aca="false">IF(E457="","",DATE(YEAR(E457),MONTH(E457),1))</f>
        <v>46054</v>
      </c>
      <c r="N457" s="57" t="str">
        <f aca="false">IF(E457="","","FY"&amp;(YEAR(E457)+IF(AND(FYStart&gt;1,MONTH(E457)&gt;=FYStart),1,0))&amp;" Q"&amp;(INT(MOD(MONTH(E457)-FYStart,12)/3)+1))</f>
        <v>FY2026 Q3</v>
      </c>
      <c r="O457" s="59" t="n">
        <f aca="false">IF(OR(E457="",N(F457)=0),"",G457/F457)</f>
        <v>0.727272727272727</v>
      </c>
      <c r="P457" s="60" t="n">
        <f aca="false">IF(E457="","",ROUND(N(G457)*N(H457)/60,1))</f>
        <v>16</v>
      </c>
      <c r="Q457" s="57" t="str">
        <f aca="false">IF(E457="","",IF(COUNTIFS($C$2:C457,C457,$E$2:E457,E457,$B$2:B457,B457)&gt;1,"No","Yes"))</f>
        <v>Yes</v>
      </c>
      <c r="R457" s="61" t="str">
        <f aca="false">IF(E457="","",IF(Q457="No","Duplicate of an earlier response",IF(L457="Not on SITES","Site not on SITES",IF(N(G457)&gt;N(F457),"Present is more than enrolled",IF(OR(I457&lt;1,I457&gt;5),"Score outside 1 to 5","")))))</f>
        <v/>
      </c>
    </row>
    <row r="458" customFormat="false" ht="15" hidden="false" customHeight="false" outlineLevel="0" collapsed="false">
      <c r="A458" s="52" t="n">
        <v>46061.7138194444</v>
      </c>
      <c r="B458" s="53" t="s">
        <v>140</v>
      </c>
      <c r="C458" s="53" t="s">
        <v>137</v>
      </c>
      <c r="D458" s="53" t="s">
        <v>138</v>
      </c>
      <c r="E458" s="54" t="n">
        <v>46059</v>
      </c>
      <c r="F458" s="55" t="n">
        <v>16</v>
      </c>
      <c r="G458" s="55" t="n">
        <v>13</v>
      </c>
      <c r="H458" s="55" t="n">
        <v>90</v>
      </c>
      <c r="I458" s="56" t="n">
        <v>3.7</v>
      </c>
      <c r="J458" s="53" t="s">
        <v>163</v>
      </c>
      <c r="K458" s="53"/>
      <c r="L458" s="57" t="str">
        <f aca="false">IF(C458="","",IFERROR(INDEX(site_ID,MATCH(C458,site_Name,0)),"Not on SITES"))</f>
        <v>LW-115</v>
      </c>
      <c r="M458" s="58" t="n">
        <f aca="false">IF(E458="","",DATE(YEAR(E458),MONTH(E458),1))</f>
        <v>46054</v>
      </c>
      <c r="N458" s="57" t="str">
        <f aca="false">IF(E458="","","FY"&amp;(YEAR(E458)+IF(AND(FYStart&gt;1,MONTH(E458)&gt;=FYStart),1,0))&amp;" Q"&amp;(INT(MOD(MONTH(E458)-FYStart,12)/3)+1))</f>
        <v>FY2026 Q3</v>
      </c>
      <c r="O458" s="59" t="n">
        <f aca="false">IF(OR(E458="",N(F458)=0),"",G458/F458)</f>
        <v>0.8125</v>
      </c>
      <c r="P458" s="60" t="n">
        <f aca="false">IF(E458="","",ROUND(N(G458)*N(H458)/60,1))</f>
        <v>19.5</v>
      </c>
      <c r="Q458" s="57" t="str">
        <f aca="false">IF(E458="","",IF(COUNTIFS($C$2:C458,C458,$E$2:E458,E458,$B$2:B458,B458)&gt;1,"No","Yes"))</f>
        <v>Yes</v>
      </c>
      <c r="R458" s="61" t="str">
        <f aca="false">IF(E458="","",IF(Q458="No","Duplicate of an earlier response",IF(L458="Not on SITES","Site not on SITES",IF(N(G458)&gt;N(F458),"Present is more than enrolled",IF(OR(I458&lt;1,I458&gt;5),"Score outside 1 to 5","")))))</f>
        <v/>
      </c>
    </row>
    <row r="459" customFormat="false" ht="15" hidden="false" customHeight="false" outlineLevel="0" collapsed="false">
      <c r="A459" s="52" t="n">
        <v>46062.6680787037</v>
      </c>
      <c r="B459" s="53" t="s">
        <v>111</v>
      </c>
      <c r="C459" s="53" t="s">
        <v>112</v>
      </c>
      <c r="D459" s="53" t="s">
        <v>113</v>
      </c>
      <c r="E459" s="54" t="n">
        <v>46062</v>
      </c>
      <c r="F459" s="55" t="n">
        <v>15</v>
      </c>
      <c r="G459" s="55" t="n">
        <v>12</v>
      </c>
      <c r="H459" s="55" t="n">
        <v>60</v>
      </c>
      <c r="I459" s="56" t="n">
        <v>3.8</v>
      </c>
      <c r="J459" s="53" t="s">
        <v>143</v>
      </c>
      <c r="K459" s="53"/>
      <c r="L459" s="57" t="str">
        <f aca="false">IF(C459="","",IFERROR(INDEX(site_ID,MATCH(C459,site_Name,0)),"Not on SITES"))</f>
        <v>LW-120</v>
      </c>
      <c r="M459" s="58" t="n">
        <f aca="false">IF(E459="","",DATE(YEAR(E459),MONTH(E459),1))</f>
        <v>46054</v>
      </c>
      <c r="N459" s="57" t="str">
        <f aca="false">IF(E459="","","FY"&amp;(YEAR(E459)+IF(AND(FYStart&gt;1,MONTH(E459)&gt;=FYStart),1,0))&amp;" Q"&amp;(INT(MOD(MONTH(E459)-FYStart,12)/3)+1))</f>
        <v>FY2026 Q3</v>
      </c>
      <c r="O459" s="59" t="n">
        <f aca="false">IF(OR(E459="",N(F459)=0),"",G459/F459)</f>
        <v>0.8</v>
      </c>
      <c r="P459" s="60" t="n">
        <f aca="false">IF(E459="","",ROUND(N(G459)*N(H459)/60,1))</f>
        <v>12</v>
      </c>
      <c r="Q459" s="57" t="str">
        <f aca="false">IF(E459="","",IF(COUNTIFS($C$2:C459,C459,$E$2:E459,E459,$B$2:B459,B459)&gt;1,"No","Yes"))</f>
        <v>Yes</v>
      </c>
      <c r="R459" s="61" t="str">
        <f aca="false">IF(E459="","",IF(Q459="No","Duplicate of an earlier response",IF(L459="Not on SITES","Site not on SITES",IF(N(G459)&gt;N(F459),"Present is more than enrolled",IF(OR(I459&lt;1,I459&gt;5),"Score outside 1 to 5","")))))</f>
        <v/>
      </c>
    </row>
    <row r="460" customFormat="false" ht="15" hidden="false" customHeight="false" outlineLevel="0" collapsed="false">
      <c r="A460" s="52" t="n">
        <v>46062.7017592593</v>
      </c>
      <c r="B460" s="53" t="s">
        <v>105</v>
      </c>
      <c r="C460" s="53" t="s">
        <v>118</v>
      </c>
      <c r="D460" s="53" t="s">
        <v>119</v>
      </c>
      <c r="E460" s="54" t="n">
        <v>46062</v>
      </c>
      <c r="F460" s="55" t="n">
        <v>22</v>
      </c>
      <c r="G460" s="55" t="n">
        <v>15</v>
      </c>
      <c r="H460" s="55" t="n">
        <v>60</v>
      </c>
      <c r="I460" s="56" t="n">
        <v>4.1</v>
      </c>
      <c r="J460" s="53" t="s">
        <v>126</v>
      </c>
      <c r="K460" s="53"/>
      <c r="L460" s="57" t="str">
        <f aca="false">IF(C460="","",IFERROR(INDEX(site_ID,MATCH(C460,site_Name,0)),"Not on SITES"))</f>
        <v>LW-111</v>
      </c>
      <c r="M460" s="58" t="n">
        <f aca="false">IF(E460="","",DATE(YEAR(E460),MONTH(E460),1))</f>
        <v>46054</v>
      </c>
      <c r="N460" s="57" t="str">
        <f aca="false">IF(E460="","","FY"&amp;(YEAR(E460)+IF(AND(FYStart&gt;1,MONTH(E460)&gt;=FYStart),1,0))&amp;" Q"&amp;(INT(MOD(MONTH(E460)-FYStart,12)/3)+1))</f>
        <v>FY2026 Q3</v>
      </c>
      <c r="O460" s="59" t="n">
        <f aca="false">IF(OR(E460="",N(F460)=0),"",G460/F460)</f>
        <v>0.681818181818182</v>
      </c>
      <c r="P460" s="60" t="n">
        <f aca="false">IF(E460="","",ROUND(N(G460)*N(H460)/60,1))</f>
        <v>15</v>
      </c>
      <c r="Q460" s="57" t="str">
        <f aca="false">IF(E460="","",IF(COUNTIFS($C$2:C460,C460,$E$2:E460,E460,$B$2:B460,B460)&gt;1,"No","Yes"))</f>
        <v>Yes</v>
      </c>
      <c r="R460" s="61" t="str">
        <f aca="false">IF(E460="","",IF(Q460="No","Duplicate of an earlier response",IF(L460="Not on SITES","Site not on SITES",IF(N(G460)&gt;N(F460),"Present is more than enrolled",IF(OR(I460&lt;1,I460&gt;5),"Score outside 1 to 5","")))))</f>
        <v/>
      </c>
    </row>
    <row r="461" customFormat="false" ht="15" hidden="false" customHeight="false" outlineLevel="0" collapsed="false">
      <c r="A461" s="52" t="n">
        <v>46062.7635300926</v>
      </c>
      <c r="B461" s="53" t="s">
        <v>105</v>
      </c>
      <c r="C461" s="53" t="s">
        <v>115</v>
      </c>
      <c r="D461" s="53" t="s">
        <v>116</v>
      </c>
      <c r="E461" s="54" t="n">
        <v>46062</v>
      </c>
      <c r="F461" s="55" t="n">
        <v>16</v>
      </c>
      <c r="G461" s="55" t="n">
        <v>13</v>
      </c>
      <c r="H461" s="55" t="n">
        <v>60</v>
      </c>
      <c r="I461" s="56" t="n">
        <v>3.5</v>
      </c>
      <c r="J461" s="53" t="s">
        <v>123</v>
      </c>
      <c r="K461" s="53"/>
      <c r="L461" s="57" t="str">
        <f aca="false">IF(C461="","",IFERROR(INDEX(site_ID,MATCH(C461,site_Name,0)),"Not on SITES"))</f>
        <v>LW-119</v>
      </c>
      <c r="M461" s="58" t="n">
        <f aca="false">IF(E461="","",DATE(YEAR(E461),MONTH(E461),1))</f>
        <v>46054</v>
      </c>
      <c r="N461" s="57" t="str">
        <f aca="false">IF(E461="","","FY"&amp;(YEAR(E461)+IF(AND(FYStart&gt;1,MONTH(E461)&gt;=FYStart),1,0))&amp;" Q"&amp;(INT(MOD(MONTH(E461)-FYStart,12)/3)+1))</f>
        <v>FY2026 Q3</v>
      </c>
      <c r="O461" s="59" t="n">
        <f aca="false">IF(OR(E461="",N(F461)=0),"",G461/F461)</f>
        <v>0.8125</v>
      </c>
      <c r="P461" s="60" t="n">
        <f aca="false">IF(E461="","",ROUND(N(G461)*N(H461)/60,1))</f>
        <v>13</v>
      </c>
      <c r="Q461" s="57" t="str">
        <f aca="false">IF(E461="","",IF(COUNTIFS($C$2:C461,C461,$E$2:E461,E461,$B$2:B461,B461)&gt;1,"No","Yes"))</f>
        <v>Yes</v>
      </c>
      <c r="R461" s="61" t="str">
        <f aca="false">IF(E461="","",IF(Q461="No","Duplicate of an earlier response",IF(L461="Not on SITES","Site not on SITES",IF(N(G461)&gt;N(F461),"Present is more than enrolled",IF(OR(I461&lt;1,I461&gt;5),"Score outside 1 to 5","")))))</f>
        <v/>
      </c>
    </row>
    <row r="462" customFormat="false" ht="15" hidden="false" customHeight="false" outlineLevel="0" collapsed="false">
      <c r="A462" s="52" t="n">
        <v>46062.7914699074</v>
      </c>
      <c r="B462" s="53" t="s">
        <v>105</v>
      </c>
      <c r="C462" s="53" t="s">
        <v>106</v>
      </c>
      <c r="D462" s="53" t="s">
        <v>107</v>
      </c>
      <c r="E462" s="54" t="n">
        <v>46062</v>
      </c>
      <c r="F462" s="55" t="n">
        <v>16</v>
      </c>
      <c r="G462" s="55" t="n">
        <v>12</v>
      </c>
      <c r="H462" s="55" t="n">
        <v>90</v>
      </c>
      <c r="I462" s="56" t="n">
        <v>4.1</v>
      </c>
      <c r="J462" s="53" t="s">
        <v>166</v>
      </c>
      <c r="K462" s="53"/>
      <c r="L462" s="57" t="str">
        <f aca="false">IF(C462="","",IFERROR(INDEX(site_ID,MATCH(C462,site_Name,0)),"Not on SITES"))</f>
        <v>LW-103</v>
      </c>
      <c r="M462" s="58" t="n">
        <f aca="false">IF(E462="","",DATE(YEAR(E462),MONTH(E462),1))</f>
        <v>46054</v>
      </c>
      <c r="N462" s="57" t="str">
        <f aca="false">IF(E462="","","FY"&amp;(YEAR(E462)+IF(AND(FYStart&gt;1,MONTH(E462)&gt;=FYStart),1,0))&amp;" Q"&amp;(INT(MOD(MONTH(E462)-FYStart,12)/3)+1))</f>
        <v>FY2026 Q3</v>
      </c>
      <c r="O462" s="59" t="n">
        <f aca="false">IF(OR(E462="",N(F462)=0),"",G462/F462)</f>
        <v>0.75</v>
      </c>
      <c r="P462" s="60" t="n">
        <f aca="false">IF(E462="","",ROUND(N(G462)*N(H462)/60,1))</f>
        <v>18</v>
      </c>
      <c r="Q462" s="57" t="str">
        <f aca="false">IF(E462="","",IF(COUNTIFS($C$2:C462,C462,$E$2:E462,E462,$B$2:B462,B462)&gt;1,"No","Yes"))</f>
        <v>Yes</v>
      </c>
      <c r="R462" s="61" t="str">
        <f aca="false">IF(E462="","",IF(Q462="No","Duplicate of an earlier response",IF(L462="Not on SITES","Site not on SITES",IF(N(G462)&gt;N(F462),"Present is more than enrolled",IF(OR(I462&lt;1,I462&gt;5),"Score outside 1 to 5","")))))</f>
        <v/>
      </c>
    </row>
    <row r="463" customFormat="false" ht="15" hidden="false" customHeight="false" outlineLevel="0" collapsed="false">
      <c r="A463" s="52" t="n">
        <v>46062.8338194444</v>
      </c>
      <c r="B463" s="53" t="s">
        <v>109</v>
      </c>
      <c r="C463" s="53" t="s">
        <v>110</v>
      </c>
      <c r="D463" s="53" t="s">
        <v>107</v>
      </c>
      <c r="E463" s="54" t="n">
        <v>46062</v>
      </c>
      <c r="F463" s="55" t="n">
        <v>21</v>
      </c>
      <c r="G463" s="55" t="n">
        <v>15</v>
      </c>
      <c r="H463" s="55" t="n">
        <v>60</v>
      </c>
      <c r="I463" s="56" t="n">
        <v>4.3</v>
      </c>
      <c r="J463" s="53" t="s">
        <v>166</v>
      </c>
      <c r="K463" s="53"/>
      <c r="L463" s="57" t="str">
        <f aca="false">IF(C463="","",IFERROR(INDEX(site_ID,MATCH(C463,site_Name,0)),"Not on SITES"))</f>
        <v>LW-113</v>
      </c>
      <c r="M463" s="58" t="n">
        <f aca="false">IF(E463="","",DATE(YEAR(E463),MONTH(E463),1))</f>
        <v>46054</v>
      </c>
      <c r="N463" s="57" t="str">
        <f aca="false">IF(E463="","","FY"&amp;(YEAR(E463)+IF(AND(FYStart&gt;1,MONTH(E463)&gt;=FYStart),1,0))&amp;" Q"&amp;(INT(MOD(MONTH(E463)-FYStart,12)/3)+1))</f>
        <v>FY2026 Q3</v>
      </c>
      <c r="O463" s="59" t="n">
        <f aca="false">IF(OR(E463="",N(F463)=0),"",G463/F463)</f>
        <v>0.714285714285714</v>
      </c>
      <c r="P463" s="60" t="n">
        <f aca="false">IF(E463="","",ROUND(N(G463)*N(H463)/60,1))</f>
        <v>15</v>
      </c>
      <c r="Q463" s="57" t="str">
        <f aca="false">IF(E463="","",IF(COUNTIFS($C$2:C463,C463,$E$2:E463,E463,$B$2:B463,B463)&gt;1,"No","Yes"))</f>
        <v>Yes</v>
      </c>
      <c r="R463" s="61" t="str">
        <f aca="false">IF(E463="","",IF(Q463="No","Duplicate of an earlier response",IF(L463="Not on SITES","Site not on SITES",IF(N(G463)&gt;N(F463),"Present is more than enrolled",IF(OR(I463&lt;1,I463&gt;5),"Score outside 1 to 5","")))))</f>
        <v/>
      </c>
    </row>
    <row r="464" customFormat="false" ht="15" hidden="false" customHeight="false" outlineLevel="0" collapsed="false">
      <c r="A464" s="52" t="n">
        <v>46063.7026157407</v>
      </c>
      <c r="B464" s="53" t="s">
        <v>121</v>
      </c>
      <c r="C464" s="53" t="s">
        <v>127</v>
      </c>
      <c r="D464" s="53" t="s">
        <v>107</v>
      </c>
      <c r="E464" s="54" t="n">
        <v>46063</v>
      </c>
      <c r="F464" s="55" t="n">
        <v>15</v>
      </c>
      <c r="G464" s="55" t="n">
        <v>10</v>
      </c>
      <c r="H464" s="55" t="n">
        <v>75</v>
      </c>
      <c r="I464" s="56" t="n">
        <v>4.3</v>
      </c>
      <c r="J464" s="53" t="s">
        <v>166</v>
      </c>
      <c r="K464" s="53"/>
      <c r="L464" s="57" t="str">
        <f aca="false">IF(C464="","",IFERROR(INDEX(site_ID,MATCH(C464,site_Name,0)),"Not on SITES"))</f>
        <v>LW-108</v>
      </c>
      <c r="M464" s="58" t="n">
        <f aca="false">IF(E464="","",DATE(YEAR(E464),MONTH(E464),1))</f>
        <v>46054</v>
      </c>
      <c r="N464" s="57" t="str">
        <f aca="false">IF(E464="","","FY"&amp;(YEAR(E464)+IF(AND(FYStart&gt;1,MONTH(E464)&gt;=FYStart),1,0))&amp;" Q"&amp;(INT(MOD(MONTH(E464)-FYStart,12)/3)+1))</f>
        <v>FY2026 Q3</v>
      </c>
      <c r="O464" s="59" t="n">
        <f aca="false">IF(OR(E464="",N(F464)=0),"",G464/F464)</f>
        <v>0.666666666666667</v>
      </c>
      <c r="P464" s="60" t="n">
        <f aca="false">IF(E464="","",ROUND(N(G464)*N(H464)/60,1))</f>
        <v>12.5</v>
      </c>
      <c r="Q464" s="57" t="str">
        <f aca="false">IF(E464="","",IF(COUNTIFS($C$2:C464,C464,$E$2:E464,E464,$B$2:B464,B464)&gt;1,"No","Yes"))</f>
        <v>Yes</v>
      </c>
      <c r="R464" s="61" t="str">
        <f aca="false">IF(E464="","",IF(Q464="No","Duplicate of an earlier response",IF(L464="Not on SITES","Site not on SITES",IF(N(G464)&gt;N(F464),"Present is more than enrolled",IF(OR(I464&lt;1,I464&gt;5),"Score outside 1 to 5","")))))</f>
        <v/>
      </c>
    </row>
    <row r="465" customFormat="false" ht="15" hidden="false" customHeight="false" outlineLevel="0" collapsed="false">
      <c r="A465" s="52" t="n">
        <v>46063.730787037</v>
      </c>
      <c r="B465" s="53" t="s">
        <v>129</v>
      </c>
      <c r="C465" s="53" t="s">
        <v>130</v>
      </c>
      <c r="D465" s="53" t="s">
        <v>113</v>
      </c>
      <c r="E465" s="54" t="n">
        <v>46063</v>
      </c>
      <c r="F465" s="55" t="n">
        <v>16</v>
      </c>
      <c r="G465" s="55" t="n">
        <v>12</v>
      </c>
      <c r="H465" s="55" t="n">
        <v>75</v>
      </c>
      <c r="I465" s="56" t="n">
        <v>3.7</v>
      </c>
      <c r="J465" s="53" t="s">
        <v>136</v>
      </c>
      <c r="K465" s="53"/>
      <c r="L465" s="57" t="str">
        <f aca="false">IF(C465="","",IFERROR(INDEX(site_ID,MATCH(C465,site_Name,0)),"Not on SITES"))</f>
        <v>LW-107</v>
      </c>
      <c r="M465" s="58" t="n">
        <f aca="false">IF(E465="","",DATE(YEAR(E465),MONTH(E465),1))</f>
        <v>46054</v>
      </c>
      <c r="N465" s="57" t="str">
        <f aca="false">IF(E465="","","FY"&amp;(YEAR(E465)+IF(AND(FYStart&gt;1,MONTH(E465)&gt;=FYStart),1,0))&amp;" Q"&amp;(INT(MOD(MONTH(E465)-FYStart,12)/3)+1))</f>
        <v>FY2026 Q3</v>
      </c>
      <c r="O465" s="59" t="n">
        <f aca="false">IF(OR(E465="",N(F465)=0),"",G465/F465)</f>
        <v>0.75</v>
      </c>
      <c r="P465" s="60" t="n">
        <f aca="false">IF(E465="","",ROUND(N(G465)*N(H465)/60,1))</f>
        <v>15</v>
      </c>
      <c r="Q465" s="57" t="str">
        <f aca="false">IF(E465="","",IF(COUNTIFS($C$2:C465,C465,$E$2:E465,E465,$B$2:B465,B465)&gt;1,"No","Yes"))</f>
        <v>Yes</v>
      </c>
      <c r="R465" s="61" t="str">
        <f aca="false">IF(E465="","",IF(Q465="No","Duplicate of an earlier response",IF(L465="Not on SITES","Site not on SITES",IF(N(G465)&gt;N(F465),"Present is more than enrolled",IF(OR(I465&lt;1,I465&gt;5),"Score outside 1 to 5","")))))</f>
        <v/>
      </c>
    </row>
    <row r="466" customFormat="false" ht="15" hidden="false" customHeight="false" outlineLevel="0" collapsed="false">
      <c r="A466" s="52" t="n">
        <v>46063.7818287037</v>
      </c>
      <c r="B466" s="53" t="s">
        <v>121</v>
      </c>
      <c r="C466" s="53" t="s">
        <v>122</v>
      </c>
      <c r="D466" s="53" t="s">
        <v>116</v>
      </c>
      <c r="E466" s="54" t="n">
        <v>46063</v>
      </c>
      <c r="F466" s="55" t="n">
        <v>16</v>
      </c>
      <c r="G466" s="55" t="n">
        <v>11</v>
      </c>
      <c r="H466" s="55" t="n">
        <v>60</v>
      </c>
      <c r="I466" s="56" t="n">
        <v>3.3</v>
      </c>
      <c r="J466" s="53" t="s">
        <v>160</v>
      </c>
      <c r="K466" s="53"/>
      <c r="L466" s="57" t="str">
        <f aca="false">IF(C466="","",IFERROR(INDEX(site_ID,MATCH(C466,site_Name,0)),"Not on SITES"))</f>
        <v>LW-116</v>
      </c>
      <c r="M466" s="58" t="n">
        <f aca="false">IF(E466="","",DATE(YEAR(E466),MONTH(E466),1))</f>
        <v>46054</v>
      </c>
      <c r="N466" s="57" t="str">
        <f aca="false">IF(E466="","","FY"&amp;(YEAR(E466)+IF(AND(FYStart&gt;1,MONTH(E466)&gt;=FYStart),1,0))&amp;" Q"&amp;(INT(MOD(MONTH(E466)-FYStart,12)/3)+1))</f>
        <v>FY2026 Q3</v>
      </c>
      <c r="O466" s="59" t="n">
        <f aca="false">IF(OR(E466="",N(F466)=0),"",G466/F466)</f>
        <v>0.6875</v>
      </c>
      <c r="P466" s="60" t="n">
        <f aca="false">IF(E466="","",ROUND(N(G466)*N(H466)/60,1))</f>
        <v>11</v>
      </c>
      <c r="Q466" s="57" t="str">
        <f aca="false">IF(E466="","",IF(COUNTIFS($C$2:C466,C466,$E$2:E466,E466,$B$2:B466,B466)&gt;1,"No","Yes"))</f>
        <v>Yes</v>
      </c>
      <c r="R466" s="61" t="str">
        <f aca="false">IF(E466="","",IF(Q466="No","Duplicate of an earlier response",IF(L466="Not on SITES","Site not on SITES",IF(N(G466)&gt;N(F466),"Present is more than enrolled",IF(OR(I466&lt;1,I466&gt;5),"Score outside 1 to 5","")))))</f>
        <v/>
      </c>
    </row>
    <row r="467" customFormat="false" ht="15" hidden="false" customHeight="false" outlineLevel="0" collapsed="false">
      <c r="A467" s="52" t="n">
        <v>46063.8204976852</v>
      </c>
      <c r="B467" s="53" t="s">
        <v>132</v>
      </c>
      <c r="C467" s="53" t="s">
        <v>133</v>
      </c>
      <c r="D467" s="53" t="s">
        <v>116</v>
      </c>
      <c r="E467" s="54" t="n">
        <v>46063</v>
      </c>
      <c r="F467" s="55" t="n">
        <v>17</v>
      </c>
      <c r="G467" s="55" t="n">
        <v>14</v>
      </c>
      <c r="H467" s="55" t="n">
        <v>60</v>
      </c>
      <c r="I467" s="56" t="n">
        <v>3.8</v>
      </c>
      <c r="J467" s="53" t="s">
        <v>117</v>
      </c>
      <c r="K467" s="53"/>
      <c r="L467" s="57" t="str">
        <f aca="false">IF(C467="","",IFERROR(INDEX(site_ID,MATCH(C467,site_Name,0)),"Not on SITES"))</f>
        <v>LW-109</v>
      </c>
      <c r="M467" s="58" t="n">
        <f aca="false">IF(E467="","",DATE(YEAR(E467),MONTH(E467),1))</f>
        <v>46054</v>
      </c>
      <c r="N467" s="57" t="str">
        <f aca="false">IF(E467="","","FY"&amp;(YEAR(E467)+IF(AND(FYStart&gt;1,MONTH(E467)&gt;=FYStart),1,0))&amp;" Q"&amp;(INT(MOD(MONTH(E467)-FYStart,12)/3)+1))</f>
        <v>FY2026 Q3</v>
      </c>
      <c r="O467" s="59" t="n">
        <f aca="false">IF(OR(E467="",N(F467)=0),"",G467/F467)</f>
        <v>0.823529411764706</v>
      </c>
      <c r="P467" s="60" t="n">
        <f aca="false">IF(E467="","",ROUND(N(G467)*N(H467)/60,1))</f>
        <v>14</v>
      </c>
      <c r="Q467" s="57" t="str">
        <f aca="false">IF(E467="","",IF(COUNTIFS($C$2:C467,C467,$E$2:E467,E467,$B$2:B467,B467)&gt;1,"No","Yes"))</f>
        <v>Yes</v>
      </c>
      <c r="R467" s="61" t="str">
        <f aca="false">IF(E467="","",IF(Q467="No","Duplicate of an earlier response",IF(L467="Not on SITES","Site not on SITES",IF(N(G467)&gt;N(F467),"Present is more than enrolled",IF(OR(I467&lt;1,I467&gt;5),"Score outside 1 to 5","")))))</f>
        <v/>
      </c>
    </row>
    <row r="468" customFormat="false" ht="15" hidden="false" customHeight="false" outlineLevel="0" collapsed="false">
      <c r="A468" s="52" t="n">
        <v>46063.8731712963</v>
      </c>
      <c r="B468" s="53" t="s">
        <v>124</v>
      </c>
      <c r="C468" s="53" t="s">
        <v>125</v>
      </c>
      <c r="D468" s="53" t="s">
        <v>119</v>
      </c>
      <c r="E468" s="54" t="n">
        <v>46063</v>
      </c>
      <c r="F468" s="55" t="n">
        <v>18</v>
      </c>
      <c r="G468" s="55" t="n">
        <v>14</v>
      </c>
      <c r="H468" s="55" t="n">
        <v>75</v>
      </c>
      <c r="I468" s="56" t="n">
        <v>3.2</v>
      </c>
      <c r="J468" s="53" t="s">
        <v>144</v>
      </c>
      <c r="K468" s="53"/>
      <c r="L468" s="57" t="str">
        <f aca="false">IF(C468="","",IFERROR(INDEX(site_ID,MATCH(C468,site_Name,0)),"Not on SITES"))</f>
        <v>LW-106</v>
      </c>
      <c r="M468" s="58" t="n">
        <f aca="false">IF(E468="","",DATE(YEAR(E468),MONTH(E468),1))</f>
        <v>46054</v>
      </c>
      <c r="N468" s="57" t="str">
        <f aca="false">IF(E468="","","FY"&amp;(YEAR(E468)+IF(AND(FYStart&gt;1,MONTH(E468)&gt;=FYStart),1,0))&amp;" Q"&amp;(INT(MOD(MONTH(E468)-FYStart,12)/3)+1))</f>
        <v>FY2026 Q3</v>
      </c>
      <c r="O468" s="59" t="n">
        <f aca="false">IF(OR(E468="",N(F468)=0),"",G468/F468)</f>
        <v>0.777777777777778</v>
      </c>
      <c r="P468" s="60" t="n">
        <f aca="false">IF(E468="","",ROUND(N(G468)*N(H468)/60,1))</f>
        <v>17.5</v>
      </c>
      <c r="Q468" s="57" t="str">
        <f aca="false">IF(E468="","",IF(COUNTIFS($C$2:C468,C468,$E$2:E468,E468,$B$2:B468,B468)&gt;1,"No","Yes"))</f>
        <v>Yes</v>
      </c>
      <c r="R468" s="61" t="str">
        <f aca="false">IF(E468="","",IF(Q468="No","Duplicate of an earlier response",IF(L468="Not on SITES","Site not on SITES",IF(N(G468)&gt;N(F468),"Present is more than enrolled",IF(OR(I468&lt;1,I468&gt;5),"Score outside 1 to 5","")))))</f>
        <v/>
      </c>
    </row>
    <row r="469" customFormat="false" ht="15" hidden="false" customHeight="false" outlineLevel="0" collapsed="false">
      <c r="A469" s="52" t="n">
        <v>46064.662025463</v>
      </c>
      <c r="B469" s="53" t="s">
        <v>140</v>
      </c>
      <c r="C469" s="53" t="s">
        <v>141</v>
      </c>
      <c r="D469" s="53" t="s">
        <v>116</v>
      </c>
      <c r="E469" s="54" t="n">
        <v>46064</v>
      </c>
      <c r="F469" s="55" t="n">
        <v>13</v>
      </c>
      <c r="G469" s="55" t="n">
        <v>10</v>
      </c>
      <c r="H469" s="55" t="n">
        <v>90</v>
      </c>
      <c r="I469" s="56" t="n">
        <v>4</v>
      </c>
      <c r="J469" s="53" t="s">
        <v>153</v>
      </c>
      <c r="K469" s="53" t="s">
        <v>168</v>
      </c>
      <c r="L469" s="57" t="str">
        <f aca="false">IF(C469="","",IFERROR(INDEX(site_ID,MATCH(C469,site_Name,0)),"Not on SITES"))</f>
        <v>LW-118</v>
      </c>
      <c r="M469" s="58" t="n">
        <f aca="false">IF(E469="","",DATE(YEAR(E469),MONTH(E469),1))</f>
        <v>46054</v>
      </c>
      <c r="N469" s="57" t="str">
        <f aca="false">IF(E469="","","FY"&amp;(YEAR(E469)+IF(AND(FYStart&gt;1,MONTH(E469)&gt;=FYStart),1,0))&amp;" Q"&amp;(INT(MOD(MONTH(E469)-FYStart,12)/3)+1))</f>
        <v>FY2026 Q3</v>
      </c>
      <c r="O469" s="59" t="n">
        <f aca="false">IF(OR(E469="",N(F469)=0),"",G469/F469)</f>
        <v>0.769230769230769</v>
      </c>
      <c r="P469" s="60" t="n">
        <f aca="false">IF(E469="","",ROUND(N(G469)*N(H469)/60,1))</f>
        <v>15</v>
      </c>
      <c r="Q469" s="57" t="str">
        <f aca="false">IF(E469="","",IF(COUNTIFS($C$2:C469,C469,$E$2:E469,E469,$B$2:B469,B469)&gt;1,"No","Yes"))</f>
        <v>Yes</v>
      </c>
      <c r="R469" s="61" t="str">
        <f aca="false">IF(E469="","",IF(Q469="No","Duplicate of an earlier response",IF(L469="Not on SITES","Site not on SITES",IF(N(G469)&gt;N(F469),"Present is more than enrolled",IF(OR(I469&lt;1,I469&gt;5),"Score outside 1 to 5","")))))</f>
        <v/>
      </c>
    </row>
    <row r="470" customFormat="false" ht="15" hidden="false" customHeight="false" outlineLevel="0" collapsed="false">
      <c r="A470" s="52" t="n">
        <v>46064.7774074074</v>
      </c>
      <c r="B470" s="53" t="s">
        <v>132</v>
      </c>
      <c r="C470" s="53" t="s">
        <v>145</v>
      </c>
      <c r="D470" s="53" t="s">
        <v>119</v>
      </c>
      <c r="E470" s="54" t="n">
        <v>46064</v>
      </c>
      <c r="F470" s="55" t="n">
        <v>19</v>
      </c>
      <c r="G470" s="55" t="n">
        <v>15</v>
      </c>
      <c r="H470" s="55" t="n">
        <v>60</v>
      </c>
      <c r="I470" s="56" t="n">
        <v>3.9</v>
      </c>
      <c r="J470" s="53" t="s">
        <v>157</v>
      </c>
      <c r="K470" s="53"/>
      <c r="L470" s="57" t="str">
        <f aca="false">IF(C470="","",IFERROR(INDEX(site_ID,MATCH(C470,site_Name,0)),"Not on SITES"))</f>
        <v>LW-101</v>
      </c>
      <c r="M470" s="58" t="n">
        <f aca="false">IF(E470="","",DATE(YEAR(E470),MONTH(E470),1))</f>
        <v>46054</v>
      </c>
      <c r="N470" s="57" t="str">
        <f aca="false">IF(E470="","","FY"&amp;(YEAR(E470)+IF(AND(FYStart&gt;1,MONTH(E470)&gt;=FYStart),1,0))&amp;" Q"&amp;(INT(MOD(MONTH(E470)-FYStart,12)/3)+1))</f>
        <v>FY2026 Q3</v>
      </c>
      <c r="O470" s="59" t="n">
        <f aca="false">IF(OR(E470="",N(F470)=0),"",G470/F470)</f>
        <v>0.789473684210526</v>
      </c>
      <c r="P470" s="60" t="n">
        <f aca="false">IF(E470="","",ROUND(N(G470)*N(H470)/60,1))</f>
        <v>15</v>
      </c>
      <c r="Q470" s="57" t="str">
        <f aca="false">IF(E470="","",IF(COUNTIFS($C$2:C470,C470,$E$2:E470,E470,$B$2:B470,B470)&gt;1,"No","Yes"))</f>
        <v>Yes</v>
      </c>
      <c r="R470" s="61" t="str">
        <f aca="false">IF(E470="","",IF(Q470="No","Duplicate of an earlier response",IF(L470="Not on SITES","Site not on SITES",IF(N(G470)&gt;N(F470),"Present is more than enrolled",IF(OR(I470&lt;1,I470&gt;5),"Score outside 1 to 5","")))))</f>
        <v/>
      </c>
    </row>
    <row r="471" customFormat="false" ht="15" hidden="false" customHeight="false" outlineLevel="0" collapsed="false">
      <c r="A471" s="52" t="n">
        <v>46064.7787962963</v>
      </c>
      <c r="B471" s="53" t="s">
        <v>132</v>
      </c>
      <c r="C471" s="53" t="s">
        <v>145</v>
      </c>
      <c r="D471" s="53" t="s">
        <v>119</v>
      </c>
      <c r="E471" s="54" t="n">
        <v>46064</v>
      </c>
      <c r="F471" s="55" t="n">
        <v>19</v>
      </c>
      <c r="G471" s="55" t="n">
        <v>15</v>
      </c>
      <c r="H471" s="55" t="n">
        <v>60</v>
      </c>
      <c r="I471" s="56" t="n">
        <v>3.9</v>
      </c>
      <c r="J471" s="53" t="s">
        <v>157</v>
      </c>
      <c r="K471" s="53"/>
      <c r="L471" s="57" t="str">
        <f aca="false">IF(C471="","",IFERROR(INDEX(site_ID,MATCH(C471,site_Name,0)),"Not on SITES"))</f>
        <v>LW-101</v>
      </c>
      <c r="M471" s="58" t="n">
        <f aca="false">IF(E471="","",DATE(YEAR(E471),MONTH(E471),1))</f>
        <v>46054</v>
      </c>
      <c r="N471" s="57" t="str">
        <f aca="false">IF(E471="","","FY"&amp;(YEAR(E471)+IF(AND(FYStart&gt;1,MONTH(E471)&gt;=FYStart),1,0))&amp;" Q"&amp;(INT(MOD(MONTH(E471)-FYStart,12)/3)+1))</f>
        <v>FY2026 Q3</v>
      </c>
      <c r="O471" s="59" t="n">
        <f aca="false">IF(OR(E471="",N(F471)=0),"",G471/F471)</f>
        <v>0.789473684210526</v>
      </c>
      <c r="P471" s="60" t="n">
        <f aca="false">IF(E471="","",ROUND(N(G471)*N(H471)/60,1))</f>
        <v>15</v>
      </c>
      <c r="Q471" s="57" t="str">
        <f aca="false">IF(E471="","",IF(COUNTIFS($C$2:C471,C471,$E$2:E471,E471,$B$2:B471,B471)&gt;1,"No","Yes"))</f>
        <v>No</v>
      </c>
      <c r="R471" s="61" t="str">
        <f aca="false">IF(E471="","",IF(Q471="No","Duplicate of an earlier response",IF(L471="Not on SITES","Site not on SITES",IF(N(G471)&gt;N(F471),"Present is more than enrolled",IF(OR(I471&lt;1,I471&gt;5),"Score outside 1 to 5","")))))</f>
        <v>Duplicate of an earlier response</v>
      </c>
    </row>
    <row r="472" customFormat="false" ht="15" hidden="false" customHeight="false" outlineLevel="0" collapsed="false">
      <c r="A472" s="52" t="n">
        <v>46064.7903356482</v>
      </c>
      <c r="B472" s="53" t="s">
        <v>105</v>
      </c>
      <c r="C472" s="53" t="s">
        <v>118</v>
      </c>
      <c r="D472" s="53" t="s">
        <v>119</v>
      </c>
      <c r="E472" s="54" t="n">
        <v>46064</v>
      </c>
      <c r="F472" s="55" t="n">
        <v>22</v>
      </c>
      <c r="G472" s="55" t="n">
        <v>16</v>
      </c>
      <c r="H472" s="55" t="n">
        <v>60</v>
      </c>
      <c r="I472" s="56" t="n">
        <v>3.5</v>
      </c>
      <c r="J472" s="53" t="s">
        <v>157</v>
      </c>
      <c r="K472" s="53"/>
      <c r="L472" s="57" t="str">
        <f aca="false">IF(C472="","",IFERROR(INDEX(site_ID,MATCH(C472,site_Name,0)),"Not on SITES"))</f>
        <v>LW-111</v>
      </c>
      <c r="M472" s="58" t="n">
        <f aca="false">IF(E472="","",DATE(YEAR(E472),MONTH(E472),1))</f>
        <v>46054</v>
      </c>
      <c r="N472" s="57" t="str">
        <f aca="false">IF(E472="","","FY"&amp;(YEAR(E472)+IF(AND(FYStart&gt;1,MONTH(E472)&gt;=FYStart),1,0))&amp;" Q"&amp;(INT(MOD(MONTH(E472)-FYStart,12)/3)+1))</f>
        <v>FY2026 Q3</v>
      </c>
      <c r="O472" s="59" t="n">
        <f aca="false">IF(OR(E472="",N(F472)=0),"",G472/F472)</f>
        <v>0.727272727272727</v>
      </c>
      <c r="P472" s="60" t="n">
        <f aca="false">IF(E472="","",ROUND(N(G472)*N(H472)/60,1))</f>
        <v>16</v>
      </c>
      <c r="Q472" s="57" t="str">
        <f aca="false">IF(E472="","",IF(COUNTIFS($C$2:C472,C472,$E$2:E472,E472,$B$2:B472,B472)&gt;1,"No","Yes"))</f>
        <v>Yes</v>
      </c>
      <c r="R472" s="61" t="str">
        <f aca="false">IF(E472="","",IF(Q472="No","Duplicate of an earlier response",IF(L472="Not on SITES","Site not on SITES",IF(N(G472)&gt;N(F472),"Present is more than enrolled",IF(OR(I472&lt;1,I472&gt;5),"Score outside 1 to 5","")))))</f>
        <v/>
      </c>
    </row>
    <row r="473" customFormat="false" ht="15" hidden="false" customHeight="false" outlineLevel="0" collapsed="false">
      <c r="A473" s="52" t="n">
        <v>46064.7979861111</v>
      </c>
      <c r="B473" s="53" t="s">
        <v>140</v>
      </c>
      <c r="C473" s="53" t="s">
        <v>142</v>
      </c>
      <c r="D473" s="53" t="s">
        <v>113</v>
      </c>
      <c r="E473" s="54" t="n">
        <v>46064</v>
      </c>
      <c r="F473" s="55" t="n">
        <v>18</v>
      </c>
      <c r="G473" s="55" t="n">
        <v>16</v>
      </c>
      <c r="H473" s="55" t="n">
        <v>90</v>
      </c>
      <c r="I473" s="56" t="n">
        <v>3.7</v>
      </c>
      <c r="J473" s="53" t="s">
        <v>136</v>
      </c>
      <c r="K473" s="53"/>
      <c r="L473" s="57" t="str">
        <f aca="false">IF(C473="","",IFERROR(INDEX(site_ID,MATCH(C473,site_Name,0)),"Not on SITES"))</f>
        <v>LW-102</v>
      </c>
      <c r="M473" s="58" t="n">
        <f aca="false">IF(E473="","",DATE(YEAR(E473),MONTH(E473),1))</f>
        <v>46054</v>
      </c>
      <c r="N473" s="57" t="str">
        <f aca="false">IF(E473="","","FY"&amp;(YEAR(E473)+IF(AND(FYStart&gt;1,MONTH(E473)&gt;=FYStart),1,0))&amp;" Q"&amp;(INT(MOD(MONTH(E473)-FYStart,12)/3)+1))</f>
        <v>FY2026 Q3</v>
      </c>
      <c r="O473" s="59" t="n">
        <f aca="false">IF(OR(E473="",N(F473)=0),"",G473/F473)</f>
        <v>0.888888888888889</v>
      </c>
      <c r="P473" s="60" t="n">
        <f aca="false">IF(E473="","",ROUND(N(G473)*N(H473)/60,1))</f>
        <v>24</v>
      </c>
      <c r="Q473" s="57" t="str">
        <f aca="false">IF(E473="","",IF(COUNTIFS($C$2:C473,C473,$E$2:E473,E473,$B$2:B473,B473)&gt;1,"No","Yes"))</f>
        <v>Yes</v>
      </c>
      <c r="R473" s="61" t="str">
        <f aca="false">IF(E473="","",IF(Q473="No","Duplicate of an earlier response",IF(L473="Not on SITES","Site not on SITES",IF(N(G473)&gt;N(F473),"Present is more than enrolled",IF(OR(I473&lt;1,I473&gt;5),"Score outside 1 to 5","")))))</f>
        <v/>
      </c>
    </row>
    <row r="474" customFormat="false" ht="15" hidden="false" customHeight="false" outlineLevel="0" collapsed="false">
      <c r="A474" s="52" t="n">
        <v>46064.804525463</v>
      </c>
      <c r="B474" s="53" t="s">
        <v>111</v>
      </c>
      <c r="C474" s="53" t="s">
        <v>112</v>
      </c>
      <c r="D474" s="53" t="s">
        <v>113</v>
      </c>
      <c r="E474" s="54" t="n">
        <v>46064</v>
      </c>
      <c r="F474" s="55" t="n">
        <v>15</v>
      </c>
      <c r="G474" s="55" t="n">
        <v>12</v>
      </c>
      <c r="H474" s="55" t="n">
        <v>90</v>
      </c>
      <c r="I474" s="56" t="n">
        <v>3.6</v>
      </c>
      <c r="J474" s="53" t="s">
        <v>165</v>
      </c>
      <c r="K474" s="53"/>
      <c r="L474" s="57" t="str">
        <f aca="false">IF(C474="","",IFERROR(INDEX(site_ID,MATCH(C474,site_Name,0)),"Not on SITES"))</f>
        <v>LW-120</v>
      </c>
      <c r="M474" s="58" t="n">
        <f aca="false">IF(E474="","",DATE(YEAR(E474),MONTH(E474),1))</f>
        <v>46054</v>
      </c>
      <c r="N474" s="57" t="str">
        <f aca="false">IF(E474="","","FY"&amp;(YEAR(E474)+IF(AND(FYStart&gt;1,MONTH(E474)&gt;=FYStart),1,0))&amp;" Q"&amp;(INT(MOD(MONTH(E474)-FYStart,12)/3)+1))</f>
        <v>FY2026 Q3</v>
      </c>
      <c r="O474" s="59" t="n">
        <f aca="false">IF(OR(E474="",N(F474)=0),"",G474/F474)</f>
        <v>0.8</v>
      </c>
      <c r="P474" s="60" t="n">
        <f aca="false">IF(E474="","",ROUND(N(G474)*N(H474)/60,1))</f>
        <v>18</v>
      </c>
      <c r="Q474" s="57" t="str">
        <f aca="false">IF(E474="","",IF(COUNTIFS($C$2:C474,C474,$E$2:E474,E474,$B$2:B474,B474)&gt;1,"No","Yes"))</f>
        <v>Yes</v>
      </c>
      <c r="R474" s="61" t="str">
        <f aca="false">IF(E474="","",IF(Q474="No","Duplicate of an earlier response",IF(L474="Not on SITES","Site not on SITES",IF(N(G474)&gt;N(F474),"Present is more than enrolled",IF(OR(I474&lt;1,I474&gt;5),"Score outside 1 to 5","")))))</f>
        <v/>
      </c>
    </row>
    <row r="475" customFormat="false" ht="15" hidden="false" customHeight="false" outlineLevel="0" collapsed="false">
      <c r="A475" s="52" t="n">
        <v>46064.8565393519</v>
      </c>
      <c r="B475" s="53" t="s">
        <v>111</v>
      </c>
      <c r="C475" s="53" t="s">
        <v>137</v>
      </c>
      <c r="D475" s="53" t="s">
        <v>138</v>
      </c>
      <c r="E475" s="54" t="n">
        <v>46064</v>
      </c>
      <c r="F475" s="55" t="n">
        <v>16</v>
      </c>
      <c r="G475" s="55" t="n">
        <v>14</v>
      </c>
      <c r="H475" s="55" t="n">
        <v>90</v>
      </c>
      <c r="I475" s="56" t="n">
        <v>3.5</v>
      </c>
      <c r="J475" s="53" t="s">
        <v>147</v>
      </c>
      <c r="K475" s="53"/>
      <c r="L475" s="57" t="str">
        <f aca="false">IF(C475="","",IFERROR(INDEX(site_ID,MATCH(C475,site_Name,0)),"Not on SITES"))</f>
        <v>LW-115</v>
      </c>
      <c r="M475" s="58" t="n">
        <f aca="false">IF(E475="","",DATE(YEAR(E475),MONTH(E475),1))</f>
        <v>46054</v>
      </c>
      <c r="N475" s="57" t="str">
        <f aca="false">IF(E475="","","FY"&amp;(YEAR(E475)+IF(AND(FYStart&gt;1,MONTH(E475)&gt;=FYStart),1,0))&amp;" Q"&amp;(INT(MOD(MONTH(E475)-FYStart,12)/3)+1))</f>
        <v>FY2026 Q3</v>
      </c>
      <c r="O475" s="59" t="n">
        <f aca="false">IF(OR(E475="",N(F475)=0),"",G475/F475)</f>
        <v>0.875</v>
      </c>
      <c r="P475" s="60" t="n">
        <f aca="false">IF(E475="","",ROUND(N(G475)*N(H475)/60,1))</f>
        <v>21</v>
      </c>
      <c r="Q475" s="57" t="str">
        <f aca="false">IF(E475="","",IF(COUNTIFS($C$2:C475,C475,$E$2:E475,E475,$B$2:B475,B475)&gt;1,"No","Yes"))</f>
        <v>Yes</v>
      </c>
      <c r="R475" s="61" t="str">
        <f aca="false">IF(E475="","",IF(Q475="No","Duplicate of an earlier response",IF(L475="Not on SITES","Site not on SITES",IF(N(G475)&gt;N(F475),"Present is more than enrolled",IF(OR(I475&lt;1,I475&gt;5),"Score outside 1 to 5","")))))</f>
        <v/>
      </c>
    </row>
    <row r="476" customFormat="false" ht="15" hidden="false" customHeight="false" outlineLevel="0" collapsed="false">
      <c r="A476" s="52" t="n">
        <v>46065.6736574074</v>
      </c>
      <c r="B476" s="53" t="s">
        <v>124</v>
      </c>
      <c r="C476" s="53" t="s">
        <v>154</v>
      </c>
      <c r="D476" s="53" t="s">
        <v>116</v>
      </c>
      <c r="E476" s="54" t="n">
        <v>46065</v>
      </c>
      <c r="F476" s="55" t="n">
        <v>18</v>
      </c>
      <c r="G476" s="55" t="n">
        <v>13</v>
      </c>
      <c r="H476" s="55" t="n">
        <v>60</v>
      </c>
      <c r="I476" s="56" t="n">
        <v>3.5</v>
      </c>
      <c r="J476" s="53" t="s">
        <v>153</v>
      </c>
      <c r="K476" s="53"/>
      <c r="L476" s="57" t="str">
        <f aca="false">IF(C476="","",IFERROR(INDEX(site_ID,MATCH(C476,site_Name,0)),"Not on SITES"))</f>
        <v>LW-114</v>
      </c>
      <c r="M476" s="58" t="n">
        <f aca="false">IF(E476="","",DATE(YEAR(E476),MONTH(E476),1))</f>
        <v>46054</v>
      </c>
      <c r="N476" s="57" t="str">
        <f aca="false">IF(E476="","","FY"&amp;(YEAR(E476)+IF(AND(FYStart&gt;1,MONTH(E476)&gt;=FYStart),1,0))&amp;" Q"&amp;(INT(MOD(MONTH(E476)-FYStart,12)/3)+1))</f>
        <v>FY2026 Q3</v>
      </c>
      <c r="O476" s="59" t="n">
        <f aca="false">IF(OR(E476="",N(F476)=0),"",G476/F476)</f>
        <v>0.722222222222222</v>
      </c>
      <c r="P476" s="60" t="n">
        <f aca="false">IF(E476="","",ROUND(N(G476)*N(H476)/60,1))</f>
        <v>13</v>
      </c>
      <c r="Q476" s="57" t="str">
        <f aca="false">IF(E476="","",IF(COUNTIFS($C$2:C476,C476,$E$2:E476,E476,$B$2:B476,B476)&gt;1,"No","Yes"))</f>
        <v>Yes</v>
      </c>
      <c r="R476" s="61" t="str">
        <f aca="false">IF(E476="","",IF(Q476="No","Duplicate of an earlier response",IF(L476="Not on SITES","Site not on SITES",IF(N(G476)&gt;N(F476),"Present is more than enrolled",IF(OR(I476&lt;1,I476&gt;5),"Score outside 1 to 5","")))))</f>
        <v/>
      </c>
    </row>
    <row r="477" customFormat="false" ht="15" hidden="false" customHeight="false" outlineLevel="0" collapsed="false">
      <c r="A477" s="52" t="n">
        <v>46065.6915856482</v>
      </c>
      <c r="B477" s="53" t="s">
        <v>111</v>
      </c>
      <c r="C477" s="53" t="s">
        <v>149</v>
      </c>
      <c r="D477" s="53" t="s">
        <v>113</v>
      </c>
      <c r="E477" s="54" t="n">
        <v>46065</v>
      </c>
      <c r="F477" s="55" t="n">
        <v>21</v>
      </c>
      <c r="G477" s="55" t="n">
        <v>15</v>
      </c>
      <c r="H477" s="55" t="n">
        <v>60</v>
      </c>
      <c r="I477" s="56" t="n">
        <v>3.8</v>
      </c>
      <c r="J477" s="53" t="s">
        <v>143</v>
      </c>
      <c r="K477" s="53"/>
      <c r="L477" s="57" t="str">
        <f aca="false">IF(C477="","",IFERROR(INDEX(site_ID,MATCH(C477,site_Name,0)),"Not on SITES"))</f>
        <v>LW-112</v>
      </c>
      <c r="M477" s="58" t="n">
        <f aca="false">IF(E477="","",DATE(YEAR(E477),MONTH(E477),1))</f>
        <v>46054</v>
      </c>
      <c r="N477" s="57" t="str">
        <f aca="false">IF(E477="","","FY"&amp;(YEAR(E477)+IF(AND(FYStart&gt;1,MONTH(E477)&gt;=FYStart),1,0))&amp;" Q"&amp;(INT(MOD(MONTH(E477)-FYStart,12)/3)+1))</f>
        <v>FY2026 Q3</v>
      </c>
      <c r="O477" s="59" t="n">
        <f aca="false">IF(OR(E477="",N(F477)=0),"",G477/F477)</f>
        <v>0.714285714285714</v>
      </c>
      <c r="P477" s="60" t="n">
        <f aca="false">IF(E477="","",ROUND(N(G477)*N(H477)/60,1))</f>
        <v>15</v>
      </c>
      <c r="Q477" s="57" t="str">
        <f aca="false">IF(E477="","",IF(COUNTIFS($C$2:C477,C477,$E$2:E477,E477,$B$2:B477,B477)&gt;1,"No","Yes"))</f>
        <v>Yes</v>
      </c>
      <c r="R477" s="61" t="str">
        <f aca="false">IF(E477="","",IF(Q477="No","Duplicate of an earlier response",IF(L477="Not on SITES","Site not on SITES",IF(N(G477)&gt;N(F477),"Present is more than enrolled",IF(OR(I477&lt;1,I477&gt;5),"Score outside 1 to 5","")))))</f>
        <v/>
      </c>
    </row>
    <row r="478" customFormat="false" ht="15" hidden="false" customHeight="false" outlineLevel="0" collapsed="false">
      <c r="A478" s="52" t="n">
        <v>46065.7826157407</v>
      </c>
      <c r="B478" s="53" t="s">
        <v>109</v>
      </c>
      <c r="C478" s="53" t="s">
        <v>146</v>
      </c>
      <c r="D478" s="53" t="s">
        <v>138</v>
      </c>
      <c r="E478" s="54" t="n">
        <v>46065</v>
      </c>
      <c r="F478" s="55" t="n">
        <v>14</v>
      </c>
      <c r="G478" s="55" t="n">
        <v>10</v>
      </c>
      <c r="H478" s="55" t="n">
        <v>90</v>
      </c>
      <c r="I478" s="56" t="n">
        <v>4</v>
      </c>
      <c r="J478" s="53" t="s">
        <v>147</v>
      </c>
      <c r="K478" s="53"/>
      <c r="L478" s="57" t="str">
        <f aca="false">IF(C478="","",IFERROR(INDEX(site_ID,MATCH(C478,site_Name,0)),"Not on SITES"))</f>
        <v>LW-105</v>
      </c>
      <c r="M478" s="58" t="n">
        <f aca="false">IF(E478="","",DATE(YEAR(E478),MONTH(E478),1))</f>
        <v>46054</v>
      </c>
      <c r="N478" s="57" t="str">
        <f aca="false">IF(E478="","","FY"&amp;(YEAR(E478)+IF(AND(FYStart&gt;1,MONTH(E478)&gt;=FYStart),1,0))&amp;" Q"&amp;(INT(MOD(MONTH(E478)-FYStart,12)/3)+1))</f>
        <v>FY2026 Q3</v>
      </c>
      <c r="O478" s="59" t="n">
        <f aca="false">IF(OR(E478="",N(F478)=0),"",G478/F478)</f>
        <v>0.714285714285714</v>
      </c>
      <c r="P478" s="60" t="n">
        <f aca="false">IF(E478="","",ROUND(N(G478)*N(H478)/60,1))</f>
        <v>15</v>
      </c>
      <c r="Q478" s="57" t="str">
        <f aca="false">IF(E478="","",IF(COUNTIFS($C$2:C478,C478,$E$2:E478,E478,$B$2:B478,B478)&gt;1,"No","Yes"))</f>
        <v>Yes</v>
      </c>
      <c r="R478" s="61" t="str">
        <f aca="false">IF(E478="","",IF(Q478="No","Duplicate of an earlier response",IF(L478="Not on SITES","Site not on SITES",IF(N(G478)&gt;N(F478),"Present is more than enrolled",IF(OR(I478&lt;1,I478&gt;5),"Score outside 1 to 5","")))))</f>
        <v/>
      </c>
    </row>
    <row r="479" customFormat="false" ht="15" hidden="false" customHeight="false" outlineLevel="0" collapsed="false">
      <c r="A479" s="52" t="n">
        <v>46065.7905902778</v>
      </c>
      <c r="B479" s="53" t="s">
        <v>132</v>
      </c>
      <c r="C479" s="53" t="s">
        <v>150</v>
      </c>
      <c r="D479" s="53" t="s">
        <v>138</v>
      </c>
      <c r="E479" s="54" t="n">
        <v>46065</v>
      </c>
      <c r="F479" s="55" t="n">
        <v>21</v>
      </c>
      <c r="G479" s="55" t="n">
        <v>14</v>
      </c>
      <c r="H479" s="55" t="n">
        <v>90</v>
      </c>
      <c r="I479" s="56" t="n">
        <v>3.7</v>
      </c>
      <c r="J479" s="53" t="s">
        <v>139</v>
      </c>
      <c r="K479" s="53"/>
      <c r="L479" s="57" t="str">
        <f aca="false">IF(C479="","",IFERROR(INDEX(site_ID,MATCH(C479,site_Name,0)),"Not on SITES"))</f>
        <v>LW-117</v>
      </c>
      <c r="M479" s="58" t="n">
        <f aca="false">IF(E479="","",DATE(YEAR(E479),MONTH(E479),1))</f>
        <v>46054</v>
      </c>
      <c r="N479" s="57" t="str">
        <f aca="false">IF(E479="","","FY"&amp;(YEAR(E479)+IF(AND(FYStart&gt;1,MONTH(E479)&gt;=FYStart),1,0))&amp;" Q"&amp;(INT(MOD(MONTH(E479)-FYStart,12)/3)+1))</f>
        <v>FY2026 Q3</v>
      </c>
      <c r="O479" s="59" t="n">
        <f aca="false">IF(OR(E479="",N(F479)=0),"",G479/F479)</f>
        <v>0.666666666666667</v>
      </c>
      <c r="P479" s="60" t="n">
        <f aca="false">IF(E479="","",ROUND(N(G479)*N(H479)/60,1))</f>
        <v>21</v>
      </c>
      <c r="Q479" s="57" t="str">
        <f aca="false">IF(E479="","",IF(COUNTIFS($C$2:C479,C479,$E$2:E479,E479,$B$2:B479,B479)&gt;1,"No","Yes"))</f>
        <v>Yes</v>
      </c>
      <c r="R479" s="61" t="str">
        <f aca="false">IF(E479="","",IF(Q479="No","Duplicate of an earlier response",IF(L479="Not on SITES","Site not on SITES",IF(N(G479)&gt;N(F479),"Present is more than enrolled",IF(OR(I479&lt;1,I479&gt;5),"Score outside 1 to 5","")))))</f>
        <v/>
      </c>
    </row>
    <row r="480" customFormat="false" ht="15" hidden="false" customHeight="false" outlineLevel="0" collapsed="false">
      <c r="A480" s="52" t="n">
        <v>46065.8095601852</v>
      </c>
      <c r="B480" s="53" t="s">
        <v>140</v>
      </c>
      <c r="C480" s="53" t="s">
        <v>151</v>
      </c>
      <c r="D480" s="53" t="s">
        <v>138</v>
      </c>
      <c r="E480" s="54" t="n">
        <v>46065</v>
      </c>
      <c r="F480" s="55" t="n">
        <v>13</v>
      </c>
      <c r="G480" s="55" t="n">
        <v>8</v>
      </c>
      <c r="H480" s="55" t="n">
        <v>90</v>
      </c>
      <c r="I480" s="56" t="n">
        <v>3.7</v>
      </c>
      <c r="J480" s="53" t="s">
        <v>152</v>
      </c>
      <c r="K480" s="53"/>
      <c r="L480" s="57" t="str">
        <f aca="false">IF(C480="","",IFERROR(INDEX(site_ID,MATCH(C480,site_Name,0)),"Not on SITES"))</f>
        <v>LW-110</v>
      </c>
      <c r="M480" s="58" t="n">
        <f aca="false">IF(E480="","",DATE(YEAR(E480),MONTH(E480),1))</f>
        <v>46054</v>
      </c>
      <c r="N480" s="57" t="str">
        <f aca="false">IF(E480="","","FY"&amp;(YEAR(E480)+IF(AND(FYStart&gt;1,MONTH(E480)&gt;=FYStart),1,0))&amp;" Q"&amp;(INT(MOD(MONTH(E480)-FYStart,12)/3)+1))</f>
        <v>FY2026 Q3</v>
      </c>
      <c r="O480" s="59" t="n">
        <f aca="false">IF(OR(E480="",N(F480)=0),"",G480/F480)</f>
        <v>0.615384615384615</v>
      </c>
      <c r="P480" s="60" t="n">
        <f aca="false">IF(E480="","",ROUND(N(G480)*N(H480)/60,1))</f>
        <v>12</v>
      </c>
      <c r="Q480" s="57" t="str">
        <f aca="false">IF(E480="","",IF(COUNTIFS($C$2:C480,C480,$E$2:E480,E480,$B$2:B480,B480)&gt;1,"No","Yes"))</f>
        <v>Yes</v>
      </c>
      <c r="R480" s="61" t="str">
        <f aca="false">IF(E480="","",IF(Q480="No","Duplicate of an earlier response",IF(L480="Not on SITES","Site not on SITES",IF(N(G480)&gt;N(F480),"Present is more than enrolled",IF(OR(I480&lt;1,I480&gt;5),"Score outside 1 to 5","")))))</f>
        <v/>
      </c>
    </row>
    <row r="481" customFormat="false" ht="15" hidden="false" customHeight="false" outlineLevel="0" collapsed="false">
      <c r="A481" s="52" t="n">
        <v>46065.8378240741</v>
      </c>
      <c r="B481" s="53" t="s">
        <v>111</v>
      </c>
      <c r="C481" s="53" t="s">
        <v>148</v>
      </c>
      <c r="D481" s="53" t="s">
        <v>116</v>
      </c>
      <c r="E481" s="54" t="n">
        <v>46065</v>
      </c>
      <c r="F481" s="55" t="n">
        <v>16</v>
      </c>
      <c r="G481" s="55" t="n">
        <v>11</v>
      </c>
      <c r="H481" s="55" t="n">
        <v>90</v>
      </c>
      <c r="I481" s="56" t="n">
        <v>4</v>
      </c>
      <c r="J481" s="53" t="s">
        <v>117</v>
      </c>
      <c r="K481" s="53"/>
      <c r="L481" s="57" t="str">
        <f aca="false">IF(C481="","",IFERROR(INDEX(site_ID,MATCH(C481,site_Name,0)),"Not on SITES"))</f>
        <v>LW-104</v>
      </c>
      <c r="M481" s="58" t="n">
        <f aca="false">IF(E481="","",DATE(YEAR(E481),MONTH(E481),1))</f>
        <v>46054</v>
      </c>
      <c r="N481" s="57" t="str">
        <f aca="false">IF(E481="","","FY"&amp;(YEAR(E481)+IF(AND(FYStart&gt;1,MONTH(E481)&gt;=FYStart),1,0))&amp;" Q"&amp;(INT(MOD(MONTH(E481)-FYStart,12)/3)+1))</f>
        <v>FY2026 Q3</v>
      </c>
      <c r="O481" s="59" t="n">
        <f aca="false">IF(OR(E481="",N(F481)=0),"",G481/F481)</f>
        <v>0.6875</v>
      </c>
      <c r="P481" s="60" t="n">
        <f aca="false">IF(E481="","",ROUND(N(G481)*N(H481)/60,1))</f>
        <v>16.5</v>
      </c>
      <c r="Q481" s="57" t="str">
        <f aca="false">IF(E481="","",IF(COUNTIFS($C$2:C481,C481,$E$2:E481,E481,$B$2:B481,B481)&gt;1,"No","Yes"))</f>
        <v>Yes</v>
      </c>
      <c r="R481" s="61" t="str">
        <f aca="false">IF(E481="","",IF(Q481="No","Duplicate of an earlier response",IF(L481="Not on SITES","Site not on SITES",IF(N(G481)&gt;N(F481),"Present is more than enrolled",IF(OR(I481&lt;1,I481&gt;5),"Score outside 1 to 5","")))))</f>
        <v/>
      </c>
    </row>
    <row r="482" customFormat="false" ht="15" hidden="false" customHeight="false" outlineLevel="0" collapsed="false">
      <c r="A482" s="52" t="n">
        <v>46066.7500231482</v>
      </c>
      <c r="B482" s="53" t="s">
        <v>140</v>
      </c>
      <c r="C482" s="53" t="s">
        <v>141</v>
      </c>
      <c r="D482" s="53" t="s">
        <v>116</v>
      </c>
      <c r="E482" s="54" t="n">
        <v>46066</v>
      </c>
      <c r="F482" s="55" t="n">
        <v>13</v>
      </c>
      <c r="G482" s="55" t="n">
        <v>11</v>
      </c>
      <c r="H482" s="55" t="n">
        <v>90</v>
      </c>
      <c r="I482" s="56" t="n">
        <v>4.1</v>
      </c>
      <c r="J482" s="53" t="s">
        <v>153</v>
      </c>
      <c r="K482" s="53"/>
      <c r="L482" s="57" t="str">
        <f aca="false">IF(C482="","",IFERROR(INDEX(site_ID,MATCH(C482,site_Name,0)),"Not on SITES"))</f>
        <v>LW-118</v>
      </c>
      <c r="M482" s="58" t="n">
        <f aca="false">IF(E482="","",DATE(YEAR(E482),MONTH(E482),1))</f>
        <v>46054</v>
      </c>
      <c r="N482" s="57" t="str">
        <f aca="false">IF(E482="","","FY"&amp;(YEAR(E482)+IF(AND(FYStart&gt;1,MONTH(E482)&gt;=FYStart),1,0))&amp;" Q"&amp;(INT(MOD(MONTH(E482)-FYStart,12)/3)+1))</f>
        <v>FY2026 Q3</v>
      </c>
      <c r="O482" s="59" t="n">
        <f aca="false">IF(OR(E482="",N(F482)=0),"",G482/F482)</f>
        <v>0.846153846153846</v>
      </c>
      <c r="P482" s="60" t="n">
        <f aca="false">IF(E482="","",ROUND(N(G482)*N(H482)/60,1))</f>
        <v>16.5</v>
      </c>
      <c r="Q482" s="57" t="str">
        <f aca="false">IF(E482="","",IF(COUNTIFS($C$2:C482,C482,$E$2:E482,E482,$B$2:B482,B482)&gt;1,"No","Yes"))</f>
        <v>Yes</v>
      </c>
      <c r="R482" s="61" t="str">
        <f aca="false">IF(E482="","",IF(Q482="No","Duplicate of an earlier response",IF(L482="Not on SITES","Site not on SITES",IF(N(G482)&gt;N(F482),"Present is more than enrolled",IF(OR(I482&lt;1,I482&gt;5),"Score outside 1 to 5","")))))</f>
        <v/>
      </c>
    </row>
    <row r="483" customFormat="false" ht="15" hidden="false" customHeight="false" outlineLevel="0" collapsed="false">
      <c r="A483" s="52" t="n">
        <v>46067.7407291667</v>
      </c>
      <c r="B483" s="53" t="s">
        <v>121</v>
      </c>
      <c r="C483" s="53" t="s">
        <v>122</v>
      </c>
      <c r="D483" s="53" t="s">
        <v>116</v>
      </c>
      <c r="E483" s="54" t="n">
        <v>46065</v>
      </c>
      <c r="F483" s="55" t="n">
        <v>16</v>
      </c>
      <c r="G483" s="55" t="n">
        <v>13</v>
      </c>
      <c r="H483" s="55" t="n">
        <v>90</v>
      </c>
      <c r="I483" s="56" t="n">
        <v>3.5</v>
      </c>
      <c r="J483" s="53" t="s">
        <v>117</v>
      </c>
      <c r="K483" s="53"/>
      <c r="L483" s="57" t="str">
        <f aca="false">IF(C483="","",IFERROR(INDEX(site_ID,MATCH(C483,site_Name,0)),"Not on SITES"))</f>
        <v>LW-116</v>
      </c>
      <c r="M483" s="58" t="n">
        <f aca="false">IF(E483="","",DATE(YEAR(E483),MONTH(E483),1))</f>
        <v>46054</v>
      </c>
      <c r="N483" s="57" t="str">
        <f aca="false">IF(E483="","","FY"&amp;(YEAR(E483)+IF(AND(FYStart&gt;1,MONTH(E483)&gt;=FYStart),1,0))&amp;" Q"&amp;(INT(MOD(MONTH(E483)-FYStart,12)/3)+1))</f>
        <v>FY2026 Q3</v>
      </c>
      <c r="O483" s="59" t="n">
        <f aca="false">IF(OR(E483="",N(F483)=0),"",G483/F483)</f>
        <v>0.8125</v>
      </c>
      <c r="P483" s="60" t="n">
        <f aca="false">IF(E483="","",ROUND(N(G483)*N(H483)/60,1))</f>
        <v>19.5</v>
      </c>
      <c r="Q483" s="57" t="str">
        <f aca="false">IF(E483="","",IF(COUNTIFS($C$2:C483,C483,$E$2:E483,E483,$B$2:B483,B483)&gt;1,"No","Yes"))</f>
        <v>Yes</v>
      </c>
      <c r="R483" s="61" t="str">
        <f aca="false">IF(E483="","",IF(Q483="No","Duplicate of an earlier response",IF(L483="Not on SITES","Site not on SITES",IF(N(G483)&gt;N(F483),"Present is more than enrolled",IF(OR(I483&lt;1,I483&gt;5),"Score outside 1 to 5","")))))</f>
        <v/>
      </c>
    </row>
    <row r="484" customFormat="false" ht="15" hidden="false" customHeight="false" outlineLevel="0" collapsed="false">
      <c r="A484" s="52" t="n">
        <v>46068.8699074074</v>
      </c>
      <c r="B484" s="53" t="s">
        <v>129</v>
      </c>
      <c r="C484" s="53" t="s">
        <v>137</v>
      </c>
      <c r="D484" s="53" t="s">
        <v>138</v>
      </c>
      <c r="E484" s="54" t="n">
        <v>46066</v>
      </c>
      <c r="F484" s="55" t="n">
        <v>16</v>
      </c>
      <c r="G484" s="55" t="n">
        <v>12</v>
      </c>
      <c r="H484" s="55" t="n">
        <v>90</v>
      </c>
      <c r="I484" s="56" t="n">
        <v>3.7</v>
      </c>
      <c r="J484" s="53" t="s">
        <v>152</v>
      </c>
      <c r="K484" s="53"/>
      <c r="L484" s="57" t="str">
        <f aca="false">IF(C484="","",IFERROR(INDEX(site_ID,MATCH(C484,site_Name,0)),"Not on SITES"))</f>
        <v>LW-115</v>
      </c>
      <c r="M484" s="58" t="n">
        <f aca="false">IF(E484="","",DATE(YEAR(E484),MONTH(E484),1))</f>
        <v>46054</v>
      </c>
      <c r="N484" s="57" t="str">
        <f aca="false">IF(E484="","","FY"&amp;(YEAR(E484)+IF(AND(FYStart&gt;1,MONTH(E484)&gt;=FYStart),1,0))&amp;" Q"&amp;(INT(MOD(MONTH(E484)-FYStart,12)/3)+1))</f>
        <v>FY2026 Q3</v>
      </c>
      <c r="O484" s="59" t="n">
        <f aca="false">IF(OR(E484="",N(F484)=0),"",G484/F484)</f>
        <v>0.75</v>
      </c>
      <c r="P484" s="60" t="n">
        <f aca="false">IF(E484="","",ROUND(N(G484)*N(H484)/60,1))</f>
        <v>18</v>
      </c>
      <c r="Q484" s="57" t="str">
        <f aca="false">IF(E484="","",IF(COUNTIFS($C$2:C484,C484,$E$2:E484,E484,$B$2:B484,B484)&gt;1,"No","Yes"))</f>
        <v>Yes</v>
      </c>
      <c r="R484" s="61" t="str">
        <f aca="false">IF(E484="","",IF(Q484="No","Duplicate of an earlier response",IF(L484="Not on SITES","Site not on SITES",IF(N(G484)&gt;N(F484),"Present is more than enrolled",IF(OR(I484&lt;1,I484&gt;5),"Score outside 1 to 5","")))))</f>
        <v/>
      </c>
    </row>
    <row r="485" customFormat="false" ht="15" hidden="false" customHeight="false" outlineLevel="0" collapsed="false">
      <c r="A485" s="52" t="n">
        <v>46069.701875</v>
      </c>
      <c r="B485" s="53" t="s">
        <v>105</v>
      </c>
      <c r="C485" s="53" t="s">
        <v>115</v>
      </c>
      <c r="D485" s="53" t="s">
        <v>116</v>
      </c>
      <c r="E485" s="54" t="n">
        <v>46069</v>
      </c>
      <c r="F485" s="55" t="n">
        <v>16</v>
      </c>
      <c r="G485" s="55" t="n">
        <v>15</v>
      </c>
      <c r="H485" s="55" t="n">
        <v>60</v>
      </c>
      <c r="I485" s="56" t="n">
        <v>3.7</v>
      </c>
      <c r="J485" s="53" t="s">
        <v>160</v>
      </c>
      <c r="K485" s="53"/>
      <c r="L485" s="57" t="str">
        <f aca="false">IF(C485="","",IFERROR(INDEX(site_ID,MATCH(C485,site_Name,0)),"Not on SITES"))</f>
        <v>LW-119</v>
      </c>
      <c r="M485" s="58" t="n">
        <f aca="false">IF(E485="","",DATE(YEAR(E485),MONTH(E485),1))</f>
        <v>46054</v>
      </c>
      <c r="N485" s="57" t="str">
        <f aca="false">IF(E485="","","FY"&amp;(YEAR(E485)+IF(AND(FYStart&gt;1,MONTH(E485)&gt;=FYStart),1,0))&amp;" Q"&amp;(INT(MOD(MONTH(E485)-FYStart,12)/3)+1))</f>
        <v>FY2026 Q3</v>
      </c>
      <c r="O485" s="59" t="n">
        <f aca="false">IF(OR(E485="",N(F485)=0),"",G485/F485)</f>
        <v>0.9375</v>
      </c>
      <c r="P485" s="60" t="n">
        <f aca="false">IF(E485="","",ROUND(N(G485)*N(H485)/60,1))</f>
        <v>15</v>
      </c>
      <c r="Q485" s="57" t="str">
        <f aca="false">IF(E485="","",IF(COUNTIFS($C$2:C485,C485,$E$2:E485,E485,$B$2:B485,B485)&gt;1,"No","Yes"))</f>
        <v>Yes</v>
      </c>
      <c r="R485" s="61" t="str">
        <f aca="false">IF(E485="","",IF(Q485="No","Duplicate of an earlier response",IF(L485="Not on SITES","Site not on SITES",IF(N(G485)&gt;N(F485),"Present is more than enrolled",IF(OR(I485&lt;1,I485&gt;5),"Score outside 1 to 5","")))))</f>
        <v/>
      </c>
    </row>
    <row r="486" customFormat="false" ht="15" hidden="false" customHeight="false" outlineLevel="0" collapsed="false">
      <c r="A486" s="52" t="n">
        <v>46069.820474537</v>
      </c>
      <c r="B486" s="53" t="s">
        <v>111</v>
      </c>
      <c r="C486" s="53" t="s">
        <v>112</v>
      </c>
      <c r="D486" s="53" t="s">
        <v>113</v>
      </c>
      <c r="E486" s="54" t="n">
        <v>46069</v>
      </c>
      <c r="F486" s="55" t="n">
        <v>15</v>
      </c>
      <c r="G486" s="55" t="n">
        <v>12</v>
      </c>
      <c r="H486" s="55" t="n">
        <v>60</v>
      </c>
      <c r="I486" s="56" t="n">
        <v>3.6</v>
      </c>
      <c r="J486" s="53" t="s">
        <v>136</v>
      </c>
      <c r="K486" s="53"/>
      <c r="L486" s="57" t="str">
        <f aca="false">IF(C486="","",IFERROR(INDEX(site_ID,MATCH(C486,site_Name,0)),"Not on SITES"))</f>
        <v>LW-120</v>
      </c>
      <c r="M486" s="58" t="n">
        <f aca="false">IF(E486="","",DATE(YEAR(E486),MONTH(E486),1))</f>
        <v>46054</v>
      </c>
      <c r="N486" s="57" t="str">
        <f aca="false">IF(E486="","","FY"&amp;(YEAR(E486)+IF(AND(FYStart&gt;1,MONTH(E486)&gt;=FYStart),1,0))&amp;" Q"&amp;(INT(MOD(MONTH(E486)-FYStart,12)/3)+1))</f>
        <v>FY2026 Q3</v>
      </c>
      <c r="O486" s="59" t="n">
        <f aca="false">IF(OR(E486="",N(F486)=0),"",G486/F486)</f>
        <v>0.8</v>
      </c>
      <c r="P486" s="60" t="n">
        <f aca="false">IF(E486="","",ROUND(N(G486)*N(H486)/60,1))</f>
        <v>12</v>
      </c>
      <c r="Q486" s="57" t="str">
        <f aca="false">IF(E486="","",IF(COUNTIFS($C$2:C486,C486,$E$2:E486,E486,$B$2:B486,B486)&gt;1,"No","Yes"))</f>
        <v>Yes</v>
      </c>
      <c r="R486" s="61" t="str">
        <f aca="false">IF(E486="","",IF(Q486="No","Duplicate of an earlier response",IF(L486="Not on SITES","Site not on SITES",IF(N(G486)&gt;N(F486),"Present is more than enrolled",IF(OR(I486&lt;1,I486&gt;5),"Score outside 1 to 5","")))))</f>
        <v/>
      </c>
    </row>
    <row r="487" customFormat="false" ht="15" hidden="false" customHeight="false" outlineLevel="0" collapsed="false">
      <c r="A487" s="52" t="n">
        <v>46070.6385763889</v>
      </c>
      <c r="B487" s="53" t="s">
        <v>109</v>
      </c>
      <c r="C487" s="53" t="s">
        <v>110</v>
      </c>
      <c r="D487" s="53" t="s">
        <v>107</v>
      </c>
      <c r="E487" s="54" t="n">
        <v>46069</v>
      </c>
      <c r="F487" s="55" t="n">
        <v>21</v>
      </c>
      <c r="G487" s="55" t="n">
        <v>12</v>
      </c>
      <c r="H487" s="55" t="n">
        <v>75</v>
      </c>
      <c r="I487" s="56" t="n">
        <v>4</v>
      </c>
      <c r="J487" s="53" t="s">
        <v>156</v>
      </c>
      <c r="K487" s="53" t="s">
        <v>168</v>
      </c>
      <c r="L487" s="57" t="str">
        <f aca="false">IF(C487="","",IFERROR(INDEX(site_ID,MATCH(C487,site_Name,0)),"Not on SITES"))</f>
        <v>LW-113</v>
      </c>
      <c r="M487" s="58" t="n">
        <f aca="false">IF(E487="","",DATE(YEAR(E487),MONTH(E487),1))</f>
        <v>46054</v>
      </c>
      <c r="N487" s="57" t="str">
        <f aca="false">IF(E487="","","FY"&amp;(YEAR(E487)+IF(AND(FYStart&gt;1,MONTH(E487)&gt;=FYStart),1,0))&amp;" Q"&amp;(INT(MOD(MONTH(E487)-FYStart,12)/3)+1))</f>
        <v>FY2026 Q3</v>
      </c>
      <c r="O487" s="59" t="n">
        <f aca="false">IF(OR(E487="",N(F487)=0),"",G487/F487)</f>
        <v>0.571428571428571</v>
      </c>
      <c r="P487" s="60" t="n">
        <f aca="false">IF(E487="","",ROUND(N(G487)*N(H487)/60,1))</f>
        <v>15</v>
      </c>
      <c r="Q487" s="57" t="str">
        <f aca="false">IF(E487="","",IF(COUNTIFS($C$2:C487,C487,$E$2:E487,E487,$B$2:B487,B487)&gt;1,"No","Yes"))</f>
        <v>Yes</v>
      </c>
      <c r="R487" s="61" t="str">
        <f aca="false">IF(E487="","",IF(Q487="No","Duplicate of an earlier response",IF(L487="Not on SITES","Site not on SITES",IF(N(G487)&gt;N(F487),"Present is more than enrolled",IF(OR(I487&lt;1,I487&gt;5),"Score outside 1 to 5","")))))</f>
        <v/>
      </c>
    </row>
    <row r="488" customFormat="false" ht="15" hidden="false" customHeight="false" outlineLevel="0" collapsed="false">
      <c r="A488" s="52" t="n">
        <v>46070.6494097222</v>
      </c>
      <c r="B488" s="53" t="s">
        <v>124</v>
      </c>
      <c r="C488" s="53" t="s">
        <v>125</v>
      </c>
      <c r="D488" s="53" t="s">
        <v>119</v>
      </c>
      <c r="E488" s="54" t="n">
        <v>46070</v>
      </c>
      <c r="F488" s="55" t="n">
        <v>18</v>
      </c>
      <c r="G488" s="55" t="n">
        <v>11</v>
      </c>
      <c r="H488" s="55" t="n">
        <v>60</v>
      </c>
      <c r="I488" s="56" t="n">
        <v>3.5</v>
      </c>
      <c r="J488" s="53" t="s">
        <v>120</v>
      </c>
      <c r="K488" s="53"/>
      <c r="L488" s="57" t="str">
        <f aca="false">IF(C488="","",IFERROR(INDEX(site_ID,MATCH(C488,site_Name,0)),"Not on SITES"))</f>
        <v>LW-106</v>
      </c>
      <c r="M488" s="58" t="n">
        <f aca="false">IF(E488="","",DATE(YEAR(E488),MONTH(E488),1))</f>
        <v>46054</v>
      </c>
      <c r="N488" s="57" t="str">
        <f aca="false">IF(E488="","","FY"&amp;(YEAR(E488)+IF(AND(FYStart&gt;1,MONTH(E488)&gt;=FYStart),1,0))&amp;" Q"&amp;(INT(MOD(MONTH(E488)-FYStart,12)/3)+1))</f>
        <v>FY2026 Q3</v>
      </c>
      <c r="O488" s="59" t="n">
        <f aca="false">IF(OR(E488="",N(F488)=0),"",G488/F488)</f>
        <v>0.611111111111111</v>
      </c>
      <c r="P488" s="60" t="n">
        <f aca="false">IF(E488="","",ROUND(N(G488)*N(H488)/60,1))</f>
        <v>11</v>
      </c>
      <c r="Q488" s="57" t="str">
        <f aca="false">IF(E488="","",IF(COUNTIFS($C$2:C488,C488,$E$2:E488,E488,$B$2:B488,B488)&gt;1,"No","Yes"))</f>
        <v>Yes</v>
      </c>
      <c r="R488" s="61" t="str">
        <f aca="false">IF(E488="","",IF(Q488="No","Duplicate of an earlier response",IF(L488="Not on SITES","Site not on SITES",IF(N(G488)&gt;N(F488),"Present is more than enrolled",IF(OR(I488&lt;1,I488&gt;5),"Score outside 1 to 5","")))))</f>
        <v/>
      </c>
    </row>
    <row r="489" customFormat="false" ht="15" hidden="false" customHeight="false" outlineLevel="0" collapsed="false">
      <c r="A489" s="52" t="n">
        <v>46070.6711921296</v>
      </c>
      <c r="B489" s="53" t="s">
        <v>121</v>
      </c>
      <c r="C489" s="53" t="s">
        <v>127</v>
      </c>
      <c r="D489" s="53" t="s">
        <v>107</v>
      </c>
      <c r="E489" s="54" t="n">
        <v>46070</v>
      </c>
      <c r="F489" s="55" t="n">
        <v>15</v>
      </c>
      <c r="G489" s="55" t="n">
        <v>10</v>
      </c>
      <c r="H489" s="55" t="n">
        <v>60</v>
      </c>
      <c r="I489" s="56" t="n">
        <v>4.2</v>
      </c>
      <c r="J489" s="53" t="s">
        <v>128</v>
      </c>
      <c r="K489" s="53"/>
      <c r="L489" s="57" t="str">
        <f aca="false">IF(C489="","",IFERROR(INDEX(site_ID,MATCH(C489,site_Name,0)),"Not on SITES"))</f>
        <v>LW-108</v>
      </c>
      <c r="M489" s="58" t="n">
        <f aca="false">IF(E489="","",DATE(YEAR(E489),MONTH(E489),1))</f>
        <v>46054</v>
      </c>
      <c r="N489" s="57" t="str">
        <f aca="false">IF(E489="","","FY"&amp;(YEAR(E489)+IF(AND(FYStart&gt;1,MONTH(E489)&gt;=FYStart),1,0))&amp;" Q"&amp;(INT(MOD(MONTH(E489)-FYStart,12)/3)+1))</f>
        <v>FY2026 Q3</v>
      </c>
      <c r="O489" s="59" t="n">
        <f aca="false">IF(OR(E489="",N(F489)=0),"",G489/F489)</f>
        <v>0.666666666666667</v>
      </c>
      <c r="P489" s="60" t="n">
        <f aca="false">IF(E489="","",ROUND(N(G489)*N(H489)/60,1))</f>
        <v>10</v>
      </c>
      <c r="Q489" s="57" t="str">
        <f aca="false">IF(E489="","",IF(COUNTIFS($C$2:C489,C489,$E$2:E489,E489,$B$2:B489,B489)&gt;1,"No","Yes"))</f>
        <v>Yes</v>
      </c>
      <c r="R489" s="61" t="str">
        <f aca="false">IF(E489="","",IF(Q489="No","Duplicate of an earlier response",IF(L489="Not on SITES","Site not on SITES",IF(N(G489)&gt;N(F489),"Present is more than enrolled",IF(OR(I489&lt;1,I489&gt;5),"Score outside 1 to 5","")))))</f>
        <v/>
      </c>
    </row>
    <row r="490" customFormat="false" ht="15" hidden="false" customHeight="false" outlineLevel="0" collapsed="false">
      <c r="A490" s="52" t="n">
        <v>46070.7355092593</v>
      </c>
      <c r="B490" s="53" t="s">
        <v>132</v>
      </c>
      <c r="C490" s="53" t="s">
        <v>130</v>
      </c>
      <c r="D490" s="53" t="s">
        <v>113</v>
      </c>
      <c r="E490" s="54" t="n">
        <v>46070</v>
      </c>
      <c r="F490" s="55" t="n">
        <v>16</v>
      </c>
      <c r="G490" s="55" t="n">
        <v>13</v>
      </c>
      <c r="H490" s="55" t="n">
        <v>60</v>
      </c>
      <c r="I490" s="56" t="n">
        <v>3.2</v>
      </c>
      <c r="J490" s="53" t="s">
        <v>114</v>
      </c>
      <c r="K490" s="53"/>
      <c r="L490" s="57" t="str">
        <f aca="false">IF(C490="","",IFERROR(INDEX(site_ID,MATCH(C490,site_Name,0)),"Not on SITES"))</f>
        <v>LW-107</v>
      </c>
      <c r="M490" s="58" t="n">
        <f aca="false">IF(E490="","",DATE(YEAR(E490),MONTH(E490),1))</f>
        <v>46054</v>
      </c>
      <c r="N490" s="57" t="str">
        <f aca="false">IF(E490="","","FY"&amp;(YEAR(E490)+IF(AND(FYStart&gt;1,MONTH(E490)&gt;=FYStart),1,0))&amp;" Q"&amp;(INT(MOD(MONTH(E490)-FYStart,12)/3)+1))</f>
        <v>FY2026 Q3</v>
      </c>
      <c r="O490" s="59" t="n">
        <f aca="false">IF(OR(E490="",N(F490)=0),"",G490/F490)</f>
        <v>0.8125</v>
      </c>
      <c r="P490" s="60" t="n">
        <f aca="false">IF(E490="","",ROUND(N(G490)*N(H490)/60,1))</f>
        <v>13</v>
      </c>
      <c r="Q490" s="57" t="str">
        <f aca="false">IF(E490="","",IF(COUNTIFS($C$2:C490,C490,$E$2:E490,E490,$B$2:B490,B490)&gt;1,"No","Yes"))</f>
        <v>Yes</v>
      </c>
      <c r="R490" s="61" t="str">
        <f aca="false">IF(E490="","",IF(Q490="No","Duplicate of an earlier response",IF(L490="Not on SITES","Site not on SITES",IF(N(G490)&gt;N(F490),"Present is more than enrolled",IF(OR(I490&lt;1,I490&gt;5),"Score outside 1 to 5","")))))</f>
        <v/>
      </c>
    </row>
    <row r="491" customFormat="false" ht="15" hidden="false" customHeight="false" outlineLevel="0" collapsed="false">
      <c r="A491" s="52" t="n">
        <v>46070.8686226852</v>
      </c>
      <c r="B491" s="53" t="s">
        <v>121</v>
      </c>
      <c r="C491" s="53" t="s">
        <v>122</v>
      </c>
      <c r="D491" s="53" t="s">
        <v>116</v>
      </c>
      <c r="E491" s="54" t="n">
        <v>46070</v>
      </c>
      <c r="F491" s="55" t="n">
        <v>16</v>
      </c>
      <c r="G491" s="55" t="n">
        <v>12</v>
      </c>
      <c r="H491" s="55" t="n">
        <v>60</v>
      </c>
      <c r="I491" s="56" t="n">
        <v>3.5</v>
      </c>
      <c r="J491" s="53" t="s">
        <v>117</v>
      </c>
      <c r="K491" s="53"/>
      <c r="L491" s="57" t="str">
        <f aca="false">IF(C491="","",IFERROR(INDEX(site_ID,MATCH(C491,site_Name,0)),"Not on SITES"))</f>
        <v>LW-116</v>
      </c>
      <c r="M491" s="58" t="n">
        <f aca="false">IF(E491="","",DATE(YEAR(E491),MONTH(E491),1))</f>
        <v>46054</v>
      </c>
      <c r="N491" s="57" t="str">
        <f aca="false">IF(E491="","","FY"&amp;(YEAR(E491)+IF(AND(FYStart&gt;1,MONTH(E491)&gt;=FYStart),1,0))&amp;" Q"&amp;(INT(MOD(MONTH(E491)-FYStart,12)/3)+1))</f>
        <v>FY2026 Q3</v>
      </c>
      <c r="O491" s="59" t="n">
        <f aca="false">IF(OR(E491="",N(F491)=0),"",G491/F491)</f>
        <v>0.75</v>
      </c>
      <c r="P491" s="60" t="n">
        <f aca="false">IF(E491="","",ROUND(N(G491)*N(H491)/60,1))</f>
        <v>12</v>
      </c>
      <c r="Q491" s="57" t="str">
        <f aca="false">IF(E491="","",IF(COUNTIFS($C$2:C491,C491,$E$2:E491,E491,$B$2:B491,B491)&gt;1,"No","Yes"))</f>
        <v>Yes</v>
      </c>
      <c r="R491" s="61" t="str">
        <f aca="false">IF(E491="","",IF(Q491="No","Duplicate of an earlier response",IF(L491="Not on SITES","Site not on SITES",IF(N(G491)&gt;N(F491),"Present is more than enrolled",IF(OR(I491&lt;1,I491&gt;5),"Score outside 1 to 5","")))))</f>
        <v/>
      </c>
    </row>
    <row r="492" customFormat="false" ht="15" hidden="false" customHeight="false" outlineLevel="0" collapsed="false">
      <c r="A492" s="52" t="n">
        <v>46071.6390856481</v>
      </c>
      <c r="B492" s="53" t="s">
        <v>140</v>
      </c>
      <c r="C492" s="53" t="s">
        <v>142</v>
      </c>
      <c r="D492" s="53" t="s">
        <v>113</v>
      </c>
      <c r="E492" s="54" t="n">
        <v>46071</v>
      </c>
      <c r="F492" s="55" t="n">
        <v>18</v>
      </c>
      <c r="G492" s="55" t="n">
        <v>15</v>
      </c>
      <c r="H492" s="55" t="n">
        <v>60</v>
      </c>
      <c r="I492" s="56" t="n">
        <v>3.3</v>
      </c>
      <c r="J492" s="53" t="s">
        <v>165</v>
      </c>
      <c r="K492" s="53"/>
      <c r="L492" s="57" t="str">
        <f aca="false">IF(C492="","",IFERROR(INDEX(site_ID,MATCH(C492,site_Name,0)),"Not on SITES"))</f>
        <v>LW-102</v>
      </c>
      <c r="M492" s="58" t="n">
        <f aca="false">IF(E492="","",DATE(YEAR(E492),MONTH(E492),1))</f>
        <v>46054</v>
      </c>
      <c r="N492" s="57" t="str">
        <f aca="false">IF(E492="","","FY"&amp;(YEAR(E492)+IF(AND(FYStart&gt;1,MONTH(E492)&gt;=FYStart),1,0))&amp;" Q"&amp;(INT(MOD(MONTH(E492)-FYStart,12)/3)+1))</f>
        <v>FY2026 Q3</v>
      </c>
      <c r="O492" s="59" t="n">
        <f aca="false">IF(OR(E492="",N(F492)=0),"",G492/F492)</f>
        <v>0.833333333333333</v>
      </c>
      <c r="P492" s="60" t="n">
        <f aca="false">IF(E492="","",ROUND(N(G492)*N(H492)/60,1))</f>
        <v>15</v>
      </c>
      <c r="Q492" s="57" t="str">
        <f aca="false">IF(E492="","",IF(COUNTIFS($C$2:C492,C492,$E$2:E492,E492,$B$2:B492,B492)&gt;1,"No","Yes"))</f>
        <v>Yes</v>
      </c>
      <c r="R492" s="61" t="str">
        <f aca="false">IF(E492="","",IF(Q492="No","Duplicate of an earlier response",IF(L492="Not on SITES","Site not on SITES",IF(N(G492)&gt;N(F492),"Present is more than enrolled",IF(OR(I492&lt;1,I492&gt;5),"Score outside 1 to 5","")))))</f>
        <v/>
      </c>
    </row>
    <row r="493" customFormat="false" ht="15" hidden="false" customHeight="false" outlineLevel="0" collapsed="false">
      <c r="A493" s="52" t="n">
        <v>46071.7017476852</v>
      </c>
      <c r="B493" s="53" t="s">
        <v>129</v>
      </c>
      <c r="C493" s="53" t="s">
        <v>137</v>
      </c>
      <c r="D493" s="53" t="s">
        <v>138</v>
      </c>
      <c r="E493" s="54" t="n">
        <v>46071</v>
      </c>
      <c r="F493" s="55" t="n">
        <v>16</v>
      </c>
      <c r="G493" s="55" t="n">
        <v>13</v>
      </c>
      <c r="H493" s="55" t="n">
        <v>90</v>
      </c>
      <c r="I493" s="56" t="n">
        <v>3.6</v>
      </c>
      <c r="J493" s="53" t="s">
        <v>163</v>
      </c>
      <c r="K493" s="53"/>
      <c r="L493" s="57" t="str">
        <f aca="false">IF(C493="","",IFERROR(INDEX(site_ID,MATCH(C493,site_Name,0)),"Not on SITES"))</f>
        <v>LW-115</v>
      </c>
      <c r="M493" s="58" t="n">
        <f aca="false">IF(E493="","",DATE(YEAR(E493),MONTH(E493),1))</f>
        <v>46054</v>
      </c>
      <c r="N493" s="57" t="str">
        <f aca="false">IF(E493="","","FY"&amp;(YEAR(E493)+IF(AND(FYStart&gt;1,MONTH(E493)&gt;=FYStart),1,0))&amp;" Q"&amp;(INT(MOD(MONTH(E493)-FYStart,12)/3)+1))</f>
        <v>FY2026 Q3</v>
      </c>
      <c r="O493" s="59" t="n">
        <f aca="false">IF(OR(E493="",N(F493)=0),"",G493/F493)</f>
        <v>0.8125</v>
      </c>
      <c r="P493" s="60" t="n">
        <f aca="false">IF(E493="","",ROUND(N(G493)*N(H493)/60,1))</f>
        <v>19.5</v>
      </c>
      <c r="Q493" s="57" t="str">
        <f aca="false">IF(E493="","",IF(COUNTIFS($C$2:C493,C493,$E$2:E493,E493,$B$2:B493,B493)&gt;1,"No","Yes"))</f>
        <v>Yes</v>
      </c>
      <c r="R493" s="61" t="str">
        <f aca="false">IF(E493="","",IF(Q493="No","Duplicate of an earlier response",IF(L493="Not on SITES","Site not on SITES",IF(N(G493)&gt;N(F493),"Present is more than enrolled",IF(OR(I493&lt;1,I493&gt;5),"Score outside 1 to 5","")))))</f>
        <v/>
      </c>
    </row>
    <row r="494" customFormat="false" ht="15" hidden="false" customHeight="false" outlineLevel="0" collapsed="false">
      <c r="A494" s="52" t="n">
        <v>46071.7043402778</v>
      </c>
      <c r="B494" s="53" t="s">
        <v>132</v>
      </c>
      <c r="C494" s="53" t="s">
        <v>145</v>
      </c>
      <c r="D494" s="53" t="s">
        <v>119</v>
      </c>
      <c r="E494" s="54" t="n">
        <v>46071</v>
      </c>
      <c r="F494" s="55" t="n">
        <v>19</v>
      </c>
      <c r="G494" s="55" t="n">
        <v>15</v>
      </c>
      <c r="H494" s="55" t="n">
        <v>60</v>
      </c>
      <c r="I494" s="56" t="n">
        <v>4</v>
      </c>
      <c r="J494" s="53" t="s">
        <v>162</v>
      </c>
      <c r="K494" s="53" t="s">
        <v>158</v>
      </c>
      <c r="L494" s="57" t="str">
        <f aca="false">IF(C494="","",IFERROR(INDEX(site_ID,MATCH(C494,site_Name,0)),"Not on SITES"))</f>
        <v>LW-101</v>
      </c>
      <c r="M494" s="58" t="n">
        <f aca="false">IF(E494="","",DATE(YEAR(E494),MONTH(E494),1))</f>
        <v>46054</v>
      </c>
      <c r="N494" s="57" t="str">
        <f aca="false">IF(E494="","","FY"&amp;(YEAR(E494)+IF(AND(FYStart&gt;1,MONTH(E494)&gt;=FYStart),1,0))&amp;" Q"&amp;(INT(MOD(MONTH(E494)-FYStart,12)/3)+1))</f>
        <v>FY2026 Q3</v>
      </c>
      <c r="O494" s="59" t="n">
        <f aca="false">IF(OR(E494="",N(F494)=0),"",G494/F494)</f>
        <v>0.789473684210526</v>
      </c>
      <c r="P494" s="60" t="n">
        <f aca="false">IF(E494="","",ROUND(N(G494)*N(H494)/60,1))</f>
        <v>15</v>
      </c>
      <c r="Q494" s="57" t="str">
        <f aca="false">IF(E494="","",IF(COUNTIFS($C$2:C494,C494,$E$2:E494,E494,$B$2:B494,B494)&gt;1,"No","Yes"))</f>
        <v>Yes</v>
      </c>
      <c r="R494" s="61" t="str">
        <f aca="false">IF(E494="","",IF(Q494="No","Duplicate of an earlier response",IF(L494="Not on SITES","Site not on SITES",IF(N(G494)&gt;N(F494),"Present is more than enrolled",IF(OR(I494&lt;1,I494&gt;5),"Score outside 1 to 5","")))))</f>
        <v/>
      </c>
    </row>
    <row r="495" customFormat="false" ht="15" hidden="false" customHeight="false" outlineLevel="0" collapsed="false">
      <c r="A495" s="52" t="n">
        <v>46071.7931134259</v>
      </c>
      <c r="B495" s="53" t="s">
        <v>140</v>
      </c>
      <c r="C495" s="53" t="s">
        <v>141</v>
      </c>
      <c r="D495" s="53" t="s">
        <v>116</v>
      </c>
      <c r="E495" s="54" t="n">
        <v>46071</v>
      </c>
      <c r="F495" s="55" t="n">
        <v>13</v>
      </c>
      <c r="G495" s="55" t="n">
        <v>10</v>
      </c>
      <c r="H495" s="55" t="n">
        <v>90</v>
      </c>
      <c r="I495" s="56" t="n">
        <v>3.7</v>
      </c>
      <c r="J495" s="53" t="s">
        <v>160</v>
      </c>
      <c r="K495" s="53" t="s">
        <v>158</v>
      </c>
      <c r="L495" s="57" t="str">
        <f aca="false">IF(C495="","",IFERROR(INDEX(site_ID,MATCH(C495,site_Name,0)),"Not on SITES"))</f>
        <v>LW-118</v>
      </c>
      <c r="M495" s="58" t="n">
        <f aca="false">IF(E495="","",DATE(YEAR(E495),MONTH(E495),1))</f>
        <v>46054</v>
      </c>
      <c r="N495" s="57" t="str">
        <f aca="false">IF(E495="","","FY"&amp;(YEAR(E495)+IF(AND(FYStart&gt;1,MONTH(E495)&gt;=FYStart),1,0))&amp;" Q"&amp;(INT(MOD(MONTH(E495)-FYStart,12)/3)+1))</f>
        <v>FY2026 Q3</v>
      </c>
      <c r="O495" s="59" t="n">
        <f aca="false">IF(OR(E495="",N(F495)=0),"",G495/F495)</f>
        <v>0.769230769230769</v>
      </c>
      <c r="P495" s="60" t="n">
        <f aca="false">IF(E495="","",ROUND(N(G495)*N(H495)/60,1))</f>
        <v>15</v>
      </c>
      <c r="Q495" s="57" t="str">
        <f aca="false">IF(E495="","",IF(COUNTIFS($C$2:C495,C495,$E$2:E495,E495,$B$2:B495,B495)&gt;1,"No","Yes"))</f>
        <v>Yes</v>
      </c>
      <c r="R495" s="61" t="str">
        <f aca="false">IF(E495="","",IF(Q495="No","Duplicate of an earlier response",IF(L495="Not on SITES","Site not on SITES",IF(N(G495)&gt;N(F495),"Present is more than enrolled",IF(OR(I495&lt;1,I495&gt;5),"Score outside 1 to 5","")))))</f>
        <v/>
      </c>
    </row>
    <row r="496" customFormat="false" ht="15" hidden="false" customHeight="false" outlineLevel="0" collapsed="false">
      <c r="A496" s="52" t="n">
        <v>46071.8721527778</v>
      </c>
      <c r="B496" s="53" t="s">
        <v>111</v>
      </c>
      <c r="C496" s="53" t="s">
        <v>112</v>
      </c>
      <c r="D496" s="53" t="s">
        <v>113</v>
      </c>
      <c r="E496" s="54" t="n">
        <v>46071</v>
      </c>
      <c r="F496" s="55" t="n">
        <v>15</v>
      </c>
      <c r="G496" s="55" t="n">
        <v>13</v>
      </c>
      <c r="H496" s="55" t="n">
        <v>60</v>
      </c>
      <c r="I496" s="56" t="n">
        <v>3.7</v>
      </c>
      <c r="J496" s="53" t="s">
        <v>165</v>
      </c>
      <c r="K496" s="53"/>
      <c r="L496" s="57" t="str">
        <f aca="false">IF(C496="","",IFERROR(INDEX(site_ID,MATCH(C496,site_Name,0)),"Not on SITES"))</f>
        <v>LW-120</v>
      </c>
      <c r="M496" s="58" t="n">
        <f aca="false">IF(E496="","",DATE(YEAR(E496),MONTH(E496),1))</f>
        <v>46054</v>
      </c>
      <c r="N496" s="57" t="str">
        <f aca="false">IF(E496="","","FY"&amp;(YEAR(E496)+IF(AND(FYStart&gt;1,MONTH(E496)&gt;=FYStart),1,0))&amp;" Q"&amp;(INT(MOD(MONTH(E496)-FYStart,12)/3)+1))</f>
        <v>FY2026 Q3</v>
      </c>
      <c r="O496" s="59" t="n">
        <f aca="false">IF(OR(E496="",N(F496)=0),"",G496/F496)</f>
        <v>0.866666666666667</v>
      </c>
      <c r="P496" s="60" t="n">
        <f aca="false">IF(E496="","",ROUND(N(G496)*N(H496)/60,1))</f>
        <v>13</v>
      </c>
      <c r="Q496" s="57" t="str">
        <f aca="false">IF(E496="","",IF(COUNTIFS($C$2:C496,C496,$E$2:E496,E496,$B$2:B496,B496)&gt;1,"No","Yes"))</f>
        <v>Yes</v>
      </c>
      <c r="R496" s="61" t="str">
        <f aca="false">IF(E496="","",IF(Q496="No","Duplicate of an earlier response",IF(L496="Not on SITES","Site not on SITES",IF(N(G496)&gt;N(F496),"Present is more than enrolled",IF(OR(I496&lt;1,I496&gt;5),"Score outside 1 to 5","")))))</f>
        <v/>
      </c>
    </row>
    <row r="497" customFormat="false" ht="15" hidden="false" customHeight="false" outlineLevel="0" collapsed="false">
      <c r="A497" s="52" t="n">
        <v>46072.6839467593</v>
      </c>
      <c r="B497" s="53" t="s">
        <v>105</v>
      </c>
      <c r="C497" s="53" t="s">
        <v>118</v>
      </c>
      <c r="D497" s="53" t="s">
        <v>119</v>
      </c>
      <c r="E497" s="54" t="n">
        <v>46069</v>
      </c>
      <c r="F497" s="55" t="n">
        <v>22</v>
      </c>
      <c r="G497" s="55" t="n">
        <v>18</v>
      </c>
      <c r="H497" s="55" t="n">
        <v>60</v>
      </c>
      <c r="I497" s="56" t="n">
        <v>3.6</v>
      </c>
      <c r="J497" s="53" t="s">
        <v>144</v>
      </c>
      <c r="K497" s="53"/>
      <c r="L497" s="57" t="str">
        <f aca="false">IF(C497="","",IFERROR(INDEX(site_ID,MATCH(C497,site_Name,0)),"Not on SITES"))</f>
        <v>LW-111</v>
      </c>
      <c r="M497" s="58" t="n">
        <f aca="false">IF(E497="","",DATE(YEAR(E497),MONTH(E497),1))</f>
        <v>46054</v>
      </c>
      <c r="N497" s="57" t="str">
        <f aca="false">IF(E497="","","FY"&amp;(YEAR(E497)+IF(AND(FYStart&gt;1,MONTH(E497)&gt;=FYStart),1,0))&amp;" Q"&amp;(INT(MOD(MONTH(E497)-FYStart,12)/3)+1))</f>
        <v>FY2026 Q3</v>
      </c>
      <c r="O497" s="59" t="n">
        <f aca="false">IF(OR(E497="",N(F497)=0),"",G497/F497)</f>
        <v>0.818181818181818</v>
      </c>
      <c r="P497" s="60" t="n">
        <f aca="false">IF(E497="","",ROUND(N(G497)*N(H497)/60,1))</f>
        <v>18</v>
      </c>
      <c r="Q497" s="57" t="str">
        <f aca="false">IF(E497="","",IF(COUNTIFS($C$2:C497,C497,$E$2:E497,E497,$B$2:B497,B497)&gt;1,"No","Yes"))</f>
        <v>Yes</v>
      </c>
      <c r="R497" s="61" t="str">
        <f aca="false">IF(E497="","",IF(Q497="No","Duplicate of an earlier response",IF(L497="Not on SITES","Site not on SITES",IF(N(G497)&gt;N(F497),"Present is more than enrolled",IF(OR(I497&lt;1,I497&gt;5),"Score outside 1 to 5","")))))</f>
        <v/>
      </c>
    </row>
    <row r="498" customFormat="false" ht="15" hidden="false" customHeight="false" outlineLevel="0" collapsed="false">
      <c r="A498" s="52" t="n">
        <v>46072.6912615741</v>
      </c>
      <c r="B498" s="53" t="s">
        <v>132</v>
      </c>
      <c r="C498" s="53" t="s">
        <v>150</v>
      </c>
      <c r="D498" s="53" t="s">
        <v>138</v>
      </c>
      <c r="E498" s="54" t="n">
        <v>46072</v>
      </c>
      <c r="F498" s="55" t="n">
        <v>21</v>
      </c>
      <c r="G498" s="55" t="n">
        <v>17</v>
      </c>
      <c r="H498" s="55" t="n">
        <v>90</v>
      </c>
      <c r="I498" s="56" t="n">
        <v>3.9</v>
      </c>
      <c r="J498" s="53" t="s">
        <v>147</v>
      </c>
      <c r="K498" s="53"/>
      <c r="L498" s="57" t="str">
        <f aca="false">IF(C498="","",IFERROR(INDEX(site_ID,MATCH(C498,site_Name,0)),"Not on SITES"))</f>
        <v>LW-117</v>
      </c>
      <c r="M498" s="58" t="n">
        <f aca="false">IF(E498="","",DATE(YEAR(E498),MONTH(E498),1))</f>
        <v>46054</v>
      </c>
      <c r="N498" s="57" t="str">
        <f aca="false">IF(E498="","","FY"&amp;(YEAR(E498)+IF(AND(FYStart&gt;1,MONTH(E498)&gt;=FYStart),1,0))&amp;" Q"&amp;(INT(MOD(MONTH(E498)-FYStart,12)/3)+1))</f>
        <v>FY2026 Q3</v>
      </c>
      <c r="O498" s="59" t="n">
        <f aca="false">IF(OR(E498="",N(F498)=0),"",G498/F498)</f>
        <v>0.80952380952381</v>
      </c>
      <c r="P498" s="60" t="n">
        <f aca="false">IF(E498="","",ROUND(N(G498)*N(H498)/60,1))</f>
        <v>25.5</v>
      </c>
      <c r="Q498" s="57" t="str">
        <f aca="false">IF(E498="","",IF(COUNTIFS($C$2:C498,C498,$E$2:E498,E498,$B$2:B498,B498)&gt;1,"No","Yes"))</f>
        <v>Yes</v>
      </c>
      <c r="R498" s="61" t="str">
        <f aca="false">IF(E498="","",IF(Q498="No","Duplicate of an earlier response",IF(L498="Not on SITES","Site not on SITES",IF(N(G498)&gt;N(F498),"Present is more than enrolled",IF(OR(I498&lt;1,I498&gt;5),"Score outside 1 to 5","")))))</f>
        <v/>
      </c>
    </row>
    <row r="499" customFormat="false" ht="15" hidden="false" customHeight="false" outlineLevel="0" collapsed="false">
      <c r="A499" s="52" t="n">
        <v>46072.7033333333</v>
      </c>
      <c r="B499" s="53" t="s">
        <v>124</v>
      </c>
      <c r="C499" s="53" t="s">
        <v>154</v>
      </c>
      <c r="D499" s="53" t="s">
        <v>116</v>
      </c>
      <c r="E499" s="54" t="n">
        <v>46072</v>
      </c>
      <c r="F499" s="55" t="n">
        <v>18</v>
      </c>
      <c r="G499" s="55" t="n">
        <v>15</v>
      </c>
      <c r="H499" s="55" t="n">
        <v>60</v>
      </c>
      <c r="I499" s="56" t="n">
        <v>3.7</v>
      </c>
      <c r="J499" s="53" t="s">
        <v>117</v>
      </c>
      <c r="K499" s="53"/>
      <c r="L499" s="57" t="str">
        <f aca="false">IF(C499="","",IFERROR(INDEX(site_ID,MATCH(C499,site_Name,0)),"Not on SITES"))</f>
        <v>LW-114</v>
      </c>
      <c r="M499" s="58" t="n">
        <f aca="false">IF(E499="","",DATE(YEAR(E499),MONTH(E499),1))</f>
        <v>46054</v>
      </c>
      <c r="N499" s="57" t="str">
        <f aca="false">IF(E499="","","FY"&amp;(YEAR(E499)+IF(AND(FYStart&gt;1,MONTH(E499)&gt;=FYStart),1,0))&amp;" Q"&amp;(INT(MOD(MONTH(E499)-FYStart,12)/3)+1))</f>
        <v>FY2026 Q3</v>
      </c>
      <c r="O499" s="59" t="n">
        <f aca="false">IF(OR(E499="",N(F499)=0),"",G499/F499)</f>
        <v>0.833333333333333</v>
      </c>
      <c r="P499" s="60" t="n">
        <f aca="false">IF(E499="","",ROUND(N(G499)*N(H499)/60,1))</f>
        <v>15</v>
      </c>
      <c r="Q499" s="57" t="str">
        <f aca="false">IF(E499="","",IF(COUNTIFS($C$2:C499,C499,$E$2:E499,E499,$B$2:B499,B499)&gt;1,"No","Yes"))</f>
        <v>Yes</v>
      </c>
      <c r="R499" s="61" t="str">
        <f aca="false">IF(E499="","",IF(Q499="No","Duplicate of an earlier response",IF(L499="Not on SITES","Site not on SITES",IF(N(G499)&gt;N(F499),"Present is more than enrolled",IF(OR(I499&lt;1,I499&gt;5),"Score outside 1 to 5","")))))</f>
        <v/>
      </c>
    </row>
    <row r="500" customFormat="false" ht="15" hidden="false" customHeight="false" outlineLevel="0" collapsed="false">
      <c r="A500" s="52" t="n">
        <v>46072.7055324074</v>
      </c>
      <c r="B500" s="53" t="s">
        <v>109</v>
      </c>
      <c r="C500" s="53" t="s">
        <v>146</v>
      </c>
      <c r="D500" s="53" t="s">
        <v>138</v>
      </c>
      <c r="E500" s="54" t="n">
        <v>46072</v>
      </c>
      <c r="F500" s="55" t="n">
        <v>14</v>
      </c>
      <c r="G500" s="55" t="n">
        <v>9</v>
      </c>
      <c r="H500" s="55" t="n">
        <v>90</v>
      </c>
      <c r="I500" s="56" t="n">
        <v>4.2</v>
      </c>
      <c r="J500" s="53" t="s">
        <v>164</v>
      </c>
      <c r="K500" s="53"/>
      <c r="L500" s="57" t="str">
        <f aca="false">IF(C500="","",IFERROR(INDEX(site_ID,MATCH(C500,site_Name,0)),"Not on SITES"))</f>
        <v>LW-105</v>
      </c>
      <c r="M500" s="58" t="n">
        <f aca="false">IF(E500="","",DATE(YEAR(E500),MONTH(E500),1))</f>
        <v>46054</v>
      </c>
      <c r="N500" s="57" t="str">
        <f aca="false">IF(E500="","","FY"&amp;(YEAR(E500)+IF(AND(FYStart&gt;1,MONTH(E500)&gt;=FYStart),1,0))&amp;" Q"&amp;(INT(MOD(MONTH(E500)-FYStart,12)/3)+1))</f>
        <v>FY2026 Q3</v>
      </c>
      <c r="O500" s="59" t="n">
        <f aca="false">IF(OR(E500="",N(F500)=0),"",G500/F500)</f>
        <v>0.642857142857143</v>
      </c>
      <c r="P500" s="60" t="n">
        <f aca="false">IF(E500="","",ROUND(N(G500)*N(H500)/60,1))</f>
        <v>13.5</v>
      </c>
      <c r="Q500" s="57" t="str">
        <f aca="false">IF(E500="","",IF(COUNTIFS($C$2:C500,C500,$E$2:E500,E500,$B$2:B500,B500)&gt;1,"No","Yes"))</f>
        <v>Yes</v>
      </c>
      <c r="R500" s="61" t="str">
        <f aca="false">IF(E500="","",IF(Q500="No","Duplicate of an earlier response",IF(L500="Not on SITES","Site not on SITES",IF(N(G500)&gt;N(F500),"Present is more than enrolled",IF(OR(I500&lt;1,I500&gt;5),"Score outside 1 to 5","")))))</f>
        <v/>
      </c>
    </row>
    <row r="501" customFormat="false" ht="15" hidden="false" customHeight="false" outlineLevel="0" collapsed="false">
      <c r="A501" s="52" t="n">
        <v>46072.7648032407</v>
      </c>
      <c r="B501" s="53" t="s">
        <v>140</v>
      </c>
      <c r="C501" s="53" t="s">
        <v>151</v>
      </c>
      <c r="D501" s="53" t="s">
        <v>138</v>
      </c>
      <c r="E501" s="54" t="n">
        <v>46072</v>
      </c>
      <c r="F501" s="55" t="n">
        <v>13</v>
      </c>
      <c r="G501" s="55" t="n">
        <v>10</v>
      </c>
      <c r="H501" s="55" t="n">
        <v>90</v>
      </c>
      <c r="I501" s="56" t="n">
        <v>3.6</v>
      </c>
      <c r="J501" s="53" t="s">
        <v>152</v>
      </c>
      <c r="K501" s="53"/>
      <c r="L501" s="57" t="str">
        <f aca="false">IF(C501="","",IFERROR(INDEX(site_ID,MATCH(C501,site_Name,0)),"Not on SITES"))</f>
        <v>LW-110</v>
      </c>
      <c r="M501" s="58" t="n">
        <f aca="false">IF(E501="","",DATE(YEAR(E501),MONTH(E501),1))</f>
        <v>46054</v>
      </c>
      <c r="N501" s="57" t="str">
        <f aca="false">IF(E501="","","FY"&amp;(YEAR(E501)+IF(AND(FYStart&gt;1,MONTH(E501)&gt;=FYStart),1,0))&amp;" Q"&amp;(INT(MOD(MONTH(E501)-FYStart,12)/3)+1))</f>
        <v>FY2026 Q3</v>
      </c>
      <c r="O501" s="59" t="n">
        <f aca="false">IF(OR(E501="",N(F501)=0),"",G501/F501)</f>
        <v>0.769230769230769</v>
      </c>
      <c r="P501" s="60" t="n">
        <f aca="false">IF(E501="","",ROUND(N(G501)*N(H501)/60,1))</f>
        <v>15</v>
      </c>
      <c r="Q501" s="57" t="str">
        <f aca="false">IF(E501="","",IF(COUNTIFS($C$2:C501,C501,$E$2:E501,E501,$B$2:B501,B501)&gt;1,"No","Yes"))</f>
        <v>Yes</v>
      </c>
      <c r="R501" s="61" t="str">
        <f aca="false">IF(E501="","",IF(Q501="No","Duplicate of an earlier response",IF(L501="Not on SITES","Site not on SITES",IF(N(G501)&gt;N(F501),"Present is more than enrolled",IF(OR(I501&lt;1,I501&gt;5),"Score outside 1 to 5","")))))</f>
        <v/>
      </c>
    </row>
    <row r="502" customFormat="false" ht="15" hidden="false" customHeight="false" outlineLevel="0" collapsed="false">
      <c r="A502" s="52" t="n">
        <v>46072.7931597222</v>
      </c>
      <c r="B502" s="53" t="s">
        <v>121</v>
      </c>
      <c r="C502" s="53" t="s">
        <v>122</v>
      </c>
      <c r="D502" s="53" t="s">
        <v>116</v>
      </c>
      <c r="E502" s="54" t="n">
        <v>46072</v>
      </c>
      <c r="F502" s="55" t="n">
        <v>16</v>
      </c>
      <c r="G502" s="55" t="n">
        <v>13</v>
      </c>
      <c r="H502" s="55" t="n">
        <v>60</v>
      </c>
      <c r="I502" s="56" t="n">
        <v>3.7</v>
      </c>
      <c r="J502" s="53" t="s">
        <v>160</v>
      </c>
      <c r="K502" s="53"/>
      <c r="L502" s="57" t="str">
        <f aca="false">IF(C502="","",IFERROR(INDEX(site_ID,MATCH(C502,site_Name,0)),"Not on SITES"))</f>
        <v>LW-116</v>
      </c>
      <c r="M502" s="58" t="n">
        <f aca="false">IF(E502="","",DATE(YEAR(E502),MONTH(E502),1))</f>
        <v>46054</v>
      </c>
      <c r="N502" s="57" t="str">
        <f aca="false">IF(E502="","","FY"&amp;(YEAR(E502)+IF(AND(FYStart&gt;1,MONTH(E502)&gt;=FYStart),1,0))&amp;" Q"&amp;(INT(MOD(MONTH(E502)-FYStart,12)/3)+1))</f>
        <v>FY2026 Q3</v>
      </c>
      <c r="O502" s="59" t="n">
        <f aca="false">IF(OR(E502="",N(F502)=0),"",G502/F502)</f>
        <v>0.8125</v>
      </c>
      <c r="P502" s="60" t="n">
        <f aca="false">IF(E502="","",ROUND(N(G502)*N(H502)/60,1))</f>
        <v>13</v>
      </c>
      <c r="Q502" s="57" t="str">
        <f aca="false">IF(E502="","",IF(COUNTIFS($C$2:C502,C502,$E$2:E502,E502,$B$2:B502,B502)&gt;1,"No","Yes"))</f>
        <v>Yes</v>
      </c>
      <c r="R502" s="61" t="str">
        <f aca="false">IF(E502="","",IF(Q502="No","Duplicate of an earlier response",IF(L502="Not on SITES","Site not on SITES",IF(N(G502)&gt;N(F502),"Present is more than enrolled",IF(OR(I502&lt;1,I502&gt;5),"Score outside 1 to 5","")))))</f>
        <v/>
      </c>
    </row>
    <row r="503" customFormat="false" ht="15" hidden="false" customHeight="false" outlineLevel="0" collapsed="false">
      <c r="A503" s="52" t="n">
        <v>46072.8052662037</v>
      </c>
      <c r="B503" s="53" t="s">
        <v>111</v>
      </c>
      <c r="C503" s="53" t="s">
        <v>148</v>
      </c>
      <c r="D503" s="53" t="s">
        <v>116</v>
      </c>
      <c r="E503" s="54" t="n">
        <v>46072</v>
      </c>
      <c r="F503" s="55" t="n">
        <v>16</v>
      </c>
      <c r="G503" s="55" t="n">
        <v>9</v>
      </c>
      <c r="H503" s="55" t="n">
        <v>75</v>
      </c>
      <c r="I503" s="56" t="n">
        <v>3.9</v>
      </c>
      <c r="J503" s="53" t="s">
        <v>117</v>
      </c>
      <c r="K503" s="53"/>
      <c r="L503" s="57" t="str">
        <f aca="false">IF(C503="","",IFERROR(INDEX(site_ID,MATCH(C503,site_Name,0)),"Not on SITES"))</f>
        <v>LW-104</v>
      </c>
      <c r="M503" s="58" t="n">
        <f aca="false">IF(E503="","",DATE(YEAR(E503),MONTH(E503),1))</f>
        <v>46054</v>
      </c>
      <c r="N503" s="57" t="str">
        <f aca="false">IF(E503="","","FY"&amp;(YEAR(E503)+IF(AND(FYStart&gt;1,MONTH(E503)&gt;=FYStart),1,0))&amp;" Q"&amp;(INT(MOD(MONTH(E503)-FYStart,12)/3)+1))</f>
        <v>FY2026 Q3</v>
      </c>
      <c r="O503" s="59" t="n">
        <f aca="false">IF(OR(E503="",N(F503)=0),"",G503/F503)</f>
        <v>0.5625</v>
      </c>
      <c r="P503" s="60" t="n">
        <f aca="false">IF(E503="","",ROUND(N(G503)*N(H503)/60,1))</f>
        <v>11.3</v>
      </c>
      <c r="Q503" s="57" t="str">
        <f aca="false">IF(E503="","",IF(COUNTIFS($C$2:C503,C503,$E$2:E503,E503,$B$2:B503,B503)&gt;1,"No","Yes"))</f>
        <v>Yes</v>
      </c>
      <c r="R503" s="61" t="str">
        <f aca="false">IF(E503="","",IF(Q503="No","Duplicate of an earlier response",IF(L503="Not on SITES","Site not on SITES",IF(N(G503)&gt;N(F503),"Present is more than enrolled",IF(OR(I503&lt;1,I503&gt;5),"Score outside 1 to 5","")))))</f>
        <v/>
      </c>
    </row>
    <row r="504" customFormat="false" ht="15" hidden="false" customHeight="false" outlineLevel="0" collapsed="false">
      <c r="A504" s="52" t="n">
        <v>46072.8306944444</v>
      </c>
      <c r="B504" s="53" t="s">
        <v>111</v>
      </c>
      <c r="C504" s="53" t="s">
        <v>149</v>
      </c>
      <c r="D504" s="53" t="s">
        <v>113</v>
      </c>
      <c r="E504" s="54" t="n">
        <v>46072</v>
      </c>
      <c r="F504" s="55" t="n">
        <v>21</v>
      </c>
      <c r="G504" s="55" t="n">
        <v>17</v>
      </c>
      <c r="H504" s="55" t="n">
        <v>60</v>
      </c>
      <c r="I504" s="56" t="n">
        <v>4</v>
      </c>
      <c r="J504" s="53" t="s">
        <v>136</v>
      </c>
      <c r="K504" s="53"/>
      <c r="L504" s="57" t="str">
        <f aca="false">IF(C504="","",IFERROR(INDEX(site_ID,MATCH(C504,site_Name,0)),"Not on SITES"))</f>
        <v>LW-112</v>
      </c>
      <c r="M504" s="58" t="n">
        <f aca="false">IF(E504="","",DATE(YEAR(E504),MONTH(E504),1))</f>
        <v>46054</v>
      </c>
      <c r="N504" s="57" t="str">
        <f aca="false">IF(E504="","","FY"&amp;(YEAR(E504)+IF(AND(FYStart&gt;1,MONTH(E504)&gt;=FYStart),1,0))&amp;" Q"&amp;(INT(MOD(MONTH(E504)-FYStart,12)/3)+1))</f>
        <v>FY2026 Q3</v>
      </c>
      <c r="O504" s="59" t="n">
        <f aca="false">IF(OR(E504="",N(F504)=0),"",G504/F504)</f>
        <v>0.80952380952381</v>
      </c>
      <c r="P504" s="60" t="n">
        <f aca="false">IF(E504="","",ROUND(N(G504)*N(H504)/60,1))</f>
        <v>17</v>
      </c>
      <c r="Q504" s="57" t="str">
        <f aca="false">IF(E504="","",IF(COUNTIFS($C$2:C504,C504,$E$2:E504,E504,$B$2:B504,B504)&gt;1,"No","Yes"))</f>
        <v>Yes</v>
      </c>
      <c r="R504" s="61" t="str">
        <f aca="false">IF(E504="","",IF(Q504="No","Duplicate of an earlier response",IF(L504="Not on SITES","Site not on SITES",IF(N(G504)&gt;N(F504),"Present is more than enrolled",IF(OR(I504&lt;1,I504&gt;5),"Score outside 1 to 5","")))))</f>
        <v/>
      </c>
    </row>
    <row r="505" customFormat="false" ht="15" hidden="false" customHeight="false" outlineLevel="0" collapsed="false">
      <c r="A505" s="52" t="n">
        <v>46073.7533101852</v>
      </c>
      <c r="B505" s="53" t="s">
        <v>129</v>
      </c>
      <c r="C505" s="53" t="s">
        <v>137</v>
      </c>
      <c r="D505" s="53" t="s">
        <v>138</v>
      </c>
      <c r="E505" s="54" t="n">
        <v>46073</v>
      </c>
      <c r="F505" s="55" t="n">
        <v>16</v>
      </c>
      <c r="G505" s="55" t="n">
        <v>13</v>
      </c>
      <c r="H505" s="55" t="n">
        <v>90</v>
      </c>
      <c r="I505" s="56" t="n">
        <v>3.7</v>
      </c>
      <c r="J505" s="53" t="s">
        <v>139</v>
      </c>
      <c r="K505" s="53"/>
      <c r="L505" s="57" t="str">
        <f aca="false">IF(C505="","",IFERROR(INDEX(site_ID,MATCH(C505,site_Name,0)),"Not on SITES"))</f>
        <v>LW-115</v>
      </c>
      <c r="M505" s="58" t="n">
        <f aca="false">IF(E505="","",DATE(YEAR(E505),MONTH(E505),1))</f>
        <v>46054</v>
      </c>
      <c r="N505" s="57" t="str">
        <f aca="false">IF(E505="","","FY"&amp;(YEAR(E505)+IF(AND(FYStart&gt;1,MONTH(E505)&gt;=FYStart),1,0))&amp;" Q"&amp;(INT(MOD(MONTH(E505)-FYStart,12)/3)+1))</f>
        <v>FY2026 Q3</v>
      </c>
      <c r="O505" s="59" t="n">
        <f aca="false">IF(OR(E505="",N(F505)=0),"",G505/F505)</f>
        <v>0.8125</v>
      </c>
      <c r="P505" s="60" t="n">
        <f aca="false">IF(E505="","",ROUND(N(G505)*N(H505)/60,1))</f>
        <v>19.5</v>
      </c>
      <c r="Q505" s="57" t="str">
        <f aca="false">IF(E505="","",IF(COUNTIFS($C$2:C505,C505,$E$2:E505,E505,$B$2:B505,B505)&gt;1,"No","Yes"))</f>
        <v>Yes</v>
      </c>
      <c r="R505" s="61" t="str">
        <f aca="false">IF(E505="","",IF(Q505="No","Duplicate of an earlier response",IF(L505="Not on SITES","Site not on SITES",IF(N(G505)&gt;N(F505),"Present is more than enrolled",IF(OR(I505&lt;1,I505&gt;5),"Score outside 1 to 5","")))))</f>
        <v/>
      </c>
    </row>
    <row r="506" customFormat="false" ht="15" hidden="false" customHeight="false" outlineLevel="0" collapsed="false">
      <c r="A506" s="52" t="n">
        <v>46074.6971759259</v>
      </c>
      <c r="B506" s="53" t="s">
        <v>140</v>
      </c>
      <c r="C506" s="53" t="s">
        <v>141</v>
      </c>
      <c r="D506" s="53" t="s">
        <v>116</v>
      </c>
      <c r="E506" s="54" t="n">
        <v>46073</v>
      </c>
      <c r="F506" s="55" t="n">
        <v>13</v>
      </c>
      <c r="G506" s="55" t="n">
        <v>12</v>
      </c>
      <c r="H506" s="55" t="n">
        <v>75</v>
      </c>
      <c r="I506" s="56" t="n">
        <v>3.9</v>
      </c>
      <c r="J506" s="53" t="s">
        <v>134</v>
      </c>
      <c r="K506" s="53"/>
      <c r="L506" s="57" t="str">
        <f aca="false">IF(C506="","",IFERROR(INDEX(site_ID,MATCH(C506,site_Name,0)),"Not on SITES"))</f>
        <v>LW-118</v>
      </c>
      <c r="M506" s="58" t="n">
        <f aca="false">IF(E506="","",DATE(YEAR(E506),MONTH(E506),1))</f>
        <v>46054</v>
      </c>
      <c r="N506" s="57" t="str">
        <f aca="false">IF(E506="","","FY"&amp;(YEAR(E506)+IF(AND(FYStart&gt;1,MONTH(E506)&gt;=FYStart),1,0))&amp;" Q"&amp;(INT(MOD(MONTH(E506)-FYStart,12)/3)+1))</f>
        <v>FY2026 Q3</v>
      </c>
      <c r="O506" s="59" t="n">
        <f aca="false">IF(OR(E506="",N(F506)=0),"",G506/F506)</f>
        <v>0.923076923076923</v>
      </c>
      <c r="P506" s="60" t="n">
        <f aca="false">IF(E506="","",ROUND(N(G506)*N(H506)/60,1))</f>
        <v>15</v>
      </c>
      <c r="Q506" s="57" t="str">
        <f aca="false">IF(E506="","",IF(COUNTIFS($C$2:C506,C506,$E$2:E506,E506,$B$2:B506,B506)&gt;1,"No","Yes"))</f>
        <v>Yes</v>
      </c>
      <c r="R506" s="61" t="str">
        <f aca="false">IF(E506="","",IF(Q506="No","Duplicate of an earlier response",IF(L506="Not on SITES","Site not on SITES",IF(N(G506)&gt;N(F506),"Present is more than enrolled",IF(OR(I506&lt;1,I506&gt;5),"Score outside 1 to 5","")))))</f>
        <v/>
      </c>
    </row>
    <row r="507" customFormat="false" ht="15" hidden="false" customHeight="false" outlineLevel="0" collapsed="false">
      <c r="A507" s="52" t="n">
        <v>46074.7143981482</v>
      </c>
      <c r="B507" s="53" t="s">
        <v>105</v>
      </c>
      <c r="C507" s="53" t="s">
        <v>118</v>
      </c>
      <c r="D507" s="53" t="s">
        <v>119</v>
      </c>
      <c r="E507" s="54" t="n">
        <v>46071</v>
      </c>
      <c r="F507" s="55" t="n">
        <v>22</v>
      </c>
      <c r="G507" s="55" t="n">
        <v>18</v>
      </c>
      <c r="H507" s="55" t="n">
        <v>90</v>
      </c>
      <c r="I507" s="56" t="n">
        <v>3.6</v>
      </c>
      <c r="J507" s="53" t="s">
        <v>157</v>
      </c>
      <c r="K507" s="53"/>
      <c r="L507" s="57" t="str">
        <f aca="false">IF(C507="","",IFERROR(INDEX(site_ID,MATCH(C507,site_Name,0)),"Not on SITES"))</f>
        <v>LW-111</v>
      </c>
      <c r="M507" s="58" t="n">
        <f aca="false">IF(E507="","",DATE(YEAR(E507),MONTH(E507),1))</f>
        <v>46054</v>
      </c>
      <c r="N507" s="57" t="str">
        <f aca="false">IF(E507="","","FY"&amp;(YEAR(E507)+IF(AND(FYStart&gt;1,MONTH(E507)&gt;=FYStart),1,0))&amp;" Q"&amp;(INT(MOD(MONTH(E507)-FYStart,12)/3)+1))</f>
        <v>FY2026 Q3</v>
      </c>
      <c r="O507" s="59" t="n">
        <f aca="false">IF(OR(E507="",N(F507)=0),"",G507/F507)</f>
        <v>0.818181818181818</v>
      </c>
      <c r="P507" s="60" t="n">
        <f aca="false">IF(E507="","",ROUND(N(G507)*N(H507)/60,1))</f>
        <v>27</v>
      </c>
      <c r="Q507" s="57" t="str">
        <f aca="false">IF(E507="","",IF(COUNTIFS($C$2:C507,C507,$E$2:E507,E507,$B$2:B507,B507)&gt;1,"No","Yes"))</f>
        <v>Yes</v>
      </c>
      <c r="R507" s="61" t="str">
        <f aca="false">IF(E507="","",IF(Q507="No","Duplicate of an earlier response",IF(L507="Not on SITES","Site not on SITES",IF(N(G507)&gt;N(F507),"Present is more than enrolled",IF(OR(I507&lt;1,I507&gt;5),"Score outside 1 to 5","")))))</f>
        <v/>
      </c>
    </row>
    <row r="508" customFormat="false" ht="15" hidden="false" customHeight="false" outlineLevel="0" collapsed="false">
      <c r="A508" s="52" t="n">
        <v>46076.6540740741</v>
      </c>
      <c r="B508" s="53" t="s">
        <v>111</v>
      </c>
      <c r="C508" s="53" t="s">
        <v>112</v>
      </c>
      <c r="D508" s="53" t="s">
        <v>113</v>
      </c>
      <c r="E508" s="54" t="n">
        <v>46076</v>
      </c>
      <c r="F508" s="55" t="n">
        <v>15</v>
      </c>
      <c r="G508" s="55" t="n">
        <v>13</v>
      </c>
      <c r="H508" s="55" t="n">
        <v>90</v>
      </c>
      <c r="I508" s="56" t="n">
        <v>3.4</v>
      </c>
      <c r="J508" s="53" t="s">
        <v>143</v>
      </c>
      <c r="K508" s="53"/>
      <c r="L508" s="57" t="str">
        <f aca="false">IF(C508="","",IFERROR(INDEX(site_ID,MATCH(C508,site_Name,0)),"Not on SITES"))</f>
        <v>LW-120</v>
      </c>
      <c r="M508" s="58" t="n">
        <f aca="false">IF(E508="","",DATE(YEAR(E508),MONTH(E508),1))</f>
        <v>46054</v>
      </c>
      <c r="N508" s="57" t="str">
        <f aca="false">IF(E508="","","FY"&amp;(YEAR(E508)+IF(AND(FYStart&gt;1,MONTH(E508)&gt;=FYStart),1,0))&amp;" Q"&amp;(INT(MOD(MONTH(E508)-FYStart,12)/3)+1))</f>
        <v>FY2026 Q3</v>
      </c>
      <c r="O508" s="59" t="n">
        <f aca="false">IF(OR(E508="",N(F508)=0),"",G508/F508)</f>
        <v>0.866666666666667</v>
      </c>
      <c r="P508" s="60" t="n">
        <f aca="false">IF(E508="","",ROUND(N(G508)*N(H508)/60,1))</f>
        <v>19.5</v>
      </c>
      <c r="Q508" s="57" t="str">
        <f aca="false">IF(E508="","",IF(COUNTIFS($C$2:C508,C508,$E$2:E508,E508,$B$2:B508,B508)&gt;1,"No","Yes"))</f>
        <v>Yes</v>
      </c>
      <c r="R508" s="61" t="str">
        <f aca="false">IF(E508="","",IF(Q508="No","Duplicate of an earlier response",IF(L508="Not on SITES","Site not on SITES",IF(N(G508)&gt;N(F508),"Present is more than enrolled",IF(OR(I508&lt;1,I508&gt;5),"Score outside 1 to 5","")))))</f>
        <v/>
      </c>
    </row>
    <row r="509" customFormat="false" ht="15" hidden="false" customHeight="false" outlineLevel="0" collapsed="false">
      <c r="A509" s="52" t="n">
        <v>46076.6662962963</v>
      </c>
      <c r="B509" s="53" t="s">
        <v>109</v>
      </c>
      <c r="C509" s="53" t="s">
        <v>110</v>
      </c>
      <c r="D509" s="53" t="s">
        <v>107</v>
      </c>
      <c r="E509" s="54" t="n">
        <v>46076</v>
      </c>
      <c r="F509" s="55" t="n">
        <v>21</v>
      </c>
      <c r="G509" s="55" t="n">
        <v>14</v>
      </c>
      <c r="H509" s="55" t="n">
        <v>60</v>
      </c>
      <c r="I509" s="56" t="n">
        <v>3.8</v>
      </c>
      <c r="J509" s="53" t="s">
        <v>155</v>
      </c>
      <c r="K509" s="53"/>
      <c r="L509" s="57" t="str">
        <f aca="false">IF(C509="","",IFERROR(INDEX(site_ID,MATCH(C509,site_Name,0)),"Not on SITES"))</f>
        <v>LW-113</v>
      </c>
      <c r="M509" s="58" t="n">
        <f aca="false">IF(E509="","",DATE(YEAR(E509),MONTH(E509),1))</f>
        <v>46054</v>
      </c>
      <c r="N509" s="57" t="str">
        <f aca="false">IF(E509="","","FY"&amp;(YEAR(E509)+IF(AND(FYStart&gt;1,MONTH(E509)&gt;=FYStart),1,0))&amp;" Q"&amp;(INT(MOD(MONTH(E509)-FYStart,12)/3)+1))</f>
        <v>FY2026 Q3</v>
      </c>
      <c r="O509" s="59" t="n">
        <f aca="false">IF(OR(E509="",N(F509)=0),"",G509/F509)</f>
        <v>0.666666666666667</v>
      </c>
      <c r="P509" s="60" t="n">
        <f aca="false">IF(E509="","",ROUND(N(G509)*N(H509)/60,1))</f>
        <v>14</v>
      </c>
      <c r="Q509" s="57" t="str">
        <f aca="false">IF(E509="","",IF(COUNTIFS($C$2:C509,C509,$E$2:E509,E509,$B$2:B509,B509)&gt;1,"No","Yes"))</f>
        <v>Yes</v>
      </c>
      <c r="R509" s="61" t="str">
        <f aca="false">IF(E509="","",IF(Q509="No","Duplicate of an earlier response",IF(L509="Not on SITES","Site not on SITES",IF(N(G509)&gt;N(F509),"Present is more than enrolled",IF(OR(I509&lt;1,I509&gt;5),"Score outside 1 to 5","")))))</f>
        <v/>
      </c>
    </row>
    <row r="510" customFormat="false" ht="15" hidden="false" customHeight="false" outlineLevel="0" collapsed="false">
      <c r="A510" s="52" t="n">
        <v>46076.7833101852</v>
      </c>
      <c r="B510" s="53" t="s">
        <v>124</v>
      </c>
      <c r="C510" s="53" t="s">
        <v>118</v>
      </c>
      <c r="D510" s="53" t="s">
        <v>119</v>
      </c>
      <c r="E510" s="54" t="n">
        <v>46076</v>
      </c>
      <c r="F510" s="55" t="n">
        <v>22</v>
      </c>
      <c r="G510" s="55" t="n">
        <v>16</v>
      </c>
      <c r="H510" s="55" t="n">
        <v>75</v>
      </c>
      <c r="I510" s="56" t="n">
        <v>3.8</v>
      </c>
      <c r="J510" s="53" t="s">
        <v>120</v>
      </c>
      <c r="K510" s="53"/>
      <c r="L510" s="57" t="str">
        <f aca="false">IF(C510="","",IFERROR(INDEX(site_ID,MATCH(C510,site_Name,0)),"Not on SITES"))</f>
        <v>LW-111</v>
      </c>
      <c r="M510" s="58" t="n">
        <f aca="false">IF(E510="","",DATE(YEAR(E510),MONTH(E510),1))</f>
        <v>46054</v>
      </c>
      <c r="N510" s="57" t="str">
        <f aca="false">IF(E510="","","FY"&amp;(YEAR(E510)+IF(AND(FYStart&gt;1,MONTH(E510)&gt;=FYStart),1,0))&amp;" Q"&amp;(INT(MOD(MONTH(E510)-FYStart,12)/3)+1))</f>
        <v>FY2026 Q3</v>
      </c>
      <c r="O510" s="59" t="n">
        <f aca="false">IF(OR(E510="",N(F510)=0),"",G510/F510)</f>
        <v>0.727272727272727</v>
      </c>
      <c r="P510" s="60" t="n">
        <f aca="false">IF(E510="","",ROUND(N(G510)*N(H510)/60,1))</f>
        <v>20</v>
      </c>
      <c r="Q510" s="57" t="str">
        <f aca="false">IF(E510="","",IF(COUNTIFS($C$2:C510,C510,$E$2:E510,E510,$B$2:B510,B510)&gt;1,"No","Yes"))</f>
        <v>Yes</v>
      </c>
      <c r="R510" s="61" t="str">
        <f aca="false">IF(E510="","",IF(Q510="No","Duplicate of an earlier response",IF(L510="Not on SITES","Site not on SITES",IF(N(G510)&gt;N(F510),"Present is more than enrolled",IF(OR(I510&lt;1,I510&gt;5),"Score outside 1 to 5","")))))</f>
        <v/>
      </c>
    </row>
    <row r="511" customFormat="false" ht="15" hidden="false" customHeight="false" outlineLevel="0" collapsed="false">
      <c r="A511" s="52" t="n">
        <v>46076.8371064815</v>
      </c>
      <c r="B511" s="53" t="s">
        <v>105</v>
      </c>
      <c r="C511" s="53" t="s">
        <v>106</v>
      </c>
      <c r="D511" s="53" t="s">
        <v>107</v>
      </c>
      <c r="E511" s="54" t="n">
        <v>46076</v>
      </c>
      <c r="F511" s="55" t="n">
        <v>16</v>
      </c>
      <c r="G511" s="55" t="n">
        <v>13</v>
      </c>
      <c r="H511" s="55" t="n">
        <v>60</v>
      </c>
      <c r="I511" s="56" t="n">
        <v>4.1</v>
      </c>
      <c r="J511" s="53" t="s">
        <v>128</v>
      </c>
      <c r="K511" s="53"/>
      <c r="L511" s="57" t="str">
        <f aca="false">IF(C511="","",IFERROR(INDEX(site_ID,MATCH(C511,site_Name,0)),"Not on SITES"))</f>
        <v>LW-103</v>
      </c>
      <c r="M511" s="58" t="n">
        <f aca="false">IF(E511="","",DATE(YEAR(E511),MONTH(E511),1))</f>
        <v>46054</v>
      </c>
      <c r="N511" s="57" t="str">
        <f aca="false">IF(E511="","","FY"&amp;(YEAR(E511)+IF(AND(FYStart&gt;1,MONTH(E511)&gt;=FYStart),1,0))&amp;" Q"&amp;(INT(MOD(MONTH(E511)-FYStart,12)/3)+1))</f>
        <v>FY2026 Q3</v>
      </c>
      <c r="O511" s="59" t="n">
        <f aca="false">IF(OR(E511="",N(F511)=0),"",G511/F511)</f>
        <v>0.8125</v>
      </c>
      <c r="P511" s="60" t="n">
        <f aca="false">IF(E511="","",ROUND(N(G511)*N(H511)/60,1))</f>
        <v>13</v>
      </c>
      <c r="Q511" s="57" t="str">
        <f aca="false">IF(E511="","",IF(COUNTIFS($C$2:C511,C511,$E$2:E511,E511,$B$2:B511,B511)&gt;1,"No","Yes"))</f>
        <v>Yes</v>
      </c>
      <c r="R511" s="61" t="str">
        <f aca="false">IF(E511="","",IF(Q511="No","Duplicate of an earlier response",IF(L511="Not on SITES","Site not on SITES",IF(N(G511)&gt;N(F511),"Present is more than enrolled",IF(OR(I511&lt;1,I511&gt;5),"Score outside 1 to 5","")))))</f>
        <v/>
      </c>
    </row>
    <row r="512" customFormat="false" ht="15" hidden="false" customHeight="false" outlineLevel="0" collapsed="false">
      <c r="A512" s="52" t="n">
        <v>46076.8651967593</v>
      </c>
      <c r="B512" s="53" t="s">
        <v>105</v>
      </c>
      <c r="C512" s="53" t="s">
        <v>115</v>
      </c>
      <c r="D512" s="53" t="s">
        <v>116</v>
      </c>
      <c r="E512" s="54" t="n">
        <v>46076</v>
      </c>
      <c r="F512" s="55" t="n">
        <v>16</v>
      </c>
      <c r="G512" s="55" t="n">
        <v>14</v>
      </c>
      <c r="H512" s="55" t="n">
        <v>60</v>
      </c>
      <c r="I512" s="56" t="n">
        <v>3.7</v>
      </c>
      <c r="J512" s="53" t="s">
        <v>134</v>
      </c>
      <c r="K512" s="53"/>
      <c r="L512" s="57" t="str">
        <f aca="false">IF(C512="","",IFERROR(INDEX(site_ID,MATCH(C512,site_Name,0)),"Not on SITES"))</f>
        <v>LW-119</v>
      </c>
      <c r="M512" s="58" t="n">
        <f aca="false">IF(E512="","",DATE(YEAR(E512),MONTH(E512),1))</f>
        <v>46054</v>
      </c>
      <c r="N512" s="57" t="str">
        <f aca="false">IF(E512="","","FY"&amp;(YEAR(E512)+IF(AND(FYStart&gt;1,MONTH(E512)&gt;=FYStart),1,0))&amp;" Q"&amp;(INT(MOD(MONTH(E512)-FYStart,12)/3)+1))</f>
        <v>FY2026 Q3</v>
      </c>
      <c r="O512" s="59" t="n">
        <f aca="false">IF(OR(E512="",N(F512)=0),"",G512/F512)</f>
        <v>0.875</v>
      </c>
      <c r="P512" s="60" t="n">
        <f aca="false">IF(E512="","",ROUND(N(G512)*N(H512)/60,1))</f>
        <v>14</v>
      </c>
      <c r="Q512" s="57" t="str">
        <f aca="false">IF(E512="","",IF(COUNTIFS($C$2:C512,C512,$E$2:E512,E512,$B$2:B512,B512)&gt;1,"No","Yes"))</f>
        <v>Yes</v>
      </c>
      <c r="R512" s="61" t="str">
        <f aca="false">IF(E512="","",IF(Q512="No","Duplicate of an earlier response",IF(L512="Not on SITES","Site not on SITES",IF(N(G512)&gt;N(F512),"Present is more than enrolled",IF(OR(I512&lt;1,I512&gt;5),"Score outside 1 to 5","")))))</f>
        <v/>
      </c>
    </row>
    <row r="513" customFormat="false" ht="15" hidden="false" customHeight="false" outlineLevel="0" collapsed="false">
      <c r="A513" s="52" t="n">
        <v>46077.6930902778</v>
      </c>
      <c r="B513" s="53" t="s">
        <v>121</v>
      </c>
      <c r="C513" s="53" t="s">
        <v>122</v>
      </c>
      <c r="D513" s="53" t="s">
        <v>116</v>
      </c>
      <c r="E513" s="54" t="n">
        <v>46077</v>
      </c>
      <c r="F513" s="55" t="n">
        <v>16</v>
      </c>
      <c r="G513" s="55" t="n">
        <v>11</v>
      </c>
      <c r="H513" s="55" t="n">
        <v>90</v>
      </c>
      <c r="I513" s="56" t="n">
        <v>3.5</v>
      </c>
      <c r="J513" s="53" t="s">
        <v>160</v>
      </c>
      <c r="K513" s="53"/>
      <c r="L513" s="57" t="str">
        <f aca="false">IF(C513="","",IFERROR(INDEX(site_ID,MATCH(C513,site_Name,0)),"Not on SITES"))</f>
        <v>LW-116</v>
      </c>
      <c r="M513" s="58" t="n">
        <f aca="false">IF(E513="","",DATE(YEAR(E513),MONTH(E513),1))</f>
        <v>46054</v>
      </c>
      <c r="N513" s="57" t="str">
        <f aca="false">IF(E513="","","FY"&amp;(YEAR(E513)+IF(AND(FYStart&gt;1,MONTH(E513)&gt;=FYStart),1,0))&amp;" Q"&amp;(INT(MOD(MONTH(E513)-FYStart,12)/3)+1))</f>
        <v>FY2026 Q3</v>
      </c>
      <c r="O513" s="59" t="n">
        <f aca="false">IF(OR(E513="",N(F513)=0),"",G513/F513)</f>
        <v>0.6875</v>
      </c>
      <c r="P513" s="60" t="n">
        <f aca="false">IF(E513="","",ROUND(N(G513)*N(H513)/60,1))</f>
        <v>16.5</v>
      </c>
      <c r="Q513" s="57" t="str">
        <f aca="false">IF(E513="","",IF(COUNTIFS($C$2:C513,C513,$E$2:E513,E513,$B$2:B513,B513)&gt;1,"No","Yes"))</f>
        <v>Yes</v>
      </c>
      <c r="R513" s="61" t="str">
        <f aca="false">IF(E513="","",IF(Q513="No","Duplicate of an earlier response",IF(L513="Not on SITES","Site not on SITES",IF(N(G513)&gt;N(F513),"Present is more than enrolled",IF(OR(I513&lt;1,I513&gt;5),"Score outside 1 to 5","")))))</f>
        <v/>
      </c>
    </row>
    <row r="514" customFormat="false" ht="15" hidden="false" customHeight="false" outlineLevel="0" collapsed="false">
      <c r="A514" s="52" t="n">
        <v>46077.7523263889</v>
      </c>
      <c r="B514" s="53" t="s">
        <v>129</v>
      </c>
      <c r="C514" s="53" t="s">
        <v>130</v>
      </c>
      <c r="D514" s="53" t="s">
        <v>113</v>
      </c>
      <c r="E514" s="54" t="n">
        <v>46077</v>
      </c>
      <c r="F514" s="55" t="n">
        <v>16</v>
      </c>
      <c r="G514" s="55" t="n">
        <v>13</v>
      </c>
      <c r="H514" s="55" t="n">
        <v>90</v>
      </c>
      <c r="I514" s="56" t="n">
        <v>3.4</v>
      </c>
      <c r="J514" s="53" t="s">
        <v>165</v>
      </c>
      <c r="K514" s="53"/>
      <c r="L514" s="57" t="str">
        <f aca="false">IF(C514="","",IFERROR(INDEX(site_ID,MATCH(C514,site_Name,0)),"Not on SITES"))</f>
        <v>LW-107</v>
      </c>
      <c r="M514" s="58" t="n">
        <f aca="false">IF(E514="","",DATE(YEAR(E514),MONTH(E514),1))</f>
        <v>46054</v>
      </c>
      <c r="N514" s="57" t="str">
        <f aca="false">IF(E514="","","FY"&amp;(YEAR(E514)+IF(AND(FYStart&gt;1,MONTH(E514)&gt;=FYStart),1,0))&amp;" Q"&amp;(INT(MOD(MONTH(E514)-FYStart,12)/3)+1))</f>
        <v>FY2026 Q3</v>
      </c>
      <c r="O514" s="59" t="n">
        <f aca="false">IF(OR(E514="",N(F514)=0),"",G514/F514)</f>
        <v>0.8125</v>
      </c>
      <c r="P514" s="60" t="n">
        <f aca="false">IF(E514="","",ROUND(N(G514)*N(H514)/60,1))</f>
        <v>19.5</v>
      </c>
      <c r="Q514" s="57" t="str">
        <f aca="false">IF(E514="","",IF(COUNTIFS($C$2:C514,C514,$E$2:E514,E514,$B$2:B514,B514)&gt;1,"No","Yes"))</f>
        <v>Yes</v>
      </c>
      <c r="R514" s="61" t="str">
        <f aca="false">IF(E514="","",IF(Q514="No","Duplicate of an earlier response",IF(L514="Not on SITES","Site not on SITES",IF(N(G514)&gt;N(F514),"Present is more than enrolled",IF(OR(I514&lt;1,I514&gt;5),"Score outside 1 to 5","")))))</f>
        <v/>
      </c>
    </row>
    <row r="515" customFormat="false" ht="15" hidden="false" customHeight="false" outlineLevel="0" collapsed="false">
      <c r="A515" s="52" t="n">
        <v>46077.7819791667</v>
      </c>
      <c r="B515" s="53" t="s">
        <v>132</v>
      </c>
      <c r="C515" s="53" t="s">
        <v>125</v>
      </c>
      <c r="D515" s="53" t="s">
        <v>119</v>
      </c>
      <c r="E515" s="54" t="n">
        <v>46077</v>
      </c>
      <c r="F515" s="55" t="n">
        <v>18</v>
      </c>
      <c r="G515" s="55" t="n">
        <v>14</v>
      </c>
      <c r="H515" s="55" t="n">
        <v>90</v>
      </c>
      <c r="I515" s="56" t="n">
        <v>3.6</v>
      </c>
      <c r="J515" s="53" t="s">
        <v>144</v>
      </c>
      <c r="K515" s="53"/>
      <c r="L515" s="57" t="str">
        <f aca="false">IF(C515="","",IFERROR(INDEX(site_ID,MATCH(C515,site_Name,0)),"Not on SITES"))</f>
        <v>LW-106</v>
      </c>
      <c r="M515" s="58" t="n">
        <f aca="false">IF(E515="","",DATE(YEAR(E515),MONTH(E515),1))</f>
        <v>46054</v>
      </c>
      <c r="N515" s="57" t="str">
        <f aca="false">IF(E515="","","FY"&amp;(YEAR(E515)+IF(AND(FYStart&gt;1,MONTH(E515)&gt;=FYStart),1,0))&amp;" Q"&amp;(INT(MOD(MONTH(E515)-FYStart,12)/3)+1))</f>
        <v>FY2026 Q3</v>
      </c>
      <c r="O515" s="59" t="n">
        <f aca="false">IF(OR(E515="",N(F515)=0),"",G515/F515)</f>
        <v>0.777777777777778</v>
      </c>
      <c r="P515" s="60" t="n">
        <f aca="false">IF(E515="","",ROUND(N(G515)*N(H515)/60,1))</f>
        <v>21</v>
      </c>
      <c r="Q515" s="57" t="str">
        <f aca="false">IF(E515="","",IF(COUNTIFS($C$2:C515,C515,$E$2:E515,E515,$B$2:B515,B515)&gt;1,"No","Yes"))</f>
        <v>Yes</v>
      </c>
      <c r="R515" s="61" t="str">
        <f aca="false">IF(E515="","",IF(Q515="No","Duplicate of an earlier response",IF(L515="Not on SITES","Site not on SITES",IF(N(G515)&gt;N(F515),"Present is more than enrolled",IF(OR(I515&lt;1,I515&gt;5),"Score outside 1 to 5","")))))</f>
        <v/>
      </c>
    </row>
    <row r="516" customFormat="false" ht="15" hidden="false" customHeight="false" outlineLevel="0" collapsed="false">
      <c r="A516" s="52" t="n">
        <v>46077.7910763889</v>
      </c>
      <c r="B516" s="53" t="s">
        <v>121</v>
      </c>
      <c r="C516" s="53" t="s">
        <v>127</v>
      </c>
      <c r="D516" s="53" t="s">
        <v>107</v>
      </c>
      <c r="E516" s="54" t="n">
        <v>46077</v>
      </c>
      <c r="F516" s="55" t="n">
        <v>15</v>
      </c>
      <c r="G516" s="55" t="n">
        <v>12</v>
      </c>
      <c r="H516" s="55" t="n">
        <v>90</v>
      </c>
      <c r="I516" s="56" t="n">
        <v>4</v>
      </c>
      <c r="J516" s="53" t="s">
        <v>155</v>
      </c>
      <c r="K516" s="53"/>
      <c r="L516" s="57" t="str">
        <f aca="false">IF(C516="","",IFERROR(INDEX(site_ID,MATCH(C516,site_Name,0)),"Not on SITES"))</f>
        <v>LW-108</v>
      </c>
      <c r="M516" s="58" t="n">
        <f aca="false">IF(E516="","",DATE(YEAR(E516),MONTH(E516),1))</f>
        <v>46054</v>
      </c>
      <c r="N516" s="57" t="str">
        <f aca="false">IF(E516="","","FY"&amp;(YEAR(E516)+IF(AND(FYStart&gt;1,MONTH(E516)&gt;=FYStart),1,0))&amp;" Q"&amp;(INT(MOD(MONTH(E516)-FYStart,12)/3)+1))</f>
        <v>FY2026 Q3</v>
      </c>
      <c r="O516" s="59" t="n">
        <f aca="false">IF(OR(E516="",N(F516)=0),"",G516/F516)</f>
        <v>0.8</v>
      </c>
      <c r="P516" s="60" t="n">
        <f aca="false">IF(E516="","",ROUND(N(G516)*N(H516)/60,1))</f>
        <v>18</v>
      </c>
      <c r="Q516" s="57" t="str">
        <f aca="false">IF(E516="","",IF(COUNTIFS($C$2:C516,C516,$E$2:E516,E516,$B$2:B516,B516)&gt;1,"No","Yes"))</f>
        <v>Yes</v>
      </c>
      <c r="R516" s="61" t="str">
        <f aca="false">IF(E516="","",IF(Q516="No","Duplicate of an earlier response",IF(L516="Not on SITES","Site not on SITES",IF(N(G516)&gt;N(F516),"Present is more than enrolled",IF(OR(I516&lt;1,I516&gt;5),"Score outside 1 to 5","")))))</f>
        <v/>
      </c>
    </row>
    <row r="517" customFormat="false" ht="15" hidden="false" customHeight="false" outlineLevel="0" collapsed="false">
      <c r="A517" s="52" t="n">
        <v>46077.8375347222</v>
      </c>
      <c r="B517" s="53" t="s">
        <v>132</v>
      </c>
      <c r="C517" s="53" t="s">
        <v>133</v>
      </c>
      <c r="D517" s="53" t="s">
        <v>116</v>
      </c>
      <c r="E517" s="54" t="n">
        <v>46077</v>
      </c>
      <c r="F517" s="55" t="n">
        <v>17</v>
      </c>
      <c r="G517" s="55" t="n">
        <v>14</v>
      </c>
      <c r="H517" s="55" t="n">
        <v>60</v>
      </c>
      <c r="I517" s="56" t="n">
        <v>3.3</v>
      </c>
      <c r="J517" s="53" t="s">
        <v>160</v>
      </c>
      <c r="K517" s="53"/>
      <c r="L517" s="57" t="str">
        <f aca="false">IF(C517="","",IFERROR(INDEX(site_ID,MATCH(C517,site_Name,0)),"Not on SITES"))</f>
        <v>LW-109</v>
      </c>
      <c r="M517" s="58" t="n">
        <f aca="false">IF(E517="","",DATE(YEAR(E517),MONTH(E517),1))</f>
        <v>46054</v>
      </c>
      <c r="N517" s="57" t="str">
        <f aca="false">IF(E517="","","FY"&amp;(YEAR(E517)+IF(AND(FYStart&gt;1,MONTH(E517)&gt;=FYStart),1,0))&amp;" Q"&amp;(INT(MOD(MONTH(E517)-FYStart,12)/3)+1))</f>
        <v>FY2026 Q3</v>
      </c>
      <c r="O517" s="59" t="n">
        <f aca="false">IF(OR(E517="",N(F517)=0),"",G517/F517)</f>
        <v>0.823529411764706</v>
      </c>
      <c r="P517" s="60" t="n">
        <f aca="false">IF(E517="","",ROUND(N(G517)*N(H517)/60,1))</f>
        <v>14</v>
      </c>
      <c r="Q517" s="57" t="str">
        <f aca="false">IF(E517="","",IF(COUNTIFS($C$2:C517,C517,$E$2:E517,E517,$B$2:B517,B517)&gt;1,"No","Yes"))</f>
        <v>Yes</v>
      </c>
      <c r="R517" s="61" t="str">
        <f aca="false">IF(E517="","",IF(Q517="No","Duplicate of an earlier response",IF(L517="Not on SITES","Site not on SITES",IF(N(G517)&gt;N(F517),"Present is more than enrolled",IF(OR(I517&lt;1,I517&gt;5),"Score outside 1 to 5","")))))</f>
        <v/>
      </c>
    </row>
    <row r="518" customFormat="false" ht="15" hidden="false" customHeight="false" outlineLevel="0" collapsed="false">
      <c r="A518" s="52" t="n">
        <v>46078.7035185185</v>
      </c>
      <c r="B518" s="53" t="s">
        <v>105</v>
      </c>
      <c r="C518" s="53" t="s">
        <v>118</v>
      </c>
      <c r="D518" s="53" t="s">
        <v>119</v>
      </c>
      <c r="E518" s="54" t="n">
        <v>46078</v>
      </c>
      <c r="F518" s="55" t="n">
        <v>22</v>
      </c>
      <c r="G518" s="55" t="n">
        <v>16</v>
      </c>
      <c r="H518" s="55" t="n">
        <v>60</v>
      </c>
      <c r="I518" s="56" t="n">
        <v>3.6</v>
      </c>
      <c r="J518" s="53" t="s">
        <v>126</v>
      </c>
      <c r="K518" s="53"/>
      <c r="L518" s="57" t="str">
        <f aca="false">IF(C518="","",IFERROR(INDEX(site_ID,MATCH(C518,site_Name,0)),"Not on SITES"))</f>
        <v>LW-111</v>
      </c>
      <c r="M518" s="58" t="n">
        <f aca="false">IF(E518="","",DATE(YEAR(E518),MONTH(E518),1))</f>
        <v>46054</v>
      </c>
      <c r="N518" s="57" t="str">
        <f aca="false">IF(E518="","","FY"&amp;(YEAR(E518)+IF(AND(FYStart&gt;1,MONTH(E518)&gt;=FYStart),1,0))&amp;" Q"&amp;(INT(MOD(MONTH(E518)-FYStart,12)/3)+1))</f>
        <v>FY2026 Q3</v>
      </c>
      <c r="O518" s="59" t="n">
        <f aca="false">IF(OR(E518="",N(F518)=0),"",G518/F518)</f>
        <v>0.727272727272727</v>
      </c>
      <c r="P518" s="60" t="n">
        <f aca="false">IF(E518="","",ROUND(N(G518)*N(H518)/60,1))</f>
        <v>16</v>
      </c>
      <c r="Q518" s="57" t="str">
        <f aca="false">IF(E518="","",IF(COUNTIFS($C$2:C518,C518,$E$2:E518,E518,$B$2:B518,B518)&gt;1,"No","Yes"))</f>
        <v>Yes</v>
      </c>
      <c r="R518" s="61" t="str">
        <f aca="false">IF(E518="","",IF(Q518="No","Duplicate of an earlier response",IF(L518="Not on SITES","Site not on SITES",IF(N(G518)&gt;N(F518),"Present is more than enrolled",IF(OR(I518&lt;1,I518&gt;5),"Score outside 1 to 5","")))))</f>
        <v/>
      </c>
    </row>
    <row r="519" customFormat="false" ht="15" hidden="false" customHeight="false" outlineLevel="0" collapsed="false">
      <c r="A519" s="52" t="n">
        <v>46078.7166782407</v>
      </c>
      <c r="B519" s="53" t="s">
        <v>140</v>
      </c>
      <c r="C519" s="53" t="s">
        <v>142</v>
      </c>
      <c r="D519" s="53" t="s">
        <v>113</v>
      </c>
      <c r="E519" s="54" t="n">
        <v>46078</v>
      </c>
      <c r="F519" s="55" t="n">
        <v>18</v>
      </c>
      <c r="G519" s="55" t="n">
        <v>16</v>
      </c>
      <c r="H519" s="55" t="n">
        <v>60</v>
      </c>
      <c r="I519" s="56" t="n">
        <v>3.3</v>
      </c>
      <c r="J519" s="53" t="s">
        <v>136</v>
      </c>
      <c r="K519" s="53"/>
      <c r="L519" s="57" t="str">
        <f aca="false">IF(C519="","",IFERROR(INDEX(site_ID,MATCH(C519,site_Name,0)),"Not on SITES"))</f>
        <v>LW-102</v>
      </c>
      <c r="M519" s="58" t="n">
        <f aca="false">IF(E519="","",DATE(YEAR(E519),MONTH(E519),1))</f>
        <v>46054</v>
      </c>
      <c r="N519" s="57" t="str">
        <f aca="false">IF(E519="","","FY"&amp;(YEAR(E519)+IF(AND(FYStart&gt;1,MONTH(E519)&gt;=FYStart),1,0))&amp;" Q"&amp;(INT(MOD(MONTH(E519)-FYStart,12)/3)+1))</f>
        <v>FY2026 Q3</v>
      </c>
      <c r="O519" s="59" t="n">
        <f aca="false">IF(OR(E519="",N(F519)=0),"",G519/F519)</f>
        <v>0.888888888888889</v>
      </c>
      <c r="P519" s="60" t="n">
        <f aca="false">IF(E519="","",ROUND(N(G519)*N(H519)/60,1))</f>
        <v>16</v>
      </c>
      <c r="Q519" s="57" t="str">
        <f aca="false">IF(E519="","",IF(COUNTIFS($C$2:C519,C519,$E$2:E519,E519,$B$2:B519,B519)&gt;1,"No","Yes"))</f>
        <v>Yes</v>
      </c>
      <c r="R519" s="61" t="str">
        <f aca="false">IF(E519="","",IF(Q519="No","Duplicate of an earlier response",IF(L519="Not on SITES","Site not on SITES",IF(N(G519)&gt;N(F519),"Present is more than enrolled",IF(OR(I519&lt;1,I519&gt;5),"Score outside 1 to 5","")))))</f>
        <v/>
      </c>
    </row>
    <row r="520" customFormat="false" ht="15" hidden="false" customHeight="false" outlineLevel="0" collapsed="false">
      <c r="A520" s="52" t="n">
        <v>46078.7733333333</v>
      </c>
      <c r="B520" s="53" t="s">
        <v>129</v>
      </c>
      <c r="C520" s="53" t="s">
        <v>137</v>
      </c>
      <c r="D520" s="53" t="s">
        <v>138</v>
      </c>
      <c r="E520" s="54" t="n">
        <v>46078</v>
      </c>
      <c r="F520" s="55" t="n">
        <v>16</v>
      </c>
      <c r="G520" s="55" t="n">
        <v>13</v>
      </c>
      <c r="H520" s="55" t="n">
        <v>90</v>
      </c>
      <c r="I520" s="56" t="n">
        <v>3.8</v>
      </c>
      <c r="J520" s="53" t="s">
        <v>139</v>
      </c>
      <c r="K520" s="53"/>
      <c r="L520" s="57" t="str">
        <f aca="false">IF(C520="","",IFERROR(INDEX(site_ID,MATCH(C520,site_Name,0)),"Not on SITES"))</f>
        <v>LW-115</v>
      </c>
      <c r="M520" s="58" t="n">
        <f aca="false">IF(E520="","",DATE(YEAR(E520),MONTH(E520),1))</f>
        <v>46054</v>
      </c>
      <c r="N520" s="57" t="str">
        <f aca="false">IF(E520="","","FY"&amp;(YEAR(E520)+IF(AND(FYStart&gt;1,MONTH(E520)&gt;=FYStart),1,0))&amp;" Q"&amp;(INT(MOD(MONTH(E520)-FYStart,12)/3)+1))</f>
        <v>FY2026 Q3</v>
      </c>
      <c r="O520" s="59" t="n">
        <f aca="false">IF(OR(E520="",N(F520)=0),"",G520/F520)</f>
        <v>0.8125</v>
      </c>
      <c r="P520" s="60" t="n">
        <f aca="false">IF(E520="","",ROUND(N(G520)*N(H520)/60,1))</f>
        <v>19.5</v>
      </c>
      <c r="Q520" s="57" t="str">
        <f aca="false">IF(E520="","",IF(COUNTIFS($C$2:C520,C520,$E$2:E520,E520,$B$2:B520,B520)&gt;1,"No","Yes"))</f>
        <v>Yes</v>
      </c>
      <c r="R520" s="61" t="str">
        <f aca="false">IF(E520="","",IF(Q520="No","Duplicate of an earlier response",IF(L520="Not on SITES","Site not on SITES",IF(N(G520)&gt;N(F520),"Present is more than enrolled",IF(OR(I520&lt;1,I520&gt;5),"Score outside 1 to 5","")))))</f>
        <v/>
      </c>
    </row>
    <row r="521" customFormat="false" ht="15" hidden="false" customHeight="false" outlineLevel="0" collapsed="false">
      <c r="A521" s="52" t="n">
        <v>46078.7930555556</v>
      </c>
      <c r="B521" s="53" t="s">
        <v>140</v>
      </c>
      <c r="C521" s="53" t="s">
        <v>141</v>
      </c>
      <c r="D521" s="53" t="s">
        <v>116</v>
      </c>
      <c r="E521" s="54" t="n">
        <v>46078</v>
      </c>
      <c r="F521" s="55" t="n">
        <v>13</v>
      </c>
      <c r="G521" s="55" t="n">
        <v>10</v>
      </c>
      <c r="H521" s="55" t="n">
        <v>60</v>
      </c>
      <c r="I521" s="56" t="n">
        <v>3.5</v>
      </c>
      <c r="J521" s="53" t="s">
        <v>117</v>
      </c>
      <c r="K521" s="53"/>
      <c r="L521" s="57" t="str">
        <f aca="false">IF(C521="","",IFERROR(INDEX(site_ID,MATCH(C521,site_Name,0)),"Not on SITES"))</f>
        <v>LW-118</v>
      </c>
      <c r="M521" s="58" t="n">
        <f aca="false">IF(E521="","",DATE(YEAR(E521),MONTH(E521),1))</f>
        <v>46054</v>
      </c>
      <c r="N521" s="57" t="str">
        <f aca="false">IF(E521="","","FY"&amp;(YEAR(E521)+IF(AND(FYStart&gt;1,MONTH(E521)&gt;=FYStart),1,0))&amp;" Q"&amp;(INT(MOD(MONTH(E521)-FYStart,12)/3)+1))</f>
        <v>FY2026 Q3</v>
      </c>
      <c r="O521" s="59" t="n">
        <f aca="false">IF(OR(E521="",N(F521)=0),"",G521/F521)</f>
        <v>0.769230769230769</v>
      </c>
      <c r="P521" s="60" t="n">
        <f aca="false">IF(E521="","",ROUND(N(G521)*N(H521)/60,1))</f>
        <v>10</v>
      </c>
      <c r="Q521" s="57" t="str">
        <f aca="false">IF(E521="","",IF(COUNTIFS($C$2:C521,C521,$E$2:E521,E521,$B$2:B521,B521)&gt;1,"No","Yes"))</f>
        <v>Yes</v>
      </c>
      <c r="R521" s="61" t="str">
        <f aca="false">IF(E521="","",IF(Q521="No","Duplicate of an earlier response",IF(L521="Not on SITES","Site not on SITES",IF(N(G521)&gt;N(F521),"Present is more than enrolled",IF(OR(I521&lt;1,I521&gt;5),"Score outside 1 to 5","")))))</f>
        <v/>
      </c>
    </row>
    <row r="522" customFormat="false" ht="15" hidden="false" customHeight="false" outlineLevel="0" collapsed="false">
      <c r="A522" s="52" t="n">
        <v>46078.8684143519</v>
      </c>
      <c r="B522" s="53" t="s">
        <v>132</v>
      </c>
      <c r="C522" s="53" t="s">
        <v>145</v>
      </c>
      <c r="D522" s="53" t="s">
        <v>119</v>
      </c>
      <c r="E522" s="54" t="n">
        <v>46078</v>
      </c>
      <c r="F522" s="55" t="n">
        <v>19</v>
      </c>
      <c r="G522" s="55" t="n">
        <v>12</v>
      </c>
      <c r="H522" s="55" t="n">
        <v>75</v>
      </c>
      <c r="I522" s="56" t="n">
        <v>3.5</v>
      </c>
      <c r="J522" s="53" t="s">
        <v>144</v>
      </c>
      <c r="K522" s="53"/>
      <c r="L522" s="57" t="str">
        <f aca="false">IF(C522="","",IFERROR(INDEX(site_ID,MATCH(C522,site_Name,0)),"Not on SITES"))</f>
        <v>LW-101</v>
      </c>
      <c r="M522" s="58" t="n">
        <f aca="false">IF(E522="","",DATE(YEAR(E522),MONTH(E522),1))</f>
        <v>46054</v>
      </c>
      <c r="N522" s="57" t="str">
        <f aca="false">IF(E522="","","FY"&amp;(YEAR(E522)+IF(AND(FYStart&gt;1,MONTH(E522)&gt;=FYStart),1,0))&amp;" Q"&amp;(INT(MOD(MONTH(E522)-FYStart,12)/3)+1))</f>
        <v>FY2026 Q3</v>
      </c>
      <c r="O522" s="59" t="n">
        <f aca="false">IF(OR(E522="",N(F522)=0),"",G522/F522)</f>
        <v>0.631578947368421</v>
      </c>
      <c r="P522" s="60" t="n">
        <f aca="false">IF(E522="","",ROUND(N(G522)*N(H522)/60,1))</f>
        <v>15</v>
      </c>
      <c r="Q522" s="57" t="str">
        <f aca="false">IF(E522="","",IF(COUNTIFS($C$2:C522,C522,$E$2:E522,E522,$B$2:B522,B522)&gt;1,"No","Yes"))</f>
        <v>Yes</v>
      </c>
      <c r="R522" s="61" t="str">
        <f aca="false">IF(E522="","",IF(Q522="No","Duplicate of an earlier response",IF(L522="Not on SITES","Site not on SITES",IF(N(G522)&gt;N(F522),"Present is more than enrolled",IF(OR(I522&lt;1,I522&gt;5),"Score outside 1 to 5","")))))</f>
        <v/>
      </c>
    </row>
    <row r="523" customFormat="false" ht="15" hidden="false" customHeight="false" outlineLevel="0" collapsed="false">
      <c r="A523" s="52" t="n">
        <v>46079.646412037</v>
      </c>
      <c r="B523" s="53" t="s">
        <v>111</v>
      </c>
      <c r="C523" s="53" t="s">
        <v>112</v>
      </c>
      <c r="D523" s="53" t="s">
        <v>113</v>
      </c>
      <c r="E523" s="54" t="n">
        <v>46078</v>
      </c>
      <c r="F523" s="55" t="n">
        <v>15</v>
      </c>
      <c r="G523" s="55" t="n">
        <v>13</v>
      </c>
      <c r="H523" s="55" t="n">
        <v>60</v>
      </c>
      <c r="I523" s="56" t="n">
        <v>3.9</v>
      </c>
      <c r="J523" s="53" t="s">
        <v>165</v>
      </c>
      <c r="K523" s="53"/>
      <c r="L523" s="57" t="str">
        <f aca="false">IF(C523="","",IFERROR(INDEX(site_ID,MATCH(C523,site_Name,0)),"Not on SITES"))</f>
        <v>LW-120</v>
      </c>
      <c r="M523" s="58" t="n">
        <f aca="false">IF(E523="","",DATE(YEAR(E523),MONTH(E523),1))</f>
        <v>46054</v>
      </c>
      <c r="N523" s="57" t="str">
        <f aca="false">IF(E523="","","FY"&amp;(YEAR(E523)+IF(AND(FYStart&gt;1,MONTH(E523)&gt;=FYStart),1,0))&amp;" Q"&amp;(INT(MOD(MONTH(E523)-FYStart,12)/3)+1))</f>
        <v>FY2026 Q3</v>
      </c>
      <c r="O523" s="59" t="n">
        <f aca="false">IF(OR(E523="",N(F523)=0),"",G523/F523)</f>
        <v>0.866666666666667</v>
      </c>
      <c r="P523" s="60" t="n">
        <f aca="false">IF(E523="","",ROUND(N(G523)*N(H523)/60,1))</f>
        <v>13</v>
      </c>
      <c r="Q523" s="57" t="str">
        <f aca="false">IF(E523="","",IF(COUNTIFS($C$2:C523,C523,$E$2:E523,E523,$B$2:B523,B523)&gt;1,"No","Yes"))</f>
        <v>Yes</v>
      </c>
      <c r="R523" s="61" t="str">
        <f aca="false">IF(E523="","",IF(Q523="No","Duplicate of an earlier response",IF(L523="Not on SITES","Site not on SITES",IF(N(G523)&gt;N(F523),"Present is more than enrolled",IF(OR(I523&lt;1,I523&gt;5),"Score outside 1 to 5","")))))</f>
        <v/>
      </c>
    </row>
    <row r="524" customFormat="false" ht="15" hidden="false" customHeight="false" outlineLevel="0" collapsed="false">
      <c r="A524" s="52" t="n">
        <v>46079.6843287037</v>
      </c>
      <c r="B524" s="53" t="s">
        <v>111</v>
      </c>
      <c r="C524" s="53" t="s">
        <v>148</v>
      </c>
      <c r="D524" s="53" t="s">
        <v>116</v>
      </c>
      <c r="E524" s="54" t="n">
        <v>46079</v>
      </c>
      <c r="F524" s="55" t="n">
        <v>16</v>
      </c>
      <c r="G524" s="55" t="n">
        <v>10</v>
      </c>
      <c r="H524" s="55" t="n">
        <v>60</v>
      </c>
      <c r="I524" s="56" t="n">
        <v>3.6</v>
      </c>
      <c r="J524" s="53" t="s">
        <v>153</v>
      </c>
      <c r="K524" s="53"/>
      <c r="L524" s="57" t="str">
        <f aca="false">IF(C524="","",IFERROR(INDEX(site_ID,MATCH(C524,site_Name,0)),"Not on SITES"))</f>
        <v>LW-104</v>
      </c>
      <c r="M524" s="58" t="n">
        <f aca="false">IF(E524="","",DATE(YEAR(E524),MONTH(E524),1))</f>
        <v>46054</v>
      </c>
      <c r="N524" s="57" t="str">
        <f aca="false">IF(E524="","","FY"&amp;(YEAR(E524)+IF(AND(FYStart&gt;1,MONTH(E524)&gt;=FYStart),1,0))&amp;" Q"&amp;(INT(MOD(MONTH(E524)-FYStart,12)/3)+1))</f>
        <v>FY2026 Q3</v>
      </c>
      <c r="O524" s="59" t="n">
        <f aca="false">IF(OR(E524="",N(F524)=0),"",G524/F524)</f>
        <v>0.625</v>
      </c>
      <c r="P524" s="60" t="n">
        <f aca="false">IF(E524="","",ROUND(N(G524)*N(H524)/60,1))</f>
        <v>10</v>
      </c>
      <c r="Q524" s="57" t="str">
        <f aca="false">IF(E524="","",IF(COUNTIFS($C$2:C524,C524,$E$2:E524,E524,$B$2:B524,B524)&gt;1,"No","Yes"))</f>
        <v>Yes</v>
      </c>
      <c r="R524" s="61" t="str">
        <f aca="false">IF(E524="","",IF(Q524="No","Duplicate of an earlier response",IF(L524="Not on SITES","Site not on SITES",IF(N(G524)&gt;N(F524),"Present is more than enrolled",IF(OR(I524&lt;1,I524&gt;5),"Score outside 1 to 5","")))))</f>
        <v/>
      </c>
    </row>
    <row r="525" customFormat="false" ht="15" hidden="false" customHeight="false" outlineLevel="0" collapsed="false">
      <c r="A525" s="52" t="n">
        <v>46079.6905902778</v>
      </c>
      <c r="B525" s="53" t="s">
        <v>121</v>
      </c>
      <c r="C525" s="53" t="s">
        <v>122</v>
      </c>
      <c r="D525" s="53" t="s">
        <v>116</v>
      </c>
      <c r="E525" s="54" t="n">
        <v>46079</v>
      </c>
      <c r="F525" s="55" t="n">
        <v>16</v>
      </c>
      <c r="G525" s="55" t="n">
        <v>11</v>
      </c>
      <c r="H525" s="55" t="n">
        <v>90</v>
      </c>
      <c r="I525" s="56" t="n">
        <v>3.5</v>
      </c>
      <c r="J525" s="53" t="s">
        <v>117</v>
      </c>
      <c r="K525" s="53"/>
      <c r="L525" s="57" t="str">
        <f aca="false">IF(C525="","",IFERROR(INDEX(site_ID,MATCH(C525,site_Name,0)),"Not on SITES"))</f>
        <v>LW-116</v>
      </c>
      <c r="M525" s="58" t="n">
        <f aca="false">IF(E525="","",DATE(YEAR(E525),MONTH(E525),1))</f>
        <v>46054</v>
      </c>
      <c r="N525" s="57" t="str">
        <f aca="false">IF(E525="","","FY"&amp;(YEAR(E525)+IF(AND(FYStart&gt;1,MONTH(E525)&gt;=FYStart),1,0))&amp;" Q"&amp;(INT(MOD(MONTH(E525)-FYStart,12)/3)+1))</f>
        <v>FY2026 Q3</v>
      </c>
      <c r="O525" s="59" t="n">
        <f aca="false">IF(OR(E525="",N(F525)=0),"",G525/F525)</f>
        <v>0.6875</v>
      </c>
      <c r="P525" s="60" t="n">
        <f aca="false">IF(E525="","",ROUND(N(G525)*N(H525)/60,1))</f>
        <v>16.5</v>
      </c>
      <c r="Q525" s="57" t="str">
        <f aca="false">IF(E525="","",IF(COUNTIFS($C$2:C525,C525,$E$2:E525,E525,$B$2:B525,B525)&gt;1,"No","Yes"))</f>
        <v>Yes</v>
      </c>
      <c r="R525" s="61" t="str">
        <f aca="false">IF(E525="","",IF(Q525="No","Duplicate of an earlier response",IF(L525="Not on SITES","Site not on SITES",IF(N(G525)&gt;N(F525),"Present is more than enrolled",IF(OR(I525&lt;1,I525&gt;5),"Score outside 1 to 5","")))))</f>
        <v/>
      </c>
    </row>
    <row r="526" customFormat="false" ht="15" hidden="false" customHeight="false" outlineLevel="0" collapsed="false">
      <c r="A526" s="52" t="n">
        <v>46079.6913541667</v>
      </c>
      <c r="B526" s="53" t="s">
        <v>124</v>
      </c>
      <c r="C526" s="53" t="s">
        <v>154</v>
      </c>
      <c r="D526" s="53" t="s">
        <v>116</v>
      </c>
      <c r="E526" s="54" t="n">
        <v>46079</v>
      </c>
      <c r="F526" s="55" t="n">
        <v>18</v>
      </c>
      <c r="G526" s="55" t="n">
        <v>16</v>
      </c>
      <c r="H526" s="55" t="n">
        <v>90</v>
      </c>
      <c r="I526" s="56" t="n">
        <v>4.2</v>
      </c>
      <c r="J526" s="53" t="s">
        <v>123</v>
      </c>
      <c r="K526" s="53"/>
      <c r="L526" s="57" t="str">
        <f aca="false">IF(C526="","",IFERROR(INDEX(site_ID,MATCH(C526,site_Name,0)),"Not on SITES"))</f>
        <v>LW-114</v>
      </c>
      <c r="M526" s="58" t="n">
        <f aca="false">IF(E526="","",DATE(YEAR(E526),MONTH(E526),1))</f>
        <v>46054</v>
      </c>
      <c r="N526" s="57" t="str">
        <f aca="false">IF(E526="","","FY"&amp;(YEAR(E526)+IF(AND(FYStart&gt;1,MONTH(E526)&gt;=FYStart),1,0))&amp;" Q"&amp;(INT(MOD(MONTH(E526)-FYStart,12)/3)+1))</f>
        <v>FY2026 Q3</v>
      </c>
      <c r="O526" s="59" t="n">
        <f aca="false">IF(OR(E526="",N(F526)=0),"",G526/F526)</f>
        <v>0.888888888888889</v>
      </c>
      <c r="P526" s="60" t="n">
        <f aca="false">IF(E526="","",ROUND(N(G526)*N(H526)/60,1))</f>
        <v>24</v>
      </c>
      <c r="Q526" s="57" t="str">
        <f aca="false">IF(E526="","",IF(COUNTIFS($C$2:C526,C526,$E$2:E526,E526,$B$2:B526,B526)&gt;1,"No","Yes"))</f>
        <v>Yes</v>
      </c>
      <c r="R526" s="61" t="str">
        <f aca="false">IF(E526="","",IF(Q526="No","Duplicate of an earlier response",IF(L526="Not on SITES","Site not on SITES",IF(N(G526)&gt;N(F526),"Present is more than enrolled",IF(OR(I526&lt;1,I526&gt;5),"Score outside 1 to 5","")))))</f>
        <v/>
      </c>
    </row>
    <row r="527" customFormat="false" ht="15" hidden="false" customHeight="false" outlineLevel="0" collapsed="false">
      <c r="A527" s="52" t="n">
        <v>46079.7455092593</v>
      </c>
      <c r="B527" s="53" t="s">
        <v>132</v>
      </c>
      <c r="C527" s="53" t="s">
        <v>150</v>
      </c>
      <c r="D527" s="53" t="s">
        <v>138</v>
      </c>
      <c r="E527" s="54" t="n">
        <v>46079</v>
      </c>
      <c r="F527" s="55" t="n">
        <v>21</v>
      </c>
      <c r="G527" s="55" t="n">
        <v>16</v>
      </c>
      <c r="H527" s="55" t="n">
        <v>90</v>
      </c>
      <c r="I527" s="56" t="n">
        <v>4</v>
      </c>
      <c r="J527" s="53" t="s">
        <v>147</v>
      </c>
      <c r="K527" s="53"/>
      <c r="L527" s="57" t="str">
        <f aca="false">IF(C527="","",IFERROR(INDEX(site_ID,MATCH(C527,site_Name,0)),"Not on SITES"))</f>
        <v>LW-117</v>
      </c>
      <c r="M527" s="58" t="n">
        <f aca="false">IF(E527="","",DATE(YEAR(E527),MONTH(E527),1))</f>
        <v>46054</v>
      </c>
      <c r="N527" s="57" t="str">
        <f aca="false">IF(E527="","","FY"&amp;(YEAR(E527)+IF(AND(FYStart&gt;1,MONTH(E527)&gt;=FYStart),1,0))&amp;" Q"&amp;(INT(MOD(MONTH(E527)-FYStart,12)/3)+1))</f>
        <v>FY2026 Q3</v>
      </c>
      <c r="O527" s="59" t="n">
        <f aca="false">IF(OR(E527="",N(F527)=0),"",G527/F527)</f>
        <v>0.761904761904762</v>
      </c>
      <c r="P527" s="60" t="n">
        <f aca="false">IF(E527="","",ROUND(N(G527)*N(H527)/60,1))</f>
        <v>24</v>
      </c>
      <c r="Q527" s="57" t="str">
        <f aca="false">IF(E527="","",IF(COUNTIFS($C$2:C527,C527,$E$2:E527,E527,$B$2:B527,B527)&gt;1,"No","Yes"))</f>
        <v>Yes</v>
      </c>
      <c r="R527" s="61" t="str">
        <f aca="false">IF(E527="","",IF(Q527="No","Duplicate of an earlier response",IF(L527="Not on SITES","Site not on SITES",IF(N(G527)&gt;N(F527),"Present is more than enrolled",IF(OR(I527&lt;1,I527&gt;5),"Score outside 1 to 5","")))))</f>
        <v/>
      </c>
    </row>
    <row r="528" customFormat="false" ht="15" hidden="false" customHeight="false" outlineLevel="0" collapsed="false">
      <c r="A528" s="52" t="n">
        <v>46079.7629282407</v>
      </c>
      <c r="B528" s="53" t="s">
        <v>109</v>
      </c>
      <c r="C528" s="53" t="s">
        <v>146</v>
      </c>
      <c r="D528" s="53" t="s">
        <v>138</v>
      </c>
      <c r="E528" s="54" t="n">
        <v>46079</v>
      </c>
      <c r="F528" s="55" t="n">
        <v>14</v>
      </c>
      <c r="G528" s="55" t="n">
        <v>11</v>
      </c>
      <c r="H528" s="55" t="n">
        <v>90</v>
      </c>
      <c r="I528" s="56" t="n">
        <v>3.5</v>
      </c>
      <c r="J528" s="53" t="s">
        <v>147</v>
      </c>
      <c r="K528" s="53"/>
      <c r="L528" s="57" t="str">
        <f aca="false">IF(C528="","",IFERROR(INDEX(site_ID,MATCH(C528,site_Name,0)),"Not on SITES"))</f>
        <v>LW-105</v>
      </c>
      <c r="M528" s="58" t="n">
        <f aca="false">IF(E528="","",DATE(YEAR(E528),MONTH(E528),1))</f>
        <v>46054</v>
      </c>
      <c r="N528" s="57" t="str">
        <f aca="false">IF(E528="","","FY"&amp;(YEAR(E528)+IF(AND(FYStart&gt;1,MONTH(E528)&gt;=FYStart),1,0))&amp;" Q"&amp;(INT(MOD(MONTH(E528)-FYStart,12)/3)+1))</f>
        <v>FY2026 Q3</v>
      </c>
      <c r="O528" s="59" t="n">
        <f aca="false">IF(OR(E528="",N(F528)=0),"",G528/F528)</f>
        <v>0.785714285714286</v>
      </c>
      <c r="P528" s="60" t="n">
        <f aca="false">IF(E528="","",ROUND(N(G528)*N(H528)/60,1))</f>
        <v>16.5</v>
      </c>
      <c r="Q528" s="57" t="str">
        <f aca="false">IF(E528="","",IF(COUNTIFS($C$2:C528,C528,$E$2:E528,E528,$B$2:B528,B528)&gt;1,"No","Yes"))</f>
        <v>Yes</v>
      </c>
      <c r="R528" s="61" t="str">
        <f aca="false">IF(E528="","",IF(Q528="No","Duplicate of an earlier response",IF(L528="Not on SITES","Site not on SITES",IF(N(G528)&gt;N(F528),"Present is more than enrolled",IF(OR(I528&lt;1,I528&gt;5),"Score outside 1 to 5","")))))</f>
        <v/>
      </c>
    </row>
    <row r="529" customFormat="false" ht="15" hidden="false" customHeight="false" outlineLevel="0" collapsed="false">
      <c r="A529" s="52" t="n">
        <v>46079.7656365741</v>
      </c>
      <c r="B529" s="53" t="s">
        <v>111</v>
      </c>
      <c r="C529" s="53" t="s">
        <v>149</v>
      </c>
      <c r="D529" s="53" t="s">
        <v>113</v>
      </c>
      <c r="E529" s="54" t="n">
        <v>46079</v>
      </c>
      <c r="F529" s="55" t="n">
        <v>21</v>
      </c>
      <c r="G529" s="55" t="n">
        <v>16</v>
      </c>
      <c r="H529" s="55" t="n">
        <v>60</v>
      </c>
      <c r="I529" s="56" t="n">
        <v>3.5</v>
      </c>
      <c r="J529" s="53" t="s">
        <v>136</v>
      </c>
      <c r="K529" s="53"/>
      <c r="L529" s="57" t="str">
        <f aca="false">IF(C529="","",IFERROR(INDEX(site_ID,MATCH(C529,site_Name,0)),"Not on SITES"))</f>
        <v>LW-112</v>
      </c>
      <c r="M529" s="58" t="n">
        <f aca="false">IF(E529="","",DATE(YEAR(E529),MONTH(E529),1))</f>
        <v>46054</v>
      </c>
      <c r="N529" s="57" t="str">
        <f aca="false">IF(E529="","","FY"&amp;(YEAR(E529)+IF(AND(FYStart&gt;1,MONTH(E529)&gt;=FYStart),1,0))&amp;" Q"&amp;(INT(MOD(MONTH(E529)-FYStart,12)/3)+1))</f>
        <v>FY2026 Q3</v>
      </c>
      <c r="O529" s="59" t="n">
        <f aca="false">IF(OR(E529="",N(F529)=0),"",G529/F529)</f>
        <v>0.761904761904762</v>
      </c>
      <c r="P529" s="60" t="n">
        <f aca="false">IF(E529="","",ROUND(N(G529)*N(H529)/60,1))</f>
        <v>16</v>
      </c>
      <c r="Q529" s="57" t="str">
        <f aca="false">IF(E529="","",IF(COUNTIFS($C$2:C529,C529,$E$2:E529,E529,$B$2:B529,B529)&gt;1,"No","Yes"))</f>
        <v>Yes</v>
      </c>
      <c r="R529" s="61" t="str">
        <f aca="false">IF(E529="","",IF(Q529="No","Duplicate of an earlier response",IF(L529="Not on SITES","Site not on SITES",IF(N(G529)&gt;N(F529),"Present is more than enrolled",IF(OR(I529&lt;1,I529&gt;5),"Score outside 1 to 5","")))))</f>
        <v/>
      </c>
    </row>
    <row r="530" customFormat="false" ht="15" hidden="false" customHeight="false" outlineLevel="0" collapsed="false">
      <c r="A530" s="52" t="n">
        <v>46079.8187615741</v>
      </c>
      <c r="B530" s="53" t="s">
        <v>140</v>
      </c>
      <c r="C530" s="53" t="s">
        <v>151</v>
      </c>
      <c r="D530" s="53" t="s">
        <v>138</v>
      </c>
      <c r="E530" s="54" t="n">
        <v>46079</v>
      </c>
      <c r="F530" s="55" t="n">
        <v>13</v>
      </c>
      <c r="G530" s="55" t="n">
        <v>9</v>
      </c>
      <c r="H530" s="55" t="n">
        <v>90</v>
      </c>
      <c r="I530" s="56" t="n">
        <v>3.8</v>
      </c>
      <c r="J530" s="53" t="s">
        <v>163</v>
      </c>
      <c r="K530" s="53"/>
      <c r="L530" s="57" t="str">
        <f aca="false">IF(C530="","",IFERROR(INDEX(site_ID,MATCH(C530,site_Name,0)),"Not on SITES"))</f>
        <v>LW-110</v>
      </c>
      <c r="M530" s="58" t="n">
        <f aca="false">IF(E530="","",DATE(YEAR(E530),MONTH(E530),1))</f>
        <v>46054</v>
      </c>
      <c r="N530" s="57" t="str">
        <f aca="false">IF(E530="","","FY"&amp;(YEAR(E530)+IF(AND(FYStart&gt;1,MONTH(E530)&gt;=FYStart),1,0))&amp;" Q"&amp;(INT(MOD(MONTH(E530)-FYStart,12)/3)+1))</f>
        <v>FY2026 Q3</v>
      </c>
      <c r="O530" s="59" t="n">
        <f aca="false">IF(OR(E530="",N(F530)=0),"",G530/F530)</f>
        <v>0.692307692307692</v>
      </c>
      <c r="P530" s="60" t="n">
        <f aca="false">IF(E530="","",ROUND(N(G530)*N(H530)/60,1))</f>
        <v>13.5</v>
      </c>
      <c r="Q530" s="57" t="str">
        <f aca="false">IF(E530="","",IF(COUNTIFS($C$2:C530,C530,$E$2:E530,E530,$B$2:B530,B530)&gt;1,"No","Yes"))</f>
        <v>Yes</v>
      </c>
      <c r="R530" s="61" t="str">
        <f aca="false">IF(E530="","",IF(Q530="No","Duplicate of an earlier response",IF(L530="Not on SITES","Site not on SITES",IF(N(G530)&gt;N(F530),"Present is more than enrolled",IF(OR(I530&lt;1,I530&gt;5),"Score outside 1 to 5","")))))</f>
        <v/>
      </c>
    </row>
    <row r="531" customFormat="false" ht="15" hidden="false" customHeight="false" outlineLevel="0" collapsed="false">
      <c r="A531" s="52" t="n">
        <v>46080.6376273148</v>
      </c>
      <c r="B531" s="53" t="s">
        <v>129</v>
      </c>
      <c r="C531" s="53" t="s">
        <v>137</v>
      </c>
      <c r="D531" s="53" t="s">
        <v>138</v>
      </c>
      <c r="E531" s="54" t="n">
        <v>46080</v>
      </c>
      <c r="F531" s="55" t="n">
        <v>16</v>
      </c>
      <c r="G531" s="55" t="n">
        <v>12</v>
      </c>
      <c r="H531" s="55" t="n">
        <v>90</v>
      </c>
      <c r="I531" s="56" t="n">
        <v>3.5</v>
      </c>
      <c r="J531" s="53" t="s">
        <v>152</v>
      </c>
      <c r="K531" s="53"/>
      <c r="L531" s="57" t="str">
        <f aca="false">IF(C531="","",IFERROR(INDEX(site_ID,MATCH(C531,site_Name,0)),"Not on SITES"))</f>
        <v>LW-115</v>
      </c>
      <c r="M531" s="58" t="n">
        <f aca="false">IF(E531="","",DATE(YEAR(E531),MONTH(E531),1))</f>
        <v>46054</v>
      </c>
      <c r="N531" s="57" t="str">
        <f aca="false">IF(E531="","","FY"&amp;(YEAR(E531)+IF(AND(FYStart&gt;1,MONTH(E531)&gt;=FYStart),1,0))&amp;" Q"&amp;(INT(MOD(MONTH(E531)-FYStart,12)/3)+1))</f>
        <v>FY2026 Q3</v>
      </c>
      <c r="O531" s="59" t="n">
        <f aca="false">IF(OR(E531="",N(F531)=0),"",G531/F531)</f>
        <v>0.75</v>
      </c>
      <c r="P531" s="60" t="n">
        <f aca="false">IF(E531="","",ROUND(N(G531)*N(H531)/60,1))</f>
        <v>18</v>
      </c>
      <c r="Q531" s="57" t="str">
        <f aca="false">IF(E531="","",IF(COUNTIFS($C$2:C531,C531,$E$2:E531,E531,$B$2:B531,B531)&gt;1,"No","Yes"))</f>
        <v>Yes</v>
      </c>
      <c r="R531" s="61" t="str">
        <f aca="false">IF(E531="","",IF(Q531="No","Duplicate of an earlier response",IF(L531="Not on SITES","Site not on SITES",IF(N(G531)&gt;N(F531),"Present is more than enrolled",IF(OR(I531&lt;1,I531&gt;5),"Score outside 1 to 5","")))))</f>
        <v/>
      </c>
    </row>
    <row r="532" customFormat="false" ht="15" hidden="false" customHeight="false" outlineLevel="0" collapsed="false">
      <c r="A532" s="52" t="n">
        <v>46080.729212963</v>
      </c>
      <c r="B532" s="53" t="s">
        <v>140</v>
      </c>
      <c r="C532" s="53" t="s">
        <v>141</v>
      </c>
      <c r="D532" s="53" t="s">
        <v>116</v>
      </c>
      <c r="E532" s="54" t="n">
        <v>46080</v>
      </c>
      <c r="F532" s="55" t="n">
        <v>13</v>
      </c>
      <c r="G532" s="55" t="n">
        <v>9</v>
      </c>
      <c r="H532" s="55" t="n">
        <v>90</v>
      </c>
      <c r="I532" s="56" t="n">
        <v>4.1</v>
      </c>
      <c r="J532" s="53" t="s">
        <v>160</v>
      </c>
      <c r="K532" s="53"/>
      <c r="L532" s="57" t="str">
        <f aca="false">IF(C532="","",IFERROR(INDEX(site_ID,MATCH(C532,site_Name,0)),"Not on SITES"))</f>
        <v>LW-118</v>
      </c>
      <c r="M532" s="58" t="n">
        <f aca="false">IF(E532="","",DATE(YEAR(E532),MONTH(E532),1))</f>
        <v>46054</v>
      </c>
      <c r="N532" s="57" t="str">
        <f aca="false">IF(E532="","","FY"&amp;(YEAR(E532)+IF(AND(FYStart&gt;1,MONTH(E532)&gt;=FYStart),1,0))&amp;" Q"&amp;(INT(MOD(MONTH(E532)-FYStart,12)/3)+1))</f>
        <v>FY2026 Q3</v>
      </c>
      <c r="O532" s="59" t="n">
        <f aca="false">IF(OR(E532="",N(F532)=0),"",G532/F532)</f>
        <v>0.692307692307692</v>
      </c>
      <c r="P532" s="60" t="n">
        <f aca="false">IF(E532="","",ROUND(N(G532)*N(H532)/60,1))</f>
        <v>13.5</v>
      </c>
      <c r="Q532" s="57" t="str">
        <f aca="false">IF(E532="","",IF(COUNTIFS($C$2:C532,C532,$E$2:E532,E532,$B$2:B532,B532)&gt;1,"No","Yes"))</f>
        <v>Yes</v>
      </c>
      <c r="R532" s="61" t="str">
        <f aca="false">IF(E532="","",IF(Q532="No","Duplicate of an earlier response",IF(L532="Not on SITES","Site not on SITES",IF(N(G532)&gt;N(F532),"Present is more than enrolled",IF(OR(I532&lt;1,I532&gt;5),"Score outside 1 to 5","")))))</f>
        <v/>
      </c>
    </row>
    <row r="533" customFormat="false" ht="15" hidden="false" customHeight="false" outlineLevel="0" collapsed="false">
      <c r="A533" s="52" t="n">
        <v>46083.6974537037</v>
      </c>
      <c r="B533" s="53" t="s">
        <v>105</v>
      </c>
      <c r="C533" s="53" t="s">
        <v>118</v>
      </c>
      <c r="D533" s="53" t="s">
        <v>119</v>
      </c>
      <c r="E533" s="54" t="n">
        <v>46083</v>
      </c>
      <c r="F533" s="55" t="n">
        <v>22</v>
      </c>
      <c r="G533" s="55" t="n">
        <v>20</v>
      </c>
      <c r="H533" s="55" t="n">
        <v>60</v>
      </c>
      <c r="I533" s="56" t="n">
        <v>3.9</v>
      </c>
      <c r="J533" s="53" t="s">
        <v>126</v>
      </c>
      <c r="K533" s="53"/>
      <c r="L533" s="57" t="str">
        <f aca="false">IF(C533="","",IFERROR(INDEX(site_ID,MATCH(C533,site_Name,0)),"Not on SITES"))</f>
        <v>LW-111</v>
      </c>
      <c r="M533" s="58" t="n">
        <f aca="false">IF(E533="","",DATE(YEAR(E533),MONTH(E533),1))</f>
        <v>46082</v>
      </c>
      <c r="N533" s="57" t="str">
        <f aca="false">IF(E533="","","FY"&amp;(YEAR(E533)+IF(AND(FYStart&gt;1,MONTH(E533)&gt;=FYStart),1,0))&amp;" Q"&amp;(INT(MOD(MONTH(E533)-FYStart,12)/3)+1))</f>
        <v>FY2026 Q3</v>
      </c>
      <c r="O533" s="59" t="n">
        <f aca="false">IF(OR(E533="",N(F533)=0),"",G533/F533)</f>
        <v>0.909090909090909</v>
      </c>
      <c r="P533" s="60" t="n">
        <f aca="false">IF(E533="","",ROUND(N(G533)*N(H533)/60,1))</f>
        <v>20</v>
      </c>
      <c r="Q533" s="57" t="str">
        <f aca="false">IF(E533="","",IF(COUNTIFS($C$2:C533,C533,$E$2:E533,E533,$B$2:B533,B533)&gt;1,"No","Yes"))</f>
        <v>Yes</v>
      </c>
      <c r="R533" s="61" t="str">
        <f aca="false">IF(E533="","",IF(Q533="No","Duplicate of an earlier response",IF(L533="Not on SITES","Site not on SITES",IF(N(G533)&gt;N(F533),"Present is more than enrolled",IF(OR(I533&lt;1,I533&gt;5),"Score outside 1 to 5","")))))</f>
        <v/>
      </c>
    </row>
    <row r="534" customFormat="false" ht="15" hidden="false" customHeight="false" outlineLevel="0" collapsed="false">
      <c r="A534" s="52" t="n">
        <v>46083.7388078704</v>
      </c>
      <c r="B534" s="53" t="s">
        <v>105</v>
      </c>
      <c r="C534" s="53" t="s">
        <v>115</v>
      </c>
      <c r="D534" s="53" t="s">
        <v>116</v>
      </c>
      <c r="E534" s="54" t="n">
        <v>46083</v>
      </c>
      <c r="F534" s="55" t="n">
        <v>16</v>
      </c>
      <c r="G534" s="55" t="n">
        <v>12</v>
      </c>
      <c r="H534" s="55" t="n">
        <v>60</v>
      </c>
      <c r="I534" s="56" t="n">
        <v>3.5</v>
      </c>
      <c r="J534" s="53" t="s">
        <v>134</v>
      </c>
      <c r="K534" s="53"/>
      <c r="L534" s="57" t="str">
        <f aca="false">IF(C534="","",IFERROR(INDEX(site_ID,MATCH(C534,site_Name,0)),"Not on SITES"))</f>
        <v>LW-119</v>
      </c>
      <c r="M534" s="58" t="n">
        <f aca="false">IF(E534="","",DATE(YEAR(E534),MONTH(E534),1))</f>
        <v>46082</v>
      </c>
      <c r="N534" s="57" t="str">
        <f aca="false">IF(E534="","","FY"&amp;(YEAR(E534)+IF(AND(FYStart&gt;1,MONTH(E534)&gt;=FYStart),1,0))&amp;" Q"&amp;(INT(MOD(MONTH(E534)-FYStart,12)/3)+1))</f>
        <v>FY2026 Q3</v>
      </c>
      <c r="O534" s="59" t="n">
        <f aca="false">IF(OR(E534="",N(F534)=0),"",G534/F534)</f>
        <v>0.75</v>
      </c>
      <c r="P534" s="60" t="n">
        <f aca="false">IF(E534="","",ROUND(N(G534)*N(H534)/60,1))</f>
        <v>12</v>
      </c>
      <c r="Q534" s="57" t="str">
        <f aca="false">IF(E534="","",IF(COUNTIFS($C$2:C534,C534,$E$2:E534,E534,$B$2:B534,B534)&gt;1,"No","Yes"))</f>
        <v>Yes</v>
      </c>
      <c r="R534" s="61" t="str">
        <f aca="false">IF(E534="","",IF(Q534="No","Duplicate of an earlier response",IF(L534="Not on SITES","Site not on SITES",IF(N(G534)&gt;N(F534),"Present is more than enrolled",IF(OR(I534&lt;1,I534&gt;5),"Score outside 1 to 5","")))))</f>
        <v/>
      </c>
    </row>
    <row r="535" customFormat="false" ht="15" hidden="false" customHeight="false" outlineLevel="0" collapsed="false">
      <c r="A535" s="52" t="n">
        <v>46083.7434027778</v>
      </c>
      <c r="B535" s="53" t="s">
        <v>111</v>
      </c>
      <c r="C535" s="53" t="s">
        <v>112</v>
      </c>
      <c r="D535" s="53" t="s">
        <v>113</v>
      </c>
      <c r="E535" s="54" t="n">
        <v>46083</v>
      </c>
      <c r="F535" s="55" t="n">
        <v>15</v>
      </c>
      <c r="G535" s="55" t="n">
        <v>11</v>
      </c>
      <c r="H535" s="55" t="n">
        <v>60</v>
      </c>
      <c r="I535" s="56" t="n">
        <v>3.7</v>
      </c>
      <c r="J535" s="53" t="s">
        <v>165</v>
      </c>
      <c r="K535" s="53"/>
      <c r="L535" s="57" t="str">
        <f aca="false">IF(C535="","",IFERROR(INDEX(site_ID,MATCH(C535,site_Name,0)),"Not on SITES"))</f>
        <v>LW-120</v>
      </c>
      <c r="M535" s="58" t="n">
        <f aca="false">IF(E535="","",DATE(YEAR(E535),MONTH(E535),1))</f>
        <v>46082</v>
      </c>
      <c r="N535" s="57" t="str">
        <f aca="false">IF(E535="","","FY"&amp;(YEAR(E535)+IF(AND(FYStart&gt;1,MONTH(E535)&gt;=FYStart),1,0))&amp;" Q"&amp;(INT(MOD(MONTH(E535)-FYStart,12)/3)+1))</f>
        <v>FY2026 Q3</v>
      </c>
      <c r="O535" s="59" t="n">
        <f aca="false">IF(OR(E535="",N(F535)=0),"",G535/F535)</f>
        <v>0.733333333333333</v>
      </c>
      <c r="P535" s="60" t="n">
        <f aca="false">IF(E535="","",ROUND(N(G535)*N(H535)/60,1))</f>
        <v>11</v>
      </c>
      <c r="Q535" s="57" t="str">
        <f aca="false">IF(E535="","",IF(COUNTIFS($C$2:C535,C535,$E$2:E535,E535,$B$2:B535,B535)&gt;1,"No","Yes"))</f>
        <v>Yes</v>
      </c>
      <c r="R535" s="61" t="str">
        <f aca="false">IF(E535="","",IF(Q535="No","Duplicate of an earlier response",IF(L535="Not on SITES","Site not on SITES",IF(N(G535)&gt;N(F535),"Present is more than enrolled",IF(OR(I535&lt;1,I535&gt;5),"Score outside 1 to 5","")))))</f>
        <v/>
      </c>
    </row>
    <row r="536" customFormat="false" ht="15" hidden="false" customHeight="false" outlineLevel="0" collapsed="false">
      <c r="A536" s="52" t="n">
        <v>46083.7940856482</v>
      </c>
      <c r="B536" s="53" t="s">
        <v>109</v>
      </c>
      <c r="C536" s="53" t="s">
        <v>110</v>
      </c>
      <c r="D536" s="53" t="s">
        <v>107</v>
      </c>
      <c r="E536" s="54" t="n">
        <v>46083</v>
      </c>
      <c r="F536" s="55" t="n">
        <v>21</v>
      </c>
      <c r="G536" s="55" t="n">
        <v>17</v>
      </c>
      <c r="H536" s="55" t="n">
        <v>60</v>
      </c>
      <c r="I536" s="56" t="n">
        <v>4.3</v>
      </c>
      <c r="J536" s="53" t="s">
        <v>166</v>
      </c>
      <c r="K536" s="53"/>
      <c r="L536" s="57" t="str">
        <f aca="false">IF(C536="","",IFERROR(INDEX(site_ID,MATCH(C536,site_Name,0)),"Not on SITES"))</f>
        <v>LW-113</v>
      </c>
      <c r="M536" s="58" t="n">
        <f aca="false">IF(E536="","",DATE(YEAR(E536),MONTH(E536),1))</f>
        <v>46082</v>
      </c>
      <c r="N536" s="57" t="str">
        <f aca="false">IF(E536="","","FY"&amp;(YEAR(E536)+IF(AND(FYStart&gt;1,MONTH(E536)&gt;=FYStart),1,0))&amp;" Q"&amp;(INT(MOD(MONTH(E536)-FYStart,12)/3)+1))</f>
        <v>FY2026 Q3</v>
      </c>
      <c r="O536" s="59" t="n">
        <f aca="false">IF(OR(E536="",N(F536)=0),"",G536/F536)</f>
        <v>0.80952380952381</v>
      </c>
      <c r="P536" s="60" t="n">
        <f aca="false">IF(E536="","",ROUND(N(G536)*N(H536)/60,1))</f>
        <v>17</v>
      </c>
      <c r="Q536" s="57" t="str">
        <f aca="false">IF(E536="","",IF(COUNTIFS($C$2:C536,C536,$E$2:E536,E536,$B$2:B536,B536)&gt;1,"No","Yes"))</f>
        <v>Yes</v>
      </c>
      <c r="R536" s="61" t="str">
        <f aca="false">IF(E536="","",IF(Q536="No","Duplicate of an earlier response",IF(L536="Not on SITES","Site not on SITES",IF(N(G536)&gt;N(F536),"Present is more than enrolled",IF(OR(I536&lt;1,I536&gt;5),"Score outside 1 to 5","")))))</f>
        <v/>
      </c>
    </row>
    <row r="537" customFormat="false" ht="15" hidden="false" customHeight="false" outlineLevel="0" collapsed="false">
      <c r="A537" s="52" t="n">
        <v>46083.8572106482</v>
      </c>
      <c r="B537" s="53" t="s">
        <v>129</v>
      </c>
      <c r="C537" s="53" t="s">
        <v>106</v>
      </c>
      <c r="D537" s="53" t="s">
        <v>107</v>
      </c>
      <c r="E537" s="54" t="n">
        <v>46083</v>
      </c>
      <c r="F537" s="55" t="n">
        <v>16</v>
      </c>
      <c r="G537" s="55" t="n">
        <v>12</v>
      </c>
      <c r="H537" s="55" t="n">
        <v>60</v>
      </c>
      <c r="I537" s="56" t="n">
        <v>3.7</v>
      </c>
      <c r="J537" s="53" t="s">
        <v>166</v>
      </c>
      <c r="K537" s="53"/>
      <c r="L537" s="57" t="str">
        <f aca="false">IF(C537="","",IFERROR(INDEX(site_ID,MATCH(C537,site_Name,0)),"Not on SITES"))</f>
        <v>LW-103</v>
      </c>
      <c r="M537" s="58" t="n">
        <f aca="false">IF(E537="","",DATE(YEAR(E537),MONTH(E537),1))</f>
        <v>46082</v>
      </c>
      <c r="N537" s="57" t="str">
        <f aca="false">IF(E537="","","FY"&amp;(YEAR(E537)+IF(AND(FYStart&gt;1,MONTH(E537)&gt;=FYStart),1,0))&amp;" Q"&amp;(INT(MOD(MONTH(E537)-FYStart,12)/3)+1))</f>
        <v>FY2026 Q3</v>
      </c>
      <c r="O537" s="59" t="n">
        <f aca="false">IF(OR(E537="",N(F537)=0),"",G537/F537)</f>
        <v>0.75</v>
      </c>
      <c r="P537" s="60" t="n">
        <f aca="false">IF(E537="","",ROUND(N(G537)*N(H537)/60,1))</f>
        <v>12</v>
      </c>
      <c r="Q537" s="57" t="str">
        <f aca="false">IF(E537="","",IF(COUNTIFS($C$2:C537,C537,$E$2:E537,E537,$B$2:B537,B537)&gt;1,"No","Yes"))</f>
        <v>Yes</v>
      </c>
      <c r="R537" s="61" t="str">
        <f aca="false">IF(E537="","",IF(Q537="No","Duplicate of an earlier response",IF(L537="Not on SITES","Site not on SITES",IF(N(G537)&gt;N(F537),"Present is more than enrolled",IF(OR(I537&lt;1,I537&gt;5),"Score outside 1 to 5","")))))</f>
        <v/>
      </c>
    </row>
    <row r="538" customFormat="false" ht="15" hidden="false" customHeight="false" outlineLevel="0" collapsed="false">
      <c r="A538" s="52" t="n">
        <v>46084.659525463</v>
      </c>
      <c r="B538" s="53" t="s">
        <v>129</v>
      </c>
      <c r="C538" s="53" t="s">
        <v>130</v>
      </c>
      <c r="D538" s="53" t="s">
        <v>113</v>
      </c>
      <c r="E538" s="54" t="n">
        <v>46084</v>
      </c>
      <c r="F538" s="55" t="n">
        <v>16</v>
      </c>
      <c r="G538" s="55" t="n">
        <v>13</v>
      </c>
      <c r="H538" s="55" t="n">
        <v>75</v>
      </c>
      <c r="I538" s="56" t="n">
        <v>3.9</v>
      </c>
      <c r="J538" s="53" t="s">
        <v>114</v>
      </c>
      <c r="K538" s="53"/>
      <c r="L538" s="57" t="str">
        <f aca="false">IF(C538="","",IFERROR(INDEX(site_ID,MATCH(C538,site_Name,0)),"Not on SITES"))</f>
        <v>LW-107</v>
      </c>
      <c r="M538" s="58" t="n">
        <f aca="false">IF(E538="","",DATE(YEAR(E538),MONTH(E538),1))</f>
        <v>46082</v>
      </c>
      <c r="N538" s="57" t="str">
        <f aca="false">IF(E538="","","FY"&amp;(YEAR(E538)+IF(AND(FYStart&gt;1,MONTH(E538)&gt;=FYStart),1,0))&amp;" Q"&amp;(INT(MOD(MONTH(E538)-FYStart,12)/3)+1))</f>
        <v>FY2026 Q3</v>
      </c>
      <c r="O538" s="59" t="n">
        <f aca="false">IF(OR(E538="",N(F538)=0),"",G538/F538)</f>
        <v>0.8125</v>
      </c>
      <c r="P538" s="60" t="n">
        <f aca="false">IF(E538="","",ROUND(N(G538)*N(H538)/60,1))</f>
        <v>16.3</v>
      </c>
      <c r="Q538" s="57" t="str">
        <f aca="false">IF(E538="","",IF(COUNTIFS($C$2:C538,C538,$E$2:E538,E538,$B$2:B538,B538)&gt;1,"No","Yes"))</f>
        <v>Yes</v>
      </c>
      <c r="R538" s="61" t="str">
        <f aca="false">IF(E538="","",IF(Q538="No","Duplicate of an earlier response",IF(L538="Not on SITES","Site not on SITES",IF(N(G538)&gt;N(F538),"Present is more than enrolled",IF(OR(I538&lt;1,I538&gt;5),"Score outside 1 to 5","")))))</f>
        <v/>
      </c>
    </row>
    <row r="539" customFormat="false" ht="15" hidden="false" customHeight="false" outlineLevel="0" collapsed="false">
      <c r="A539" s="52" t="n">
        <v>46084.6713194445</v>
      </c>
      <c r="B539" s="53" t="s">
        <v>124</v>
      </c>
      <c r="C539" s="53" t="s">
        <v>125</v>
      </c>
      <c r="D539" s="53" t="s">
        <v>119</v>
      </c>
      <c r="E539" s="54" t="n">
        <v>46084</v>
      </c>
      <c r="F539" s="55" t="n">
        <v>18</v>
      </c>
      <c r="G539" s="55" t="n">
        <v>15</v>
      </c>
      <c r="H539" s="55" t="n">
        <v>60</v>
      </c>
      <c r="I539" s="56" t="n">
        <v>3.9</v>
      </c>
      <c r="J539" s="53" t="s">
        <v>126</v>
      </c>
      <c r="K539" s="53"/>
      <c r="L539" s="57" t="str">
        <f aca="false">IF(C539="","",IFERROR(INDEX(site_ID,MATCH(C539,site_Name,0)),"Not on SITES"))</f>
        <v>LW-106</v>
      </c>
      <c r="M539" s="58" t="n">
        <f aca="false">IF(E539="","",DATE(YEAR(E539),MONTH(E539),1))</f>
        <v>46082</v>
      </c>
      <c r="N539" s="57" t="str">
        <f aca="false">IF(E539="","","FY"&amp;(YEAR(E539)+IF(AND(FYStart&gt;1,MONTH(E539)&gt;=FYStart),1,0))&amp;" Q"&amp;(INT(MOD(MONTH(E539)-FYStart,12)/3)+1))</f>
        <v>FY2026 Q3</v>
      </c>
      <c r="O539" s="59" t="n">
        <f aca="false">IF(OR(E539="",N(F539)=0),"",G539/F539)</f>
        <v>0.833333333333333</v>
      </c>
      <c r="P539" s="60" t="n">
        <f aca="false">IF(E539="","",ROUND(N(G539)*N(H539)/60,1))</f>
        <v>15</v>
      </c>
      <c r="Q539" s="57" t="str">
        <f aca="false">IF(E539="","",IF(COUNTIFS($C$2:C539,C539,$E$2:E539,E539,$B$2:B539,B539)&gt;1,"No","Yes"))</f>
        <v>Yes</v>
      </c>
      <c r="R539" s="61" t="str">
        <f aca="false">IF(E539="","",IF(Q539="No","Duplicate of an earlier response",IF(L539="Not on SITES","Site not on SITES",IF(N(G539)&gt;N(F539),"Present is more than enrolled",IF(OR(I539&lt;1,I539&gt;5),"Score outside 1 to 5","")))))</f>
        <v/>
      </c>
    </row>
    <row r="540" customFormat="false" ht="15" hidden="false" customHeight="false" outlineLevel="0" collapsed="false">
      <c r="A540" s="52" t="n">
        <v>46084.6962384259</v>
      </c>
      <c r="B540" s="53" t="s">
        <v>121</v>
      </c>
      <c r="C540" s="53" t="s">
        <v>122</v>
      </c>
      <c r="D540" s="53" t="s">
        <v>116</v>
      </c>
      <c r="E540" s="54" t="n">
        <v>46084</v>
      </c>
      <c r="F540" s="55" t="n">
        <v>16</v>
      </c>
      <c r="G540" s="55" t="n">
        <v>14</v>
      </c>
      <c r="H540" s="55" t="n">
        <v>60</v>
      </c>
      <c r="I540" s="56" t="n">
        <v>3.5</v>
      </c>
      <c r="J540" s="53" t="s">
        <v>117</v>
      </c>
      <c r="K540" s="53"/>
      <c r="L540" s="57" t="str">
        <f aca="false">IF(C540="","",IFERROR(INDEX(site_ID,MATCH(C540,site_Name,0)),"Not on SITES"))</f>
        <v>LW-116</v>
      </c>
      <c r="M540" s="58" t="n">
        <f aca="false">IF(E540="","",DATE(YEAR(E540),MONTH(E540),1))</f>
        <v>46082</v>
      </c>
      <c r="N540" s="57" t="str">
        <f aca="false">IF(E540="","","FY"&amp;(YEAR(E540)+IF(AND(FYStart&gt;1,MONTH(E540)&gt;=FYStart),1,0))&amp;" Q"&amp;(INT(MOD(MONTH(E540)-FYStart,12)/3)+1))</f>
        <v>FY2026 Q3</v>
      </c>
      <c r="O540" s="59" t="n">
        <f aca="false">IF(OR(E540="",N(F540)=0),"",G540/F540)</f>
        <v>0.875</v>
      </c>
      <c r="P540" s="60" t="n">
        <f aca="false">IF(E540="","",ROUND(N(G540)*N(H540)/60,1))</f>
        <v>14</v>
      </c>
      <c r="Q540" s="57" t="str">
        <f aca="false">IF(E540="","",IF(COUNTIFS($C$2:C540,C540,$E$2:E540,E540,$B$2:B540,B540)&gt;1,"No","Yes"))</f>
        <v>Yes</v>
      </c>
      <c r="R540" s="61" t="str">
        <f aca="false">IF(E540="","",IF(Q540="No","Duplicate of an earlier response",IF(L540="Not on SITES","Site not on SITES",IF(N(G540)&gt;N(F540),"Present is more than enrolled",IF(OR(I540&lt;1,I540&gt;5),"Score outside 1 to 5","")))))</f>
        <v/>
      </c>
    </row>
    <row r="541" customFormat="false" ht="15" hidden="false" customHeight="false" outlineLevel="0" collapsed="false">
      <c r="A541" s="52" t="n">
        <v>46084.7066319444</v>
      </c>
      <c r="B541" s="53" t="s">
        <v>121</v>
      </c>
      <c r="C541" s="53" t="s">
        <v>127</v>
      </c>
      <c r="D541" s="53" t="s">
        <v>107</v>
      </c>
      <c r="E541" s="54" t="n">
        <v>46084</v>
      </c>
      <c r="F541" s="55" t="n">
        <v>15</v>
      </c>
      <c r="G541" s="55" t="n">
        <v>12</v>
      </c>
      <c r="H541" s="55" t="n">
        <v>75</v>
      </c>
      <c r="I541" s="56" t="n">
        <v>4.3</v>
      </c>
      <c r="J541" s="53" t="s">
        <v>155</v>
      </c>
      <c r="K541" s="53"/>
      <c r="L541" s="57" t="str">
        <f aca="false">IF(C541="","",IFERROR(INDEX(site_ID,MATCH(C541,site_Name,0)),"Not on SITES"))</f>
        <v>LW-108</v>
      </c>
      <c r="M541" s="58" t="n">
        <f aca="false">IF(E541="","",DATE(YEAR(E541),MONTH(E541),1))</f>
        <v>46082</v>
      </c>
      <c r="N541" s="57" t="str">
        <f aca="false">IF(E541="","","FY"&amp;(YEAR(E541)+IF(AND(FYStart&gt;1,MONTH(E541)&gt;=FYStart),1,0))&amp;" Q"&amp;(INT(MOD(MONTH(E541)-FYStart,12)/3)+1))</f>
        <v>FY2026 Q3</v>
      </c>
      <c r="O541" s="59" t="n">
        <f aca="false">IF(OR(E541="",N(F541)=0),"",G541/F541)</f>
        <v>0.8</v>
      </c>
      <c r="P541" s="60" t="n">
        <f aca="false">IF(E541="","",ROUND(N(G541)*N(H541)/60,1))</f>
        <v>15</v>
      </c>
      <c r="Q541" s="57" t="str">
        <f aca="false">IF(E541="","",IF(COUNTIFS($C$2:C541,C541,$E$2:E541,E541,$B$2:B541,B541)&gt;1,"No","Yes"))</f>
        <v>Yes</v>
      </c>
      <c r="R541" s="61" t="str">
        <f aca="false">IF(E541="","",IF(Q541="No","Duplicate of an earlier response",IF(L541="Not on SITES","Site not on SITES",IF(N(G541)&gt;N(F541),"Present is more than enrolled",IF(OR(I541&lt;1,I541&gt;5),"Score outside 1 to 5","")))))</f>
        <v/>
      </c>
    </row>
    <row r="542" customFormat="false" ht="15" hidden="false" customHeight="false" outlineLevel="0" collapsed="false">
      <c r="A542" s="52" t="n">
        <v>46084.8177893519</v>
      </c>
      <c r="B542" s="53" t="s">
        <v>132</v>
      </c>
      <c r="C542" s="53" t="s">
        <v>133</v>
      </c>
      <c r="D542" s="53" t="s">
        <v>116</v>
      </c>
      <c r="E542" s="54" t="n">
        <v>46084</v>
      </c>
      <c r="F542" s="55" t="n">
        <v>17</v>
      </c>
      <c r="G542" s="55" t="n">
        <v>15</v>
      </c>
      <c r="H542" s="55" t="n">
        <v>60</v>
      </c>
      <c r="I542" s="56" t="n">
        <v>3.7</v>
      </c>
      <c r="J542" s="53" t="s">
        <v>134</v>
      </c>
      <c r="K542" s="53"/>
      <c r="L542" s="57" t="str">
        <f aca="false">IF(C542="","",IFERROR(INDEX(site_ID,MATCH(C542,site_Name,0)),"Not on SITES"))</f>
        <v>LW-109</v>
      </c>
      <c r="M542" s="58" t="n">
        <f aca="false">IF(E542="","",DATE(YEAR(E542),MONTH(E542),1))</f>
        <v>46082</v>
      </c>
      <c r="N542" s="57" t="str">
        <f aca="false">IF(E542="","","FY"&amp;(YEAR(E542)+IF(AND(FYStart&gt;1,MONTH(E542)&gt;=FYStart),1,0))&amp;" Q"&amp;(INT(MOD(MONTH(E542)-FYStart,12)/3)+1))</f>
        <v>FY2026 Q3</v>
      </c>
      <c r="O542" s="59" t="n">
        <f aca="false">IF(OR(E542="",N(F542)=0),"",G542/F542)</f>
        <v>0.882352941176471</v>
      </c>
      <c r="P542" s="60" t="n">
        <f aca="false">IF(E542="","",ROUND(N(G542)*N(H542)/60,1))</f>
        <v>15</v>
      </c>
      <c r="Q542" s="57" t="str">
        <f aca="false">IF(E542="","",IF(COUNTIFS($C$2:C542,C542,$E$2:E542,E542,$B$2:B542,B542)&gt;1,"No","Yes"))</f>
        <v>Yes</v>
      </c>
      <c r="R542" s="61" t="str">
        <f aca="false">IF(E542="","",IF(Q542="No","Duplicate of an earlier response",IF(L542="Not on SITES","Site not on SITES",IF(N(G542)&gt;N(F542),"Present is more than enrolled",IF(OR(I542&lt;1,I542&gt;5),"Score outside 1 to 5","")))))</f>
        <v/>
      </c>
    </row>
    <row r="543" customFormat="false" ht="15" hidden="false" customHeight="false" outlineLevel="0" collapsed="false">
      <c r="A543" s="52" t="n">
        <v>46085.7075578704</v>
      </c>
      <c r="B543" s="53" t="s">
        <v>111</v>
      </c>
      <c r="C543" s="53" t="s">
        <v>112</v>
      </c>
      <c r="D543" s="53" t="s">
        <v>113</v>
      </c>
      <c r="E543" s="54" t="n">
        <v>46085</v>
      </c>
      <c r="F543" s="55" t="n">
        <v>15</v>
      </c>
      <c r="G543" s="55" t="n">
        <v>15</v>
      </c>
      <c r="H543" s="55" t="n">
        <v>60</v>
      </c>
      <c r="I543" s="56" t="n">
        <v>3.9</v>
      </c>
      <c r="J543" s="53" t="s">
        <v>131</v>
      </c>
      <c r="K543" s="53"/>
      <c r="L543" s="57" t="str">
        <f aca="false">IF(C543="","",IFERROR(INDEX(site_ID,MATCH(C543,site_Name,0)),"Not on SITES"))</f>
        <v>LW-120</v>
      </c>
      <c r="M543" s="58" t="n">
        <f aca="false">IF(E543="","",DATE(YEAR(E543),MONTH(E543),1))</f>
        <v>46082</v>
      </c>
      <c r="N543" s="57" t="str">
        <f aca="false">IF(E543="","","FY"&amp;(YEAR(E543)+IF(AND(FYStart&gt;1,MONTH(E543)&gt;=FYStart),1,0))&amp;" Q"&amp;(INT(MOD(MONTH(E543)-FYStart,12)/3)+1))</f>
        <v>FY2026 Q3</v>
      </c>
      <c r="O543" s="59" t="n">
        <f aca="false">IF(OR(E543="",N(F543)=0),"",G543/F543)</f>
        <v>1</v>
      </c>
      <c r="P543" s="60" t="n">
        <f aca="false">IF(E543="","",ROUND(N(G543)*N(H543)/60,1))</f>
        <v>15</v>
      </c>
      <c r="Q543" s="57" t="str">
        <f aca="false">IF(E543="","",IF(COUNTIFS($C$2:C543,C543,$E$2:E543,E543,$B$2:B543,B543)&gt;1,"No","Yes"))</f>
        <v>Yes</v>
      </c>
      <c r="R543" s="61" t="str">
        <f aca="false">IF(E543="","",IF(Q543="No","Duplicate of an earlier response",IF(L543="Not on SITES","Site not on SITES",IF(N(G543)&gt;N(F543),"Present is more than enrolled",IF(OR(I543&lt;1,I543&gt;5),"Score outside 1 to 5","")))))</f>
        <v/>
      </c>
    </row>
    <row r="544" customFormat="false" ht="15" hidden="false" customHeight="false" outlineLevel="0" collapsed="false">
      <c r="A544" s="52" t="n">
        <v>46085.7177083333</v>
      </c>
      <c r="B544" s="53" t="s">
        <v>140</v>
      </c>
      <c r="C544" s="53" t="s">
        <v>141</v>
      </c>
      <c r="D544" s="53" t="s">
        <v>116</v>
      </c>
      <c r="E544" s="54" t="n">
        <v>46085</v>
      </c>
      <c r="F544" s="55" t="n">
        <v>13</v>
      </c>
      <c r="G544" s="55" t="n">
        <v>12</v>
      </c>
      <c r="H544" s="55" t="n">
        <v>75</v>
      </c>
      <c r="I544" s="56" t="n">
        <v>4.1</v>
      </c>
      <c r="J544" s="53" t="s">
        <v>160</v>
      </c>
      <c r="K544" s="53"/>
      <c r="L544" s="57" t="str">
        <f aca="false">IF(C544="","",IFERROR(INDEX(site_ID,MATCH(C544,site_Name,0)),"Not on SITES"))</f>
        <v>LW-118</v>
      </c>
      <c r="M544" s="58" t="n">
        <f aca="false">IF(E544="","",DATE(YEAR(E544),MONTH(E544),1))</f>
        <v>46082</v>
      </c>
      <c r="N544" s="57" t="str">
        <f aca="false">IF(E544="","","FY"&amp;(YEAR(E544)+IF(AND(FYStart&gt;1,MONTH(E544)&gt;=FYStart),1,0))&amp;" Q"&amp;(INT(MOD(MONTH(E544)-FYStart,12)/3)+1))</f>
        <v>FY2026 Q3</v>
      </c>
      <c r="O544" s="59" t="n">
        <f aca="false">IF(OR(E544="",N(F544)=0),"",G544/F544)</f>
        <v>0.923076923076923</v>
      </c>
      <c r="P544" s="60" t="n">
        <f aca="false">IF(E544="","",ROUND(N(G544)*N(H544)/60,1))</f>
        <v>15</v>
      </c>
      <c r="Q544" s="57" t="str">
        <f aca="false">IF(E544="","",IF(COUNTIFS($C$2:C544,C544,$E$2:E544,E544,$B$2:B544,B544)&gt;1,"No","Yes"))</f>
        <v>Yes</v>
      </c>
      <c r="R544" s="61" t="str">
        <f aca="false">IF(E544="","",IF(Q544="No","Duplicate of an earlier response",IF(L544="Not on SITES","Site not on SITES",IF(N(G544)&gt;N(F544),"Present is more than enrolled",IF(OR(I544&lt;1,I544&gt;5),"Score outside 1 to 5","")))))</f>
        <v/>
      </c>
    </row>
    <row r="545" customFormat="false" ht="15" hidden="false" customHeight="false" outlineLevel="0" collapsed="false">
      <c r="A545" s="52" t="n">
        <v>46085.8109143519</v>
      </c>
      <c r="B545" s="53" t="s">
        <v>129</v>
      </c>
      <c r="C545" s="53" t="s">
        <v>137</v>
      </c>
      <c r="D545" s="53" t="s">
        <v>138</v>
      </c>
      <c r="E545" s="54" t="n">
        <v>46085</v>
      </c>
      <c r="F545" s="55" t="n">
        <v>16</v>
      </c>
      <c r="G545" s="55" t="n">
        <v>13</v>
      </c>
      <c r="H545" s="55" t="n">
        <v>90</v>
      </c>
      <c r="I545" s="56" t="n">
        <v>4</v>
      </c>
      <c r="J545" s="53" t="s">
        <v>147</v>
      </c>
      <c r="K545" s="53"/>
      <c r="L545" s="57" t="str">
        <f aca="false">IF(C545="","",IFERROR(INDEX(site_ID,MATCH(C545,site_Name,0)),"Not on SITES"))</f>
        <v>LW-115</v>
      </c>
      <c r="M545" s="58" t="n">
        <f aca="false">IF(E545="","",DATE(YEAR(E545),MONTH(E545),1))</f>
        <v>46082</v>
      </c>
      <c r="N545" s="57" t="str">
        <f aca="false">IF(E545="","","FY"&amp;(YEAR(E545)+IF(AND(FYStart&gt;1,MONTH(E545)&gt;=FYStart),1,0))&amp;" Q"&amp;(INT(MOD(MONTH(E545)-FYStart,12)/3)+1))</f>
        <v>FY2026 Q3</v>
      </c>
      <c r="O545" s="59" t="n">
        <f aca="false">IF(OR(E545="",N(F545)=0),"",G545/F545)</f>
        <v>0.8125</v>
      </c>
      <c r="P545" s="60" t="n">
        <f aca="false">IF(E545="","",ROUND(N(G545)*N(H545)/60,1))</f>
        <v>19.5</v>
      </c>
      <c r="Q545" s="57" t="str">
        <f aca="false">IF(E545="","",IF(COUNTIFS($C$2:C545,C545,$E$2:E545,E545,$B$2:B545,B545)&gt;1,"No","Yes"))</f>
        <v>Yes</v>
      </c>
      <c r="R545" s="61" t="str">
        <f aca="false">IF(E545="","",IF(Q545="No","Duplicate of an earlier response",IF(L545="Not on SITES","Site not on SITES",IF(N(G545)&gt;N(F545),"Present is more than enrolled",IF(OR(I545&lt;1,I545&gt;5),"Score outside 1 to 5","")))))</f>
        <v/>
      </c>
    </row>
    <row r="546" customFormat="false" ht="15" hidden="false" customHeight="false" outlineLevel="0" collapsed="false">
      <c r="A546" s="52" t="n">
        <v>46085.8411805556</v>
      </c>
      <c r="B546" s="53" t="s">
        <v>140</v>
      </c>
      <c r="C546" s="53" t="s">
        <v>142</v>
      </c>
      <c r="D546" s="53" t="s">
        <v>113</v>
      </c>
      <c r="E546" s="54" t="n">
        <v>46085</v>
      </c>
      <c r="F546" s="55" t="n">
        <v>18</v>
      </c>
      <c r="G546" s="55" t="n">
        <v>17</v>
      </c>
      <c r="H546" s="55" t="n">
        <v>90</v>
      </c>
      <c r="I546" s="56" t="n">
        <v>3.4</v>
      </c>
      <c r="J546" s="53" t="s">
        <v>114</v>
      </c>
      <c r="K546" s="53"/>
      <c r="L546" s="57" t="str">
        <f aca="false">IF(C546="","",IFERROR(INDEX(site_ID,MATCH(C546,site_Name,0)),"Not on SITES"))</f>
        <v>LW-102</v>
      </c>
      <c r="M546" s="58" t="n">
        <f aca="false">IF(E546="","",DATE(YEAR(E546),MONTH(E546),1))</f>
        <v>46082</v>
      </c>
      <c r="N546" s="57" t="str">
        <f aca="false">IF(E546="","","FY"&amp;(YEAR(E546)+IF(AND(FYStart&gt;1,MONTH(E546)&gt;=FYStart),1,0))&amp;" Q"&amp;(INT(MOD(MONTH(E546)-FYStart,12)/3)+1))</f>
        <v>FY2026 Q3</v>
      </c>
      <c r="O546" s="59" t="n">
        <f aca="false">IF(OR(E546="",N(F546)=0),"",G546/F546)</f>
        <v>0.944444444444444</v>
      </c>
      <c r="P546" s="60" t="n">
        <f aca="false">IF(E546="","",ROUND(N(G546)*N(H546)/60,1))</f>
        <v>25.5</v>
      </c>
      <c r="Q546" s="57" t="str">
        <f aca="false">IF(E546="","",IF(COUNTIFS($C$2:C546,C546,$E$2:E546,E546,$B$2:B546,B546)&gt;1,"No","Yes"))</f>
        <v>Yes</v>
      </c>
      <c r="R546" s="61" t="str">
        <f aca="false">IF(E546="","",IF(Q546="No","Duplicate of an earlier response",IF(L546="Not on SITES","Site not on SITES",IF(N(G546)&gt;N(F546),"Present is more than enrolled",IF(OR(I546&lt;1,I546&gt;5),"Score outside 1 to 5","")))))</f>
        <v/>
      </c>
    </row>
    <row r="547" customFormat="false" ht="15" hidden="false" customHeight="false" outlineLevel="0" collapsed="false">
      <c r="A547" s="52" t="n">
        <v>46085.8488310185</v>
      </c>
      <c r="B547" s="53" t="s">
        <v>132</v>
      </c>
      <c r="C547" s="53" t="s">
        <v>145</v>
      </c>
      <c r="D547" s="53" t="s">
        <v>119</v>
      </c>
      <c r="E547" s="54" t="n">
        <v>46085</v>
      </c>
      <c r="F547" s="55" t="n">
        <v>19</v>
      </c>
      <c r="G547" s="55" t="n">
        <v>13</v>
      </c>
      <c r="H547" s="55" t="n">
        <v>60</v>
      </c>
      <c r="I547" s="56" t="n">
        <v>4.3</v>
      </c>
      <c r="J547" s="53" t="s">
        <v>126</v>
      </c>
      <c r="K547" s="53"/>
      <c r="L547" s="57" t="str">
        <f aca="false">IF(C547="","",IFERROR(INDEX(site_ID,MATCH(C547,site_Name,0)),"Not on SITES"))</f>
        <v>LW-101</v>
      </c>
      <c r="M547" s="58" t="n">
        <f aca="false">IF(E547="","",DATE(YEAR(E547),MONTH(E547),1))</f>
        <v>46082</v>
      </c>
      <c r="N547" s="57" t="str">
        <f aca="false">IF(E547="","","FY"&amp;(YEAR(E547)+IF(AND(FYStart&gt;1,MONTH(E547)&gt;=FYStart),1,0))&amp;" Q"&amp;(INT(MOD(MONTH(E547)-FYStart,12)/3)+1))</f>
        <v>FY2026 Q3</v>
      </c>
      <c r="O547" s="59" t="n">
        <f aca="false">IF(OR(E547="",N(F547)=0),"",G547/F547)</f>
        <v>0.68421052631579</v>
      </c>
      <c r="P547" s="60" t="n">
        <f aca="false">IF(E547="","",ROUND(N(G547)*N(H547)/60,1))</f>
        <v>13</v>
      </c>
      <c r="Q547" s="57" t="str">
        <f aca="false">IF(E547="","",IF(COUNTIFS($C$2:C547,C547,$E$2:E547,E547,$B$2:B547,B547)&gt;1,"No","Yes"))</f>
        <v>Yes</v>
      </c>
      <c r="R547" s="61" t="str">
        <f aca="false">IF(E547="","",IF(Q547="No","Duplicate of an earlier response",IF(L547="Not on SITES","Site not on SITES",IF(N(G547)&gt;N(F547),"Present is more than enrolled",IF(OR(I547&lt;1,I547&gt;5),"Score outside 1 to 5","")))))</f>
        <v/>
      </c>
    </row>
    <row r="548" customFormat="false" ht="15" hidden="false" customHeight="false" outlineLevel="0" collapsed="false">
      <c r="A548" s="52" t="n">
        <v>46086.6824652778</v>
      </c>
      <c r="B548" s="53" t="s">
        <v>121</v>
      </c>
      <c r="C548" s="53" t="s">
        <v>122</v>
      </c>
      <c r="D548" s="53" t="s">
        <v>116</v>
      </c>
      <c r="E548" s="54" t="n">
        <v>46086</v>
      </c>
      <c r="F548" s="55" t="n">
        <v>16</v>
      </c>
      <c r="G548" s="55" t="n">
        <v>13</v>
      </c>
      <c r="H548" s="55" t="n">
        <v>60</v>
      </c>
      <c r="I548" s="56" t="n">
        <v>3.7</v>
      </c>
      <c r="J548" s="53" t="s">
        <v>134</v>
      </c>
      <c r="K548" s="53"/>
      <c r="L548" s="57" t="str">
        <f aca="false">IF(C548="","",IFERROR(INDEX(site_ID,MATCH(C548,site_Name,0)),"Not on SITES"))</f>
        <v>LW-116</v>
      </c>
      <c r="M548" s="58" t="n">
        <f aca="false">IF(E548="","",DATE(YEAR(E548),MONTH(E548),1))</f>
        <v>46082</v>
      </c>
      <c r="N548" s="57" t="str">
        <f aca="false">IF(E548="","","FY"&amp;(YEAR(E548)+IF(AND(FYStart&gt;1,MONTH(E548)&gt;=FYStart),1,0))&amp;" Q"&amp;(INT(MOD(MONTH(E548)-FYStart,12)/3)+1))</f>
        <v>FY2026 Q3</v>
      </c>
      <c r="O548" s="59" t="n">
        <f aca="false">IF(OR(E548="",N(F548)=0),"",G548/F548)</f>
        <v>0.8125</v>
      </c>
      <c r="P548" s="60" t="n">
        <f aca="false">IF(E548="","",ROUND(N(G548)*N(H548)/60,1))</f>
        <v>13</v>
      </c>
      <c r="Q548" s="57" t="str">
        <f aca="false">IF(E548="","",IF(COUNTIFS($C$2:C548,C548,$E$2:E548,E548,$B$2:B548,B548)&gt;1,"No","Yes"))</f>
        <v>Yes</v>
      </c>
      <c r="R548" s="61" t="str">
        <f aca="false">IF(E548="","",IF(Q548="No","Duplicate of an earlier response",IF(L548="Not on SITES","Site not on SITES",IF(N(G548)&gt;N(F548),"Present is more than enrolled",IF(OR(I548&lt;1,I548&gt;5),"Score outside 1 to 5","")))))</f>
        <v/>
      </c>
    </row>
    <row r="549" customFormat="false" ht="15" hidden="false" customHeight="false" outlineLevel="0" collapsed="false">
      <c r="A549" s="52" t="n">
        <v>46086.7696990741</v>
      </c>
      <c r="B549" s="53" t="s">
        <v>124</v>
      </c>
      <c r="C549" s="53" t="s">
        <v>154</v>
      </c>
      <c r="D549" s="53" t="s">
        <v>116</v>
      </c>
      <c r="E549" s="54" t="n">
        <v>46086</v>
      </c>
      <c r="F549" s="55" t="n">
        <v>18</v>
      </c>
      <c r="G549" s="55" t="n">
        <v>14</v>
      </c>
      <c r="H549" s="55" t="n">
        <v>60</v>
      </c>
      <c r="I549" s="56" t="n">
        <v>4</v>
      </c>
      <c r="J549" s="53" t="s">
        <v>134</v>
      </c>
      <c r="K549" s="53"/>
      <c r="L549" s="57" t="str">
        <f aca="false">IF(C549="","",IFERROR(INDEX(site_ID,MATCH(C549,site_Name,0)),"Not on SITES"))</f>
        <v>LW-114</v>
      </c>
      <c r="M549" s="58" t="n">
        <f aca="false">IF(E549="","",DATE(YEAR(E549),MONTH(E549),1))</f>
        <v>46082</v>
      </c>
      <c r="N549" s="57" t="str">
        <f aca="false">IF(E549="","","FY"&amp;(YEAR(E549)+IF(AND(FYStart&gt;1,MONTH(E549)&gt;=FYStart),1,0))&amp;" Q"&amp;(INT(MOD(MONTH(E549)-FYStart,12)/3)+1))</f>
        <v>FY2026 Q3</v>
      </c>
      <c r="O549" s="59" t="n">
        <f aca="false">IF(OR(E549="",N(F549)=0),"",G549/F549)</f>
        <v>0.777777777777778</v>
      </c>
      <c r="P549" s="60" t="n">
        <f aca="false">IF(E549="","",ROUND(N(G549)*N(H549)/60,1))</f>
        <v>14</v>
      </c>
      <c r="Q549" s="57" t="str">
        <f aca="false">IF(E549="","",IF(COUNTIFS($C$2:C549,C549,$E$2:E549,E549,$B$2:B549,B549)&gt;1,"No","Yes"))</f>
        <v>Yes</v>
      </c>
      <c r="R549" s="61" t="str">
        <f aca="false">IF(E549="","",IF(Q549="No","Duplicate of an earlier response",IF(L549="Not on SITES","Site not on SITES",IF(N(G549)&gt;N(F549),"Present is more than enrolled",IF(OR(I549&lt;1,I549&gt;5),"Score outside 1 to 5","")))))</f>
        <v/>
      </c>
    </row>
    <row r="550" customFormat="false" ht="15" hidden="false" customHeight="false" outlineLevel="0" collapsed="false">
      <c r="A550" s="52" t="n">
        <v>46086.7726157407</v>
      </c>
      <c r="B550" s="53" t="s">
        <v>105</v>
      </c>
      <c r="C550" s="53" t="s">
        <v>151</v>
      </c>
      <c r="D550" s="53" t="s">
        <v>138</v>
      </c>
      <c r="E550" s="54" t="n">
        <v>46086</v>
      </c>
      <c r="F550" s="55" t="n">
        <v>13</v>
      </c>
      <c r="G550" s="55" t="n">
        <v>11</v>
      </c>
      <c r="H550" s="55" t="n">
        <v>90</v>
      </c>
      <c r="I550" s="56" t="n">
        <v>3.9</v>
      </c>
      <c r="J550" s="53" t="s">
        <v>152</v>
      </c>
      <c r="K550" s="53"/>
      <c r="L550" s="57" t="str">
        <f aca="false">IF(C550="","",IFERROR(INDEX(site_ID,MATCH(C550,site_Name,0)),"Not on SITES"))</f>
        <v>LW-110</v>
      </c>
      <c r="M550" s="58" t="n">
        <f aca="false">IF(E550="","",DATE(YEAR(E550),MONTH(E550),1))</f>
        <v>46082</v>
      </c>
      <c r="N550" s="57" t="str">
        <f aca="false">IF(E550="","","FY"&amp;(YEAR(E550)+IF(AND(FYStart&gt;1,MONTH(E550)&gt;=FYStart),1,0))&amp;" Q"&amp;(INT(MOD(MONTH(E550)-FYStart,12)/3)+1))</f>
        <v>FY2026 Q3</v>
      </c>
      <c r="O550" s="59" t="n">
        <f aca="false">IF(OR(E550="",N(F550)=0),"",G550/F550)</f>
        <v>0.846153846153846</v>
      </c>
      <c r="P550" s="60" t="n">
        <f aca="false">IF(E550="","",ROUND(N(G550)*N(H550)/60,1))</f>
        <v>16.5</v>
      </c>
      <c r="Q550" s="57" t="str">
        <f aca="false">IF(E550="","",IF(COUNTIFS($C$2:C550,C550,$E$2:E550,E550,$B$2:B550,B550)&gt;1,"No","Yes"))</f>
        <v>Yes</v>
      </c>
      <c r="R550" s="61" t="str">
        <f aca="false">IF(E550="","",IF(Q550="No","Duplicate of an earlier response",IF(L550="Not on SITES","Site not on SITES",IF(N(G550)&gt;N(F550),"Present is more than enrolled",IF(OR(I550&lt;1,I550&gt;5),"Score outside 1 to 5","")))))</f>
        <v/>
      </c>
    </row>
    <row r="551" customFormat="false" ht="15" hidden="false" customHeight="false" outlineLevel="0" collapsed="false">
      <c r="A551" s="52" t="n">
        <v>46086.8205902778</v>
      </c>
      <c r="B551" s="53" t="s">
        <v>109</v>
      </c>
      <c r="C551" s="53" t="s">
        <v>146</v>
      </c>
      <c r="D551" s="53" t="s">
        <v>138</v>
      </c>
      <c r="E551" s="54" t="n">
        <v>46086</v>
      </c>
      <c r="F551" s="55" t="n">
        <v>14</v>
      </c>
      <c r="G551" s="55" t="n">
        <v>11</v>
      </c>
      <c r="H551" s="55" t="n">
        <v>90</v>
      </c>
      <c r="I551" s="56" t="n">
        <v>3.9</v>
      </c>
      <c r="J551" s="53" t="s">
        <v>163</v>
      </c>
      <c r="K551" s="53" t="s">
        <v>168</v>
      </c>
      <c r="L551" s="57" t="str">
        <f aca="false">IF(C551="","",IFERROR(INDEX(site_ID,MATCH(C551,site_Name,0)),"Not on SITES"))</f>
        <v>LW-105</v>
      </c>
      <c r="M551" s="58" t="n">
        <f aca="false">IF(E551="","",DATE(YEAR(E551),MONTH(E551),1))</f>
        <v>46082</v>
      </c>
      <c r="N551" s="57" t="str">
        <f aca="false">IF(E551="","","FY"&amp;(YEAR(E551)+IF(AND(FYStart&gt;1,MONTH(E551)&gt;=FYStart),1,0))&amp;" Q"&amp;(INT(MOD(MONTH(E551)-FYStart,12)/3)+1))</f>
        <v>FY2026 Q3</v>
      </c>
      <c r="O551" s="59" t="n">
        <f aca="false">IF(OR(E551="",N(F551)=0),"",G551/F551)</f>
        <v>0.785714285714286</v>
      </c>
      <c r="P551" s="60" t="n">
        <f aca="false">IF(E551="","",ROUND(N(G551)*N(H551)/60,1))</f>
        <v>16.5</v>
      </c>
      <c r="Q551" s="57" t="str">
        <f aca="false">IF(E551="","",IF(COUNTIFS($C$2:C551,C551,$E$2:E551,E551,$B$2:B551,B551)&gt;1,"No","Yes"))</f>
        <v>Yes</v>
      </c>
      <c r="R551" s="61" t="str">
        <f aca="false">IF(E551="","",IF(Q551="No","Duplicate of an earlier response",IF(L551="Not on SITES","Site not on SITES",IF(N(G551)&gt;N(F551),"Present is more than enrolled",IF(OR(I551&lt;1,I551&gt;5),"Score outside 1 to 5","")))))</f>
        <v/>
      </c>
    </row>
    <row r="552" customFormat="false" ht="15" hidden="false" customHeight="false" outlineLevel="0" collapsed="false">
      <c r="A552" s="52" t="n">
        <v>46086.8601041667</v>
      </c>
      <c r="B552" s="53" t="s">
        <v>111</v>
      </c>
      <c r="C552" s="53" t="s">
        <v>149</v>
      </c>
      <c r="D552" s="53" t="s">
        <v>113</v>
      </c>
      <c r="E552" s="54" t="n">
        <v>46086</v>
      </c>
      <c r="F552" s="55" t="n">
        <v>21</v>
      </c>
      <c r="G552" s="55" t="n">
        <v>20</v>
      </c>
      <c r="H552" s="55" t="n">
        <v>90</v>
      </c>
      <c r="I552" s="56" t="n">
        <v>4</v>
      </c>
      <c r="J552" s="53" t="s">
        <v>136</v>
      </c>
      <c r="K552" s="53"/>
      <c r="L552" s="57" t="str">
        <f aca="false">IF(C552="","",IFERROR(INDEX(site_ID,MATCH(C552,site_Name,0)),"Not on SITES"))</f>
        <v>LW-112</v>
      </c>
      <c r="M552" s="58" t="n">
        <f aca="false">IF(E552="","",DATE(YEAR(E552),MONTH(E552),1))</f>
        <v>46082</v>
      </c>
      <c r="N552" s="57" t="str">
        <f aca="false">IF(E552="","","FY"&amp;(YEAR(E552)+IF(AND(FYStart&gt;1,MONTH(E552)&gt;=FYStart),1,0))&amp;" Q"&amp;(INT(MOD(MONTH(E552)-FYStart,12)/3)+1))</f>
        <v>FY2026 Q3</v>
      </c>
      <c r="O552" s="59" t="n">
        <f aca="false">IF(OR(E552="",N(F552)=0),"",G552/F552)</f>
        <v>0.952380952380952</v>
      </c>
      <c r="P552" s="60" t="n">
        <f aca="false">IF(E552="","",ROUND(N(G552)*N(H552)/60,1))</f>
        <v>30</v>
      </c>
      <c r="Q552" s="57" t="str">
        <f aca="false">IF(E552="","",IF(COUNTIFS($C$2:C552,C552,$E$2:E552,E552,$B$2:B552,B552)&gt;1,"No","Yes"))</f>
        <v>Yes</v>
      </c>
      <c r="R552" s="61" t="str">
        <f aca="false">IF(E552="","",IF(Q552="No","Duplicate of an earlier response",IF(L552="Not on SITES","Site not on SITES",IF(N(G552)&gt;N(F552),"Present is more than enrolled",IF(OR(I552&lt;1,I552&gt;5),"Score outside 1 to 5","")))))</f>
        <v/>
      </c>
    </row>
    <row r="553" customFormat="false" ht="15" hidden="false" customHeight="false" outlineLevel="0" collapsed="false">
      <c r="A553" s="52" t="n">
        <v>46086.8630555556</v>
      </c>
      <c r="B553" s="53" t="s">
        <v>132</v>
      </c>
      <c r="C553" s="53" t="s">
        <v>150</v>
      </c>
      <c r="D553" s="53" t="s">
        <v>138</v>
      </c>
      <c r="E553" s="54" t="n">
        <v>46086</v>
      </c>
      <c r="F553" s="55" t="n">
        <v>21</v>
      </c>
      <c r="G553" s="55" t="n">
        <v>17</v>
      </c>
      <c r="H553" s="55" t="n">
        <v>90</v>
      </c>
      <c r="I553" s="56" t="n">
        <v>3.7</v>
      </c>
      <c r="J553" s="53" t="s">
        <v>139</v>
      </c>
      <c r="K553" s="53"/>
      <c r="L553" s="57" t="str">
        <f aca="false">IF(C553="","",IFERROR(INDEX(site_ID,MATCH(C553,site_Name,0)),"Not on SITES"))</f>
        <v>LW-117</v>
      </c>
      <c r="M553" s="58" t="n">
        <f aca="false">IF(E553="","",DATE(YEAR(E553),MONTH(E553),1))</f>
        <v>46082</v>
      </c>
      <c r="N553" s="57" t="str">
        <f aca="false">IF(E553="","","FY"&amp;(YEAR(E553)+IF(AND(FYStart&gt;1,MONTH(E553)&gt;=FYStart),1,0))&amp;" Q"&amp;(INT(MOD(MONTH(E553)-FYStart,12)/3)+1))</f>
        <v>FY2026 Q3</v>
      </c>
      <c r="O553" s="59" t="n">
        <f aca="false">IF(OR(E553="",N(F553)=0),"",G553/F553)</f>
        <v>0.80952380952381</v>
      </c>
      <c r="P553" s="60" t="n">
        <f aca="false">IF(E553="","",ROUND(N(G553)*N(H553)/60,1))</f>
        <v>25.5</v>
      </c>
      <c r="Q553" s="57" t="str">
        <f aca="false">IF(E553="","",IF(COUNTIFS($C$2:C553,C553,$E$2:E553,E553,$B$2:B553,B553)&gt;1,"No","Yes"))</f>
        <v>Yes</v>
      </c>
      <c r="R553" s="61" t="str">
        <f aca="false">IF(E553="","",IF(Q553="No","Duplicate of an earlier response",IF(L553="Not on SITES","Site not on SITES",IF(N(G553)&gt;N(F553),"Present is more than enrolled",IF(OR(I553&lt;1,I553&gt;5),"Score outside 1 to 5","")))))</f>
        <v/>
      </c>
    </row>
    <row r="554" customFormat="false" ht="15" hidden="false" customHeight="false" outlineLevel="0" collapsed="false">
      <c r="A554" s="52" t="n">
        <v>46087.6349421296</v>
      </c>
      <c r="B554" s="53" t="s">
        <v>140</v>
      </c>
      <c r="C554" s="53" t="s">
        <v>141</v>
      </c>
      <c r="D554" s="53" t="s">
        <v>116</v>
      </c>
      <c r="E554" s="54" t="n">
        <v>46087</v>
      </c>
      <c r="F554" s="55" t="n">
        <v>13</v>
      </c>
      <c r="G554" s="55" t="n">
        <v>12</v>
      </c>
      <c r="H554" s="55" t="n">
        <v>90</v>
      </c>
      <c r="I554" s="56" t="n">
        <v>4.1</v>
      </c>
      <c r="J554" s="53" t="s">
        <v>160</v>
      </c>
      <c r="K554" s="53"/>
      <c r="L554" s="57" t="str">
        <f aca="false">IF(C554="","",IFERROR(INDEX(site_ID,MATCH(C554,site_Name,0)),"Not on SITES"))</f>
        <v>LW-118</v>
      </c>
      <c r="M554" s="58" t="n">
        <f aca="false">IF(E554="","",DATE(YEAR(E554),MONTH(E554),1))</f>
        <v>46082</v>
      </c>
      <c r="N554" s="57" t="str">
        <f aca="false">IF(E554="","","FY"&amp;(YEAR(E554)+IF(AND(FYStart&gt;1,MONTH(E554)&gt;=FYStart),1,0))&amp;" Q"&amp;(INT(MOD(MONTH(E554)-FYStart,12)/3)+1))</f>
        <v>FY2026 Q3</v>
      </c>
      <c r="O554" s="59" t="n">
        <f aca="false">IF(OR(E554="",N(F554)=0),"",G554/F554)</f>
        <v>0.923076923076923</v>
      </c>
      <c r="P554" s="60" t="n">
        <f aca="false">IF(E554="","",ROUND(N(G554)*N(H554)/60,1))</f>
        <v>18</v>
      </c>
      <c r="Q554" s="57" t="str">
        <f aca="false">IF(E554="","",IF(COUNTIFS($C$2:C554,C554,$E$2:E554,E554,$B$2:B554,B554)&gt;1,"No","Yes"))</f>
        <v>Yes</v>
      </c>
      <c r="R554" s="61" t="str">
        <f aca="false">IF(E554="","",IF(Q554="No","Duplicate of an earlier response",IF(L554="Not on SITES","Site not on SITES",IF(N(G554)&gt;N(F554),"Present is more than enrolled",IF(OR(I554&lt;1,I554&gt;5),"Score outside 1 to 5","")))))</f>
        <v/>
      </c>
    </row>
    <row r="555" customFormat="false" ht="15" hidden="false" customHeight="false" outlineLevel="0" collapsed="false">
      <c r="A555" s="52" t="n">
        <v>46087.6428935185</v>
      </c>
      <c r="B555" s="53" t="s">
        <v>105</v>
      </c>
      <c r="C555" s="53" t="s">
        <v>118</v>
      </c>
      <c r="D555" s="53" t="s">
        <v>119</v>
      </c>
      <c r="E555" s="54" t="n">
        <v>46085</v>
      </c>
      <c r="F555" s="55" t="n">
        <v>22</v>
      </c>
      <c r="G555" s="55" t="n">
        <v>17</v>
      </c>
      <c r="H555" s="55" t="n">
        <v>90</v>
      </c>
      <c r="I555" s="56" t="n">
        <v>3.6</v>
      </c>
      <c r="J555" s="53" t="s">
        <v>120</v>
      </c>
      <c r="K555" s="53"/>
      <c r="L555" s="57" t="str">
        <f aca="false">IF(C555="","",IFERROR(INDEX(site_ID,MATCH(C555,site_Name,0)),"Not on SITES"))</f>
        <v>LW-111</v>
      </c>
      <c r="M555" s="58" t="n">
        <f aca="false">IF(E555="","",DATE(YEAR(E555),MONTH(E555),1))</f>
        <v>46082</v>
      </c>
      <c r="N555" s="57" t="str">
        <f aca="false">IF(E555="","","FY"&amp;(YEAR(E555)+IF(AND(FYStart&gt;1,MONTH(E555)&gt;=FYStart),1,0))&amp;" Q"&amp;(INT(MOD(MONTH(E555)-FYStart,12)/3)+1))</f>
        <v>FY2026 Q3</v>
      </c>
      <c r="O555" s="59" t="n">
        <f aca="false">IF(OR(E555="",N(F555)=0),"",G555/F555)</f>
        <v>0.772727272727273</v>
      </c>
      <c r="P555" s="60" t="n">
        <f aca="false">IF(E555="","",ROUND(N(G555)*N(H555)/60,1))</f>
        <v>25.5</v>
      </c>
      <c r="Q555" s="57" t="str">
        <f aca="false">IF(E555="","",IF(COUNTIFS($C$2:C555,C555,$E$2:E555,E555,$B$2:B555,B555)&gt;1,"No","Yes"))</f>
        <v>Yes</v>
      </c>
      <c r="R555" s="61" t="str">
        <f aca="false">IF(E555="","",IF(Q555="No","Duplicate of an earlier response",IF(L555="Not on SITES","Site not on SITES",IF(N(G555)&gt;N(F555),"Present is more than enrolled",IF(OR(I555&lt;1,I555&gt;5),"Score outside 1 to 5","")))))</f>
        <v/>
      </c>
    </row>
    <row r="556" customFormat="false" ht="15" hidden="false" customHeight="false" outlineLevel="0" collapsed="false">
      <c r="A556" s="52" t="n">
        <v>46087.843587963</v>
      </c>
      <c r="B556" s="53" t="s">
        <v>129</v>
      </c>
      <c r="C556" s="53" t="s">
        <v>137</v>
      </c>
      <c r="D556" s="53" t="s">
        <v>138</v>
      </c>
      <c r="E556" s="54" t="n">
        <v>46087</v>
      </c>
      <c r="F556" s="55" t="n">
        <v>16</v>
      </c>
      <c r="G556" s="55" t="n">
        <v>15</v>
      </c>
      <c r="H556" s="55" t="n">
        <v>90</v>
      </c>
      <c r="I556" s="56" t="n">
        <v>3.8</v>
      </c>
      <c r="J556" s="53" t="s">
        <v>139</v>
      </c>
      <c r="K556" s="53"/>
      <c r="L556" s="57" t="str">
        <f aca="false">IF(C556="","",IFERROR(INDEX(site_ID,MATCH(C556,site_Name,0)),"Not on SITES"))</f>
        <v>LW-115</v>
      </c>
      <c r="M556" s="58" t="n">
        <f aca="false">IF(E556="","",DATE(YEAR(E556),MONTH(E556),1))</f>
        <v>46082</v>
      </c>
      <c r="N556" s="57" t="str">
        <f aca="false">IF(E556="","","FY"&amp;(YEAR(E556)+IF(AND(FYStart&gt;1,MONTH(E556)&gt;=FYStart),1,0))&amp;" Q"&amp;(INT(MOD(MONTH(E556)-FYStart,12)/3)+1))</f>
        <v>FY2026 Q3</v>
      </c>
      <c r="O556" s="59" t="n">
        <f aca="false">IF(OR(E556="",N(F556)=0),"",G556/F556)</f>
        <v>0.9375</v>
      </c>
      <c r="P556" s="60" t="n">
        <f aca="false">IF(E556="","",ROUND(N(G556)*N(H556)/60,1))</f>
        <v>22.5</v>
      </c>
      <c r="Q556" s="57" t="str">
        <f aca="false">IF(E556="","",IF(COUNTIFS($C$2:C556,C556,$E$2:E556,E556,$B$2:B556,B556)&gt;1,"No","Yes"))</f>
        <v>Yes</v>
      </c>
      <c r="R556" s="61" t="str">
        <f aca="false">IF(E556="","",IF(Q556="No","Duplicate of an earlier response",IF(L556="Not on SITES","Site not on SITES",IF(N(G556)&gt;N(F556),"Present is more than enrolled",IF(OR(I556&lt;1,I556&gt;5),"Score outside 1 to 5","")))))</f>
        <v/>
      </c>
    </row>
    <row r="557" customFormat="false" ht="15" hidden="false" customHeight="false" outlineLevel="0" collapsed="false">
      <c r="A557" s="52" t="n">
        <v>46089.7355787037</v>
      </c>
      <c r="B557" s="53" t="s">
        <v>111</v>
      </c>
      <c r="C557" s="53" t="s">
        <v>148</v>
      </c>
      <c r="D557" s="53" t="s">
        <v>116</v>
      </c>
      <c r="E557" s="54" t="n">
        <v>46086</v>
      </c>
      <c r="F557" s="55" t="n">
        <v>16</v>
      </c>
      <c r="G557" s="55" t="n">
        <v>11</v>
      </c>
      <c r="H557" s="55" t="n">
        <v>60</v>
      </c>
      <c r="I557" s="56" t="n">
        <v>3.6</v>
      </c>
      <c r="J557" s="53" t="s">
        <v>123</v>
      </c>
      <c r="K557" s="53"/>
      <c r="L557" s="57" t="str">
        <f aca="false">IF(C557="","",IFERROR(INDEX(site_ID,MATCH(C557,site_Name,0)),"Not on SITES"))</f>
        <v>LW-104</v>
      </c>
      <c r="M557" s="58" t="n">
        <f aca="false">IF(E557="","",DATE(YEAR(E557),MONTH(E557),1))</f>
        <v>46082</v>
      </c>
      <c r="N557" s="57" t="str">
        <f aca="false">IF(E557="","","FY"&amp;(YEAR(E557)+IF(AND(FYStart&gt;1,MONTH(E557)&gt;=FYStart),1,0))&amp;" Q"&amp;(INT(MOD(MONTH(E557)-FYStart,12)/3)+1))</f>
        <v>FY2026 Q3</v>
      </c>
      <c r="O557" s="59" t="n">
        <f aca="false">IF(OR(E557="",N(F557)=0),"",G557/F557)</f>
        <v>0.6875</v>
      </c>
      <c r="P557" s="60" t="n">
        <f aca="false">IF(E557="","",ROUND(N(G557)*N(H557)/60,1))</f>
        <v>11</v>
      </c>
      <c r="Q557" s="57" t="str">
        <f aca="false">IF(E557="","",IF(COUNTIFS($C$2:C557,C557,$E$2:E557,E557,$B$2:B557,B557)&gt;1,"No","Yes"))</f>
        <v>Yes</v>
      </c>
      <c r="R557" s="61" t="str">
        <f aca="false">IF(E557="","",IF(Q557="No","Duplicate of an earlier response",IF(L557="Not on SITES","Site not on SITES",IF(N(G557)&gt;N(F557),"Present is more than enrolled",IF(OR(I557&lt;1,I557&gt;5),"Score outside 1 to 5","")))))</f>
        <v/>
      </c>
    </row>
    <row r="558" customFormat="false" ht="15" hidden="false" customHeight="false" outlineLevel="0" collapsed="false">
      <c r="A558" s="52" t="n">
        <v>46090.6285300926</v>
      </c>
      <c r="B558" s="53" t="s">
        <v>105</v>
      </c>
      <c r="C558" s="53" t="s">
        <v>106</v>
      </c>
      <c r="D558" s="53" t="s">
        <v>107</v>
      </c>
      <c r="E558" s="54" t="n">
        <v>46090</v>
      </c>
      <c r="F558" s="55" t="n">
        <v>16</v>
      </c>
      <c r="G558" s="55" t="n">
        <v>13</v>
      </c>
      <c r="H558" s="55" t="n">
        <v>75</v>
      </c>
      <c r="I558" s="56" t="n">
        <v>3.9</v>
      </c>
      <c r="J558" s="53" t="s">
        <v>128</v>
      </c>
      <c r="K558" s="53"/>
      <c r="L558" s="57" t="str">
        <f aca="false">IF(C558="","",IFERROR(INDEX(site_ID,MATCH(C558,site_Name,0)),"Not on SITES"))</f>
        <v>LW-103</v>
      </c>
      <c r="M558" s="58" t="n">
        <f aca="false">IF(E558="","",DATE(YEAR(E558),MONTH(E558),1))</f>
        <v>46082</v>
      </c>
      <c r="N558" s="57" t="str">
        <f aca="false">IF(E558="","","FY"&amp;(YEAR(E558)+IF(AND(FYStart&gt;1,MONTH(E558)&gt;=FYStart),1,0))&amp;" Q"&amp;(INT(MOD(MONTH(E558)-FYStart,12)/3)+1))</f>
        <v>FY2026 Q3</v>
      </c>
      <c r="O558" s="59" t="n">
        <f aca="false">IF(OR(E558="",N(F558)=0),"",G558/F558)</f>
        <v>0.8125</v>
      </c>
      <c r="P558" s="60" t="n">
        <f aca="false">IF(E558="","",ROUND(N(G558)*N(H558)/60,1))</f>
        <v>16.3</v>
      </c>
      <c r="Q558" s="57" t="str">
        <f aca="false">IF(E558="","",IF(COUNTIFS($C$2:C558,C558,$E$2:E558,E558,$B$2:B558,B558)&gt;1,"No","Yes"))</f>
        <v>Yes</v>
      </c>
      <c r="R558" s="61" t="str">
        <f aca="false">IF(E558="","",IF(Q558="No","Duplicate of an earlier response",IF(L558="Not on SITES","Site not on SITES",IF(N(G558)&gt;N(F558),"Present is more than enrolled",IF(OR(I558&lt;1,I558&gt;5),"Score outside 1 to 5","")))))</f>
        <v/>
      </c>
    </row>
    <row r="559" customFormat="false" ht="15" hidden="false" customHeight="false" outlineLevel="0" collapsed="false">
      <c r="A559" s="52" t="n">
        <v>46090.6602430556</v>
      </c>
      <c r="B559" s="53" t="s">
        <v>109</v>
      </c>
      <c r="C559" s="53" t="s">
        <v>110</v>
      </c>
      <c r="D559" s="53" t="s">
        <v>107</v>
      </c>
      <c r="E559" s="54" t="n">
        <v>46090</v>
      </c>
      <c r="F559" s="55" t="n">
        <v>21</v>
      </c>
      <c r="G559" s="55" t="n">
        <v>17</v>
      </c>
      <c r="H559" s="55" t="n">
        <v>90</v>
      </c>
      <c r="I559" s="56" t="n">
        <v>4.2</v>
      </c>
      <c r="J559" s="53" t="s">
        <v>108</v>
      </c>
      <c r="K559" s="53"/>
      <c r="L559" s="57" t="str">
        <f aca="false">IF(C559="","",IFERROR(INDEX(site_ID,MATCH(C559,site_Name,0)),"Not on SITES"))</f>
        <v>LW-113</v>
      </c>
      <c r="M559" s="58" t="n">
        <f aca="false">IF(E559="","",DATE(YEAR(E559),MONTH(E559),1))</f>
        <v>46082</v>
      </c>
      <c r="N559" s="57" t="str">
        <f aca="false">IF(E559="","","FY"&amp;(YEAR(E559)+IF(AND(FYStart&gt;1,MONTH(E559)&gt;=FYStart),1,0))&amp;" Q"&amp;(INT(MOD(MONTH(E559)-FYStart,12)/3)+1))</f>
        <v>FY2026 Q3</v>
      </c>
      <c r="O559" s="59" t="n">
        <f aca="false">IF(OR(E559="",N(F559)=0),"",G559/F559)</f>
        <v>0.80952380952381</v>
      </c>
      <c r="P559" s="60" t="n">
        <f aca="false">IF(E559="","",ROUND(N(G559)*N(H559)/60,1))</f>
        <v>25.5</v>
      </c>
      <c r="Q559" s="57" t="str">
        <f aca="false">IF(E559="","",IF(COUNTIFS($C$2:C559,C559,$E$2:E559,E559,$B$2:B559,B559)&gt;1,"No","Yes"))</f>
        <v>Yes</v>
      </c>
      <c r="R559" s="61" t="str">
        <f aca="false">IF(E559="","",IF(Q559="No","Duplicate of an earlier response",IF(L559="Not on SITES","Site not on SITES",IF(N(G559)&gt;N(F559),"Present is more than enrolled",IF(OR(I559&lt;1,I559&gt;5),"Score outside 1 to 5","")))))</f>
        <v/>
      </c>
    </row>
    <row r="560" customFormat="false" ht="15" hidden="false" customHeight="false" outlineLevel="0" collapsed="false">
      <c r="A560" s="52" t="n">
        <v>46090.7588657407</v>
      </c>
      <c r="B560" s="53" t="s">
        <v>111</v>
      </c>
      <c r="C560" s="53" t="s">
        <v>112</v>
      </c>
      <c r="D560" s="53" t="s">
        <v>113</v>
      </c>
      <c r="E560" s="54" t="n">
        <v>46090</v>
      </c>
      <c r="F560" s="55" t="n">
        <v>15</v>
      </c>
      <c r="G560" s="55" t="n">
        <v>14</v>
      </c>
      <c r="H560" s="55" t="n">
        <v>75</v>
      </c>
      <c r="I560" s="56" t="n">
        <v>3.6</v>
      </c>
      <c r="J560" s="53" t="s">
        <v>131</v>
      </c>
      <c r="K560" s="53"/>
      <c r="L560" s="57" t="str">
        <f aca="false">IF(C560="","",IFERROR(INDEX(site_ID,MATCH(C560,site_Name,0)),"Not on SITES"))</f>
        <v>LW-120</v>
      </c>
      <c r="M560" s="58" t="n">
        <f aca="false">IF(E560="","",DATE(YEAR(E560),MONTH(E560),1))</f>
        <v>46082</v>
      </c>
      <c r="N560" s="57" t="str">
        <f aca="false">IF(E560="","","FY"&amp;(YEAR(E560)+IF(AND(FYStart&gt;1,MONTH(E560)&gt;=FYStart),1,0))&amp;" Q"&amp;(INT(MOD(MONTH(E560)-FYStart,12)/3)+1))</f>
        <v>FY2026 Q3</v>
      </c>
      <c r="O560" s="59" t="n">
        <f aca="false">IF(OR(E560="",N(F560)=0),"",G560/F560)</f>
        <v>0.933333333333333</v>
      </c>
      <c r="P560" s="60" t="n">
        <f aca="false">IF(E560="","",ROUND(N(G560)*N(H560)/60,1))</f>
        <v>17.5</v>
      </c>
      <c r="Q560" s="57" t="str">
        <f aca="false">IF(E560="","",IF(COUNTIFS($C$2:C560,C560,$E$2:E560,E560,$B$2:B560,B560)&gt;1,"No","Yes"))</f>
        <v>Yes</v>
      </c>
      <c r="R560" s="61" t="str">
        <f aca="false">IF(E560="","",IF(Q560="No","Duplicate of an earlier response",IF(L560="Not on SITES","Site not on SITES",IF(N(G560)&gt;N(F560),"Present is more than enrolled",IF(OR(I560&lt;1,I560&gt;5),"Score outside 1 to 5","")))))</f>
        <v/>
      </c>
    </row>
    <row r="561" customFormat="false" ht="15" hidden="false" customHeight="false" outlineLevel="0" collapsed="false">
      <c r="A561" s="52" t="n">
        <v>46090.788900463</v>
      </c>
      <c r="B561" s="53" t="s">
        <v>105</v>
      </c>
      <c r="C561" s="53" t="s">
        <v>118</v>
      </c>
      <c r="D561" s="53" t="s">
        <v>119</v>
      </c>
      <c r="E561" s="54" t="n">
        <v>46090</v>
      </c>
      <c r="F561" s="55" t="n">
        <v>22</v>
      </c>
      <c r="G561" s="55" t="n">
        <v>19</v>
      </c>
      <c r="H561" s="55" t="n">
        <v>90</v>
      </c>
      <c r="I561" s="56" t="n">
        <v>3.5</v>
      </c>
      <c r="J561" s="53" t="s">
        <v>126</v>
      </c>
      <c r="K561" s="53"/>
      <c r="L561" s="57" t="str">
        <f aca="false">IF(C561="","",IFERROR(INDEX(site_ID,MATCH(C561,site_Name,0)),"Not on SITES"))</f>
        <v>LW-111</v>
      </c>
      <c r="M561" s="58" t="n">
        <f aca="false">IF(E561="","",DATE(YEAR(E561),MONTH(E561),1))</f>
        <v>46082</v>
      </c>
      <c r="N561" s="57" t="str">
        <f aca="false">IF(E561="","","FY"&amp;(YEAR(E561)+IF(AND(FYStart&gt;1,MONTH(E561)&gt;=FYStart),1,0))&amp;" Q"&amp;(INT(MOD(MONTH(E561)-FYStart,12)/3)+1))</f>
        <v>FY2026 Q3</v>
      </c>
      <c r="O561" s="59" t="n">
        <f aca="false">IF(OR(E561="",N(F561)=0),"",G561/F561)</f>
        <v>0.863636363636364</v>
      </c>
      <c r="P561" s="60" t="n">
        <f aca="false">IF(E561="","",ROUND(N(G561)*N(H561)/60,1))</f>
        <v>28.5</v>
      </c>
      <c r="Q561" s="57" t="str">
        <f aca="false">IF(E561="","",IF(COUNTIFS($C$2:C561,C561,$E$2:E561,E561,$B$2:B561,B561)&gt;1,"No","Yes"))</f>
        <v>Yes</v>
      </c>
      <c r="R561" s="61" t="str">
        <f aca="false">IF(E561="","",IF(Q561="No","Duplicate of an earlier response",IF(L561="Not on SITES","Site not on SITES",IF(N(G561)&gt;N(F561),"Present is more than enrolled",IF(OR(I561&lt;1,I561&gt;5),"Score outside 1 to 5","")))))</f>
        <v/>
      </c>
    </row>
    <row r="562" customFormat="false" ht="15" hidden="false" customHeight="false" outlineLevel="0" collapsed="false">
      <c r="A562" s="52" t="n">
        <v>46090.8104282407</v>
      </c>
      <c r="B562" s="53" t="s">
        <v>105</v>
      </c>
      <c r="C562" s="53" t="s">
        <v>115</v>
      </c>
      <c r="D562" s="53" t="s">
        <v>116</v>
      </c>
      <c r="E562" s="54" t="n">
        <v>46090</v>
      </c>
      <c r="F562" s="55" t="n">
        <v>16</v>
      </c>
      <c r="G562" s="55" t="n">
        <v>16</v>
      </c>
      <c r="H562" s="55" t="n">
        <v>90</v>
      </c>
      <c r="I562" s="56" t="n">
        <v>3.6</v>
      </c>
      <c r="J562" s="53" t="s">
        <v>123</v>
      </c>
      <c r="K562" s="53"/>
      <c r="L562" s="57" t="str">
        <f aca="false">IF(C562="","",IFERROR(INDEX(site_ID,MATCH(C562,site_Name,0)),"Not on SITES"))</f>
        <v>LW-119</v>
      </c>
      <c r="M562" s="58" t="n">
        <f aca="false">IF(E562="","",DATE(YEAR(E562),MONTH(E562),1))</f>
        <v>46082</v>
      </c>
      <c r="N562" s="57" t="str">
        <f aca="false">IF(E562="","","FY"&amp;(YEAR(E562)+IF(AND(FYStart&gt;1,MONTH(E562)&gt;=FYStart),1,0))&amp;" Q"&amp;(INT(MOD(MONTH(E562)-FYStart,12)/3)+1))</f>
        <v>FY2026 Q3</v>
      </c>
      <c r="O562" s="59" t="n">
        <f aca="false">IF(OR(E562="",N(F562)=0),"",G562/F562)</f>
        <v>1</v>
      </c>
      <c r="P562" s="60" t="n">
        <f aca="false">IF(E562="","",ROUND(N(G562)*N(H562)/60,1))</f>
        <v>24</v>
      </c>
      <c r="Q562" s="57" t="str">
        <f aca="false">IF(E562="","",IF(COUNTIFS($C$2:C562,C562,$E$2:E562,E562,$B$2:B562,B562)&gt;1,"No","Yes"))</f>
        <v>Yes</v>
      </c>
      <c r="R562" s="61" t="str">
        <f aca="false">IF(E562="","",IF(Q562="No","Duplicate of an earlier response",IF(L562="Not on SITES","Site not on SITES",IF(N(G562)&gt;N(F562),"Present is more than enrolled",IF(OR(I562&lt;1,I562&gt;5),"Score outside 1 to 5","")))))</f>
        <v/>
      </c>
    </row>
    <row r="563" customFormat="false" ht="15" hidden="false" customHeight="false" outlineLevel="0" collapsed="false">
      <c r="A563" s="52" t="n">
        <v>46091.6351388889</v>
      </c>
      <c r="B563" s="53" t="s">
        <v>121</v>
      </c>
      <c r="C563" s="53" t="s">
        <v>127</v>
      </c>
      <c r="D563" s="53" t="s">
        <v>107</v>
      </c>
      <c r="E563" s="54" t="n">
        <v>46091</v>
      </c>
      <c r="F563" s="55" t="n">
        <v>15</v>
      </c>
      <c r="G563" s="55" t="n">
        <v>12</v>
      </c>
      <c r="H563" s="55" t="n">
        <v>75</v>
      </c>
      <c r="I563" s="56" t="n">
        <v>4.4</v>
      </c>
      <c r="J563" s="53" t="s">
        <v>156</v>
      </c>
      <c r="K563" s="53"/>
      <c r="L563" s="57" t="str">
        <f aca="false">IF(C563="","",IFERROR(INDEX(site_ID,MATCH(C563,site_Name,0)),"Not on SITES"))</f>
        <v>LW-108</v>
      </c>
      <c r="M563" s="58" t="n">
        <f aca="false">IF(E563="","",DATE(YEAR(E563),MONTH(E563),1))</f>
        <v>46082</v>
      </c>
      <c r="N563" s="57" t="str">
        <f aca="false">IF(E563="","","FY"&amp;(YEAR(E563)+IF(AND(FYStart&gt;1,MONTH(E563)&gt;=FYStart),1,0))&amp;" Q"&amp;(INT(MOD(MONTH(E563)-FYStart,12)/3)+1))</f>
        <v>FY2026 Q3</v>
      </c>
      <c r="O563" s="59" t="n">
        <f aca="false">IF(OR(E563="",N(F563)=0),"",G563/F563)</f>
        <v>0.8</v>
      </c>
      <c r="P563" s="60" t="n">
        <f aca="false">IF(E563="","",ROUND(N(G563)*N(H563)/60,1))</f>
        <v>15</v>
      </c>
      <c r="Q563" s="57" t="str">
        <f aca="false">IF(E563="","",IF(COUNTIFS($C$2:C563,C563,$E$2:E563,E563,$B$2:B563,B563)&gt;1,"No","Yes"))</f>
        <v>Yes</v>
      </c>
      <c r="R563" s="61" t="str">
        <f aca="false">IF(E563="","",IF(Q563="No","Duplicate of an earlier response",IF(L563="Not on SITES","Site not on SITES",IF(N(G563)&gt;N(F563),"Present is more than enrolled",IF(OR(I563&lt;1,I563&gt;5),"Score outside 1 to 5","")))))</f>
        <v/>
      </c>
    </row>
    <row r="564" customFormat="false" ht="15" hidden="false" customHeight="false" outlineLevel="0" collapsed="false">
      <c r="A564" s="52" t="n">
        <v>46091.6907060185</v>
      </c>
      <c r="B564" s="53" t="s">
        <v>124</v>
      </c>
      <c r="C564" s="53" t="s">
        <v>125</v>
      </c>
      <c r="D564" s="53" t="s">
        <v>119</v>
      </c>
      <c r="E564" s="54" t="n">
        <v>46091</v>
      </c>
      <c r="F564" s="55" t="n">
        <v>18</v>
      </c>
      <c r="G564" s="55" t="n">
        <v>15</v>
      </c>
      <c r="H564" s="55" t="n">
        <v>75</v>
      </c>
      <c r="I564" s="56" t="n">
        <v>3.8</v>
      </c>
      <c r="J564" s="53" t="s">
        <v>144</v>
      </c>
      <c r="K564" s="53"/>
      <c r="L564" s="57" t="str">
        <f aca="false">IF(C564="","",IFERROR(INDEX(site_ID,MATCH(C564,site_Name,0)),"Not on SITES"))</f>
        <v>LW-106</v>
      </c>
      <c r="M564" s="58" t="n">
        <f aca="false">IF(E564="","",DATE(YEAR(E564),MONTH(E564),1))</f>
        <v>46082</v>
      </c>
      <c r="N564" s="57" t="str">
        <f aca="false">IF(E564="","","FY"&amp;(YEAR(E564)+IF(AND(FYStart&gt;1,MONTH(E564)&gt;=FYStart),1,0))&amp;" Q"&amp;(INT(MOD(MONTH(E564)-FYStart,12)/3)+1))</f>
        <v>FY2026 Q3</v>
      </c>
      <c r="O564" s="59" t="n">
        <f aca="false">IF(OR(E564="",N(F564)=0),"",G564/F564)</f>
        <v>0.833333333333333</v>
      </c>
      <c r="P564" s="60" t="n">
        <f aca="false">IF(E564="","",ROUND(N(G564)*N(H564)/60,1))</f>
        <v>18.8</v>
      </c>
      <c r="Q564" s="57" t="str">
        <f aca="false">IF(E564="","",IF(COUNTIFS($C$2:C564,C564,$E$2:E564,E564,$B$2:B564,B564)&gt;1,"No","Yes"))</f>
        <v>Yes</v>
      </c>
      <c r="R564" s="61" t="str">
        <f aca="false">IF(E564="","",IF(Q564="No","Duplicate of an earlier response",IF(L564="Not on SITES","Site not on SITES",IF(N(G564)&gt;N(F564),"Present is more than enrolled",IF(OR(I564&lt;1,I564&gt;5),"Score outside 1 to 5","")))))</f>
        <v/>
      </c>
    </row>
    <row r="565" customFormat="false" ht="15" hidden="false" customHeight="false" outlineLevel="0" collapsed="false">
      <c r="A565" s="52" t="n">
        <v>46091.7267476852</v>
      </c>
      <c r="B565" s="53" t="s">
        <v>132</v>
      </c>
      <c r="C565" s="53" t="s">
        <v>133</v>
      </c>
      <c r="D565" s="53" t="s">
        <v>116</v>
      </c>
      <c r="E565" s="54" t="n">
        <v>46091</v>
      </c>
      <c r="F565" s="55" t="n">
        <v>17</v>
      </c>
      <c r="G565" s="55" t="n">
        <v>14</v>
      </c>
      <c r="H565" s="55" t="n">
        <v>60</v>
      </c>
      <c r="I565" s="56" t="n">
        <v>3.8</v>
      </c>
      <c r="J565" s="53" t="s">
        <v>160</v>
      </c>
      <c r="K565" s="53"/>
      <c r="L565" s="57" t="str">
        <f aca="false">IF(C565="","",IFERROR(INDEX(site_ID,MATCH(C565,site_Name,0)),"Not on SITES"))</f>
        <v>LW-109</v>
      </c>
      <c r="M565" s="58" t="n">
        <f aca="false">IF(E565="","",DATE(YEAR(E565),MONTH(E565),1))</f>
        <v>46082</v>
      </c>
      <c r="N565" s="57" t="str">
        <f aca="false">IF(E565="","","FY"&amp;(YEAR(E565)+IF(AND(FYStart&gt;1,MONTH(E565)&gt;=FYStart),1,0))&amp;" Q"&amp;(INT(MOD(MONTH(E565)-FYStart,12)/3)+1))</f>
        <v>FY2026 Q3</v>
      </c>
      <c r="O565" s="59" t="n">
        <f aca="false">IF(OR(E565="",N(F565)=0),"",G565/F565)</f>
        <v>0.823529411764706</v>
      </c>
      <c r="P565" s="60" t="n">
        <f aca="false">IF(E565="","",ROUND(N(G565)*N(H565)/60,1))</f>
        <v>14</v>
      </c>
      <c r="Q565" s="57" t="str">
        <f aca="false">IF(E565="","",IF(COUNTIFS($C$2:C565,C565,$E$2:E565,E565,$B$2:B565,B565)&gt;1,"No","Yes"))</f>
        <v>Yes</v>
      </c>
      <c r="R565" s="61" t="str">
        <f aca="false">IF(E565="","",IF(Q565="No","Duplicate of an earlier response",IF(L565="Not on SITES","Site not on SITES",IF(N(G565)&gt;N(F565),"Present is more than enrolled",IF(OR(I565&lt;1,I565&gt;5),"Score outside 1 to 5","")))))</f>
        <v/>
      </c>
    </row>
    <row r="566" customFormat="false" ht="15" hidden="false" customHeight="false" outlineLevel="0" collapsed="false">
      <c r="A566" s="52" t="n">
        <v>46091.7685763889</v>
      </c>
      <c r="B566" s="53" t="s">
        <v>121</v>
      </c>
      <c r="C566" s="53" t="s">
        <v>122</v>
      </c>
      <c r="D566" s="53" t="s">
        <v>116</v>
      </c>
      <c r="E566" s="54" t="n">
        <v>46091</v>
      </c>
      <c r="F566" s="55" t="n">
        <v>16</v>
      </c>
      <c r="G566" s="55" t="n">
        <v>13</v>
      </c>
      <c r="H566" s="55" t="n">
        <v>60</v>
      </c>
      <c r="I566" s="56" t="n">
        <v>4</v>
      </c>
      <c r="J566" s="53" t="s">
        <v>123</v>
      </c>
      <c r="K566" s="53"/>
      <c r="L566" s="57" t="str">
        <f aca="false">IF(C566="","",IFERROR(INDEX(site_ID,MATCH(C566,site_Name,0)),"Not on SITES"))</f>
        <v>LW-116</v>
      </c>
      <c r="M566" s="58" t="n">
        <f aca="false">IF(E566="","",DATE(YEAR(E566),MONTH(E566),1))</f>
        <v>46082</v>
      </c>
      <c r="N566" s="57" t="str">
        <f aca="false">IF(E566="","","FY"&amp;(YEAR(E566)+IF(AND(FYStart&gt;1,MONTH(E566)&gt;=FYStart),1,0))&amp;" Q"&amp;(INT(MOD(MONTH(E566)-FYStart,12)/3)+1))</f>
        <v>FY2026 Q3</v>
      </c>
      <c r="O566" s="59" t="n">
        <f aca="false">IF(OR(E566="",N(F566)=0),"",G566/F566)</f>
        <v>0.8125</v>
      </c>
      <c r="P566" s="60" t="n">
        <f aca="false">IF(E566="","",ROUND(N(G566)*N(H566)/60,1))</f>
        <v>13</v>
      </c>
      <c r="Q566" s="57" t="str">
        <f aca="false">IF(E566="","",IF(COUNTIFS($C$2:C566,C566,$E$2:E566,E566,$B$2:B566,B566)&gt;1,"No","Yes"))</f>
        <v>Yes</v>
      </c>
      <c r="R566" s="61" t="str">
        <f aca="false">IF(E566="","",IF(Q566="No","Duplicate of an earlier response",IF(L566="Not on SITES","Site not on SITES",IF(N(G566)&gt;N(F566),"Present is more than enrolled",IF(OR(I566&lt;1,I566&gt;5),"Score outside 1 to 5","")))))</f>
        <v/>
      </c>
    </row>
    <row r="567" customFormat="false" ht="15" hidden="false" customHeight="false" outlineLevel="0" collapsed="false">
      <c r="A567" s="52" t="n">
        <v>46091.7802199074</v>
      </c>
      <c r="B567" s="53" t="s">
        <v>129</v>
      </c>
      <c r="C567" s="53" t="s">
        <v>130</v>
      </c>
      <c r="D567" s="53" t="s">
        <v>113</v>
      </c>
      <c r="E567" s="54" t="n">
        <v>46091</v>
      </c>
      <c r="F567" s="55" t="n">
        <v>16</v>
      </c>
      <c r="G567" s="55" t="n">
        <v>12</v>
      </c>
      <c r="H567" s="55" t="n">
        <v>60</v>
      </c>
      <c r="I567" s="56" t="n">
        <v>3.5</v>
      </c>
      <c r="J567" s="53" t="s">
        <v>114</v>
      </c>
      <c r="K567" s="53"/>
      <c r="L567" s="57" t="str">
        <f aca="false">IF(C567="","",IFERROR(INDEX(site_ID,MATCH(C567,site_Name,0)),"Not on SITES"))</f>
        <v>LW-107</v>
      </c>
      <c r="M567" s="58" t="n">
        <f aca="false">IF(E567="","",DATE(YEAR(E567),MONTH(E567),1))</f>
        <v>46082</v>
      </c>
      <c r="N567" s="57" t="str">
        <f aca="false">IF(E567="","","FY"&amp;(YEAR(E567)+IF(AND(FYStart&gt;1,MONTH(E567)&gt;=FYStart),1,0))&amp;" Q"&amp;(INT(MOD(MONTH(E567)-FYStart,12)/3)+1))</f>
        <v>FY2026 Q3</v>
      </c>
      <c r="O567" s="59" t="n">
        <f aca="false">IF(OR(E567="",N(F567)=0),"",G567/F567)</f>
        <v>0.75</v>
      </c>
      <c r="P567" s="60" t="n">
        <f aca="false">IF(E567="","",ROUND(N(G567)*N(H567)/60,1))</f>
        <v>12</v>
      </c>
      <c r="Q567" s="57" t="str">
        <f aca="false">IF(E567="","",IF(COUNTIFS($C$2:C567,C567,$E$2:E567,E567,$B$2:B567,B567)&gt;1,"No","Yes"))</f>
        <v>Yes</v>
      </c>
      <c r="R567" s="61" t="str">
        <f aca="false">IF(E567="","",IF(Q567="No","Duplicate of an earlier response",IF(L567="Not on SITES","Site not on SITES",IF(N(G567)&gt;N(F567),"Present is more than enrolled",IF(OR(I567&lt;1,I567&gt;5),"Score outside 1 to 5","")))))</f>
        <v/>
      </c>
    </row>
    <row r="568" customFormat="false" ht="15" hidden="false" customHeight="false" outlineLevel="0" collapsed="false">
      <c r="A568" s="52" t="n">
        <v>46092.6321412037</v>
      </c>
      <c r="B568" s="53" t="s">
        <v>129</v>
      </c>
      <c r="C568" s="53" t="s">
        <v>137</v>
      </c>
      <c r="D568" s="53" t="s">
        <v>138</v>
      </c>
      <c r="E568" s="54" t="n">
        <v>46092</v>
      </c>
      <c r="F568" s="55" t="n">
        <v>16</v>
      </c>
      <c r="G568" s="55" t="n">
        <v>13</v>
      </c>
      <c r="H568" s="55" t="n">
        <v>90</v>
      </c>
      <c r="I568" s="56" t="n">
        <v>3.8</v>
      </c>
      <c r="J568" s="53" t="s">
        <v>139</v>
      </c>
      <c r="K568" s="53"/>
      <c r="L568" s="57" t="str">
        <f aca="false">IF(C568="","",IFERROR(INDEX(site_ID,MATCH(C568,site_Name,0)),"Not on SITES"))</f>
        <v>LW-115</v>
      </c>
      <c r="M568" s="58" t="n">
        <f aca="false">IF(E568="","",DATE(YEAR(E568),MONTH(E568),1))</f>
        <v>46082</v>
      </c>
      <c r="N568" s="57" t="str">
        <f aca="false">IF(E568="","","FY"&amp;(YEAR(E568)+IF(AND(FYStart&gt;1,MONTH(E568)&gt;=FYStart),1,0))&amp;" Q"&amp;(INT(MOD(MONTH(E568)-FYStart,12)/3)+1))</f>
        <v>FY2026 Q3</v>
      </c>
      <c r="O568" s="59" t="n">
        <f aca="false">IF(OR(E568="",N(F568)=0),"",G568/F568)</f>
        <v>0.8125</v>
      </c>
      <c r="P568" s="60" t="n">
        <f aca="false">IF(E568="","",ROUND(N(G568)*N(H568)/60,1))</f>
        <v>19.5</v>
      </c>
      <c r="Q568" s="57" t="str">
        <f aca="false">IF(E568="","",IF(COUNTIFS($C$2:C568,C568,$E$2:E568,E568,$B$2:B568,B568)&gt;1,"No","Yes"))</f>
        <v>Yes</v>
      </c>
      <c r="R568" s="61" t="str">
        <f aca="false">IF(E568="","",IF(Q568="No","Duplicate of an earlier response",IF(L568="Not on SITES","Site not on SITES",IF(N(G568)&gt;N(F568),"Present is more than enrolled",IF(OR(I568&lt;1,I568&gt;5),"Score outside 1 to 5","")))))</f>
        <v/>
      </c>
    </row>
    <row r="569" customFormat="false" ht="15" hidden="false" customHeight="false" outlineLevel="0" collapsed="false">
      <c r="A569" s="52" t="n">
        <v>46092.7702893519</v>
      </c>
      <c r="B569" s="53" t="s">
        <v>140</v>
      </c>
      <c r="C569" s="53" t="s">
        <v>142</v>
      </c>
      <c r="D569" s="53" t="s">
        <v>113</v>
      </c>
      <c r="E569" s="54" t="n">
        <v>46092</v>
      </c>
      <c r="F569" s="55" t="n">
        <v>18</v>
      </c>
      <c r="G569" s="55" t="n">
        <v>18</v>
      </c>
      <c r="H569" s="55" t="n">
        <v>75</v>
      </c>
      <c r="I569" s="56" t="n">
        <v>3.2</v>
      </c>
      <c r="J569" s="53" t="s">
        <v>131</v>
      </c>
      <c r="K569" s="53"/>
      <c r="L569" s="57" t="str">
        <f aca="false">IF(C569="","",IFERROR(INDEX(site_ID,MATCH(C569,site_Name,0)),"Not on SITES"))</f>
        <v>LW-102</v>
      </c>
      <c r="M569" s="58" t="n">
        <f aca="false">IF(E569="","",DATE(YEAR(E569),MONTH(E569),1))</f>
        <v>46082</v>
      </c>
      <c r="N569" s="57" t="str">
        <f aca="false">IF(E569="","","FY"&amp;(YEAR(E569)+IF(AND(FYStart&gt;1,MONTH(E569)&gt;=FYStart),1,0))&amp;" Q"&amp;(INT(MOD(MONTH(E569)-FYStart,12)/3)+1))</f>
        <v>FY2026 Q3</v>
      </c>
      <c r="O569" s="59" t="n">
        <f aca="false">IF(OR(E569="",N(F569)=0),"",G569/F569)</f>
        <v>1</v>
      </c>
      <c r="P569" s="60" t="n">
        <f aca="false">IF(E569="","",ROUND(N(G569)*N(H569)/60,1))</f>
        <v>22.5</v>
      </c>
      <c r="Q569" s="57" t="str">
        <f aca="false">IF(E569="","",IF(COUNTIFS($C$2:C569,C569,$E$2:E569,E569,$B$2:B569,B569)&gt;1,"No","Yes"))</f>
        <v>Yes</v>
      </c>
      <c r="R569" s="61" t="str">
        <f aca="false">IF(E569="","",IF(Q569="No","Duplicate of an earlier response",IF(L569="Not on SITES","Site not on SITES",IF(N(G569)&gt;N(F569),"Present is more than enrolled",IF(OR(I569&lt;1,I569&gt;5),"Score outside 1 to 5","")))))</f>
        <v/>
      </c>
    </row>
    <row r="570" customFormat="false" ht="15" hidden="false" customHeight="false" outlineLevel="0" collapsed="false">
      <c r="A570" s="52" t="n">
        <v>46092.7764583333</v>
      </c>
      <c r="B570" s="53" t="s">
        <v>111</v>
      </c>
      <c r="C570" s="53" t="s">
        <v>112</v>
      </c>
      <c r="D570" s="53" t="s">
        <v>113</v>
      </c>
      <c r="E570" s="54" t="n">
        <v>46092</v>
      </c>
      <c r="F570" s="55" t="n">
        <v>15</v>
      </c>
      <c r="G570" s="55" t="n">
        <v>12</v>
      </c>
      <c r="H570" s="55" t="n">
        <v>60</v>
      </c>
      <c r="I570" s="56" t="n">
        <v>3.8</v>
      </c>
      <c r="J570" s="53" t="s">
        <v>136</v>
      </c>
      <c r="K570" s="53"/>
      <c r="L570" s="57" t="str">
        <f aca="false">IF(C570="","",IFERROR(INDEX(site_ID,MATCH(C570,site_Name,0)),"Not on SITES"))</f>
        <v>LW-120</v>
      </c>
      <c r="M570" s="58" t="n">
        <f aca="false">IF(E570="","",DATE(YEAR(E570),MONTH(E570),1))</f>
        <v>46082</v>
      </c>
      <c r="N570" s="57" t="str">
        <f aca="false">IF(E570="","","FY"&amp;(YEAR(E570)+IF(AND(FYStart&gt;1,MONTH(E570)&gt;=FYStart),1,0))&amp;" Q"&amp;(INT(MOD(MONTH(E570)-FYStart,12)/3)+1))</f>
        <v>FY2026 Q3</v>
      </c>
      <c r="O570" s="59" t="n">
        <f aca="false">IF(OR(E570="",N(F570)=0),"",G570/F570)</f>
        <v>0.8</v>
      </c>
      <c r="P570" s="60" t="n">
        <f aca="false">IF(E570="","",ROUND(N(G570)*N(H570)/60,1))</f>
        <v>12</v>
      </c>
      <c r="Q570" s="57" t="str">
        <f aca="false">IF(E570="","",IF(COUNTIFS($C$2:C570,C570,$E$2:E570,E570,$B$2:B570,B570)&gt;1,"No","Yes"))</f>
        <v>Yes</v>
      </c>
      <c r="R570" s="61" t="str">
        <f aca="false">IF(E570="","",IF(Q570="No","Duplicate of an earlier response",IF(L570="Not on SITES","Site not on SITES",IF(N(G570)&gt;N(F570),"Present is more than enrolled",IF(OR(I570&lt;1,I570&gt;5),"Score outside 1 to 5","")))))</f>
        <v/>
      </c>
    </row>
    <row r="571" customFormat="false" ht="15" hidden="false" customHeight="false" outlineLevel="0" collapsed="false">
      <c r="A571" s="52" t="n">
        <v>46092.7990625</v>
      </c>
      <c r="B571" s="53" t="s">
        <v>140</v>
      </c>
      <c r="C571" s="53" t="s">
        <v>141</v>
      </c>
      <c r="D571" s="53" t="s">
        <v>116</v>
      </c>
      <c r="E571" s="54" t="n">
        <v>46092</v>
      </c>
      <c r="F571" s="55" t="n">
        <v>13</v>
      </c>
      <c r="G571" s="55" t="n">
        <v>11</v>
      </c>
      <c r="H571" s="55" t="n">
        <v>60</v>
      </c>
      <c r="I571" s="56" t="n">
        <v>3.9</v>
      </c>
      <c r="J571" s="53" t="s">
        <v>160</v>
      </c>
      <c r="K571" s="53"/>
      <c r="L571" s="57" t="str">
        <f aca="false">IF(C571="","",IFERROR(INDEX(site_ID,MATCH(C571,site_Name,0)),"Not on SITES"))</f>
        <v>LW-118</v>
      </c>
      <c r="M571" s="58" t="n">
        <f aca="false">IF(E571="","",DATE(YEAR(E571),MONTH(E571),1))</f>
        <v>46082</v>
      </c>
      <c r="N571" s="57" t="str">
        <f aca="false">IF(E571="","","FY"&amp;(YEAR(E571)+IF(AND(FYStart&gt;1,MONTH(E571)&gt;=FYStart),1,0))&amp;" Q"&amp;(INT(MOD(MONTH(E571)-FYStart,12)/3)+1))</f>
        <v>FY2026 Q3</v>
      </c>
      <c r="O571" s="59" t="n">
        <f aca="false">IF(OR(E571="",N(F571)=0),"",G571/F571)</f>
        <v>0.846153846153846</v>
      </c>
      <c r="P571" s="60" t="n">
        <f aca="false">IF(E571="","",ROUND(N(G571)*N(H571)/60,1))</f>
        <v>11</v>
      </c>
      <c r="Q571" s="57" t="str">
        <f aca="false">IF(E571="","",IF(COUNTIFS($C$2:C571,C571,$E$2:E571,E571,$B$2:B571,B571)&gt;1,"No","Yes"))</f>
        <v>Yes</v>
      </c>
      <c r="R571" s="61" t="str">
        <f aca="false">IF(E571="","",IF(Q571="No","Duplicate of an earlier response",IF(L571="Not on SITES","Site not on SITES",IF(N(G571)&gt;N(F571),"Present is more than enrolled",IF(OR(I571&lt;1,I571&gt;5),"Score outside 1 to 5","")))))</f>
        <v/>
      </c>
    </row>
    <row r="572" customFormat="false" ht="15" hidden="false" customHeight="false" outlineLevel="0" collapsed="false">
      <c r="A572" s="52" t="n">
        <v>46092.8555092593</v>
      </c>
      <c r="B572" s="53" t="s">
        <v>105</v>
      </c>
      <c r="C572" s="53" t="s">
        <v>118</v>
      </c>
      <c r="D572" s="53" t="s">
        <v>119</v>
      </c>
      <c r="E572" s="54" t="n">
        <v>46092</v>
      </c>
      <c r="F572" s="55" t="n">
        <v>22</v>
      </c>
      <c r="G572" s="55" t="n">
        <v>16</v>
      </c>
      <c r="H572" s="55" t="n">
        <v>75</v>
      </c>
      <c r="I572" s="56" t="n">
        <v>3.9</v>
      </c>
      <c r="J572" s="53" t="s">
        <v>157</v>
      </c>
      <c r="K572" s="53"/>
      <c r="L572" s="57" t="str">
        <f aca="false">IF(C572="","",IFERROR(INDEX(site_ID,MATCH(C572,site_Name,0)),"Not on SITES"))</f>
        <v>LW-111</v>
      </c>
      <c r="M572" s="58" t="n">
        <f aca="false">IF(E572="","",DATE(YEAR(E572),MONTH(E572),1))</f>
        <v>46082</v>
      </c>
      <c r="N572" s="57" t="str">
        <f aca="false">IF(E572="","","FY"&amp;(YEAR(E572)+IF(AND(FYStart&gt;1,MONTH(E572)&gt;=FYStart),1,0))&amp;" Q"&amp;(INT(MOD(MONTH(E572)-FYStart,12)/3)+1))</f>
        <v>FY2026 Q3</v>
      </c>
      <c r="O572" s="59" t="n">
        <f aca="false">IF(OR(E572="",N(F572)=0),"",G572/F572)</f>
        <v>0.727272727272727</v>
      </c>
      <c r="P572" s="60" t="n">
        <f aca="false">IF(E572="","",ROUND(N(G572)*N(H572)/60,1))</f>
        <v>20</v>
      </c>
      <c r="Q572" s="57" t="str">
        <f aca="false">IF(E572="","",IF(COUNTIFS($C$2:C572,C572,$E$2:E572,E572,$B$2:B572,B572)&gt;1,"No","Yes"))</f>
        <v>Yes</v>
      </c>
      <c r="R572" s="61" t="str">
        <f aca="false">IF(E572="","",IF(Q572="No","Duplicate of an earlier response",IF(L572="Not on SITES","Site not on SITES",IF(N(G572)&gt;N(F572),"Present is more than enrolled",IF(OR(I572&lt;1,I572&gt;5),"Score outside 1 to 5","")))))</f>
        <v/>
      </c>
    </row>
    <row r="573" customFormat="false" ht="15" hidden="false" customHeight="false" outlineLevel="0" collapsed="false">
      <c r="A573" s="52" t="n">
        <v>46093.6376041667</v>
      </c>
      <c r="B573" s="53" t="s">
        <v>109</v>
      </c>
      <c r="C573" s="53" t="s">
        <v>146</v>
      </c>
      <c r="D573" s="53" t="s">
        <v>138</v>
      </c>
      <c r="E573" s="54" t="n">
        <v>46093</v>
      </c>
      <c r="F573" s="55" t="n">
        <v>14</v>
      </c>
      <c r="G573" s="55" t="n">
        <v>13</v>
      </c>
      <c r="H573" s="55" t="n">
        <v>90</v>
      </c>
      <c r="I573" s="56" t="n">
        <v>4.4</v>
      </c>
      <c r="J573" s="53" t="s">
        <v>139</v>
      </c>
      <c r="K573" s="53"/>
      <c r="L573" s="57" t="str">
        <f aca="false">IF(C573="","",IFERROR(INDEX(site_ID,MATCH(C573,site_Name,0)),"Not on SITES"))</f>
        <v>LW-105</v>
      </c>
      <c r="M573" s="58" t="n">
        <f aca="false">IF(E573="","",DATE(YEAR(E573),MONTH(E573),1))</f>
        <v>46082</v>
      </c>
      <c r="N573" s="57" t="str">
        <f aca="false">IF(E573="","","FY"&amp;(YEAR(E573)+IF(AND(FYStart&gt;1,MONTH(E573)&gt;=FYStart),1,0))&amp;" Q"&amp;(INT(MOD(MONTH(E573)-FYStart,12)/3)+1))</f>
        <v>FY2026 Q3</v>
      </c>
      <c r="O573" s="59" t="n">
        <f aca="false">IF(OR(E573="",N(F573)=0),"",G573/F573)</f>
        <v>0.928571428571429</v>
      </c>
      <c r="P573" s="60" t="n">
        <f aca="false">IF(E573="","",ROUND(N(G573)*N(H573)/60,1))</f>
        <v>19.5</v>
      </c>
      <c r="Q573" s="57" t="str">
        <f aca="false">IF(E573="","",IF(COUNTIFS($C$2:C573,C573,$E$2:E573,E573,$B$2:B573,B573)&gt;1,"No","Yes"))</f>
        <v>Yes</v>
      </c>
      <c r="R573" s="61" t="str">
        <f aca="false">IF(E573="","",IF(Q573="No","Duplicate of an earlier response",IF(L573="Not on SITES","Site not on SITES",IF(N(G573)&gt;N(F573),"Present is more than enrolled",IF(OR(I573&lt;1,I573&gt;5),"Score outside 1 to 5","")))))</f>
        <v/>
      </c>
    </row>
    <row r="574" customFormat="false" ht="15" hidden="false" customHeight="false" outlineLevel="0" collapsed="false">
      <c r="A574" s="52" t="n">
        <v>46093.6756712963</v>
      </c>
      <c r="B574" s="53" t="s">
        <v>140</v>
      </c>
      <c r="C574" s="53" t="s">
        <v>151</v>
      </c>
      <c r="D574" s="53" t="s">
        <v>138</v>
      </c>
      <c r="E574" s="54" t="n">
        <v>46093</v>
      </c>
      <c r="F574" s="55" t="n">
        <v>13</v>
      </c>
      <c r="G574" s="55" t="n">
        <v>11</v>
      </c>
      <c r="H574" s="55" t="n">
        <v>90</v>
      </c>
      <c r="I574" s="56" t="n">
        <v>4</v>
      </c>
      <c r="J574" s="53" t="s">
        <v>164</v>
      </c>
      <c r="K574" s="53"/>
      <c r="L574" s="57" t="str">
        <f aca="false">IF(C574="","",IFERROR(INDEX(site_ID,MATCH(C574,site_Name,0)),"Not on SITES"))</f>
        <v>LW-110</v>
      </c>
      <c r="M574" s="58" t="n">
        <f aca="false">IF(E574="","",DATE(YEAR(E574),MONTH(E574),1))</f>
        <v>46082</v>
      </c>
      <c r="N574" s="57" t="str">
        <f aca="false">IF(E574="","","FY"&amp;(YEAR(E574)+IF(AND(FYStart&gt;1,MONTH(E574)&gt;=FYStart),1,0))&amp;" Q"&amp;(INT(MOD(MONTH(E574)-FYStart,12)/3)+1))</f>
        <v>FY2026 Q3</v>
      </c>
      <c r="O574" s="59" t="n">
        <f aca="false">IF(OR(E574="",N(F574)=0),"",G574/F574)</f>
        <v>0.846153846153846</v>
      </c>
      <c r="P574" s="60" t="n">
        <f aca="false">IF(E574="","",ROUND(N(G574)*N(H574)/60,1))</f>
        <v>16.5</v>
      </c>
      <c r="Q574" s="57" t="str">
        <f aca="false">IF(E574="","",IF(COUNTIFS($C$2:C574,C574,$E$2:E574,E574,$B$2:B574,B574)&gt;1,"No","Yes"))</f>
        <v>Yes</v>
      </c>
      <c r="R574" s="61" t="str">
        <f aca="false">IF(E574="","",IF(Q574="No","Duplicate of an earlier response",IF(L574="Not on SITES","Site not on SITES",IF(N(G574)&gt;N(F574),"Present is more than enrolled",IF(OR(I574&lt;1,I574&gt;5),"Score outside 1 to 5","")))))</f>
        <v/>
      </c>
    </row>
    <row r="575" customFormat="false" ht="15" hidden="false" customHeight="false" outlineLevel="0" collapsed="false">
      <c r="A575" s="52" t="n">
        <v>46093.6970833333</v>
      </c>
      <c r="B575" s="53" t="s">
        <v>132</v>
      </c>
      <c r="C575" s="53" t="s">
        <v>150</v>
      </c>
      <c r="D575" s="53" t="s">
        <v>138</v>
      </c>
      <c r="E575" s="54" t="n">
        <v>46093</v>
      </c>
      <c r="F575" s="55" t="n">
        <v>21</v>
      </c>
      <c r="G575" s="55" t="n">
        <v>16</v>
      </c>
      <c r="H575" s="55" t="n">
        <v>90</v>
      </c>
      <c r="I575" s="56" t="n">
        <v>4.2</v>
      </c>
      <c r="J575" s="53" t="s">
        <v>164</v>
      </c>
      <c r="K575" s="53"/>
      <c r="L575" s="57" t="str">
        <f aca="false">IF(C575="","",IFERROR(INDEX(site_ID,MATCH(C575,site_Name,0)),"Not on SITES"))</f>
        <v>LW-117</v>
      </c>
      <c r="M575" s="58" t="n">
        <f aca="false">IF(E575="","",DATE(YEAR(E575),MONTH(E575),1))</f>
        <v>46082</v>
      </c>
      <c r="N575" s="57" t="str">
        <f aca="false">IF(E575="","","FY"&amp;(YEAR(E575)+IF(AND(FYStart&gt;1,MONTH(E575)&gt;=FYStart),1,0))&amp;" Q"&amp;(INT(MOD(MONTH(E575)-FYStart,12)/3)+1))</f>
        <v>FY2026 Q3</v>
      </c>
      <c r="O575" s="59" t="n">
        <f aca="false">IF(OR(E575="",N(F575)=0),"",G575/F575)</f>
        <v>0.761904761904762</v>
      </c>
      <c r="P575" s="60" t="n">
        <f aca="false">IF(E575="","",ROUND(N(G575)*N(H575)/60,1))</f>
        <v>24</v>
      </c>
      <c r="Q575" s="57" t="str">
        <f aca="false">IF(E575="","",IF(COUNTIFS($C$2:C575,C575,$E$2:E575,E575,$B$2:B575,B575)&gt;1,"No","Yes"))</f>
        <v>Yes</v>
      </c>
      <c r="R575" s="61" t="str">
        <f aca="false">IF(E575="","",IF(Q575="No","Duplicate of an earlier response",IF(L575="Not on SITES","Site not on SITES",IF(N(G575)&gt;N(F575),"Present is more than enrolled",IF(OR(I575&lt;1,I575&gt;5),"Score outside 1 to 5","")))))</f>
        <v/>
      </c>
    </row>
    <row r="576" customFormat="false" ht="15" hidden="false" customHeight="false" outlineLevel="0" collapsed="false">
      <c r="A576" s="52" t="n">
        <v>46093.8272222222</v>
      </c>
      <c r="B576" s="53" t="s">
        <v>132</v>
      </c>
      <c r="C576" s="53" t="s">
        <v>154</v>
      </c>
      <c r="D576" s="53" t="s">
        <v>116</v>
      </c>
      <c r="E576" s="54" t="n">
        <v>46093</v>
      </c>
      <c r="F576" s="55" t="n">
        <v>18</v>
      </c>
      <c r="G576" s="55" t="n">
        <v>17</v>
      </c>
      <c r="H576" s="55" t="n">
        <v>60</v>
      </c>
      <c r="I576" s="56" t="n">
        <v>3.6</v>
      </c>
      <c r="J576" s="53" t="s">
        <v>160</v>
      </c>
      <c r="K576" s="53"/>
      <c r="L576" s="57" t="str">
        <f aca="false">IF(C576="","",IFERROR(INDEX(site_ID,MATCH(C576,site_Name,0)),"Not on SITES"))</f>
        <v>LW-114</v>
      </c>
      <c r="M576" s="58" t="n">
        <f aca="false">IF(E576="","",DATE(YEAR(E576),MONTH(E576),1))</f>
        <v>46082</v>
      </c>
      <c r="N576" s="57" t="str">
        <f aca="false">IF(E576="","","FY"&amp;(YEAR(E576)+IF(AND(FYStart&gt;1,MONTH(E576)&gt;=FYStart),1,0))&amp;" Q"&amp;(INT(MOD(MONTH(E576)-FYStart,12)/3)+1))</f>
        <v>FY2026 Q3</v>
      </c>
      <c r="O576" s="59" t="n">
        <f aca="false">IF(OR(E576="",N(F576)=0),"",G576/F576)</f>
        <v>0.944444444444444</v>
      </c>
      <c r="P576" s="60" t="n">
        <f aca="false">IF(E576="","",ROUND(N(G576)*N(H576)/60,1))</f>
        <v>17</v>
      </c>
      <c r="Q576" s="57" t="str">
        <f aca="false">IF(E576="","",IF(COUNTIFS($C$2:C576,C576,$E$2:E576,E576,$B$2:B576,B576)&gt;1,"No","Yes"))</f>
        <v>Yes</v>
      </c>
      <c r="R576" s="61" t="str">
        <f aca="false">IF(E576="","",IF(Q576="No","Duplicate of an earlier response",IF(L576="Not on SITES","Site not on SITES",IF(N(G576)&gt;N(F576),"Present is more than enrolled",IF(OR(I576&lt;1,I576&gt;5),"Score outside 1 to 5","")))))</f>
        <v/>
      </c>
    </row>
    <row r="577" customFormat="false" ht="15" hidden="false" customHeight="false" outlineLevel="0" collapsed="false">
      <c r="A577" s="52" t="n">
        <v>46093.8668865741</v>
      </c>
      <c r="B577" s="53" t="s">
        <v>121</v>
      </c>
      <c r="C577" s="53" t="s">
        <v>122</v>
      </c>
      <c r="D577" s="53" t="s">
        <v>116</v>
      </c>
      <c r="E577" s="54" t="n">
        <v>46093</v>
      </c>
      <c r="F577" s="55" t="n">
        <v>16</v>
      </c>
      <c r="G577" s="55" t="n">
        <v>13</v>
      </c>
      <c r="H577" s="55" t="n">
        <v>60</v>
      </c>
      <c r="I577" s="56" t="n">
        <v>3.8</v>
      </c>
      <c r="J577" s="53" t="s">
        <v>134</v>
      </c>
      <c r="K577" s="53"/>
      <c r="L577" s="57" t="str">
        <f aca="false">IF(C577="","",IFERROR(INDEX(site_ID,MATCH(C577,site_Name,0)),"Not on SITES"))</f>
        <v>LW-116</v>
      </c>
      <c r="M577" s="58" t="n">
        <f aca="false">IF(E577="","",DATE(YEAR(E577),MONTH(E577),1))</f>
        <v>46082</v>
      </c>
      <c r="N577" s="57" t="str">
        <f aca="false">IF(E577="","","FY"&amp;(YEAR(E577)+IF(AND(FYStart&gt;1,MONTH(E577)&gt;=FYStart),1,0))&amp;" Q"&amp;(INT(MOD(MONTH(E577)-FYStart,12)/3)+1))</f>
        <v>FY2026 Q3</v>
      </c>
      <c r="O577" s="59" t="n">
        <f aca="false">IF(OR(E577="",N(F577)=0),"",G577/F577)</f>
        <v>0.8125</v>
      </c>
      <c r="P577" s="60" t="n">
        <f aca="false">IF(E577="","",ROUND(N(G577)*N(H577)/60,1))</f>
        <v>13</v>
      </c>
      <c r="Q577" s="57" t="str">
        <f aca="false">IF(E577="","",IF(COUNTIFS($C$2:C577,C577,$E$2:E577,E577,$B$2:B577,B577)&gt;1,"No","Yes"))</f>
        <v>Yes</v>
      </c>
      <c r="R577" s="61" t="str">
        <f aca="false">IF(E577="","",IF(Q577="No","Duplicate of an earlier response",IF(L577="Not on SITES","Site not on SITES",IF(N(G577)&gt;N(F577),"Present is more than enrolled",IF(OR(I577&lt;1,I577&gt;5),"Score outside 1 to 5","")))))</f>
        <v/>
      </c>
    </row>
    <row r="578" customFormat="false" ht="15" hidden="false" customHeight="false" outlineLevel="0" collapsed="false">
      <c r="A578" s="52" t="n">
        <v>46093.8677199074</v>
      </c>
      <c r="B578" s="53" t="s">
        <v>111</v>
      </c>
      <c r="C578" s="53" t="s">
        <v>148</v>
      </c>
      <c r="D578" s="53" t="s">
        <v>116</v>
      </c>
      <c r="E578" s="54" t="n">
        <v>46093</v>
      </c>
      <c r="F578" s="55" t="n">
        <v>16</v>
      </c>
      <c r="G578" s="55" t="n">
        <v>11</v>
      </c>
      <c r="H578" s="55" t="n">
        <v>75</v>
      </c>
      <c r="I578" s="56" t="n">
        <v>4.3</v>
      </c>
      <c r="J578" s="53" t="s">
        <v>153</v>
      </c>
      <c r="K578" s="53"/>
      <c r="L578" s="57" t="str">
        <f aca="false">IF(C578="","",IFERROR(INDEX(site_ID,MATCH(C578,site_Name,0)),"Not on SITES"))</f>
        <v>LW-104</v>
      </c>
      <c r="M578" s="58" t="n">
        <f aca="false">IF(E578="","",DATE(YEAR(E578),MONTH(E578),1))</f>
        <v>46082</v>
      </c>
      <c r="N578" s="57" t="str">
        <f aca="false">IF(E578="","","FY"&amp;(YEAR(E578)+IF(AND(FYStart&gt;1,MONTH(E578)&gt;=FYStart),1,0))&amp;" Q"&amp;(INT(MOD(MONTH(E578)-FYStart,12)/3)+1))</f>
        <v>FY2026 Q3</v>
      </c>
      <c r="O578" s="59" t="n">
        <f aca="false">IF(OR(E578="",N(F578)=0),"",G578/F578)</f>
        <v>0.6875</v>
      </c>
      <c r="P578" s="60" t="n">
        <f aca="false">IF(E578="","",ROUND(N(G578)*N(H578)/60,1))</f>
        <v>13.8</v>
      </c>
      <c r="Q578" s="57" t="str">
        <f aca="false">IF(E578="","",IF(COUNTIFS($C$2:C578,C578,$E$2:E578,E578,$B$2:B578,B578)&gt;1,"No","Yes"))</f>
        <v>Yes</v>
      </c>
      <c r="R578" s="61" t="str">
        <f aca="false">IF(E578="","",IF(Q578="No","Duplicate of an earlier response",IF(L578="Not on SITES","Site not on SITES",IF(N(G578)&gt;N(F578),"Present is more than enrolled",IF(OR(I578&lt;1,I578&gt;5),"Score outside 1 to 5","")))))</f>
        <v/>
      </c>
    </row>
    <row r="579" customFormat="false" ht="15" hidden="false" customHeight="false" outlineLevel="0" collapsed="false">
      <c r="A579" s="52" t="n">
        <v>46094.6809490741</v>
      </c>
      <c r="B579" s="53" t="s">
        <v>111</v>
      </c>
      <c r="C579" s="53" t="s">
        <v>149</v>
      </c>
      <c r="D579" s="53" t="s">
        <v>113</v>
      </c>
      <c r="E579" s="54" t="n">
        <v>46093</v>
      </c>
      <c r="F579" s="55" t="n">
        <v>21</v>
      </c>
      <c r="G579" s="55" t="n">
        <v>33</v>
      </c>
      <c r="H579" s="55" t="n">
        <v>60</v>
      </c>
      <c r="I579" s="56" t="n">
        <v>3.8</v>
      </c>
      <c r="J579" s="53" t="s">
        <v>165</v>
      </c>
      <c r="K579" s="53"/>
      <c r="L579" s="57" t="str">
        <f aca="false">IF(C579="","",IFERROR(INDEX(site_ID,MATCH(C579,site_Name,0)),"Not on SITES"))</f>
        <v>LW-112</v>
      </c>
      <c r="M579" s="58" t="n">
        <f aca="false">IF(E579="","",DATE(YEAR(E579),MONTH(E579),1))</f>
        <v>46082</v>
      </c>
      <c r="N579" s="57" t="str">
        <f aca="false">IF(E579="","","FY"&amp;(YEAR(E579)+IF(AND(FYStart&gt;1,MONTH(E579)&gt;=FYStart),1,0))&amp;" Q"&amp;(INT(MOD(MONTH(E579)-FYStart,12)/3)+1))</f>
        <v>FY2026 Q3</v>
      </c>
      <c r="O579" s="59" t="n">
        <f aca="false">IF(OR(E579="",N(F579)=0),"",G579/F579)</f>
        <v>1.57142857142857</v>
      </c>
      <c r="P579" s="60" t="n">
        <f aca="false">IF(E579="","",ROUND(N(G579)*N(H579)/60,1))</f>
        <v>33</v>
      </c>
      <c r="Q579" s="57" t="str">
        <f aca="false">IF(E579="","",IF(COUNTIFS($C$2:C579,C579,$E$2:E579,E579,$B$2:B579,B579)&gt;1,"No","Yes"))</f>
        <v>Yes</v>
      </c>
      <c r="R579" s="61" t="str">
        <f aca="false">IF(E579="","",IF(Q579="No","Duplicate of an earlier response",IF(L579="Not on SITES","Site not on SITES",IF(N(G579)&gt;N(F579),"Present is more than enrolled",IF(OR(I579&lt;1,I579&gt;5),"Score outside 1 to 5","")))))</f>
        <v>Present is more than enrolled</v>
      </c>
    </row>
    <row r="580" customFormat="false" ht="15" hidden="false" customHeight="false" outlineLevel="0" collapsed="false">
      <c r="A580" s="52" t="n">
        <v>46094.7933333333</v>
      </c>
      <c r="B580" s="53" t="s">
        <v>140</v>
      </c>
      <c r="C580" s="53" t="s">
        <v>141</v>
      </c>
      <c r="D580" s="53" t="s">
        <v>116</v>
      </c>
      <c r="E580" s="54" t="n">
        <v>46094</v>
      </c>
      <c r="F580" s="55" t="n">
        <v>13</v>
      </c>
      <c r="G580" s="55" t="n">
        <v>11</v>
      </c>
      <c r="H580" s="55" t="n">
        <v>90</v>
      </c>
      <c r="I580" s="56" t="n">
        <v>3.7</v>
      </c>
      <c r="J580" s="53" t="s">
        <v>153</v>
      </c>
      <c r="K580" s="53"/>
      <c r="L580" s="57" t="str">
        <f aca="false">IF(C580="","",IFERROR(INDEX(site_ID,MATCH(C580,site_Name,0)),"Not on SITES"))</f>
        <v>LW-118</v>
      </c>
      <c r="M580" s="58" t="n">
        <f aca="false">IF(E580="","",DATE(YEAR(E580),MONTH(E580),1))</f>
        <v>46082</v>
      </c>
      <c r="N580" s="57" t="str">
        <f aca="false">IF(E580="","","FY"&amp;(YEAR(E580)+IF(AND(FYStart&gt;1,MONTH(E580)&gt;=FYStart),1,0))&amp;" Q"&amp;(INT(MOD(MONTH(E580)-FYStart,12)/3)+1))</f>
        <v>FY2026 Q3</v>
      </c>
      <c r="O580" s="59" t="n">
        <f aca="false">IF(OR(E580="",N(F580)=0),"",G580/F580)</f>
        <v>0.846153846153846</v>
      </c>
      <c r="P580" s="60" t="n">
        <f aca="false">IF(E580="","",ROUND(N(G580)*N(H580)/60,1))</f>
        <v>16.5</v>
      </c>
      <c r="Q580" s="57" t="str">
        <f aca="false">IF(E580="","",IF(COUNTIFS($C$2:C580,C580,$E$2:E580,E580,$B$2:B580,B580)&gt;1,"No","Yes"))</f>
        <v>Yes</v>
      </c>
      <c r="R580" s="61" t="str">
        <f aca="false">IF(E580="","",IF(Q580="No","Duplicate of an earlier response",IF(L580="Not on SITES","Site not on SITES",IF(N(G580)&gt;N(F580),"Present is more than enrolled",IF(OR(I580&lt;1,I580&gt;5),"Score outside 1 to 5","")))))</f>
        <v/>
      </c>
    </row>
    <row r="581" customFormat="false" ht="15" hidden="false" customHeight="false" outlineLevel="0" collapsed="false">
      <c r="A581" s="52" t="n">
        <v>46097.6376388889</v>
      </c>
      <c r="B581" s="53" t="s">
        <v>105</v>
      </c>
      <c r="C581" s="53" t="s">
        <v>115</v>
      </c>
      <c r="D581" s="53" t="s">
        <v>116</v>
      </c>
      <c r="E581" s="54" t="n">
        <v>46097</v>
      </c>
      <c r="F581" s="55" t="n">
        <v>16</v>
      </c>
      <c r="G581" s="55" t="n">
        <v>13</v>
      </c>
      <c r="H581" s="55" t="n">
        <v>60</v>
      </c>
      <c r="I581" s="56" t="n">
        <v>3.8</v>
      </c>
      <c r="J581" s="53" t="s">
        <v>123</v>
      </c>
      <c r="K581" s="53"/>
      <c r="L581" s="57" t="str">
        <f aca="false">IF(C581="","",IFERROR(INDEX(site_ID,MATCH(C581,site_Name,0)),"Not on SITES"))</f>
        <v>LW-119</v>
      </c>
      <c r="M581" s="58" t="n">
        <f aca="false">IF(E581="","",DATE(YEAR(E581),MONTH(E581),1))</f>
        <v>46082</v>
      </c>
      <c r="N581" s="57" t="str">
        <f aca="false">IF(E581="","","FY"&amp;(YEAR(E581)+IF(AND(FYStart&gt;1,MONTH(E581)&gt;=FYStart),1,0))&amp;" Q"&amp;(INT(MOD(MONTH(E581)-FYStart,12)/3)+1))</f>
        <v>FY2026 Q3</v>
      </c>
      <c r="O581" s="59" t="n">
        <f aca="false">IF(OR(E581="",N(F581)=0),"",G581/F581)</f>
        <v>0.8125</v>
      </c>
      <c r="P581" s="60" t="n">
        <f aca="false">IF(E581="","",ROUND(N(G581)*N(H581)/60,1))</f>
        <v>13</v>
      </c>
      <c r="Q581" s="57" t="str">
        <f aca="false">IF(E581="","",IF(COUNTIFS($C$2:C581,C581,$E$2:E581,E581,$B$2:B581,B581)&gt;1,"No","Yes"))</f>
        <v>Yes</v>
      </c>
      <c r="R581" s="61" t="str">
        <f aca="false">IF(E581="","",IF(Q581="No","Duplicate of an earlier response",IF(L581="Not on SITES","Site not on SITES",IF(N(G581)&gt;N(F581),"Present is more than enrolled",IF(OR(I581&lt;1,I581&gt;5),"Score outside 1 to 5","")))))</f>
        <v/>
      </c>
    </row>
    <row r="582" customFormat="false" ht="15" hidden="false" customHeight="false" outlineLevel="0" collapsed="false">
      <c r="A582" s="52" t="n">
        <v>46097.6597800926</v>
      </c>
      <c r="B582" s="53" t="s">
        <v>105</v>
      </c>
      <c r="C582" s="53" t="s">
        <v>118</v>
      </c>
      <c r="D582" s="53" t="s">
        <v>119</v>
      </c>
      <c r="E582" s="54" t="n">
        <v>46097</v>
      </c>
      <c r="F582" s="55" t="n">
        <v>22</v>
      </c>
      <c r="G582" s="55" t="n">
        <v>18</v>
      </c>
      <c r="H582" s="55" t="n">
        <v>60</v>
      </c>
      <c r="I582" s="56" t="n">
        <v>4.2</v>
      </c>
      <c r="J582" s="53" t="s">
        <v>126</v>
      </c>
      <c r="K582" s="53"/>
      <c r="L582" s="57" t="str">
        <f aca="false">IF(C582="","",IFERROR(INDEX(site_ID,MATCH(C582,site_Name,0)),"Not on SITES"))</f>
        <v>LW-111</v>
      </c>
      <c r="M582" s="58" t="n">
        <f aca="false">IF(E582="","",DATE(YEAR(E582),MONTH(E582),1))</f>
        <v>46082</v>
      </c>
      <c r="N582" s="57" t="str">
        <f aca="false">IF(E582="","","FY"&amp;(YEAR(E582)+IF(AND(FYStart&gt;1,MONTH(E582)&gt;=FYStart),1,0))&amp;" Q"&amp;(INT(MOD(MONTH(E582)-FYStart,12)/3)+1))</f>
        <v>FY2026 Q3</v>
      </c>
      <c r="O582" s="59" t="n">
        <f aca="false">IF(OR(E582="",N(F582)=0),"",G582/F582)</f>
        <v>0.818181818181818</v>
      </c>
      <c r="P582" s="60" t="n">
        <f aca="false">IF(E582="","",ROUND(N(G582)*N(H582)/60,1))</f>
        <v>18</v>
      </c>
      <c r="Q582" s="57" t="str">
        <f aca="false">IF(E582="","",IF(COUNTIFS($C$2:C582,C582,$E$2:E582,E582,$B$2:B582,B582)&gt;1,"No","Yes"))</f>
        <v>Yes</v>
      </c>
      <c r="R582" s="61" t="str">
        <f aca="false">IF(E582="","",IF(Q582="No","Duplicate of an earlier response",IF(L582="Not on SITES","Site not on SITES",IF(N(G582)&gt;N(F582),"Present is more than enrolled",IF(OR(I582&lt;1,I582&gt;5),"Score outside 1 to 5","")))))</f>
        <v/>
      </c>
    </row>
    <row r="583" customFormat="false" ht="15" hidden="false" customHeight="false" outlineLevel="0" collapsed="false">
      <c r="A583" s="52" t="n">
        <v>46097.6804861111</v>
      </c>
      <c r="B583" s="53" t="s">
        <v>129</v>
      </c>
      <c r="C583" s="53" t="s">
        <v>137</v>
      </c>
      <c r="D583" s="53" t="s">
        <v>138</v>
      </c>
      <c r="E583" s="54" t="n">
        <v>46094</v>
      </c>
      <c r="F583" s="55" t="n">
        <v>16</v>
      </c>
      <c r="G583" s="55" t="n">
        <v>13</v>
      </c>
      <c r="H583" s="55" t="n">
        <v>90</v>
      </c>
      <c r="I583" s="56" t="n">
        <v>3.6</v>
      </c>
      <c r="J583" s="53" t="s">
        <v>164</v>
      </c>
      <c r="K583" s="53"/>
      <c r="L583" s="57" t="str">
        <f aca="false">IF(C583="","",IFERROR(INDEX(site_ID,MATCH(C583,site_Name,0)),"Not on SITES"))</f>
        <v>LW-115</v>
      </c>
      <c r="M583" s="58" t="n">
        <f aca="false">IF(E583="","",DATE(YEAR(E583),MONTH(E583),1))</f>
        <v>46082</v>
      </c>
      <c r="N583" s="57" t="str">
        <f aca="false">IF(E583="","","FY"&amp;(YEAR(E583)+IF(AND(FYStart&gt;1,MONTH(E583)&gt;=FYStart),1,0))&amp;" Q"&amp;(INT(MOD(MONTH(E583)-FYStart,12)/3)+1))</f>
        <v>FY2026 Q3</v>
      </c>
      <c r="O583" s="59" t="n">
        <f aca="false">IF(OR(E583="",N(F583)=0),"",G583/F583)</f>
        <v>0.8125</v>
      </c>
      <c r="P583" s="60" t="n">
        <f aca="false">IF(E583="","",ROUND(N(G583)*N(H583)/60,1))</f>
        <v>19.5</v>
      </c>
      <c r="Q583" s="57" t="str">
        <f aca="false">IF(E583="","",IF(COUNTIFS($C$2:C583,C583,$E$2:E583,E583,$B$2:B583,B583)&gt;1,"No","Yes"))</f>
        <v>Yes</v>
      </c>
      <c r="R583" s="61" t="str">
        <f aca="false">IF(E583="","",IF(Q583="No","Duplicate of an earlier response",IF(L583="Not on SITES","Site not on SITES",IF(N(G583)&gt;N(F583),"Present is more than enrolled",IF(OR(I583&lt;1,I583&gt;5),"Score outside 1 to 5","")))))</f>
        <v/>
      </c>
    </row>
    <row r="584" customFormat="false" ht="15" hidden="false" customHeight="false" outlineLevel="0" collapsed="false">
      <c r="A584" s="52" t="n">
        <v>46097.7367824074</v>
      </c>
      <c r="B584" s="53" t="s">
        <v>105</v>
      </c>
      <c r="C584" s="53" t="s">
        <v>106</v>
      </c>
      <c r="D584" s="53" t="s">
        <v>107</v>
      </c>
      <c r="E584" s="54" t="n">
        <v>46097</v>
      </c>
      <c r="F584" s="55" t="n">
        <v>16</v>
      </c>
      <c r="G584" s="55" t="n">
        <v>13</v>
      </c>
      <c r="H584" s="55" t="n">
        <v>60</v>
      </c>
      <c r="I584" s="56" t="n">
        <v>3.9</v>
      </c>
      <c r="J584" s="53" t="s">
        <v>128</v>
      </c>
      <c r="K584" s="53"/>
      <c r="L584" s="57" t="str">
        <f aca="false">IF(C584="","",IFERROR(INDEX(site_ID,MATCH(C584,site_Name,0)),"Not on SITES"))</f>
        <v>LW-103</v>
      </c>
      <c r="M584" s="58" t="n">
        <f aca="false">IF(E584="","",DATE(YEAR(E584),MONTH(E584),1))</f>
        <v>46082</v>
      </c>
      <c r="N584" s="57" t="str">
        <f aca="false">IF(E584="","","FY"&amp;(YEAR(E584)+IF(AND(FYStart&gt;1,MONTH(E584)&gt;=FYStart),1,0))&amp;" Q"&amp;(INT(MOD(MONTH(E584)-FYStart,12)/3)+1))</f>
        <v>FY2026 Q3</v>
      </c>
      <c r="O584" s="59" t="n">
        <f aca="false">IF(OR(E584="",N(F584)=0),"",G584/F584)</f>
        <v>0.8125</v>
      </c>
      <c r="P584" s="60" t="n">
        <f aca="false">IF(E584="","",ROUND(N(G584)*N(H584)/60,1))</f>
        <v>13</v>
      </c>
      <c r="Q584" s="57" t="str">
        <f aca="false">IF(E584="","",IF(COUNTIFS($C$2:C584,C584,$E$2:E584,E584,$B$2:B584,B584)&gt;1,"No","Yes"))</f>
        <v>Yes</v>
      </c>
      <c r="R584" s="61" t="str">
        <f aca="false">IF(E584="","",IF(Q584="No","Duplicate of an earlier response",IF(L584="Not on SITES","Site not on SITES",IF(N(G584)&gt;N(F584),"Present is more than enrolled",IF(OR(I584&lt;1,I584&gt;5),"Score outside 1 to 5","")))))</f>
        <v/>
      </c>
    </row>
    <row r="585" customFormat="false" ht="15" hidden="false" customHeight="false" outlineLevel="0" collapsed="false">
      <c r="A585" s="52" t="n">
        <v>46097.7609143519</v>
      </c>
      <c r="B585" s="53" t="s">
        <v>111</v>
      </c>
      <c r="C585" s="53" t="s">
        <v>112</v>
      </c>
      <c r="D585" s="53" t="s">
        <v>113</v>
      </c>
      <c r="E585" s="54" t="n">
        <v>46097</v>
      </c>
      <c r="F585" s="55" t="n">
        <v>15</v>
      </c>
      <c r="G585" s="55" t="n">
        <v>14</v>
      </c>
      <c r="H585" s="55" t="n">
        <v>60</v>
      </c>
      <c r="I585" s="56" t="n">
        <v>3.4</v>
      </c>
      <c r="J585" s="53" t="s">
        <v>114</v>
      </c>
      <c r="K585" s="53"/>
      <c r="L585" s="57" t="str">
        <f aca="false">IF(C585="","",IFERROR(INDEX(site_ID,MATCH(C585,site_Name,0)),"Not on SITES"))</f>
        <v>LW-120</v>
      </c>
      <c r="M585" s="58" t="n">
        <f aca="false">IF(E585="","",DATE(YEAR(E585),MONTH(E585),1))</f>
        <v>46082</v>
      </c>
      <c r="N585" s="57" t="str">
        <f aca="false">IF(E585="","","FY"&amp;(YEAR(E585)+IF(AND(FYStart&gt;1,MONTH(E585)&gt;=FYStart),1,0))&amp;" Q"&amp;(INT(MOD(MONTH(E585)-FYStart,12)/3)+1))</f>
        <v>FY2026 Q3</v>
      </c>
      <c r="O585" s="59" t="n">
        <f aca="false">IF(OR(E585="",N(F585)=0),"",G585/F585)</f>
        <v>0.933333333333333</v>
      </c>
      <c r="P585" s="60" t="n">
        <f aca="false">IF(E585="","",ROUND(N(G585)*N(H585)/60,1))</f>
        <v>14</v>
      </c>
      <c r="Q585" s="57" t="str">
        <f aca="false">IF(E585="","",IF(COUNTIFS($C$2:C585,C585,$E$2:E585,E585,$B$2:B585,B585)&gt;1,"No","Yes"))</f>
        <v>Yes</v>
      </c>
      <c r="R585" s="61" t="str">
        <f aca="false">IF(E585="","",IF(Q585="No","Duplicate of an earlier response",IF(L585="Not on SITES","Site not on SITES",IF(N(G585)&gt;N(F585),"Present is more than enrolled",IF(OR(I585&lt;1,I585&gt;5),"Score outside 1 to 5","")))))</f>
        <v/>
      </c>
    </row>
    <row r="586" customFormat="false" ht="15" hidden="false" customHeight="false" outlineLevel="0" collapsed="false">
      <c r="A586" s="52" t="n">
        <v>46098.6590277778</v>
      </c>
      <c r="B586" s="53" t="s">
        <v>124</v>
      </c>
      <c r="C586" s="53" t="s">
        <v>125</v>
      </c>
      <c r="D586" s="53" t="s">
        <v>119</v>
      </c>
      <c r="E586" s="54" t="n">
        <v>46098</v>
      </c>
      <c r="F586" s="55" t="n">
        <v>18</v>
      </c>
      <c r="G586" s="55" t="n">
        <v>14</v>
      </c>
      <c r="H586" s="55" t="n">
        <v>75</v>
      </c>
      <c r="I586" s="56" t="n">
        <v>3.9</v>
      </c>
      <c r="J586" s="53" t="s">
        <v>162</v>
      </c>
      <c r="K586" s="53"/>
      <c r="L586" s="57" t="str">
        <f aca="false">IF(C586="","",IFERROR(INDEX(site_ID,MATCH(C586,site_Name,0)),"Not on SITES"))</f>
        <v>LW-106</v>
      </c>
      <c r="M586" s="58" t="n">
        <f aca="false">IF(E586="","",DATE(YEAR(E586),MONTH(E586),1))</f>
        <v>46082</v>
      </c>
      <c r="N586" s="57" t="str">
        <f aca="false">IF(E586="","","FY"&amp;(YEAR(E586)+IF(AND(FYStart&gt;1,MONTH(E586)&gt;=FYStart),1,0))&amp;" Q"&amp;(INT(MOD(MONTH(E586)-FYStart,12)/3)+1))</f>
        <v>FY2026 Q3</v>
      </c>
      <c r="O586" s="59" t="n">
        <f aca="false">IF(OR(E586="",N(F586)=0),"",G586/F586)</f>
        <v>0.777777777777778</v>
      </c>
      <c r="P586" s="60" t="n">
        <f aca="false">IF(E586="","",ROUND(N(G586)*N(H586)/60,1))</f>
        <v>17.5</v>
      </c>
      <c r="Q586" s="57" t="str">
        <f aca="false">IF(E586="","",IF(COUNTIFS($C$2:C586,C586,$E$2:E586,E586,$B$2:B586,B586)&gt;1,"No","Yes"))</f>
        <v>Yes</v>
      </c>
      <c r="R586" s="61" t="str">
        <f aca="false">IF(E586="","",IF(Q586="No","Duplicate of an earlier response",IF(L586="Not on SITES","Site not on SITES",IF(N(G586)&gt;N(F586),"Present is more than enrolled",IF(OR(I586&lt;1,I586&gt;5),"Score outside 1 to 5","")))))</f>
        <v/>
      </c>
    </row>
    <row r="587" customFormat="false" ht="15" hidden="false" customHeight="false" outlineLevel="0" collapsed="false">
      <c r="A587" s="52" t="n">
        <v>46098.6886921296</v>
      </c>
      <c r="B587" s="53" t="s">
        <v>121</v>
      </c>
      <c r="C587" s="53" t="s">
        <v>122</v>
      </c>
      <c r="D587" s="53" t="s">
        <v>116</v>
      </c>
      <c r="E587" s="54" t="n">
        <v>46098</v>
      </c>
      <c r="F587" s="55" t="n">
        <v>16</v>
      </c>
      <c r="G587" s="55" t="n">
        <v>12</v>
      </c>
      <c r="H587" s="55" t="n">
        <v>60</v>
      </c>
      <c r="I587" s="56" t="n">
        <v>3.7</v>
      </c>
      <c r="J587" s="53" t="s">
        <v>123</v>
      </c>
      <c r="K587" s="53"/>
      <c r="L587" s="57" t="str">
        <f aca="false">IF(C587="","",IFERROR(INDEX(site_ID,MATCH(C587,site_Name,0)),"Not on SITES"))</f>
        <v>LW-116</v>
      </c>
      <c r="M587" s="58" t="n">
        <f aca="false">IF(E587="","",DATE(YEAR(E587),MONTH(E587),1))</f>
        <v>46082</v>
      </c>
      <c r="N587" s="57" t="str">
        <f aca="false">IF(E587="","","FY"&amp;(YEAR(E587)+IF(AND(FYStart&gt;1,MONTH(E587)&gt;=FYStart),1,0))&amp;" Q"&amp;(INT(MOD(MONTH(E587)-FYStart,12)/3)+1))</f>
        <v>FY2026 Q3</v>
      </c>
      <c r="O587" s="59" t="n">
        <f aca="false">IF(OR(E587="",N(F587)=0),"",G587/F587)</f>
        <v>0.75</v>
      </c>
      <c r="P587" s="60" t="n">
        <f aca="false">IF(E587="","",ROUND(N(G587)*N(H587)/60,1))</f>
        <v>12</v>
      </c>
      <c r="Q587" s="57" t="str">
        <f aca="false">IF(E587="","",IF(COUNTIFS($C$2:C587,C587,$E$2:E587,E587,$B$2:B587,B587)&gt;1,"No","Yes"))</f>
        <v>Yes</v>
      </c>
      <c r="R587" s="61" t="str">
        <f aca="false">IF(E587="","",IF(Q587="No","Duplicate of an earlier response",IF(L587="Not on SITES","Site not on SITES",IF(N(G587)&gt;N(F587),"Present is more than enrolled",IF(OR(I587&lt;1,I587&gt;5),"Score outside 1 to 5","")))))</f>
        <v/>
      </c>
    </row>
    <row r="588" customFormat="false" ht="15" hidden="false" customHeight="false" outlineLevel="0" collapsed="false">
      <c r="A588" s="52" t="n">
        <v>46098.7700925926</v>
      </c>
      <c r="B588" s="53" t="s">
        <v>132</v>
      </c>
      <c r="C588" s="53" t="s">
        <v>133</v>
      </c>
      <c r="D588" s="53" t="s">
        <v>116</v>
      </c>
      <c r="E588" s="54" t="n">
        <v>46098</v>
      </c>
      <c r="F588" s="55" t="n">
        <v>17</v>
      </c>
      <c r="G588" s="55" t="n">
        <v>14</v>
      </c>
      <c r="H588" s="55" t="n">
        <v>60</v>
      </c>
      <c r="I588" s="56" t="n">
        <v>3.4</v>
      </c>
      <c r="J588" s="53" t="s">
        <v>153</v>
      </c>
      <c r="K588" s="53"/>
      <c r="L588" s="57" t="str">
        <f aca="false">IF(C588="","",IFERROR(INDEX(site_ID,MATCH(C588,site_Name,0)),"Not on SITES"))</f>
        <v>LW-109</v>
      </c>
      <c r="M588" s="58" t="n">
        <f aca="false">IF(E588="","",DATE(YEAR(E588),MONTH(E588),1))</f>
        <v>46082</v>
      </c>
      <c r="N588" s="57" t="str">
        <f aca="false">IF(E588="","","FY"&amp;(YEAR(E588)+IF(AND(FYStart&gt;1,MONTH(E588)&gt;=FYStart),1,0))&amp;" Q"&amp;(INT(MOD(MONTH(E588)-FYStart,12)/3)+1))</f>
        <v>FY2026 Q3</v>
      </c>
      <c r="O588" s="59" t="n">
        <f aca="false">IF(OR(E588="",N(F588)=0),"",G588/F588)</f>
        <v>0.823529411764706</v>
      </c>
      <c r="P588" s="60" t="n">
        <f aca="false">IF(E588="","",ROUND(N(G588)*N(H588)/60,1))</f>
        <v>14</v>
      </c>
      <c r="Q588" s="57" t="str">
        <f aca="false">IF(E588="","",IF(COUNTIFS($C$2:C588,C588,$E$2:E588,E588,$B$2:B588,B588)&gt;1,"No","Yes"))</f>
        <v>Yes</v>
      </c>
      <c r="R588" s="61" t="str">
        <f aca="false">IF(E588="","",IF(Q588="No","Duplicate of an earlier response",IF(L588="Not on SITES","Site not on SITES",IF(N(G588)&gt;N(F588),"Present is more than enrolled",IF(OR(I588&lt;1,I588&gt;5),"Score outside 1 to 5","")))))</f>
        <v/>
      </c>
    </row>
    <row r="589" customFormat="false" ht="15" hidden="false" customHeight="false" outlineLevel="0" collapsed="false">
      <c r="A589" s="52" t="n">
        <v>46098.7806365741</v>
      </c>
      <c r="B589" s="53" t="s">
        <v>121</v>
      </c>
      <c r="C589" s="53" t="s">
        <v>127</v>
      </c>
      <c r="D589" s="53" t="s">
        <v>107</v>
      </c>
      <c r="E589" s="54" t="n">
        <v>46098</v>
      </c>
      <c r="F589" s="55" t="n">
        <v>15</v>
      </c>
      <c r="G589" s="55" t="n">
        <v>13</v>
      </c>
      <c r="H589" s="55" t="n">
        <v>90</v>
      </c>
      <c r="I589" s="56" t="n">
        <v>4.1</v>
      </c>
      <c r="J589" s="53" t="s">
        <v>166</v>
      </c>
      <c r="K589" s="53"/>
      <c r="L589" s="57" t="str">
        <f aca="false">IF(C589="","",IFERROR(INDEX(site_ID,MATCH(C589,site_Name,0)),"Not on SITES"))</f>
        <v>LW-108</v>
      </c>
      <c r="M589" s="58" t="n">
        <f aca="false">IF(E589="","",DATE(YEAR(E589),MONTH(E589),1))</f>
        <v>46082</v>
      </c>
      <c r="N589" s="57" t="str">
        <f aca="false">IF(E589="","","FY"&amp;(YEAR(E589)+IF(AND(FYStart&gt;1,MONTH(E589)&gt;=FYStart),1,0))&amp;" Q"&amp;(INT(MOD(MONTH(E589)-FYStart,12)/3)+1))</f>
        <v>FY2026 Q3</v>
      </c>
      <c r="O589" s="59" t="n">
        <f aca="false">IF(OR(E589="",N(F589)=0),"",G589/F589)</f>
        <v>0.866666666666667</v>
      </c>
      <c r="P589" s="60" t="n">
        <f aca="false">IF(E589="","",ROUND(N(G589)*N(H589)/60,1))</f>
        <v>19.5</v>
      </c>
      <c r="Q589" s="57" t="str">
        <f aca="false">IF(E589="","",IF(COUNTIFS($C$2:C589,C589,$E$2:E589,E589,$B$2:B589,B589)&gt;1,"No","Yes"))</f>
        <v>Yes</v>
      </c>
      <c r="R589" s="61" t="str">
        <f aca="false">IF(E589="","",IF(Q589="No","Duplicate of an earlier response",IF(L589="Not on SITES","Site not on SITES",IF(N(G589)&gt;N(F589),"Present is more than enrolled",IF(OR(I589&lt;1,I589&gt;5),"Score outside 1 to 5","")))))</f>
        <v/>
      </c>
    </row>
    <row r="590" customFormat="false" ht="15" hidden="false" customHeight="false" outlineLevel="0" collapsed="false">
      <c r="A590" s="52" t="n">
        <v>46098.7875810185</v>
      </c>
      <c r="B590" s="53" t="s">
        <v>109</v>
      </c>
      <c r="C590" s="53" t="s">
        <v>110</v>
      </c>
      <c r="D590" s="53" t="s">
        <v>107</v>
      </c>
      <c r="E590" s="54" t="n">
        <v>46097</v>
      </c>
      <c r="F590" s="55" t="n">
        <v>21</v>
      </c>
      <c r="G590" s="55" t="n">
        <v>17</v>
      </c>
      <c r="H590" s="55" t="n">
        <v>75</v>
      </c>
      <c r="I590" s="56" t="n">
        <v>4.2</v>
      </c>
      <c r="J590" s="53" t="s">
        <v>155</v>
      </c>
      <c r="K590" s="53"/>
      <c r="L590" s="57" t="str">
        <f aca="false">IF(C590="","",IFERROR(INDEX(site_ID,MATCH(C590,site_Name,0)),"Not on SITES"))</f>
        <v>LW-113</v>
      </c>
      <c r="M590" s="58" t="n">
        <f aca="false">IF(E590="","",DATE(YEAR(E590),MONTH(E590),1))</f>
        <v>46082</v>
      </c>
      <c r="N590" s="57" t="str">
        <f aca="false">IF(E590="","","FY"&amp;(YEAR(E590)+IF(AND(FYStart&gt;1,MONTH(E590)&gt;=FYStart),1,0))&amp;" Q"&amp;(INT(MOD(MONTH(E590)-FYStart,12)/3)+1))</f>
        <v>FY2026 Q3</v>
      </c>
      <c r="O590" s="59" t="n">
        <f aca="false">IF(OR(E590="",N(F590)=0),"",G590/F590)</f>
        <v>0.80952380952381</v>
      </c>
      <c r="P590" s="60" t="n">
        <f aca="false">IF(E590="","",ROUND(N(G590)*N(H590)/60,1))</f>
        <v>21.3</v>
      </c>
      <c r="Q590" s="57" t="str">
        <f aca="false">IF(E590="","",IF(COUNTIFS($C$2:C590,C590,$E$2:E590,E590,$B$2:B590,B590)&gt;1,"No","Yes"))</f>
        <v>Yes</v>
      </c>
      <c r="R590" s="61" t="str">
        <f aca="false">IF(E590="","",IF(Q590="No","Duplicate of an earlier response",IF(L590="Not on SITES","Site not on SITES",IF(N(G590)&gt;N(F590),"Present is more than enrolled",IF(OR(I590&lt;1,I590&gt;5),"Score outside 1 to 5","")))))</f>
        <v/>
      </c>
    </row>
    <row r="591" customFormat="false" ht="15" hidden="false" customHeight="false" outlineLevel="0" collapsed="false">
      <c r="A591" s="52" t="n">
        <v>46099.6847453704</v>
      </c>
      <c r="B591" s="53" t="s">
        <v>132</v>
      </c>
      <c r="C591" s="53" t="s">
        <v>145</v>
      </c>
      <c r="D591" s="53" t="s">
        <v>119</v>
      </c>
      <c r="E591" s="54" t="n">
        <v>46099</v>
      </c>
      <c r="F591" s="55" t="n">
        <v>19</v>
      </c>
      <c r="G591" s="55" t="n">
        <v>13</v>
      </c>
      <c r="H591" s="55" t="n">
        <v>60</v>
      </c>
      <c r="I591" s="56" t="n">
        <v>3.9</v>
      </c>
      <c r="J591" s="53" t="s">
        <v>159</v>
      </c>
      <c r="K591" s="53"/>
      <c r="L591" s="57" t="str">
        <f aca="false">IF(C591="","",IFERROR(INDEX(site_ID,MATCH(C591,site_Name,0)),"Not on SITES"))</f>
        <v>LW-101</v>
      </c>
      <c r="M591" s="58" t="n">
        <f aca="false">IF(E591="","",DATE(YEAR(E591),MONTH(E591),1))</f>
        <v>46082</v>
      </c>
      <c r="N591" s="57" t="str">
        <f aca="false">IF(E591="","","FY"&amp;(YEAR(E591)+IF(AND(FYStart&gt;1,MONTH(E591)&gt;=FYStart),1,0))&amp;" Q"&amp;(INT(MOD(MONTH(E591)-FYStart,12)/3)+1))</f>
        <v>FY2026 Q3</v>
      </c>
      <c r="O591" s="59" t="n">
        <f aca="false">IF(OR(E591="",N(F591)=0),"",G591/F591)</f>
        <v>0.68421052631579</v>
      </c>
      <c r="P591" s="60" t="n">
        <f aca="false">IF(E591="","",ROUND(N(G591)*N(H591)/60,1))</f>
        <v>13</v>
      </c>
      <c r="Q591" s="57" t="str">
        <f aca="false">IF(E591="","",IF(COUNTIFS($C$2:C591,C591,$E$2:E591,E591,$B$2:B591,B591)&gt;1,"No","Yes"))</f>
        <v>Yes</v>
      </c>
      <c r="R591" s="61" t="str">
        <f aca="false">IF(E591="","",IF(Q591="No","Duplicate of an earlier response",IF(L591="Not on SITES","Site not on SITES",IF(N(G591)&gt;N(F591),"Present is more than enrolled",IF(OR(I591&lt;1,I591&gt;5),"Score outside 1 to 5","")))))</f>
        <v/>
      </c>
    </row>
    <row r="592" customFormat="false" ht="15" hidden="false" customHeight="false" outlineLevel="0" collapsed="false">
      <c r="A592" s="52" t="n">
        <v>46099.6942361111</v>
      </c>
      <c r="B592" s="53" t="s">
        <v>140</v>
      </c>
      <c r="C592" s="53" t="s">
        <v>141</v>
      </c>
      <c r="D592" s="53" t="s">
        <v>116</v>
      </c>
      <c r="E592" s="54" t="n">
        <v>46099</v>
      </c>
      <c r="F592" s="55" t="n">
        <v>13</v>
      </c>
      <c r="G592" s="55" t="n">
        <v>11</v>
      </c>
      <c r="H592" s="55" t="n">
        <v>60</v>
      </c>
      <c r="I592" s="56" t="n">
        <v>4</v>
      </c>
      <c r="J592" s="53" t="s">
        <v>134</v>
      </c>
      <c r="K592" s="53"/>
      <c r="L592" s="57" t="str">
        <f aca="false">IF(C592="","",IFERROR(INDEX(site_ID,MATCH(C592,site_Name,0)),"Not on SITES"))</f>
        <v>LW-118</v>
      </c>
      <c r="M592" s="58" t="n">
        <f aca="false">IF(E592="","",DATE(YEAR(E592),MONTH(E592),1))</f>
        <v>46082</v>
      </c>
      <c r="N592" s="57" t="str">
        <f aca="false">IF(E592="","","FY"&amp;(YEAR(E592)+IF(AND(FYStart&gt;1,MONTH(E592)&gt;=FYStart),1,0))&amp;" Q"&amp;(INT(MOD(MONTH(E592)-FYStart,12)/3)+1))</f>
        <v>FY2026 Q3</v>
      </c>
      <c r="O592" s="59" t="n">
        <f aca="false">IF(OR(E592="",N(F592)=0),"",G592/F592)</f>
        <v>0.846153846153846</v>
      </c>
      <c r="P592" s="60" t="n">
        <f aca="false">IF(E592="","",ROUND(N(G592)*N(H592)/60,1))</f>
        <v>11</v>
      </c>
      <c r="Q592" s="57" t="str">
        <f aca="false">IF(E592="","",IF(COUNTIFS($C$2:C592,C592,$E$2:E592,E592,$B$2:B592,B592)&gt;1,"No","Yes"))</f>
        <v>Yes</v>
      </c>
      <c r="R592" s="61" t="str">
        <f aca="false">IF(E592="","",IF(Q592="No","Duplicate of an earlier response",IF(L592="Not on SITES","Site not on SITES",IF(N(G592)&gt;N(F592),"Present is more than enrolled",IF(OR(I592&lt;1,I592&gt;5),"Score outside 1 to 5","")))))</f>
        <v/>
      </c>
    </row>
    <row r="593" customFormat="false" ht="15" hidden="false" customHeight="false" outlineLevel="0" collapsed="false">
      <c r="A593" s="52" t="n">
        <v>46099.7428009259</v>
      </c>
      <c r="B593" s="53" t="s">
        <v>129</v>
      </c>
      <c r="C593" s="53" t="s">
        <v>137</v>
      </c>
      <c r="D593" s="53" t="s">
        <v>138</v>
      </c>
      <c r="E593" s="54" t="n">
        <v>46099</v>
      </c>
      <c r="F593" s="55" t="n">
        <v>16</v>
      </c>
      <c r="G593" s="55" t="n">
        <v>14</v>
      </c>
      <c r="H593" s="55" t="n">
        <v>90</v>
      </c>
      <c r="I593" s="56" t="n">
        <v>3.9</v>
      </c>
      <c r="J593" s="53" t="s">
        <v>147</v>
      </c>
      <c r="K593" s="53"/>
      <c r="L593" s="57" t="str">
        <f aca="false">IF(C593="","",IFERROR(INDEX(site_ID,MATCH(C593,site_Name,0)),"Not on SITES"))</f>
        <v>LW-115</v>
      </c>
      <c r="M593" s="58" t="n">
        <f aca="false">IF(E593="","",DATE(YEAR(E593),MONTH(E593),1))</f>
        <v>46082</v>
      </c>
      <c r="N593" s="57" t="str">
        <f aca="false">IF(E593="","","FY"&amp;(YEAR(E593)+IF(AND(FYStart&gt;1,MONTH(E593)&gt;=FYStart),1,0))&amp;" Q"&amp;(INT(MOD(MONTH(E593)-FYStart,12)/3)+1))</f>
        <v>FY2026 Q3</v>
      </c>
      <c r="O593" s="59" t="n">
        <f aca="false">IF(OR(E593="",N(F593)=0),"",G593/F593)</f>
        <v>0.875</v>
      </c>
      <c r="P593" s="60" t="n">
        <f aca="false">IF(E593="","",ROUND(N(G593)*N(H593)/60,1))</f>
        <v>21</v>
      </c>
      <c r="Q593" s="57" t="str">
        <f aca="false">IF(E593="","",IF(COUNTIFS($C$2:C593,C593,$E$2:E593,E593,$B$2:B593,B593)&gt;1,"No","Yes"))</f>
        <v>Yes</v>
      </c>
      <c r="R593" s="61" t="str">
        <f aca="false">IF(E593="","",IF(Q593="No","Duplicate of an earlier response",IF(L593="Not on SITES","Site not on SITES",IF(N(G593)&gt;N(F593),"Present is more than enrolled",IF(OR(I593&lt;1,I593&gt;5),"Score outside 1 to 5","")))))</f>
        <v/>
      </c>
    </row>
    <row r="594" customFormat="false" ht="15" hidden="false" customHeight="false" outlineLevel="0" collapsed="false">
      <c r="A594" s="52" t="n">
        <v>46099.7508564815</v>
      </c>
      <c r="B594" s="53" t="s">
        <v>105</v>
      </c>
      <c r="C594" s="53" t="s">
        <v>118</v>
      </c>
      <c r="D594" s="53" t="s">
        <v>119</v>
      </c>
      <c r="E594" s="54" t="n">
        <v>46099</v>
      </c>
      <c r="F594" s="55" t="n">
        <v>22</v>
      </c>
      <c r="G594" s="55" t="n">
        <v>17</v>
      </c>
      <c r="H594" s="55" t="n">
        <v>90</v>
      </c>
      <c r="I594" s="56" t="n">
        <v>3.8</v>
      </c>
      <c r="J594" s="53" t="s">
        <v>144</v>
      </c>
      <c r="K594" s="53"/>
      <c r="L594" s="57" t="str">
        <f aca="false">IF(C594="","",IFERROR(INDEX(site_ID,MATCH(C594,site_Name,0)),"Not on SITES"))</f>
        <v>LW-111</v>
      </c>
      <c r="M594" s="58" t="n">
        <f aca="false">IF(E594="","",DATE(YEAR(E594),MONTH(E594),1))</f>
        <v>46082</v>
      </c>
      <c r="N594" s="57" t="str">
        <f aca="false">IF(E594="","","FY"&amp;(YEAR(E594)+IF(AND(FYStart&gt;1,MONTH(E594)&gt;=FYStart),1,0))&amp;" Q"&amp;(INT(MOD(MONTH(E594)-FYStart,12)/3)+1))</f>
        <v>FY2026 Q3</v>
      </c>
      <c r="O594" s="59" t="n">
        <f aca="false">IF(OR(E594="",N(F594)=0),"",G594/F594)</f>
        <v>0.772727272727273</v>
      </c>
      <c r="P594" s="60" t="n">
        <f aca="false">IF(E594="","",ROUND(N(G594)*N(H594)/60,1))</f>
        <v>25.5</v>
      </c>
      <c r="Q594" s="57" t="str">
        <f aca="false">IF(E594="","",IF(COUNTIFS($C$2:C594,C594,$E$2:E594,E594,$B$2:B594,B594)&gt;1,"No","Yes"))</f>
        <v>Yes</v>
      </c>
      <c r="R594" s="61" t="str">
        <f aca="false">IF(E594="","",IF(Q594="No","Duplicate of an earlier response",IF(L594="Not on SITES","Site not on SITES",IF(N(G594)&gt;N(F594),"Present is more than enrolled",IF(OR(I594&lt;1,I594&gt;5),"Score outside 1 to 5","")))))</f>
        <v/>
      </c>
    </row>
    <row r="595" customFormat="false" ht="15" hidden="false" customHeight="false" outlineLevel="0" collapsed="false">
      <c r="A595" s="52" t="n">
        <v>46099.8017708333</v>
      </c>
      <c r="B595" s="53" t="s">
        <v>129</v>
      </c>
      <c r="C595" s="53" t="s">
        <v>130</v>
      </c>
      <c r="D595" s="53" t="s">
        <v>113</v>
      </c>
      <c r="E595" s="54" t="n">
        <v>46098</v>
      </c>
      <c r="F595" s="55" t="n">
        <v>16</v>
      </c>
      <c r="G595" s="55" t="n">
        <v>15</v>
      </c>
      <c r="H595" s="55" t="n">
        <v>90</v>
      </c>
      <c r="I595" s="56" t="n">
        <v>3.6</v>
      </c>
      <c r="J595" s="53" t="s">
        <v>114</v>
      </c>
      <c r="K595" s="53"/>
      <c r="L595" s="57" t="str">
        <f aca="false">IF(C595="","",IFERROR(INDEX(site_ID,MATCH(C595,site_Name,0)),"Not on SITES"))</f>
        <v>LW-107</v>
      </c>
      <c r="M595" s="58" t="n">
        <f aca="false">IF(E595="","",DATE(YEAR(E595),MONTH(E595),1))</f>
        <v>46082</v>
      </c>
      <c r="N595" s="57" t="str">
        <f aca="false">IF(E595="","","FY"&amp;(YEAR(E595)+IF(AND(FYStart&gt;1,MONTH(E595)&gt;=FYStart),1,0))&amp;" Q"&amp;(INT(MOD(MONTH(E595)-FYStart,12)/3)+1))</f>
        <v>FY2026 Q3</v>
      </c>
      <c r="O595" s="59" t="n">
        <f aca="false">IF(OR(E595="",N(F595)=0),"",G595/F595)</f>
        <v>0.9375</v>
      </c>
      <c r="P595" s="60" t="n">
        <f aca="false">IF(E595="","",ROUND(N(G595)*N(H595)/60,1))</f>
        <v>22.5</v>
      </c>
      <c r="Q595" s="57" t="str">
        <f aca="false">IF(E595="","",IF(COUNTIFS($C$2:C595,C595,$E$2:E595,E595,$B$2:B595,B595)&gt;1,"No","Yes"))</f>
        <v>Yes</v>
      </c>
      <c r="R595" s="61" t="str">
        <f aca="false">IF(E595="","",IF(Q595="No","Duplicate of an earlier response",IF(L595="Not on SITES","Site not on SITES",IF(N(G595)&gt;N(F595),"Present is more than enrolled",IF(OR(I595&lt;1,I595&gt;5),"Score outside 1 to 5","")))))</f>
        <v/>
      </c>
    </row>
    <row r="596" customFormat="false" ht="15" hidden="false" customHeight="false" outlineLevel="0" collapsed="false">
      <c r="A596" s="52" t="n">
        <v>46099.854537037</v>
      </c>
      <c r="B596" s="53" t="s">
        <v>111</v>
      </c>
      <c r="C596" s="53" t="s">
        <v>112</v>
      </c>
      <c r="D596" s="53" t="s">
        <v>113</v>
      </c>
      <c r="E596" s="54" t="n">
        <v>46099</v>
      </c>
      <c r="F596" s="55" t="n">
        <v>15</v>
      </c>
      <c r="G596" s="55" t="n">
        <v>15</v>
      </c>
      <c r="H596" s="55" t="n">
        <v>75</v>
      </c>
      <c r="I596" s="56" t="n">
        <v>3.6</v>
      </c>
      <c r="J596" s="53" t="s">
        <v>143</v>
      </c>
      <c r="K596" s="53"/>
      <c r="L596" s="57" t="str">
        <f aca="false">IF(C596="","",IFERROR(INDEX(site_ID,MATCH(C596,site_Name,0)),"Not on SITES"))</f>
        <v>LW-120</v>
      </c>
      <c r="M596" s="58" t="n">
        <f aca="false">IF(E596="","",DATE(YEAR(E596),MONTH(E596),1))</f>
        <v>46082</v>
      </c>
      <c r="N596" s="57" t="str">
        <f aca="false">IF(E596="","","FY"&amp;(YEAR(E596)+IF(AND(FYStart&gt;1,MONTH(E596)&gt;=FYStart),1,0))&amp;" Q"&amp;(INT(MOD(MONTH(E596)-FYStart,12)/3)+1))</f>
        <v>FY2026 Q3</v>
      </c>
      <c r="O596" s="59" t="n">
        <f aca="false">IF(OR(E596="",N(F596)=0),"",G596/F596)</f>
        <v>1</v>
      </c>
      <c r="P596" s="60" t="n">
        <f aca="false">IF(E596="","",ROUND(N(G596)*N(H596)/60,1))</f>
        <v>18.8</v>
      </c>
      <c r="Q596" s="57" t="str">
        <f aca="false">IF(E596="","",IF(COUNTIFS($C$2:C596,C596,$E$2:E596,E596,$B$2:B596,B596)&gt;1,"No","Yes"))</f>
        <v>Yes</v>
      </c>
      <c r="R596" s="61" t="str">
        <f aca="false">IF(E596="","",IF(Q596="No","Duplicate of an earlier response",IF(L596="Not on SITES","Site not on SITES",IF(N(G596)&gt;N(F596),"Present is more than enrolled",IF(OR(I596&lt;1,I596&gt;5),"Score outside 1 to 5","")))))</f>
        <v/>
      </c>
    </row>
    <row r="597" customFormat="false" ht="15" hidden="false" customHeight="false" outlineLevel="0" collapsed="false">
      <c r="A597" s="52" t="n">
        <v>46099.8586805556</v>
      </c>
      <c r="B597" s="53" t="s">
        <v>140</v>
      </c>
      <c r="C597" s="53" t="s">
        <v>142</v>
      </c>
      <c r="D597" s="53" t="s">
        <v>113</v>
      </c>
      <c r="E597" s="54" t="n">
        <v>46099</v>
      </c>
      <c r="F597" s="55" t="n">
        <v>18</v>
      </c>
      <c r="G597" s="55" t="n">
        <v>18</v>
      </c>
      <c r="H597" s="55" t="n">
        <v>75</v>
      </c>
      <c r="I597" s="56" t="n">
        <v>3.4</v>
      </c>
      <c r="J597" s="53" t="s">
        <v>114</v>
      </c>
      <c r="K597" s="53" t="s">
        <v>167</v>
      </c>
      <c r="L597" s="57" t="str">
        <f aca="false">IF(C597="","",IFERROR(INDEX(site_ID,MATCH(C597,site_Name,0)),"Not on SITES"))</f>
        <v>LW-102</v>
      </c>
      <c r="M597" s="58" t="n">
        <f aca="false">IF(E597="","",DATE(YEAR(E597),MONTH(E597),1))</f>
        <v>46082</v>
      </c>
      <c r="N597" s="57" t="str">
        <f aca="false">IF(E597="","","FY"&amp;(YEAR(E597)+IF(AND(FYStart&gt;1,MONTH(E597)&gt;=FYStart),1,0))&amp;" Q"&amp;(INT(MOD(MONTH(E597)-FYStart,12)/3)+1))</f>
        <v>FY2026 Q3</v>
      </c>
      <c r="O597" s="59" t="n">
        <f aca="false">IF(OR(E597="",N(F597)=0),"",G597/F597)</f>
        <v>1</v>
      </c>
      <c r="P597" s="60" t="n">
        <f aca="false">IF(E597="","",ROUND(N(G597)*N(H597)/60,1))</f>
        <v>22.5</v>
      </c>
      <c r="Q597" s="57" t="str">
        <f aca="false">IF(E597="","",IF(COUNTIFS($C$2:C597,C597,$E$2:E597,E597,$B$2:B597,B597)&gt;1,"No","Yes"))</f>
        <v>Yes</v>
      </c>
      <c r="R597" s="61" t="str">
        <f aca="false">IF(E597="","",IF(Q597="No","Duplicate of an earlier response",IF(L597="Not on SITES","Site not on SITES",IF(N(G597)&gt;N(F597),"Present is more than enrolled",IF(OR(I597&lt;1,I597&gt;5),"Score outside 1 to 5","")))))</f>
        <v/>
      </c>
    </row>
    <row r="598" customFormat="false" ht="15" hidden="false" customHeight="false" outlineLevel="0" collapsed="false">
      <c r="A598" s="52" t="n">
        <v>46100.7025925926</v>
      </c>
      <c r="B598" s="53" t="s">
        <v>132</v>
      </c>
      <c r="C598" s="53" t="s">
        <v>150</v>
      </c>
      <c r="D598" s="53" t="s">
        <v>138</v>
      </c>
      <c r="E598" s="54" t="n">
        <v>46100</v>
      </c>
      <c r="F598" s="55" t="n">
        <v>21</v>
      </c>
      <c r="G598" s="55" t="n">
        <v>18</v>
      </c>
      <c r="H598" s="55" t="n">
        <v>90</v>
      </c>
      <c r="I598" s="56" t="n">
        <v>3.6</v>
      </c>
      <c r="J598" s="53" t="s">
        <v>147</v>
      </c>
      <c r="K598" s="53"/>
      <c r="L598" s="57" t="str">
        <f aca="false">IF(C598="","",IFERROR(INDEX(site_ID,MATCH(C598,site_Name,0)),"Not on SITES"))</f>
        <v>LW-117</v>
      </c>
      <c r="M598" s="58" t="n">
        <f aca="false">IF(E598="","",DATE(YEAR(E598),MONTH(E598),1))</f>
        <v>46082</v>
      </c>
      <c r="N598" s="57" t="str">
        <f aca="false">IF(E598="","","FY"&amp;(YEAR(E598)+IF(AND(FYStart&gt;1,MONTH(E598)&gt;=FYStart),1,0))&amp;" Q"&amp;(INT(MOD(MONTH(E598)-FYStart,12)/3)+1))</f>
        <v>FY2026 Q3</v>
      </c>
      <c r="O598" s="59" t="n">
        <f aca="false">IF(OR(E598="",N(F598)=0),"",G598/F598)</f>
        <v>0.857142857142857</v>
      </c>
      <c r="P598" s="60" t="n">
        <f aca="false">IF(E598="","",ROUND(N(G598)*N(H598)/60,1))</f>
        <v>27</v>
      </c>
      <c r="Q598" s="57" t="str">
        <f aca="false">IF(E598="","",IF(COUNTIFS($C$2:C598,C598,$E$2:E598,E598,$B$2:B598,B598)&gt;1,"No","Yes"))</f>
        <v>Yes</v>
      </c>
      <c r="R598" s="61" t="str">
        <f aca="false">IF(E598="","",IF(Q598="No","Duplicate of an earlier response",IF(L598="Not on SITES","Site not on SITES",IF(N(G598)&gt;N(F598),"Present is more than enrolled",IF(OR(I598&lt;1,I598&gt;5),"Score outside 1 to 5","")))))</f>
        <v/>
      </c>
    </row>
    <row r="599" customFormat="false" ht="15" hidden="false" customHeight="false" outlineLevel="0" collapsed="false">
      <c r="A599" s="52" t="n">
        <v>46100.7150694444</v>
      </c>
      <c r="B599" s="53" t="s">
        <v>111</v>
      </c>
      <c r="C599" s="53" t="s">
        <v>148</v>
      </c>
      <c r="D599" s="53" t="s">
        <v>116</v>
      </c>
      <c r="E599" s="54" t="n">
        <v>46100</v>
      </c>
      <c r="F599" s="55" t="n">
        <v>16</v>
      </c>
      <c r="G599" s="55" t="n">
        <v>12</v>
      </c>
      <c r="H599" s="55" t="n">
        <v>60</v>
      </c>
      <c r="I599" s="56" t="n">
        <v>4.3</v>
      </c>
      <c r="J599" s="53" t="s">
        <v>160</v>
      </c>
      <c r="K599" s="53"/>
      <c r="L599" s="57" t="str">
        <f aca="false">IF(C599="","",IFERROR(INDEX(site_ID,MATCH(C599,site_Name,0)),"Not on SITES"))</f>
        <v>LW-104</v>
      </c>
      <c r="M599" s="58" t="n">
        <f aca="false">IF(E599="","",DATE(YEAR(E599),MONTH(E599),1))</f>
        <v>46082</v>
      </c>
      <c r="N599" s="57" t="str">
        <f aca="false">IF(E599="","","FY"&amp;(YEAR(E599)+IF(AND(FYStart&gt;1,MONTH(E599)&gt;=FYStart),1,0))&amp;" Q"&amp;(INT(MOD(MONTH(E599)-FYStart,12)/3)+1))</f>
        <v>FY2026 Q3</v>
      </c>
      <c r="O599" s="59" t="n">
        <f aca="false">IF(OR(E599="",N(F599)=0),"",G599/F599)</f>
        <v>0.75</v>
      </c>
      <c r="P599" s="60" t="n">
        <f aca="false">IF(E599="","",ROUND(N(G599)*N(H599)/60,1))</f>
        <v>12</v>
      </c>
      <c r="Q599" s="57" t="str">
        <f aca="false">IF(E599="","",IF(COUNTIFS($C$2:C599,C599,$E$2:E599,E599,$B$2:B599,B599)&gt;1,"No","Yes"))</f>
        <v>Yes</v>
      </c>
      <c r="R599" s="61" t="str">
        <f aca="false">IF(E599="","",IF(Q599="No","Duplicate of an earlier response",IF(L599="Not on SITES","Site not on SITES",IF(N(G599)&gt;N(F599),"Present is more than enrolled",IF(OR(I599&lt;1,I599&gt;5),"Score outside 1 to 5","")))))</f>
        <v/>
      </c>
    </row>
    <row r="600" customFormat="false" ht="15" hidden="false" customHeight="false" outlineLevel="0" collapsed="false">
      <c r="A600" s="52" t="n">
        <v>46100.7947569444</v>
      </c>
      <c r="B600" s="53" t="s">
        <v>140</v>
      </c>
      <c r="C600" s="53" t="s">
        <v>151</v>
      </c>
      <c r="D600" s="53" t="s">
        <v>138</v>
      </c>
      <c r="E600" s="54" t="n">
        <v>46100</v>
      </c>
      <c r="F600" s="55" t="n">
        <v>13</v>
      </c>
      <c r="G600" s="55" t="n">
        <v>11</v>
      </c>
      <c r="H600" s="55" t="n">
        <v>90</v>
      </c>
      <c r="I600" s="56" t="n">
        <v>3.8</v>
      </c>
      <c r="J600" s="53" t="s">
        <v>152</v>
      </c>
      <c r="K600" s="53"/>
      <c r="L600" s="57" t="str">
        <f aca="false">IF(C600="","",IFERROR(INDEX(site_ID,MATCH(C600,site_Name,0)),"Not on SITES"))</f>
        <v>LW-110</v>
      </c>
      <c r="M600" s="58" t="n">
        <f aca="false">IF(E600="","",DATE(YEAR(E600),MONTH(E600),1))</f>
        <v>46082</v>
      </c>
      <c r="N600" s="57" t="str">
        <f aca="false">IF(E600="","","FY"&amp;(YEAR(E600)+IF(AND(FYStart&gt;1,MONTH(E600)&gt;=FYStart),1,0))&amp;" Q"&amp;(INT(MOD(MONTH(E600)-FYStart,12)/3)+1))</f>
        <v>FY2026 Q3</v>
      </c>
      <c r="O600" s="59" t="n">
        <f aca="false">IF(OR(E600="",N(F600)=0),"",G600/F600)</f>
        <v>0.846153846153846</v>
      </c>
      <c r="P600" s="60" t="n">
        <f aca="false">IF(E600="","",ROUND(N(G600)*N(H600)/60,1))</f>
        <v>16.5</v>
      </c>
      <c r="Q600" s="57" t="str">
        <f aca="false">IF(E600="","",IF(COUNTIFS($C$2:C600,C600,$E$2:E600,E600,$B$2:B600,B600)&gt;1,"No","Yes"))</f>
        <v>Yes</v>
      </c>
      <c r="R600" s="61" t="str">
        <f aca="false">IF(E600="","",IF(Q600="No","Duplicate of an earlier response",IF(L600="Not on SITES","Site not on SITES",IF(N(G600)&gt;N(F600),"Present is more than enrolled",IF(OR(I600&lt;1,I600&gt;5),"Score outside 1 to 5","")))))</f>
        <v/>
      </c>
    </row>
    <row r="601" customFormat="false" ht="15" hidden="false" customHeight="false" outlineLevel="0" collapsed="false">
      <c r="A601" s="52" t="n">
        <v>46100.809212963</v>
      </c>
      <c r="B601" s="53" t="s">
        <v>121</v>
      </c>
      <c r="C601" s="53" t="s">
        <v>122</v>
      </c>
      <c r="D601" s="53" t="s">
        <v>116</v>
      </c>
      <c r="E601" s="54" t="n">
        <v>46100</v>
      </c>
      <c r="F601" s="55" t="n">
        <v>16</v>
      </c>
      <c r="G601" s="55" t="n">
        <v>12</v>
      </c>
      <c r="H601" s="55" t="n">
        <v>90</v>
      </c>
      <c r="I601" s="56" t="n">
        <v>3.7</v>
      </c>
      <c r="J601" s="53" t="s">
        <v>117</v>
      </c>
      <c r="K601" s="53"/>
      <c r="L601" s="57" t="str">
        <f aca="false">IF(C601="","",IFERROR(INDEX(site_ID,MATCH(C601,site_Name,0)),"Not on SITES"))</f>
        <v>LW-116</v>
      </c>
      <c r="M601" s="58" t="n">
        <f aca="false">IF(E601="","",DATE(YEAR(E601),MONTH(E601),1))</f>
        <v>46082</v>
      </c>
      <c r="N601" s="57" t="str">
        <f aca="false">IF(E601="","","FY"&amp;(YEAR(E601)+IF(AND(FYStart&gt;1,MONTH(E601)&gt;=FYStart),1,0))&amp;" Q"&amp;(INT(MOD(MONTH(E601)-FYStart,12)/3)+1))</f>
        <v>FY2026 Q3</v>
      </c>
      <c r="O601" s="59" t="n">
        <f aca="false">IF(OR(E601="",N(F601)=0),"",G601/F601)</f>
        <v>0.75</v>
      </c>
      <c r="P601" s="60" t="n">
        <f aca="false">IF(E601="","",ROUND(N(G601)*N(H601)/60,1))</f>
        <v>18</v>
      </c>
      <c r="Q601" s="57" t="str">
        <f aca="false">IF(E601="","",IF(COUNTIFS($C$2:C601,C601,$E$2:E601,E601,$B$2:B601,B601)&gt;1,"No","Yes"))</f>
        <v>Yes</v>
      </c>
      <c r="R601" s="61" t="str">
        <f aca="false">IF(E601="","",IF(Q601="No","Duplicate of an earlier response",IF(L601="Not on SITES","Site not on SITES",IF(N(G601)&gt;N(F601),"Present is more than enrolled",IF(OR(I601&lt;1,I601&gt;5),"Score outside 1 to 5","")))))</f>
        <v/>
      </c>
    </row>
    <row r="602" customFormat="false" ht="15" hidden="false" customHeight="false" outlineLevel="0" collapsed="false">
      <c r="A602" s="52" t="n">
        <v>46100.8199074074</v>
      </c>
      <c r="B602" s="53" t="s">
        <v>109</v>
      </c>
      <c r="C602" s="53" t="s">
        <v>146</v>
      </c>
      <c r="D602" s="53" t="s">
        <v>138</v>
      </c>
      <c r="E602" s="54" t="n">
        <v>46100</v>
      </c>
      <c r="F602" s="55" t="n">
        <v>14</v>
      </c>
      <c r="G602" s="55" t="n">
        <v>12</v>
      </c>
      <c r="H602" s="55" t="n">
        <v>90</v>
      </c>
      <c r="I602" s="56" t="n">
        <v>4</v>
      </c>
      <c r="J602" s="53" t="s">
        <v>163</v>
      </c>
      <c r="K602" s="53" t="s">
        <v>158</v>
      </c>
      <c r="L602" s="57" t="str">
        <f aca="false">IF(C602="","",IFERROR(INDEX(site_ID,MATCH(C602,site_Name,0)),"Not on SITES"))</f>
        <v>LW-105</v>
      </c>
      <c r="M602" s="58" t="n">
        <f aca="false">IF(E602="","",DATE(YEAR(E602),MONTH(E602),1))</f>
        <v>46082</v>
      </c>
      <c r="N602" s="57" t="str">
        <f aca="false">IF(E602="","","FY"&amp;(YEAR(E602)+IF(AND(FYStart&gt;1,MONTH(E602)&gt;=FYStart),1,0))&amp;" Q"&amp;(INT(MOD(MONTH(E602)-FYStart,12)/3)+1))</f>
        <v>FY2026 Q3</v>
      </c>
      <c r="O602" s="59" t="n">
        <f aca="false">IF(OR(E602="",N(F602)=0),"",G602/F602)</f>
        <v>0.857142857142857</v>
      </c>
      <c r="P602" s="60" t="n">
        <f aca="false">IF(E602="","",ROUND(N(G602)*N(H602)/60,1))</f>
        <v>18</v>
      </c>
      <c r="Q602" s="57" t="str">
        <f aca="false">IF(E602="","",IF(COUNTIFS($C$2:C602,C602,$E$2:E602,E602,$B$2:B602,B602)&gt;1,"No","Yes"))</f>
        <v>Yes</v>
      </c>
      <c r="R602" s="61" t="str">
        <f aca="false">IF(E602="","",IF(Q602="No","Duplicate of an earlier response",IF(L602="Not on SITES","Site not on SITES",IF(N(G602)&gt;N(F602),"Present is more than enrolled",IF(OR(I602&lt;1,I602&gt;5),"Score outside 1 to 5","")))))</f>
        <v/>
      </c>
    </row>
    <row r="603" customFormat="false" ht="15" hidden="false" customHeight="false" outlineLevel="0" collapsed="false">
      <c r="A603" s="52" t="n">
        <v>46100.8446875</v>
      </c>
      <c r="B603" s="53" t="s">
        <v>124</v>
      </c>
      <c r="C603" s="53" t="s">
        <v>154</v>
      </c>
      <c r="D603" s="53" t="s">
        <v>116</v>
      </c>
      <c r="E603" s="54" t="n">
        <v>46100</v>
      </c>
      <c r="F603" s="55" t="n">
        <v>18</v>
      </c>
      <c r="G603" s="55" t="n">
        <v>17</v>
      </c>
      <c r="H603" s="55" t="n">
        <v>75</v>
      </c>
      <c r="I603" s="56" t="n">
        <v>4</v>
      </c>
      <c r="J603" s="53" t="s">
        <v>123</v>
      </c>
      <c r="K603" s="53" t="s">
        <v>161</v>
      </c>
      <c r="L603" s="57" t="str">
        <f aca="false">IF(C603="","",IFERROR(INDEX(site_ID,MATCH(C603,site_Name,0)),"Not on SITES"))</f>
        <v>LW-114</v>
      </c>
      <c r="M603" s="58" t="n">
        <f aca="false">IF(E603="","",DATE(YEAR(E603),MONTH(E603),1))</f>
        <v>46082</v>
      </c>
      <c r="N603" s="57" t="str">
        <f aca="false">IF(E603="","","FY"&amp;(YEAR(E603)+IF(AND(FYStart&gt;1,MONTH(E603)&gt;=FYStart),1,0))&amp;" Q"&amp;(INT(MOD(MONTH(E603)-FYStart,12)/3)+1))</f>
        <v>FY2026 Q3</v>
      </c>
      <c r="O603" s="59" t="n">
        <f aca="false">IF(OR(E603="",N(F603)=0),"",G603/F603)</f>
        <v>0.944444444444444</v>
      </c>
      <c r="P603" s="60" t="n">
        <f aca="false">IF(E603="","",ROUND(N(G603)*N(H603)/60,1))</f>
        <v>21.3</v>
      </c>
      <c r="Q603" s="57" t="str">
        <f aca="false">IF(E603="","",IF(COUNTIFS($C$2:C603,C603,$E$2:E603,E603,$B$2:B603,B603)&gt;1,"No","Yes"))</f>
        <v>Yes</v>
      </c>
      <c r="R603" s="61" t="str">
        <f aca="false">IF(E603="","",IF(Q603="No","Duplicate of an earlier response",IF(L603="Not on SITES","Site not on SITES",IF(N(G603)&gt;N(F603),"Present is more than enrolled",IF(OR(I603&lt;1,I603&gt;5),"Score outside 1 to 5","")))))</f>
        <v/>
      </c>
    </row>
    <row r="604" customFormat="false" ht="15" hidden="false" customHeight="false" outlineLevel="0" collapsed="false">
      <c r="A604" s="52" t="n">
        <v>46101.8121064815</v>
      </c>
      <c r="B604" s="53" t="s">
        <v>129</v>
      </c>
      <c r="C604" s="53" t="s">
        <v>137</v>
      </c>
      <c r="D604" s="53" t="s">
        <v>138</v>
      </c>
      <c r="E604" s="54" t="n">
        <v>46101</v>
      </c>
      <c r="F604" s="55" t="n">
        <v>16</v>
      </c>
      <c r="G604" s="55" t="n">
        <v>14</v>
      </c>
      <c r="H604" s="55" t="n">
        <v>90</v>
      </c>
      <c r="I604" s="56" t="n">
        <v>4.2</v>
      </c>
      <c r="J604" s="53" t="s">
        <v>139</v>
      </c>
      <c r="K604" s="53"/>
      <c r="L604" s="57" t="str">
        <f aca="false">IF(C604="","",IFERROR(INDEX(site_ID,MATCH(C604,site_Name,0)),"Not on SITES"))</f>
        <v>LW-115</v>
      </c>
      <c r="M604" s="58" t="n">
        <f aca="false">IF(E604="","",DATE(YEAR(E604),MONTH(E604),1))</f>
        <v>46082</v>
      </c>
      <c r="N604" s="57" t="str">
        <f aca="false">IF(E604="","","FY"&amp;(YEAR(E604)+IF(AND(FYStart&gt;1,MONTH(E604)&gt;=FYStart),1,0))&amp;" Q"&amp;(INT(MOD(MONTH(E604)-FYStart,12)/3)+1))</f>
        <v>FY2026 Q3</v>
      </c>
      <c r="O604" s="59" t="n">
        <f aca="false">IF(OR(E604="",N(F604)=0),"",G604/F604)</f>
        <v>0.875</v>
      </c>
      <c r="P604" s="60" t="n">
        <f aca="false">IF(E604="","",ROUND(N(G604)*N(H604)/60,1))</f>
        <v>21</v>
      </c>
      <c r="Q604" s="57" t="str">
        <f aca="false">IF(E604="","",IF(COUNTIFS($C$2:C604,C604,$E$2:E604,E604,$B$2:B604,B604)&gt;1,"No","Yes"))</f>
        <v>Yes</v>
      </c>
      <c r="R604" s="61" t="str">
        <f aca="false">IF(E604="","",IF(Q604="No","Duplicate of an earlier response",IF(L604="Not on SITES","Site not on SITES",IF(N(G604)&gt;N(F604),"Present is more than enrolled",IF(OR(I604&lt;1,I604&gt;5),"Score outside 1 to 5","")))))</f>
        <v/>
      </c>
    </row>
    <row r="605" customFormat="false" ht="15" hidden="false" customHeight="false" outlineLevel="0" collapsed="false">
      <c r="A605" s="52" t="n">
        <v>46102.6274421296</v>
      </c>
      <c r="B605" s="53" t="s">
        <v>140</v>
      </c>
      <c r="C605" s="53" t="s">
        <v>141</v>
      </c>
      <c r="D605" s="53" t="s">
        <v>116</v>
      </c>
      <c r="E605" s="54" t="n">
        <v>46101</v>
      </c>
      <c r="F605" s="55" t="n">
        <v>13</v>
      </c>
      <c r="G605" s="55" t="n">
        <v>11</v>
      </c>
      <c r="H605" s="55" t="n">
        <v>90</v>
      </c>
      <c r="I605" s="56" t="n">
        <v>4</v>
      </c>
      <c r="J605" s="53" t="s">
        <v>117</v>
      </c>
      <c r="K605" s="53" t="s">
        <v>167</v>
      </c>
      <c r="L605" s="57" t="str">
        <f aca="false">IF(C605="","",IFERROR(INDEX(site_ID,MATCH(C605,site_Name,0)),"Not on SITES"))</f>
        <v>LW-118</v>
      </c>
      <c r="M605" s="58" t="n">
        <f aca="false">IF(E605="","",DATE(YEAR(E605),MONTH(E605),1))</f>
        <v>46082</v>
      </c>
      <c r="N605" s="57" t="str">
        <f aca="false">IF(E605="","","FY"&amp;(YEAR(E605)+IF(AND(FYStart&gt;1,MONTH(E605)&gt;=FYStart),1,0))&amp;" Q"&amp;(INT(MOD(MONTH(E605)-FYStart,12)/3)+1))</f>
        <v>FY2026 Q3</v>
      </c>
      <c r="O605" s="59" t="n">
        <f aca="false">IF(OR(E605="",N(F605)=0),"",G605/F605)</f>
        <v>0.846153846153846</v>
      </c>
      <c r="P605" s="60" t="n">
        <f aca="false">IF(E605="","",ROUND(N(G605)*N(H605)/60,1))</f>
        <v>16.5</v>
      </c>
      <c r="Q605" s="57" t="str">
        <f aca="false">IF(E605="","",IF(COUNTIFS($C$2:C605,C605,$E$2:E605,E605,$B$2:B605,B605)&gt;1,"No","Yes"))</f>
        <v>Yes</v>
      </c>
      <c r="R605" s="61" t="str">
        <f aca="false">IF(E605="","",IF(Q605="No","Duplicate of an earlier response",IF(L605="Not on SITES","Site not on SITES",IF(N(G605)&gt;N(F605),"Present is more than enrolled",IF(OR(I605&lt;1,I605&gt;5),"Score outside 1 to 5","")))))</f>
        <v/>
      </c>
    </row>
    <row r="606" customFormat="false" ht="15" hidden="false" customHeight="false" outlineLevel="0" collapsed="false">
      <c r="A606" s="52" t="n">
        <v>46102.8451157407</v>
      </c>
      <c r="B606" s="53" t="s">
        <v>111</v>
      </c>
      <c r="C606" s="53" t="s">
        <v>149</v>
      </c>
      <c r="D606" s="53" t="s">
        <v>113</v>
      </c>
      <c r="E606" s="54" t="n">
        <v>46100</v>
      </c>
      <c r="F606" s="55" t="n">
        <v>21</v>
      </c>
      <c r="G606" s="55" t="n">
        <v>18</v>
      </c>
      <c r="H606" s="55" t="n">
        <v>90</v>
      </c>
      <c r="I606" s="56" t="n">
        <v>4.3</v>
      </c>
      <c r="J606" s="53" t="s">
        <v>136</v>
      </c>
      <c r="K606" s="53"/>
      <c r="L606" s="57" t="str">
        <f aca="false">IF(C606="","",IFERROR(INDEX(site_ID,MATCH(C606,site_Name,0)),"Not on SITES"))</f>
        <v>LW-112</v>
      </c>
      <c r="M606" s="58" t="n">
        <f aca="false">IF(E606="","",DATE(YEAR(E606),MONTH(E606),1))</f>
        <v>46082</v>
      </c>
      <c r="N606" s="57" t="str">
        <f aca="false">IF(E606="","","FY"&amp;(YEAR(E606)+IF(AND(FYStart&gt;1,MONTH(E606)&gt;=FYStart),1,0))&amp;" Q"&amp;(INT(MOD(MONTH(E606)-FYStart,12)/3)+1))</f>
        <v>FY2026 Q3</v>
      </c>
      <c r="O606" s="59" t="n">
        <f aca="false">IF(OR(E606="",N(F606)=0),"",G606/F606)</f>
        <v>0.857142857142857</v>
      </c>
      <c r="P606" s="60" t="n">
        <f aca="false">IF(E606="","",ROUND(N(G606)*N(H606)/60,1))</f>
        <v>27</v>
      </c>
      <c r="Q606" s="57" t="str">
        <f aca="false">IF(E606="","",IF(COUNTIFS($C$2:C606,C606,$E$2:E606,E606,$B$2:B606,B606)&gt;1,"No","Yes"))</f>
        <v>Yes</v>
      </c>
      <c r="R606" s="61" t="str">
        <f aca="false">IF(E606="","",IF(Q606="No","Duplicate of an earlier response",IF(L606="Not on SITES","Site not on SITES",IF(N(G606)&gt;N(F606),"Present is more than enrolled",IF(OR(I606&lt;1,I606&gt;5),"Score outside 1 to 5","")))))</f>
        <v/>
      </c>
    </row>
    <row r="607" customFormat="false" ht="15" hidden="false" customHeight="false" outlineLevel="0" collapsed="false">
      <c r="A607" s="52" t="n">
        <v>46104.6387268519</v>
      </c>
      <c r="B607" s="53" t="s">
        <v>105</v>
      </c>
      <c r="C607" s="53" t="s">
        <v>115</v>
      </c>
      <c r="D607" s="53" t="s">
        <v>116</v>
      </c>
      <c r="E607" s="54" t="n">
        <v>46104</v>
      </c>
      <c r="F607" s="55" t="n">
        <v>16</v>
      </c>
      <c r="G607" s="55" t="n">
        <v>13</v>
      </c>
      <c r="H607" s="55" t="n">
        <v>60</v>
      </c>
      <c r="I607" s="56" t="n">
        <v>3.9</v>
      </c>
      <c r="J607" s="53" t="s">
        <v>117</v>
      </c>
      <c r="K607" s="53"/>
      <c r="L607" s="57" t="str">
        <f aca="false">IF(C607="","",IFERROR(INDEX(site_ID,MATCH(C607,site_Name,0)),"Not on SITES"))</f>
        <v>LW-119</v>
      </c>
      <c r="M607" s="58" t="n">
        <f aca="false">IF(E607="","",DATE(YEAR(E607),MONTH(E607),1))</f>
        <v>46082</v>
      </c>
      <c r="N607" s="57" t="str">
        <f aca="false">IF(E607="","","FY"&amp;(YEAR(E607)+IF(AND(FYStart&gt;1,MONTH(E607)&gt;=FYStart),1,0))&amp;" Q"&amp;(INT(MOD(MONTH(E607)-FYStart,12)/3)+1))</f>
        <v>FY2026 Q3</v>
      </c>
      <c r="O607" s="59" t="n">
        <f aca="false">IF(OR(E607="",N(F607)=0),"",G607/F607)</f>
        <v>0.8125</v>
      </c>
      <c r="P607" s="60" t="n">
        <f aca="false">IF(E607="","",ROUND(N(G607)*N(H607)/60,1))</f>
        <v>13</v>
      </c>
      <c r="Q607" s="57" t="str">
        <f aca="false">IF(E607="","",IF(COUNTIFS($C$2:C607,C607,$E$2:E607,E607,$B$2:B607,B607)&gt;1,"No","Yes"))</f>
        <v>Yes</v>
      </c>
      <c r="R607" s="61" t="str">
        <f aca="false">IF(E607="","",IF(Q607="No","Duplicate of an earlier response",IF(L607="Not on SITES","Site not on SITES",IF(N(G607)&gt;N(F607),"Present is more than enrolled",IF(OR(I607&lt;1,I607&gt;5),"Score outside 1 to 5","")))))</f>
        <v/>
      </c>
    </row>
    <row r="608" customFormat="false" ht="15" hidden="false" customHeight="false" outlineLevel="0" collapsed="false">
      <c r="A608" s="52" t="n">
        <v>46104.6723263889</v>
      </c>
      <c r="B608" s="53" t="s">
        <v>109</v>
      </c>
      <c r="C608" s="53" t="s">
        <v>110</v>
      </c>
      <c r="D608" s="53" t="s">
        <v>107</v>
      </c>
      <c r="E608" s="54" t="n">
        <v>46104</v>
      </c>
      <c r="F608" s="55" t="n">
        <v>21</v>
      </c>
      <c r="G608" s="55" t="n">
        <v>15</v>
      </c>
      <c r="H608" s="55" t="n">
        <v>75</v>
      </c>
      <c r="I608" s="56" t="n">
        <v>3.5</v>
      </c>
      <c r="J608" s="53" t="s">
        <v>156</v>
      </c>
      <c r="K608" s="53"/>
      <c r="L608" s="57" t="str">
        <f aca="false">IF(C608="","",IFERROR(INDEX(site_ID,MATCH(C608,site_Name,0)),"Not on SITES"))</f>
        <v>LW-113</v>
      </c>
      <c r="M608" s="58" t="n">
        <f aca="false">IF(E608="","",DATE(YEAR(E608),MONTH(E608),1))</f>
        <v>46082</v>
      </c>
      <c r="N608" s="57" t="str">
        <f aca="false">IF(E608="","","FY"&amp;(YEAR(E608)+IF(AND(FYStart&gt;1,MONTH(E608)&gt;=FYStart),1,0))&amp;" Q"&amp;(INT(MOD(MONTH(E608)-FYStart,12)/3)+1))</f>
        <v>FY2026 Q3</v>
      </c>
      <c r="O608" s="59" t="n">
        <f aca="false">IF(OR(E608="",N(F608)=0),"",G608/F608)</f>
        <v>0.714285714285714</v>
      </c>
      <c r="P608" s="60" t="n">
        <f aca="false">IF(E608="","",ROUND(N(G608)*N(H608)/60,1))</f>
        <v>18.8</v>
      </c>
      <c r="Q608" s="57" t="str">
        <f aca="false">IF(E608="","",IF(COUNTIFS($C$2:C608,C608,$E$2:E608,E608,$B$2:B608,B608)&gt;1,"No","Yes"))</f>
        <v>Yes</v>
      </c>
      <c r="R608" s="61" t="str">
        <f aca="false">IF(E608="","",IF(Q608="No","Duplicate of an earlier response",IF(L608="Not on SITES","Site not on SITES",IF(N(G608)&gt;N(F608),"Present is more than enrolled",IF(OR(I608&lt;1,I608&gt;5),"Score outside 1 to 5","")))))</f>
        <v/>
      </c>
    </row>
    <row r="609" customFormat="false" ht="15" hidden="false" customHeight="false" outlineLevel="0" collapsed="false">
      <c r="A609" s="52" t="n">
        <v>46104.7753009259</v>
      </c>
      <c r="B609" s="53" t="s">
        <v>105</v>
      </c>
      <c r="C609" s="53" t="s">
        <v>106</v>
      </c>
      <c r="D609" s="53" t="s">
        <v>107</v>
      </c>
      <c r="E609" s="54" t="n">
        <v>46104</v>
      </c>
      <c r="F609" s="55" t="n">
        <v>16</v>
      </c>
      <c r="G609" s="55" t="n">
        <v>12</v>
      </c>
      <c r="H609" s="55" t="n">
        <v>60</v>
      </c>
      <c r="I609" s="56" t="n">
        <v>4.2</v>
      </c>
      <c r="J609" s="53" t="s">
        <v>128</v>
      </c>
      <c r="K609" s="53"/>
      <c r="L609" s="57" t="str">
        <f aca="false">IF(C609="","",IFERROR(INDEX(site_ID,MATCH(C609,site_Name,0)),"Not on SITES"))</f>
        <v>LW-103</v>
      </c>
      <c r="M609" s="58" t="n">
        <f aca="false">IF(E609="","",DATE(YEAR(E609),MONTH(E609),1))</f>
        <v>46082</v>
      </c>
      <c r="N609" s="57" t="str">
        <f aca="false">IF(E609="","","FY"&amp;(YEAR(E609)+IF(AND(FYStart&gt;1,MONTH(E609)&gt;=FYStart),1,0))&amp;" Q"&amp;(INT(MOD(MONTH(E609)-FYStart,12)/3)+1))</f>
        <v>FY2026 Q3</v>
      </c>
      <c r="O609" s="59" t="n">
        <f aca="false">IF(OR(E609="",N(F609)=0),"",G609/F609)</f>
        <v>0.75</v>
      </c>
      <c r="P609" s="60" t="n">
        <f aca="false">IF(E609="","",ROUND(N(G609)*N(H609)/60,1))</f>
        <v>12</v>
      </c>
      <c r="Q609" s="57" t="str">
        <f aca="false">IF(E609="","",IF(COUNTIFS($C$2:C609,C609,$E$2:E609,E609,$B$2:B609,B609)&gt;1,"No","Yes"))</f>
        <v>Yes</v>
      </c>
      <c r="R609" s="61" t="str">
        <f aca="false">IF(E609="","",IF(Q609="No","Duplicate of an earlier response",IF(L609="Not on SITES","Site not on SITES",IF(N(G609)&gt;N(F609),"Present is more than enrolled",IF(OR(I609&lt;1,I609&gt;5),"Score outside 1 to 5","")))))</f>
        <v/>
      </c>
    </row>
    <row r="610" customFormat="false" ht="15" hidden="false" customHeight="false" outlineLevel="0" collapsed="false">
      <c r="A610" s="52" t="n">
        <v>46104.8696643519</v>
      </c>
      <c r="B610" s="53" t="s">
        <v>111</v>
      </c>
      <c r="C610" s="53" t="s">
        <v>112</v>
      </c>
      <c r="D610" s="53" t="s">
        <v>113</v>
      </c>
      <c r="E610" s="54" t="n">
        <v>46104</v>
      </c>
      <c r="F610" s="55" t="n">
        <v>15</v>
      </c>
      <c r="G610" s="55" t="n">
        <v>13</v>
      </c>
      <c r="H610" s="55" t="n">
        <v>75</v>
      </c>
      <c r="I610" s="56" t="n">
        <v>3.6</v>
      </c>
      <c r="J610" s="53" t="s">
        <v>165</v>
      </c>
      <c r="K610" s="53"/>
      <c r="L610" s="57" t="str">
        <f aca="false">IF(C610="","",IFERROR(INDEX(site_ID,MATCH(C610,site_Name,0)),"Not on SITES"))</f>
        <v>LW-120</v>
      </c>
      <c r="M610" s="58" t="n">
        <f aca="false">IF(E610="","",DATE(YEAR(E610),MONTH(E610),1))</f>
        <v>46082</v>
      </c>
      <c r="N610" s="57" t="str">
        <f aca="false">IF(E610="","","FY"&amp;(YEAR(E610)+IF(AND(FYStart&gt;1,MONTH(E610)&gt;=FYStart),1,0))&amp;" Q"&amp;(INT(MOD(MONTH(E610)-FYStart,12)/3)+1))</f>
        <v>FY2026 Q3</v>
      </c>
      <c r="O610" s="59" t="n">
        <f aca="false">IF(OR(E610="",N(F610)=0),"",G610/F610)</f>
        <v>0.866666666666667</v>
      </c>
      <c r="P610" s="60" t="n">
        <f aca="false">IF(E610="","",ROUND(N(G610)*N(H610)/60,1))</f>
        <v>16.3</v>
      </c>
      <c r="Q610" s="57" t="str">
        <f aca="false">IF(E610="","",IF(COUNTIFS($C$2:C610,C610,$E$2:E610,E610,$B$2:B610,B610)&gt;1,"No","Yes"))</f>
        <v>Yes</v>
      </c>
      <c r="R610" s="61" t="str">
        <f aca="false">IF(E610="","",IF(Q610="No","Duplicate of an earlier response",IF(L610="Not on SITES","Site not on SITES",IF(N(G610)&gt;N(F610),"Present is more than enrolled",IF(OR(I610&lt;1,I610&gt;5),"Score outside 1 to 5","")))))</f>
        <v/>
      </c>
    </row>
    <row r="611" customFormat="false" ht="15" hidden="false" customHeight="false" outlineLevel="0" collapsed="false">
      <c r="A611" s="52" t="n">
        <v>46105.632974537</v>
      </c>
      <c r="B611" s="53" t="s">
        <v>124</v>
      </c>
      <c r="C611" s="53" t="s">
        <v>125</v>
      </c>
      <c r="D611" s="53" t="s">
        <v>119</v>
      </c>
      <c r="E611" s="54" t="n">
        <v>46105</v>
      </c>
      <c r="F611" s="55" t="n">
        <v>18</v>
      </c>
      <c r="G611" s="55" t="n">
        <v>16</v>
      </c>
      <c r="H611" s="55" t="n">
        <v>60</v>
      </c>
      <c r="I611" s="56" t="n">
        <v>3.1</v>
      </c>
      <c r="J611" s="53" t="s">
        <v>144</v>
      </c>
      <c r="K611" s="53"/>
      <c r="L611" s="57" t="str">
        <f aca="false">IF(C611="","",IFERROR(INDEX(site_ID,MATCH(C611,site_Name,0)),"Not on SITES"))</f>
        <v>LW-106</v>
      </c>
      <c r="M611" s="58" t="n">
        <f aca="false">IF(E611="","",DATE(YEAR(E611),MONTH(E611),1))</f>
        <v>46082</v>
      </c>
      <c r="N611" s="57" t="str">
        <f aca="false">IF(E611="","","FY"&amp;(YEAR(E611)+IF(AND(FYStart&gt;1,MONTH(E611)&gt;=FYStart),1,0))&amp;" Q"&amp;(INT(MOD(MONTH(E611)-FYStart,12)/3)+1))</f>
        <v>FY2026 Q3</v>
      </c>
      <c r="O611" s="59" t="n">
        <f aca="false">IF(OR(E611="",N(F611)=0),"",G611/F611)</f>
        <v>0.888888888888889</v>
      </c>
      <c r="P611" s="60" t="n">
        <f aca="false">IF(E611="","",ROUND(N(G611)*N(H611)/60,1))</f>
        <v>16</v>
      </c>
      <c r="Q611" s="57" t="str">
        <f aca="false">IF(E611="","",IF(COUNTIFS($C$2:C611,C611,$E$2:E611,E611,$B$2:B611,B611)&gt;1,"No","Yes"))</f>
        <v>Yes</v>
      </c>
      <c r="R611" s="61" t="str">
        <f aca="false">IF(E611="","",IF(Q611="No","Duplicate of an earlier response",IF(L611="Not on SITES","Site not on SITES",IF(N(G611)&gt;N(F611),"Present is more than enrolled",IF(OR(I611&lt;1,I611&gt;5),"Score outside 1 to 5","")))))</f>
        <v/>
      </c>
    </row>
    <row r="612" customFormat="false" ht="15" hidden="false" customHeight="false" outlineLevel="0" collapsed="false">
      <c r="A612" s="52" t="n">
        <v>46105.8049652778</v>
      </c>
      <c r="B612" s="53" t="s">
        <v>105</v>
      </c>
      <c r="C612" s="53" t="s">
        <v>118</v>
      </c>
      <c r="D612" s="53" t="s">
        <v>119</v>
      </c>
      <c r="E612" s="54" t="n">
        <v>46104</v>
      </c>
      <c r="F612" s="55" t="n">
        <v>22</v>
      </c>
      <c r="G612" s="55" t="n">
        <v>18</v>
      </c>
      <c r="H612" s="55" t="n">
        <v>75</v>
      </c>
      <c r="I612" s="56" t="n">
        <v>3.7</v>
      </c>
      <c r="J612" s="53" t="s">
        <v>120</v>
      </c>
      <c r="K612" s="53"/>
      <c r="L612" s="57" t="str">
        <f aca="false">IF(C612="","",IFERROR(INDEX(site_ID,MATCH(C612,site_Name,0)),"Not on SITES"))</f>
        <v>LW-111</v>
      </c>
      <c r="M612" s="58" t="n">
        <f aca="false">IF(E612="","",DATE(YEAR(E612),MONTH(E612),1))</f>
        <v>46082</v>
      </c>
      <c r="N612" s="57" t="str">
        <f aca="false">IF(E612="","","FY"&amp;(YEAR(E612)+IF(AND(FYStart&gt;1,MONTH(E612)&gt;=FYStart),1,0))&amp;" Q"&amp;(INT(MOD(MONTH(E612)-FYStart,12)/3)+1))</f>
        <v>FY2026 Q3</v>
      </c>
      <c r="O612" s="59" t="n">
        <f aca="false">IF(OR(E612="",N(F612)=0),"",G612/F612)</f>
        <v>0.818181818181818</v>
      </c>
      <c r="P612" s="60" t="n">
        <f aca="false">IF(E612="","",ROUND(N(G612)*N(H612)/60,1))</f>
        <v>22.5</v>
      </c>
      <c r="Q612" s="57" t="str">
        <f aca="false">IF(E612="","",IF(COUNTIFS($C$2:C612,C612,$E$2:E612,E612,$B$2:B612,B612)&gt;1,"No","Yes"))</f>
        <v>Yes</v>
      </c>
      <c r="R612" s="61" t="str">
        <f aca="false">IF(E612="","",IF(Q612="No","Duplicate of an earlier response",IF(L612="Not on SITES","Site not on SITES",IF(N(G612)&gt;N(F612),"Present is more than enrolled",IF(OR(I612&lt;1,I612&gt;5),"Score outside 1 to 5","")))))</f>
        <v/>
      </c>
    </row>
    <row r="613" customFormat="false" ht="15" hidden="false" customHeight="false" outlineLevel="0" collapsed="false">
      <c r="A613" s="52" t="n">
        <v>46105.8507986111</v>
      </c>
      <c r="B613" s="53" t="s">
        <v>129</v>
      </c>
      <c r="C613" s="53" t="s">
        <v>130</v>
      </c>
      <c r="D613" s="53" t="s">
        <v>113</v>
      </c>
      <c r="E613" s="54" t="n">
        <v>46105</v>
      </c>
      <c r="F613" s="55" t="n">
        <v>16</v>
      </c>
      <c r="G613" s="55" t="n">
        <v>15</v>
      </c>
      <c r="H613" s="55" t="n">
        <v>60</v>
      </c>
      <c r="I613" s="56" t="n">
        <v>3.7</v>
      </c>
      <c r="J613" s="53" t="s">
        <v>143</v>
      </c>
      <c r="K613" s="53" t="s">
        <v>135</v>
      </c>
      <c r="L613" s="57" t="str">
        <f aca="false">IF(C613="","",IFERROR(INDEX(site_ID,MATCH(C613,site_Name,0)),"Not on SITES"))</f>
        <v>LW-107</v>
      </c>
      <c r="M613" s="58" t="n">
        <f aca="false">IF(E613="","",DATE(YEAR(E613),MONTH(E613),1))</f>
        <v>46082</v>
      </c>
      <c r="N613" s="57" t="str">
        <f aca="false">IF(E613="","","FY"&amp;(YEAR(E613)+IF(AND(FYStart&gt;1,MONTH(E613)&gt;=FYStart),1,0))&amp;" Q"&amp;(INT(MOD(MONTH(E613)-FYStart,12)/3)+1))</f>
        <v>FY2026 Q3</v>
      </c>
      <c r="O613" s="59" t="n">
        <f aca="false">IF(OR(E613="",N(F613)=0),"",G613/F613)</f>
        <v>0.9375</v>
      </c>
      <c r="P613" s="60" t="n">
        <f aca="false">IF(E613="","",ROUND(N(G613)*N(H613)/60,1))</f>
        <v>15</v>
      </c>
      <c r="Q613" s="57" t="str">
        <f aca="false">IF(E613="","",IF(COUNTIFS($C$2:C613,C613,$E$2:E613,E613,$B$2:B613,B613)&gt;1,"No","Yes"))</f>
        <v>Yes</v>
      </c>
      <c r="R613" s="61" t="str">
        <f aca="false">IF(E613="","",IF(Q613="No","Duplicate of an earlier response",IF(L613="Not on SITES","Site not on SITES",IF(N(G613)&gt;N(F613),"Present is more than enrolled",IF(OR(I613&lt;1,I613&gt;5),"Score outside 1 to 5","")))))</f>
        <v/>
      </c>
    </row>
    <row r="614" customFormat="false" ht="15" hidden="false" customHeight="false" outlineLevel="0" collapsed="false">
      <c r="A614" s="52" t="n">
        <v>46106.6417708333</v>
      </c>
      <c r="B614" s="53" t="s">
        <v>132</v>
      </c>
      <c r="C614" s="53" t="s">
        <v>133</v>
      </c>
      <c r="D614" s="53" t="s">
        <v>116</v>
      </c>
      <c r="E614" s="54" t="n">
        <v>46105</v>
      </c>
      <c r="F614" s="55" t="n">
        <v>17</v>
      </c>
      <c r="G614" s="55" t="n">
        <v>13</v>
      </c>
      <c r="H614" s="55" t="n">
        <v>90</v>
      </c>
      <c r="I614" s="56" t="n">
        <v>3.7</v>
      </c>
      <c r="J614" s="53" t="s">
        <v>117</v>
      </c>
      <c r="K614" s="53" t="s">
        <v>158</v>
      </c>
      <c r="L614" s="57" t="str">
        <f aca="false">IF(C614="","",IFERROR(INDEX(site_ID,MATCH(C614,site_Name,0)),"Not on SITES"))</f>
        <v>LW-109</v>
      </c>
      <c r="M614" s="58" t="n">
        <f aca="false">IF(E614="","",DATE(YEAR(E614),MONTH(E614),1))</f>
        <v>46082</v>
      </c>
      <c r="N614" s="57" t="str">
        <f aca="false">IF(E614="","","FY"&amp;(YEAR(E614)+IF(AND(FYStart&gt;1,MONTH(E614)&gt;=FYStart),1,0))&amp;" Q"&amp;(INT(MOD(MONTH(E614)-FYStart,12)/3)+1))</f>
        <v>FY2026 Q3</v>
      </c>
      <c r="O614" s="59" t="n">
        <f aca="false">IF(OR(E614="",N(F614)=0),"",G614/F614)</f>
        <v>0.764705882352941</v>
      </c>
      <c r="P614" s="60" t="n">
        <f aca="false">IF(E614="","",ROUND(N(G614)*N(H614)/60,1))</f>
        <v>19.5</v>
      </c>
      <c r="Q614" s="57" t="str">
        <f aca="false">IF(E614="","",IF(COUNTIFS($C$2:C614,C614,$E$2:E614,E614,$B$2:B614,B614)&gt;1,"No","Yes"))</f>
        <v>Yes</v>
      </c>
      <c r="R614" s="61" t="str">
        <f aca="false">IF(E614="","",IF(Q614="No","Duplicate of an earlier response",IF(L614="Not on SITES","Site not on SITES",IF(N(G614)&gt;N(F614),"Present is more than enrolled",IF(OR(I614&lt;1,I614&gt;5),"Score outside 1 to 5","")))))</f>
        <v/>
      </c>
    </row>
    <row r="615" customFormat="false" ht="15" hidden="false" customHeight="false" outlineLevel="0" collapsed="false">
      <c r="A615" s="52" t="n">
        <v>46106.6469328704</v>
      </c>
      <c r="B615" s="53" t="s">
        <v>105</v>
      </c>
      <c r="C615" s="53" t="s">
        <v>118</v>
      </c>
      <c r="D615" s="53" t="s">
        <v>119</v>
      </c>
      <c r="E615" s="54" t="n">
        <v>46106</v>
      </c>
      <c r="F615" s="55" t="n">
        <v>22</v>
      </c>
      <c r="G615" s="55" t="n">
        <v>17</v>
      </c>
      <c r="H615" s="55" t="n">
        <v>90</v>
      </c>
      <c r="I615" s="56" t="n">
        <v>4</v>
      </c>
      <c r="J615" s="53" t="s">
        <v>126</v>
      </c>
      <c r="K615" s="53"/>
      <c r="L615" s="57" t="str">
        <f aca="false">IF(C615="","",IFERROR(INDEX(site_ID,MATCH(C615,site_Name,0)),"Not on SITES"))</f>
        <v>LW-111</v>
      </c>
      <c r="M615" s="58" t="n">
        <f aca="false">IF(E615="","",DATE(YEAR(E615),MONTH(E615),1))</f>
        <v>46082</v>
      </c>
      <c r="N615" s="57" t="str">
        <f aca="false">IF(E615="","","FY"&amp;(YEAR(E615)+IF(AND(FYStart&gt;1,MONTH(E615)&gt;=FYStart),1,0))&amp;" Q"&amp;(INT(MOD(MONTH(E615)-FYStart,12)/3)+1))</f>
        <v>FY2026 Q3</v>
      </c>
      <c r="O615" s="59" t="n">
        <f aca="false">IF(OR(E615="",N(F615)=0),"",G615/F615)</f>
        <v>0.772727272727273</v>
      </c>
      <c r="P615" s="60" t="n">
        <f aca="false">IF(E615="","",ROUND(N(G615)*N(H615)/60,1))</f>
        <v>25.5</v>
      </c>
      <c r="Q615" s="57" t="str">
        <f aca="false">IF(E615="","",IF(COUNTIFS($C$2:C615,C615,$E$2:E615,E615,$B$2:B615,B615)&gt;1,"No","Yes"))</f>
        <v>Yes</v>
      </c>
      <c r="R615" s="61" t="str">
        <f aca="false">IF(E615="","",IF(Q615="No","Duplicate of an earlier response",IF(L615="Not on SITES","Site not on SITES",IF(N(G615)&gt;N(F615),"Present is more than enrolled",IF(OR(I615&lt;1,I615&gt;5),"Score outside 1 to 5","")))))</f>
        <v/>
      </c>
    </row>
    <row r="616" customFormat="false" ht="15" hidden="false" customHeight="false" outlineLevel="0" collapsed="false">
      <c r="A616" s="52" t="n">
        <v>46106.6480671296</v>
      </c>
      <c r="B616" s="53" t="s">
        <v>111</v>
      </c>
      <c r="C616" s="53" t="s">
        <v>112</v>
      </c>
      <c r="D616" s="53" t="s">
        <v>113</v>
      </c>
      <c r="E616" s="54" t="n">
        <v>46106</v>
      </c>
      <c r="F616" s="55" t="n">
        <v>15</v>
      </c>
      <c r="G616" s="55" t="n">
        <v>11</v>
      </c>
      <c r="H616" s="55" t="n">
        <v>60</v>
      </c>
      <c r="I616" s="56" t="n">
        <v>3.6</v>
      </c>
      <c r="J616" s="53" t="s">
        <v>143</v>
      </c>
      <c r="K616" s="53"/>
      <c r="L616" s="57" t="str">
        <f aca="false">IF(C616="","",IFERROR(INDEX(site_ID,MATCH(C616,site_Name,0)),"Not on SITES"))</f>
        <v>LW-120</v>
      </c>
      <c r="M616" s="58" t="n">
        <f aca="false">IF(E616="","",DATE(YEAR(E616),MONTH(E616),1))</f>
        <v>46082</v>
      </c>
      <c r="N616" s="57" t="str">
        <f aca="false">IF(E616="","","FY"&amp;(YEAR(E616)+IF(AND(FYStart&gt;1,MONTH(E616)&gt;=FYStart),1,0))&amp;" Q"&amp;(INT(MOD(MONTH(E616)-FYStart,12)/3)+1))</f>
        <v>FY2026 Q3</v>
      </c>
      <c r="O616" s="59" t="n">
        <f aca="false">IF(OR(E616="",N(F616)=0),"",G616/F616)</f>
        <v>0.733333333333333</v>
      </c>
      <c r="P616" s="60" t="n">
        <f aca="false">IF(E616="","",ROUND(N(G616)*N(H616)/60,1))</f>
        <v>11</v>
      </c>
      <c r="Q616" s="57" t="str">
        <f aca="false">IF(E616="","",IF(COUNTIFS($C$2:C616,C616,$E$2:E616,E616,$B$2:B616,B616)&gt;1,"No","Yes"))</f>
        <v>Yes</v>
      </c>
      <c r="R616" s="61" t="str">
        <f aca="false">IF(E616="","",IF(Q616="No","Duplicate of an earlier response",IF(L616="Not on SITES","Site not on SITES",IF(N(G616)&gt;N(F616),"Present is more than enrolled",IF(OR(I616&lt;1,I616&gt;5),"Score outside 1 to 5","")))))</f>
        <v/>
      </c>
    </row>
    <row r="617" customFormat="false" ht="15" hidden="false" customHeight="false" outlineLevel="0" collapsed="false">
      <c r="A617" s="52" t="n">
        <v>46106.675</v>
      </c>
      <c r="B617" s="53" t="s">
        <v>132</v>
      </c>
      <c r="C617" s="53" t="s">
        <v>145</v>
      </c>
      <c r="D617" s="53" t="s">
        <v>119</v>
      </c>
      <c r="E617" s="54" t="n">
        <v>46106</v>
      </c>
      <c r="F617" s="55" t="n">
        <v>19</v>
      </c>
      <c r="G617" s="55" t="n">
        <v>13</v>
      </c>
      <c r="H617" s="55" t="n">
        <v>75</v>
      </c>
      <c r="I617" s="56" t="n">
        <v>3.6</v>
      </c>
      <c r="J617" s="53" t="s">
        <v>162</v>
      </c>
      <c r="K617" s="53" t="s">
        <v>161</v>
      </c>
      <c r="L617" s="57" t="str">
        <f aca="false">IF(C617="","",IFERROR(INDEX(site_ID,MATCH(C617,site_Name,0)),"Not on SITES"))</f>
        <v>LW-101</v>
      </c>
      <c r="M617" s="58" t="n">
        <f aca="false">IF(E617="","",DATE(YEAR(E617),MONTH(E617),1))</f>
        <v>46082</v>
      </c>
      <c r="N617" s="57" t="str">
        <f aca="false">IF(E617="","","FY"&amp;(YEAR(E617)+IF(AND(FYStart&gt;1,MONTH(E617)&gt;=FYStart),1,0))&amp;" Q"&amp;(INT(MOD(MONTH(E617)-FYStart,12)/3)+1))</f>
        <v>FY2026 Q3</v>
      </c>
      <c r="O617" s="59" t="n">
        <f aca="false">IF(OR(E617="",N(F617)=0),"",G617/F617)</f>
        <v>0.68421052631579</v>
      </c>
      <c r="P617" s="60" t="n">
        <f aca="false">IF(E617="","",ROUND(N(G617)*N(H617)/60,1))</f>
        <v>16.3</v>
      </c>
      <c r="Q617" s="57" t="str">
        <f aca="false">IF(E617="","",IF(COUNTIFS($C$2:C617,C617,$E$2:E617,E617,$B$2:B617,B617)&gt;1,"No","Yes"))</f>
        <v>Yes</v>
      </c>
      <c r="R617" s="61" t="str">
        <f aca="false">IF(E617="","",IF(Q617="No","Duplicate of an earlier response",IF(L617="Not on SITES","Site not on SITES",IF(N(G617)&gt;N(F617),"Present is more than enrolled",IF(OR(I617&lt;1,I617&gt;5),"Score outside 1 to 5","")))))</f>
        <v/>
      </c>
    </row>
    <row r="618" customFormat="false" ht="15" hidden="false" customHeight="false" outlineLevel="0" collapsed="false">
      <c r="A618" s="52" t="n">
        <v>46106.7024189815</v>
      </c>
      <c r="B618" s="53" t="s">
        <v>140</v>
      </c>
      <c r="C618" s="53" t="s">
        <v>142</v>
      </c>
      <c r="D618" s="53" t="s">
        <v>113</v>
      </c>
      <c r="E618" s="54" t="n">
        <v>46106</v>
      </c>
      <c r="F618" s="55" t="n">
        <v>18</v>
      </c>
      <c r="G618" s="55" t="n">
        <v>17</v>
      </c>
      <c r="H618" s="55" t="n">
        <v>60</v>
      </c>
      <c r="I618" s="56" t="n">
        <v>3.5</v>
      </c>
      <c r="J618" s="53" t="s">
        <v>143</v>
      </c>
      <c r="K618" s="53"/>
      <c r="L618" s="57" t="str">
        <f aca="false">IF(C618="","",IFERROR(INDEX(site_ID,MATCH(C618,site_Name,0)),"Not on SITES"))</f>
        <v>LW-102</v>
      </c>
      <c r="M618" s="58" t="n">
        <f aca="false">IF(E618="","",DATE(YEAR(E618),MONTH(E618),1))</f>
        <v>46082</v>
      </c>
      <c r="N618" s="57" t="str">
        <f aca="false">IF(E618="","","FY"&amp;(YEAR(E618)+IF(AND(FYStart&gt;1,MONTH(E618)&gt;=FYStart),1,0))&amp;" Q"&amp;(INT(MOD(MONTH(E618)-FYStart,12)/3)+1))</f>
        <v>FY2026 Q3</v>
      </c>
      <c r="O618" s="59" t="n">
        <f aca="false">IF(OR(E618="",N(F618)=0),"",G618/F618)</f>
        <v>0.944444444444444</v>
      </c>
      <c r="P618" s="60" t="n">
        <f aca="false">IF(E618="","",ROUND(N(G618)*N(H618)/60,1))</f>
        <v>17</v>
      </c>
      <c r="Q618" s="57" t="str">
        <f aca="false">IF(E618="","",IF(COUNTIFS($C$2:C618,C618,$E$2:E618,E618,$B$2:B618,B618)&gt;1,"No","Yes"))</f>
        <v>Yes</v>
      </c>
      <c r="R618" s="61" t="str">
        <f aca="false">IF(E618="","",IF(Q618="No","Duplicate of an earlier response",IF(L618="Not on SITES","Site not on SITES",IF(N(G618)&gt;N(F618),"Present is more than enrolled",IF(OR(I618&lt;1,I618&gt;5),"Score outside 1 to 5","")))))</f>
        <v/>
      </c>
    </row>
    <row r="619" customFormat="false" ht="15" hidden="false" customHeight="false" outlineLevel="0" collapsed="false">
      <c r="A619" s="52" t="n">
        <v>46106.7936921296</v>
      </c>
      <c r="B619" s="53" t="s">
        <v>140</v>
      </c>
      <c r="C619" s="53" t="s">
        <v>141</v>
      </c>
      <c r="D619" s="53" t="s">
        <v>116</v>
      </c>
      <c r="E619" s="54" t="n">
        <v>46106</v>
      </c>
      <c r="F619" s="55" t="n">
        <v>13</v>
      </c>
      <c r="G619" s="55" t="n">
        <v>12</v>
      </c>
      <c r="H619" s="55" t="n">
        <v>60</v>
      </c>
      <c r="I619" s="56" t="n">
        <v>4.4</v>
      </c>
      <c r="J619" s="53" t="s">
        <v>123</v>
      </c>
      <c r="K619" s="53"/>
      <c r="L619" s="57" t="str">
        <f aca="false">IF(C619="","",IFERROR(INDEX(site_ID,MATCH(C619,site_Name,0)),"Not on SITES"))</f>
        <v>LW-118</v>
      </c>
      <c r="M619" s="58" t="n">
        <f aca="false">IF(E619="","",DATE(YEAR(E619),MONTH(E619),1))</f>
        <v>46082</v>
      </c>
      <c r="N619" s="57" t="str">
        <f aca="false">IF(E619="","","FY"&amp;(YEAR(E619)+IF(AND(FYStart&gt;1,MONTH(E619)&gt;=FYStart),1,0))&amp;" Q"&amp;(INT(MOD(MONTH(E619)-FYStart,12)/3)+1))</f>
        <v>FY2026 Q3</v>
      </c>
      <c r="O619" s="59" t="n">
        <f aca="false">IF(OR(E619="",N(F619)=0),"",G619/F619)</f>
        <v>0.923076923076923</v>
      </c>
      <c r="P619" s="60" t="n">
        <f aca="false">IF(E619="","",ROUND(N(G619)*N(H619)/60,1))</f>
        <v>12</v>
      </c>
      <c r="Q619" s="57" t="str">
        <f aca="false">IF(E619="","",IF(COUNTIFS($C$2:C619,C619,$E$2:E619,E619,$B$2:B619,B619)&gt;1,"No","Yes"))</f>
        <v>Yes</v>
      </c>
      <c r="R619" s="61" t="str">
        <f aca="false">IF(E619="","",IF(Q619="No","Duplicate of an earlier response",IF(L619="Not on SITES","Site not on SITES",IF(N(G619)&gt;N(F619),"Present is more than enrolled",IF(OR(I619&lt;1,I619&gt;5),"Score outside 1 to 5","")))))</f>
        <v/>
      </c>
    </row>
    <row r="620" customFormat="false" ht="15" hidden="false" customHeight="false" outlineLevel="0" collapsed="false">
      <c r="A620" s="52" t="n">
        <v>46106.8154282407</v>
      </c>
      <c r="B620" s="53" t="s">
        <v>121</v>
      </c>
      <c r="C620" s="53" t="s">
        <v>122</v>
      </c>
      <c r="D620" s="53" t="s">
        <v>116</v>
      </c>
      <c r="E620" s="54" t="n">
        <v>46105</v>
      </c>
      <c r="F620" s="55" t="n">
        <v>16</v>
      </c>
      <c r="G620" s="55" t="n">
        <v>13</v>
      </c>
      <c r="H620" s="55" t="n">
        <v>60</v>
      </c>
      <c r="I620" s="56" t="n">
        <v>3.8</v>
      </c>
      <c r="J620" s="53" t="s">
        <v>153</v>
      </c>
      <c r="K620" s="53"/>
      <c r="L620" s="57" t="str">
        <f aca="false">IF(C620="","",IFERROR(INDEX(site_ID,MATCH(C620,site_Name,0)),"Not on SITES"))</f>
        <v>LW-116</v>
      </c>
      <c r="M620" s="58" t="n">
        <f aca="false">IF(E620="","",DATE(YEAR(E620),MONTH(E620),1))</f>
        <v>46082</v>
      </c>
      <c r="N620" s="57" t="str">
        <f aca="false">IF(E620="","","FY"&amp;(YEAR(E620)+IF(AND(FYStart&gt;1,MONTH(E620)&gt;=FYStart),1,0))&amp;" Q"&amp;(INT(MOD(MONTH(E620)-FYStart,12)/3)+1))</f>
        <v>FY2026 Q3</v>
      </c>
      <c r="O620" s="59" t="n">
        <f aca="false">IF(OR(E620="",N(F620)=0),"",G620/F620)</f>
        <v>0.8125</v>
      </c>
      <c r="P620" s="60" t="n">
        <f aca="false">IF(E620="","",ROUND(N(G620)*N(H620)/60,1))</f>
        <v>13</v>
      </c>
      <c r="Q620" s="57" t="str">
        <f aca="false">IF(E620="","",IF(COUNTIFS($C$2:C620,C620,$E$2:E620,E620,$B$2:B620,B620)&gt;1,"No","Yes"))</f>
        <v>Yes</v>
      </c>
      <c r="R620" s="61" t="str">
        <f aca="false">IF(E620="","",IF(Q620="No","Duplicate of an earlier response",IF(L620="Not on SITES","Site not on SITES",IF(N(G620)&gt;N(F620),"Present is more than enrolled",IF(OR(I620&lt;1,I620&gt;5),"Score outside 1 to 5","")))))</f>
        <v/>
      </c>
    </row>
    <row r="621" customFormat="false" ht="15" hidden="false" customHeight="false" outlineLevel="0" collapsed="false">
      <c r="A621" s="52" t="n">
        <v>46106.841099537</v>
      </c>
      <c r="B621" s="53" t="s">
        <v>121</v>
      </c>
      <c r="C621" s="53" t="s">
        <v>137</v>
      </c>
      <c r="D621" s="53" t="s">
        <v>138</v>
      </c>
      <c r="E621" s="54" t="n">
        <v>46106</v>
      </c>
      <c r="F621" s="55" t="n">
        <v>16</v>
      </c>
      <c r="G621" s="55" t="n">
        <v>14</v>
      </c>
      <c r="H621" s="55" t="n">
        <v>90</v>
      </c>
      <c r="I621" s="56" t="n">
        <v>4.1</v>
      </c>
      <c r="J621" s="53" t="s">
        <v>163</v>
      </c>
      <c r="K621" s="53"/>
      <c r="L621" s="57" t="str">
        <f aca="false">IF(C621="","",IFERROR(INDEX(site_ID,MATCH(C621,site_Name,0)),"Not on SITES"))</f>
        <v>LW-115</v>
      </c>
      <c r="M621" s="58" t="n">
        <f aca="false">IF(E621="","",DATE(YEAR(E621),MONTH(E621),1))</f>
        <v>46082</v>
      </c>
      <c r="N621" s="57" t="str">
        <f aca="false">IF(E621="","","FY"&amp;(YEAR(E621)+IF(AND(FYStart&gt;1,MONTH(E621)&gt;=FYStart),1,0))&amp;" Q"&amp;(INT(MOD(MONTH(E621)-FYStart,12)/3)+1))</f>
        <v>FY2026 Q3</v>
      </c>
      <c r="O621" s="59" t="n">
        <f aca="false">IF(OR(E621="",N(F621)=0),"",G621/F621)</f>
        <v>0.875</v>
      </c>
      <c r="P621" s="60" t="n">
        <f aca="false">IF(E621="","",ROUND(N(G621)*N(H621)/60,1))</f>
        <v>21</v>
      </c>
      <c r="Q621" s="57" t="str">
        <f aca="false">IF(E621="","",IF(COUNTIFS($C$2:C621,C621,$E$2:E621,E621,$B$2:B621,B621)&gt;1,"No","Yes"))</f>
        <v>Yes</v>
      </c>
      <c r="R621" s="61" t="str">
        <f aca="false">IF(E621="","",IF(Q621="No","Duplicate of an earlier response",IF(L621="Not on SITES","Site not on SITES",IF(N(G621)&gt;N(F621),"Present is more than enrolled",IF(OR(I621&lt;1,I621&gt;5),"Score outside 1 to 5","")))))</f>
        <v/>
      </c>
    </row>
    <row r="622" customFormat="false" ht="15" hidden="false" customHeight="false" outlineLevel="0" collapsed="false">
      <c r="A622" s="52" t="n">
        <v>46107.6914583333</v>
      </c>
      <c r="B622" s="53" t="s">
        <v>111</v>
      </c>
      <c r="C622" s="53" t="s">
        <v>149</v>
      </c>
      <c r="D622" s="53" t="s">
        <v>113</v>
      </c>
      <c r="E622" s="54" t="n">
        <v>46107</v>
      </c>
      <c r="F622" s="55" t="n">
        <v>21</v>
      </c>
      <c r="G622" s="55" t="n">
        <v>19</v>
      </c>
      <c r="H622" s="55" t="n">
        <v>75</v>
      </c>
      <c r="I622" s="56" t="n">
        <v>3.8</v>
      </c>
      <c r="J622" s="53" t="s">
        <v>114</v>
      </c>
      <c r="K622" s="53"/>
      <c r="L622" s="57" t="str">
        <f aca="false">IF(C622="","",IFERROR(INDEX(site_ID,MATCH(C622,site_Name,0)),"Not on SITES"))</f>
        <v>LW-112</v>
      </c>
      <c r="M622" s="58" t="n">
        <f aca="false">IF(E622="","",DATE(YEAR(E622),MONTH(E622),1))</f>
        <v>46082</v>
      </c>
      <c r="N622" s="57" t="str">
        <f aca="false">IF(E622="","","FY"&amp;(YEAR(E622)+IF(AND(FYStart&gt;1,MONTH(E622)&gt;=FYStart),1,0))&amp;" Q"&amp;(INT(MOD(MONTH(E622)-FYStart,12)/3)+1))</f>
        <v>FY2026 Q3</v>
      </c>
      <c r="O622" s="59" t="n">
        <f aca="false">IF(OR(E622="",N(F622)=0),"",G622/F622)</f>
        <v>0.904761904761905</v>
      </c>
      <c r="P622" s="60" t="n">
        <f aca="false">IF(E622="","",ROUND(N(G622)*N(H622)/60,1))</f>
        <v>23.8</v>
      </c>
      <c r="Q622" s="57" t="str">
        <f aca="false">IF(E622="","",IF(COUNTIFS($C$2:C622,C622,$E$2:E622,E622,$B$2:B622,B622)&gt;1,"No","Yes"))</f>
        <v>Yes</v>
      </c>
      <c r="R622" s="61" t="str">
        <f aca="false">IF(E622="","",IF(Q622="No","Duplicate of an earlier response",IF(L622="Not on SITES","Site not on SITES",IF(N(G622)&gt;N(F622),"Present is more than enrolled",IF(OR(I622&lt;1,I622&gt;5),"Score outside 1 to 5","")))))</f>
        <v/>
      </c>
    </row>
    <row r="623" customFormat="false" ht="15" hidden="false" customHeight="false" outlineLevel="0" collapsed="false">
      <c r="A623" s="52" t="n">
        <v>46107.7177083333</v>
      </c>
      <c r="B623" s="53" t="s">
        <v>121</v>
      </c>
      <c r="C623" s="53" t="s">
        <v>122</v>
      </c>
      <c r="D623" s="53" t="s">
        <v>116</v>
      </c>
      <c r="E623" s="54" t="n">
        <v>46107</v>
      </c>
      <c r="F623" s="55" t="n">
        <v>16</v>
      </c>
      <c r="G623" s="55" t="n">
        <v>12</v>
      </c>
      <c r="H623" s="55" t="n">
        <v>60</v>
      </c>
      <c r="I623" s="56" t="n">
        <v>3.4</v>
      </c>
      <c r="J623" s="53" t="s">
        <v>153</v>
      </c>
      <c r="K623" s="53"/>
      <c r="L623" s="57" t="str">
        <f aca="false">IF(C623="","",IFERROR(INDEX(site_ID,MATCH(C623,site_Name,0)),"Not on SITES"))</f>
        <v>LW-116</v>
      </c>
      <c r="M623" s="58" t="n">
        <f aca="false">IF(E623="","",DATE(YEAR(E623),MONTH(E623),1))</f>
        <v>46082</v>
      </c>
      <c r="N623" s="57" t="str">
        <f aca="false">IF(E623="","","FY"&amp;(YEAR(E623)+IF(AND(FYStart&gt;1,MONTH(E623)&gt;=FYStart),1,0))&amp;" Q"&amp;(INT(MOD(MONTH(E623)-FYStart,12)/3)+1))</f>
        <v>FY2026 Q3</v>
      </c>
      <c r="O623" s="59" t="n">
        <f aca="false">IF(OR(E623="",N(F623)=0),"",G623/F623)</f>
        <v>0.75</v>
      </c>
      <c r="P623" s="60" t="n">
        <f aca="false">IF(E623="","",ROUND(N(G623)*N(H623)/60,1))</f>
        <v>12</v>
      </c>
      <c r="Q623" s="57" t="str">
        <f aca="false">IF(E623="","",IF(COUNTIFS($C$2:C623,C623,$E$2:E623,E623,$B$2:B623,B623)&gt;1,"No","Yes"))</f>
        <v>Yes</v>
      </c>
      <c r="R623" s="61" t="str">
        <f aca="false">IF(E623="","",IF(Q623="No","Duplicate of an earlier response",IF(L623="Not on SITES","Site not on SITES",IF(N(G623)&gt;N(F623),"Present is more than enrolled",IF(OR(I623&lt;1,I623&gt;5),"Score outside 1 to 5","")))))</f>
        <v/>
      </c>
    </row>
    <row r="624" customFormat="false" ht="15" hidden="false" customHeight="false" outlineLevel="0" collapsed="false">
      <c r="A624" s="52" t="n">
        <v>46107.7405902778</v>
      </c>
      <c r="B624" s="53" t="s">
        <v>111</v>
      </c>
      <c r="C624" s="53" t="s">
        <v>148</v>
      </c>
      <c r="D624" s="53" t="s">
        <v>116</v>
      </c>
      <c r="E624" s="54" t="n">
        <v>46107</v>
      </c>
      <c r="F624" s="55" t="n">
        <v>16</v>
      </c>
      <c r="G624" s="55" t="n">
        <v>11</v>
      </c>
      <c r="H624" s="55" t="n">
        <v>90</v>
      </c>
      <c r="I624" s="56" t="n">
        <v>3.9</v>
      </c>
      <c r="J624" s="53" t="s">
        <v>160</v>
      </c>
      <c r="K624" s="53"/>
      <c r="L624" s="57" t="str">
        <f aca="false">IF(C624="","",IFERROR(INDEX(site_ID,MATCH(C624,site_Name,0)),"Not on SITES"))</f>
        <v>LW-104</v>
      </c>
      <c r="M624" s="58" t="n">
        <f aca="false">IF(E624="","",DATE(YEAR(E624),MONTH(E624),1))</f>
        <v>46082</v>
      </c>
      <c r="N624" s="57" t="str">
        <f aca="false">IF(E624="","","FY"&amp;(YEAR(E624)+IF(AND(FYStart&gt;1,MONTH(E624)&gt;=FYStart),1,0))&amp;" Q"&amp;(INT(MOD(MONTH(E624)-FYStart,12)/3)+1))</f>
        <v>FY2026 Q3</v>
      </c>
      <c r="O624" s="59" t="n">
        <f aca="false">IF(OR(E624="",N(F624)=0),"",G624/F624)</f>
        <v>0.6875</v>
      </c>
      <c r="P624" s="60" t="n">
        <f aca="false">IF(E624="","",ROUND(N(G624)*N(H624)/60,1))</f>
        <v>16.5</v>
      </c>
      <c r="Q624" s="57" t="str">
        <f aca="false">IF(E624="","",IF(COUNTIFS($C$2:C624,C624,$E$2:E624,E624,$B$2:B624,B624)&gt;1,"No","Yes"))</f>
        <v>Yes</v>
      </c>
      <c r="R624" s="61" t="str">
        <f aca="false">IF(E624="","",IF(Q624="No","Duplicate of an earlier response",IF(L624="Not on SITES","Site not on SITES",IF(N(G624)&gt;N(F624),"Present is more than enrolled",IF(OR(I624&lt;1,I624&gt;5),"Score outside 1 to 5","")))))</f>
        <v/>
      </c>
    </row>
    <row r="625" customFormat="false" ht="15" hidden="false" customHeight="false" outlineLevel="0" collapsed="false">
      <c r="A625" s="52" t="n">
        <v>46107.774212963</v>
      </c>
      <c r="B625" s="53" t="s">
        <v>109</v>
      </c>
      <c r="C625" s="53" t="s">
        <v>146</v>
      </c>
      <c r="D625" s="53" t="s">
        <v>138</v>
      </c>
      <c r="E625" s="54" t="n">
        <v>46107</v>
      </c>
      <c r="F625" s="55" t="n">
        <v>14</v>
      </c>
      <c r="G625" s="55" t="n">
        <v>11</v>
      </c>
      <c r="H625" s="55" t="n">
        <v>90</v>
      </c>
      <c r="I625" s="56" t="n">
        <v>3.8</v>
      </c>
      <c r="J625" s="53" t="s">
        <v>152</v>
      </c>
      <c r="K625" s="53"/>
      <c r="L625" s="57" t="str">
        <f aca="false">IF(C625="","",IFERROR(INDEX(site_ID,MATCH(C625,site_Name,0)),"Not on SITES"))</f>
        <v>LW-105</v>
      </c>
      <c r="M625" s="58" t="n">
        <f aca="false">IF(E625="","",DATE(YEAR(E625),MONTH(E625),1))</f>
        <v>46082</v>
      </c>
      <c r="N625" s="57" t="str">
        <f aca="false">IF(E625="","","FY"&amp;(YEAR(E625)+IF(AND(FYStart&gt;1,MONTH(E625)&gt;=FYStart),1,0))&amp;" Q"&amp;(INT(MOD(MONTH(E625)-FYStart,12)/3)+1))</f>
        <v>FY2026 Q3</v>
      </c>
      <c r="O625" s="59" t="n">
        <f aca="false">IF(OR(E625="",N(F625)=0),"",G625/F625)</f>
        <v>0.785714285714286</v>
      </c>
      <c r="P625" s="60" t="n">
        <f aca="false">IF(E625="","",ROUND(N(G625)*N(H625)/60,1))</f>
        <v>16.5</v>
      </c>
      <c r="Q625" s="57" t="str">
        <f aca="false">IF(E625="","",IF(COUNTIFS($C$2:C625,C625,$E$2:E625,E625,$B$2:B625,B625)&gt;1,"No","Yes"))</f>
        <v>Yes</v>
      </c>
      <c r="R625" s="61" t="str">
        <f aca="false">IF(E625="","",IF(Q625="No","Duplicate of an earlier response",IF(L625="Not on SITES","Site not on SITES",IF(N(G625)&gt;N(F625),"Present is more than enrolled",IF(OR(I625&lt;1,I625&gt;5),"Score outside 1 to 5","")))))</f>
        <v/>
      </c>
    </row>
    <row r="626" customFormat="false" ht="15" hidden="false" customHeight="false" outlineLevel="0" collapsed="false">
      <c r="A626" s="52" t="n">
        <v>46107.7960185185</v>
      </c>
      <c r="B626" s="53" t="s">
        <v>140</v>
      </c>
      <c r="C626" s="53" t="s">
        <v>151</v>
      </c>
      <c r="D626" s="53" t="s">
        <v>138</v>
      </c>
      <c r="E626" s="54" t="n">
        <v>46107</v>
      </c>
      <c r="F626" s="55" t="n">
        <v>13</v>
      </c>
      <c r="G626" s="55" t="n">
        <v>11</v>
      </c>
      <c r="H626" s="55" t="n">
        <v>90</v>
      </c>
      <c r="I626" s="56" t="n">
        <v>4</v>
      </c>
      <c r="J626" s="53" t="s">
        <v>147</v>
      </c>
      <c r="K626" s="53"/>
      <c r="L626" s="57" t="str">
        <f aca="false">IF(C626="","",IFERROR(INDEX(site_ID,MATCH(C626,site_Name,0)),"Not on SITES"))</f>
        <v>LW-110</v>
      </c>
      <c r="M626" s="58" t="n">
        <f aca="false">IF(E626="","",DATE(YEAR(E626),MONTH(E626),1))</f>
        <v>46082</v>
      </c>
      <c r="N626" s="57" t="str">
        <f aca="false">IF(E626="","","FY"&amp;(YEAR(E626)+IF(AND(FYStart&gt;1,MONTH(E626)&gt;=FYStart),1,0))&amp;" Q"&amp;(INT(MOD(MONTH(E626)-FYStart,12)/3)+1))</f>
        <v>FY2026 Q3</v>
      </c>
      <c r="O626" s="59" t="n">
        <f aca="false">IF(OR(E626="",N(F626)=0),"",G626/F626)</f>
        <v>0.846153846153846</v>
      </c>
      <c r="P626" s="60" t="n">
        <f aca="false">IF(E626="","",ROUND(N(G626)*N(H626)/60,1))</f>
        <v>16.5</v>
      </c>
      <c r="Q626" s="57" t="str">
        <f aca="false">IF(E626="","",IF(COUNTIFS($C$2:C626,C626,$E$2:E626,E626,$B$2:B626,B626)&gt;1,"No","Yes"))</f>
        <v>Yes</v>
      </c>
      <c r="R626" s="61" t="str">
        <f aca="false">IF(E626="","",IF(Q626="No","Duplicate of an earlier response",IF(L626="Not on SITES","Site not on SITES",IF(N(G626)&gt;N(F626),"Present is more than enrolled",IF(OR(I626&lt;1,I626&gt;5),"Score outside 1 to 5","")))))</f>
        <v/>
      </c>
    </row>
    <row r="627" customFormat="false" ht="15" hidden="false" customHeight="false" outlineLevel="0" collapsed="false">
      <c r="A627" s="52" t="n">
        <v>46107.8488310185</v>
      </c>
      <c r="B627" s="53" t="s">
        <v>124</v>
      </c>
      <c r="C627" s="53" t="s">
        <v>154</v>
      </c>
      <c r="D627" s="53" t="s">
        <v>116</v>
      </c>
      <c r="E627" s="54" t="n">
        <v>46107</v>
      </c>
      <c r="F627" s="55" t="n">
        <v>18</v>
      </c>
      <c r="G627" s="55" t="n">
        <v>15</v>
      </c>
      <c r="H627" s="55" t="n">
        <v>60</v>
      </c>
      <c r="I627" s="56" t="n">
        <v>3.6</v>
      </c>
      <c r="J627" s="53" t="s">
        <v>160</v>
      </c>
      <c r="K627" s="53"/>
      <c r="L627" s="57" t="str">
        <f aca="false">IF(C627="","",IFERROR(INDEX(site_ID,MATCH(C627,site_Name,0)),"Not on SITES"))</f>
        <v>LW-114</v>
      </c>
      <c r="M627" s="58" t="n">
        <f aca="false">IF(E627="","",DATE(YEAR(E627),MONTH(E627),1))</f>
        <v>46082</v>
      </c>
      <c r="N627" s="57" t="str">
        <f aca="false">IF(E627="","","FY"&amp;(YEAR(E627)+IF(AND(FYStart&gt;1,MONTH(E627)&gt;=FYStart),1,0))&amp;" Q"&amp;(INT(MOD(MONTH(E627)-FYStart,12)/3)+1))</f>
        <v>FY2026 Q3</v>
      </c>
      <c r="O627" s="59" t="n">
        <f aca="false">IF(OR(E627="",N(F627)=0),"",G627/F627)</f>
        <v>0.833333333333333</v>
      </c>
      <c r="P627" s="60" t="n">
        <f aca="false">IF(E627="","",ROUND(N(G627)*N(H627)/60,1))</f>
        <v>15</v>
      </c>
      <c r="Q627" s="57" t="str">
        <f aca="false">IF(E627="","",IF(COUNTIFS($C$2:C627,C627,$E$2:E627,E627,$B$2:B627,B627)&gt;1,"No","Yes"))</f>
        <v>Yes</v>
      </c>
      <c r="R627" s="61" t="str">
        <f aca="false">IF(E627="","",IF(Q627="No","Duplicate of an earlier response",IF(L627="Not on SITES","Site not on SITES",IF(N(G627)&gt;N(F627),"Present is more than enrolled",IF(OR(I627&lt;1,I627&gt;5),"Score outside 1 to 5","")))))</f>
        <v/>
      </c>
    </row>
    <row r="628" customFormat="false" ht="15" hidden="false" customHeight="false" outlineLevel="0" collapsed="false">
      <c r="A628" s="52" t="n">
        <v>46108.6463541667</v>
      </c>
      <c r="B628" s="53" t="s">
        <v>129</v>
      </c>
      <c r="C628" s="53" t="s">
        <v>137</v>
      </c>
      <c r="D628" s="53" t="s">
        <v>138</v>
      </c>
      <c r="E628" s="54" t="n">
        <v>46108</v>
      </c>
      <c r="F628" s="55" t="n">
        <v>16</v>
      </c>
      <c r="G628" s="55" t="n">
        <v>15</v>
      </c>
      <c r="H628" s="55" t="n">
        <v>90</v>
      </c>
      <c r="I628" s="56" t="n">
        <v>3.9</v>
      </c>
      <c r="J628" s="53" t="s">
        <v>152</v>
      </c>
      <c r="K628" s="53"/>
      <c r="L628" s="57" t="str">
        <f aca="false">IF(C628="","",IFERROR(INDEX(site_ID,MATCH(C628,site_Name,0)),"Not on SITES"))</f>
        <v>LW-115</v>
      </c>
      <c r="M628" s="58" t="n">
        <f aca="false">IF(E628="","",DATE(YEAR(E628),MONTH(E628),1))</f>
        <v>46082</v>
      </c>
      <c r="N628" s="57" t="str">
        <f aca="false">IF(E628="","","FY"&amp;(YEAR(E628)+IF(AND(FYStart&gt;1,MONTH(E628)&gt;=FYStart),1,0))&amp;" Q"&amp;(INT(MOD(MONTH(E628)-FYStart,12)/3)+1))</f>
        <v>FY2026 Q3</v>
      </c>
      <c r="O628" s="59" t="n">
        <f aca="false">IF(OR(E628="",N(F628)=0),"",G628/F628)</f>
        <v>0.9375</v>
      </c>
      <c r="P628" s="60" t="n">
        <f aca="false">IF(E628="","",ROUND(N(G628)*N(H628)/60,1))</f>
        <v>22.5</v>
      </c>
      <c r="Q628" s="57" t="str">
        <f aca="false">IF(E628="","",IF(COUNTIFS($C$2:C628,C628,$E$2:E628,E628,$B$2:B628,B628)&gt;1,"No","Yes"))</f>
        <v>Yes</v>
      </c>
      <c r="R628" s="61" t="str">
        <f aca="false">IF(E628="","",IF(Q628="No","Duplicate of an earlier response",IF(L628="Not on SITES","Site not on SITES",IF(N(G628)&gt;N(F628),"Present is more than enrolled",IF(OR(I628&lt;1,I628&gt;5),"Score outside 1 to 5","")))))</f>
        <v/>
      </c>
    </row>
    <row r="629" customFormat="false" ht="15" hidden="false" customHeight="false" outlineLevel="0" collapsed="false">
      <c r="A629" s="52" t="n">
        <v>46108.6674652778</v>
      </c>
      <c r="B629" s="53" t="s">
        <v>140</v>
      </c>
      <c r="C629" s="53" t="s">
        <v>141</v>
      </c>
      <c r="D629" s="53" t="s">
        <v>116</v>
      </c>
      <c r="E629" s="54" t="n">
        <v>46108</v>
      </c>
      <c r="F629" s="55" t="n">
        <v>13</v>
      </c>
      <c r="G629" s="55" t="n">
        <v>12</v>
      </c>
      <c r="H629" s="55" t="n">
        <v>90</v>
      </c>
      <c r="I629" s="56" t="n">
        <v>4.3</v>
      </c>
      <c r="J629" s="53" t="s">
        <v>117</v>
      </c>
      <c r="K629" s="53"/>
      <c r="L629" s="57" t="str">
        <f aca="false">IF(C629="","",IFERROR(INDEX(site_ID,MATCH(C629,site_Name,0)),"Not on SITES"))</f>
        <v>LW-118</v>
      </c>
      <c r="M629" s="58" t="n">
        <f aca="false">IF(E629="","",DATE(YEAR(E629),MONTH(E629),1))</f>
        <v>46082</v>
      </c>
      <c r="N629" s="57" t="str">
        <f aca="false">IF(E629="","","FY"&amp;(YEAR(E629)+IF(AND(FYStart&gt;1,MONTH(E629)&gt;=FYStart),1,0))&amp;" Q"&amp;(INT(MOD(MONTH(E629)-FYStart,12)/3)+1))</f>
        <v>FY2026 Q3</v>
      </c>
      <c r="O629" s="59" t="n">
        <f aca="false">IF(OR(E629="",N(F629)=0),"",G629/F629)</f>
        <v>0.923076923076923</v>
      </c>
      <c r="P629" s="60" t="n">
        <f aca="false">IF(E629="","",ROUND(N(G629)*N(H629)/60,1))</f>
        <v>18</v>
      </c>
      <c r="Q629" s="57" t="str">
        <f aca="false">IF(E629="","",IF(COUNTIFS($C$2:C629,C629,$E$2:E629,E629,$B$2:B629,B629)&gt;1,"No","Yes"))</f>
        <v>Yes</v>
      </c>
      <c r="R629" s="61" t="str">
        <f aca="false">IF(E629="","",IF(Q629="No","Duplicate of an earlier response",IF(L629="Not on SITES","Site not on SITES",IF(N(G629)&gt;N(F629),"Present is more than enrolled",IF(OR(I629&lt;1,I629&gt;5),"Score outside 1 to 5","")))))</f>
        <v/>
      </c>
    </row>
    <row r="630" customFormat="false" ht="15" hidden="false" customHeight="false" outlineLevel="0" collapsed="false">
      <c r="A630" s="52" t="n">
        <v>46110.7953935185</v>
      </c>
      <c r="B630" s="53" t="s">
        <v>132</v>
      </c>
      <c r="C630" s="53" t="s">
        <v>150</v>
      </c>
      <c r="D630" s="53" t="s">
        <v>138</v>
      </c>
      <c r="E630" s="54" t="n">
        <v>46107</v>
      </c>
      <c r="F630" s="55" t="n">
        <v>21</v>
      </c>
      <c r="G630" s="55" t="n">
        <v>16</v>
      </c>
      <c r="H630" s="55" t="n">
        <v>90</v>
      </c>
      <c r="I630" s="56" t="n">
        <v>4.1</v>
      </c>
      <c r="J630" s="53" t="s">
        <v>139</v>
      </c>
      <c r="K630" s="53"/>
      <c r="L630" s="57" t="str">
        <f aca="false">IF(C630="","",IFERROR(INDEX(site_ID,MATCH(C630,site_Name,0)),"Not on SITES"))</f>
        <v>LW-117</v>
      </c>
      <c r="M630" s="58" t="n">
        <f aca="false">IF(E630="","",DATE(YEAR(E630),MONTH(E630),1))</f>
        <v>46082</v>
      </c>
      <c r="N630" s="57" t="str">
        <f aca="false">IF(E630="","","FY"&amp;(YEAR(E630)+IF(AND(FYStart&gt;1,MONTH(E630)&gt;=FYStart),1,0))&amp;" Q"&amp;(INT(MOD(MONTH(E630)-FYStart,12)/3)+1))</f>
        <v>FY2026 Q3</v>
      </c>
      <c r="O630" s="59" t="n">
        <f aca="false">IF(OR(E630="",N(F630)=0),"",G630/F630)</f>
        <v>0.761904761904762</v>
      </c>
      <c r="P630" s="60" t="n">
        <f aca="false">IF(E630="","",ROUND(N(G630)*N(H630)/60,1))</f>
        <v>24</v>
      </c>
      <c r="Q630" s="57" t="str">
        <f aca="false">IF(E630="","",IF(COUNTIFS($C$2:C630,C630,$E$2:E630,E630,$B$2:B630,B630)&gt;1,"No","Yes"))</f>
        <v>Yes</v>
      </c>
      <c r="R630" s="61" t="str">
        <f aca="false">IF(E630="","",IF(Q630="No","Duplicate of an earlier response",IF(L630="Not on SITES","Site not on SITES",IF(N(G630)&gt;N(F630),"Present is more than enrolled",IF(OR(I630&lt;1,I630&gt;5),"Score outside 1 to 5","")))))</f>
        <v/>
      </c>
    </row>
    <row r="631" customFormat="false" ht="15" hidden="false" customHeight="false" outlineLevel="0" collapsed="false">
      <c r="A631" s="52" t="n">
        <v>46118.669224537</v>
      </c>
      <c r="B631" s="53" t="s">
        <v>109</v>
      </c>
      <c r="C631" s="53" t="s">
        <v>110</v>
      </c>
      <c r="D631" s="53" t="s">
        <v>107</v>
      </c>
      <c r="E631" s="54" t="n">
        <v>46118</v>
      </c>
      <c r="F631" s="55" t="n">
        <v>21</v>
      </c>
      <c r="G631" s="55" t="n">
        <v>17</v>
      </c>
      <c r="H631" s="55" t="n">
        <v>60</v>
      </c>
      <c r="I631" s="56" t="n">
        <v>4.1</v>
      </c>
      <c r="J631" s="53" t="s">
        <v>156</v>
      </c>
      <c r="K631" s="53"/>
      <c r="L631" s="57" t="str">
        <f aca="false">IF(C631="","",IFERROR(INDEX(site_ID,MATCH(C631,site_Name,0)),"Not on SITES"))</f>
        <v>LW-113</v>
      </c>
      <c r="M631" s="58" t="n">
        <f aca="false">IF(E631="","",DATE(YEAR(E631),MONTH(E631),1))</f>
        <v>46113</v>
      </c>
      <c r="N631" s="57" t="str">
        <f aca="false">IF(E631="","","FY"&amp;(YEAR(E631)+IF(AND(FYStart&gt;1,MONTH(E631)&gt;=FYStart),1,0))&amp;" Q"&amp;(INT(MOD(MONTH(E631)-FYStart,12)/3)+1))</f>
        <v>FY2026 Q4</v>
      </c>
      <c r="O631" s="59" t="n">
        <f aca="false">IF(OR(E631="",N(F631)=0),"",G631/F631)</f>
        <v>0.80952380952381</v>
      </c>
      <c r="P631" s="60" t="n">
        <f aca="false">IF(E631="","",ROUND(N(G631)*N(H631)/60,1))</f>
        <v>17</v>
      </c>
      <c r="Q631" s="57" t="str">
        <f aca="false">IF(E631="","",IF(COUNTIFS($C$2:C631,C631,$E$2:E631,E631,$B$2:B631,B631)&gt;1,"No","Yes"))</f>
        <v>Yes</v>
      </c>
      <c r="R631" s="61" t="str">
        <f aca="false">IF(E631="","",IF(Q631="No","Duplicate of an earlier response",IF(L631="Not on SITES","Site not on SITES",IF(N(G631)&gt;N(F631),"Present is more than enrolled",IF(OR(I631&lt;1,I631&gt;5),"Score outside 1 to 5","")))))</f>
        <v/>
      </c>
    </row>
    <row r="632" customFormat="false" ht="15" hidden="false" customHeight="false" outlineLevel="0" collapsed="false">
      <c r="A632" s="52" t="n">
        <v>46118.7583564815</v>
      </c>
      <c r="B632" s="53" t="s">
        <v>105</v>
      </c>
      <c r="C632" s="53" t="s">
        <v>106</v>
      </c>
      <c r="D632" s="53" t="s">
        <v>107</v>
      </c>
      <c r="E632" s="54" t="n">
        <v>46118</v>
      </c>
      <c r="F632" s="55" t="n">
        <v>16</v>
      </c>
      <c r="G632" s="55" t="n">
        <v>12</v>
      </c>
      <c r="H632" s="55" t="n">
        <v>75</v>
      </c>
      <c r="I632" s="56" t="n">
        <v>45</v>
      </c>
      <c r="J632" s="53" t="s">
        <v>108</v>
      </c>
      <c r="K632" s="53"/>
      <c r="L632" s="57" t="str">
        <f aca="false">IF(C632="","",IFERROR(INDEX(site_ID,MATCH(C632,site_Name,0)),"Not on SITES"))</f>
        <v>LW-103</v>
      </c>
      <c r="M632" s="58" t="n">
        <f aca="false">IF(E632="","",DATE(YEAR(E632),MONTH(E632),1))</f>
        <v>46113</v>
      </c>
      <c r="N632" s="57" t="str">
        <f aca="false">IF(E632="","","FY"&amp;(YEAR(E632)+IF(AND(FYStart&gt;1,MONTH(E632)&gt;=FYStart),1,0))&amp;" Q"&amp;(INT(MOD(MONTH(E632)-FYStart,12)/3)+1))</f>
        <v>FY2026 Q4</v>
      </c>
      <c r="O632" s="59" t="n">
        <f aca="false">IF(OR(E632="",N(F632)=0),"",G632/F632)</f>
        <v>0.75</v>
      </c>
      <c r="P632" s="60" t="n">
        <f aca="false">IF(E632="","",ROUND(N(G632)*N(H632)/60,1))</f>
        <v>15</v>
      </c>
      <c r="Q632" s="57" t="str">
        <f aca="false">IF(E632="","",IF(COUNTIFS($C$2:C632,C632,$E$2:E632,E632,$B$2:B632,B632)&gt;1,"No","Yes"))</f>
        <v>Yes</v>
      </c>
      <c r="R632" s="61" t="str">
        <f aca="false">IF(E632="","",IF(Q632="No","Duplicate of an earlier response",IF(L632="Not on SITES","Site not on SITES",IF(N(G632)&gt;N(F632),"Present is more than enrolled",IF(OR(I632&lt;1,I632&gt;5),"Score outside 1 to 5","")))))</f>
        <v>Score outside 1 to 5</v>
      </c>
    </row>
    <row r="633" customFormat="false" ht="15" hidden="false" customHeight="false" outlineLevel="0" collapsed="false">
      <c r="A633" s="52" t="n">
        <v>46118.8468981482</v>
      </c>
      <c r="B633" s="53" t="s">
        <v>105</v>
      </c>
      <c r="C633" s="53" t="s">
        <v>115</v>
      </c>
      <c r="D633" s="53" t="s">
        <v>116</v>
      </c>
      <c r="E633" s="54" t="n">
        <v>46118</v>
      </c>
      <c r="F633" s="55" t="n">
        <v>16</v>
      </c>
      <c r="G633" s="55" t="n">
        <v>14</v>
      </c>
      <c r="H633" s="55" t="n">
        <v>60</v>
      </c>
      <c r="I633" s="56" t="n">
        <v>3.8</v>
      </c>
      <c r="J633" s="53" t="s">
        <v>123</v>
      </c>
      <c r="K633" s="53"/>
      <c r="L633" s="57" t="str">
        <f aca="false">IF(C633="","",IFERROR(INDEX(site_ID,MATCH(C633,site_Name,0)),"Not on SITES"))</f>
        <v>LW-119</v>
      </c>
      <c r="M633" s="58" t="n">
        <f aca="false">IF(E633="","",DATE(YEAR(E633),MONTH(E633),1))</f>
        <v>46113</v>
      </c>
      <c r="N633" s="57" t="str">
        <f aca="false">IF(E633="","","FY"&amp;(YEAR(E633)+IF(AND(FYStart&gt;1,MONTH(E633)&gt;=FYStart),1,0))&amp;" Q"&amp;(INT(MOD(MONTH(E633)-FYStart,12)/3)+1))</f>
        <v>FY2026 Q4</v>
      </c>
      <c r="O633" s="59" t="n">
        <f aca="false">IF(OR(E633="",N(F633)=0),"",G633/F633)</f>
        <v>0.875</v>
      </c>
      <c r="P633" s="60" t="n">
        <f aca="false">IF(E633="","",ROUND(N(G633)*N(H633)/60,1))</f>
        <v>14</v>
      </c>
      <c r="Q633" s="57" t="str">
        <f aca="false">IF(E633="","",IF(COUNTIFS($C$2:C633,C633,$E$2:E633,E633,$B$2:B633,B633)&gt;1,"No","Yes"))</f>
        <v>Yes</v>
      </c>
      <c r="R633" s="61" t="str">
        <f aca="false">IF(E633="","",IF(Q633="No","Duplicate of an earlier response",IF(L633="Not on SITES","Site not on SITES",IF(N(G633)&gt;N(F633),"Present is more than enrolled",IF(OR(I633&lt;1,I633&gt;5),"Score outside 1 to 5","")))))</f>
        <v/>
      </c>
    </row>
    <row r="634" customFormat="false" ht="15" hidden="false" customHeight="false" outlineLevel="0" collapsed="false">
      <c r="A634" s="52" t="n">
        <v>46119.7210648148</v>
      </c>
      <c r="B634" s="53" t="s">
        <v>121</v>
      </c>
      <c r="C634" s="53" t="s">
        <v>122</v>
      </c>
      <c r="D634" s="53" t="s">
        <v>116</v>
      </c>
      <c r="E634" s="54" t="n">
        <v>46119</v>
      </c>
      <c r="F634" s="55" t="n">
        <v>16</v>
      </c>
      <c r="G634" s="55" t="n">
        <v>12</v>
      </c>
      <c r="H634" s="55" t="n">
        <v>60</v>
      </c>
      <c r="I634" s="56" t="n">
        <v>3.5</v>
      </c>
      <c r="J634" s="53" t="s">
        <v>117</v>
      </c>
      <c r="K634" s="53"/>
      <c r="L634" s="57" t="str">
        <f aca="false">IF(C634="","",IFERROR(INDEX(site_ID,MATCH(C634,site_Name,0)),"Not on SITES"))</f>
        <v>LW-116</v>
      </c>
      <c r="M634" s="58" t="n">
        <f aca="false">IF(E634="","",DATE(YEAR(E634),MONTH(E634),1))</f>
        <v>46113</v>
      </c>
      <c r="N634" s="57" t="str">
        <f aca="false">IF(E634="","","FY"&amp;(YEAR(E634)+IF(AND(FYStart&gt;1,MONTH(E634)&gt;=FYStart),1,0))&amp;" Q"&amp;(INT(MOD(MONTH(E634)-FYStart,12)/3)+1))</f>
        <v>FY2026 Q4</v>
      </c>
      <c r="O634" s="59" t="n">
        <f aca="false">IF(OR(E634="",N(F634)=0),"",G634/F634)</f>
        <v>0.75</v>
      </c>
      <c r="P634" s="60" t="n">
        <f aca="false">IF(E634="","",ROUND(N(G634)*N(H634)/60,1))</f>
        <v>12</v>
      </c>
      <c r="Q634" s="57" t="str">
        <f aca="false">IF(E634="","",IF(COUNTIFS($C$2:C634,C634,$E$2:E634,E634,$B$2:B634,B634)&gt;1,"No","Yes"))</f>
        <v>Yes</v>
      </c>
      <c r="R634" s="61" t="str">
        <f aca="false">IF(E634="","",IF(Q634="No","Duplicate of an earlier response",IF(L634="Not on SITES","Site not on SITES",IF(N(G634)&gt;N(F634),"Present is more than enrolled",IF(OR(I634&lt;1,I634&gt;5),"Score outside 1 to 5","")))))</f>
        <v/>
      </c>
    </row>
    <row r="635" customFormat="false" ht="15" hidden="false" customHeight="false" outlineLevel="0" collapsed="false">
      <c r="A635" s="52" t="n">
        <v>46119.7437268519</v>
      </c>
      <c r="B635" s="53" t="s">
        <v>132</v>
      </c>
      <c r="C635" s="53" t="s">
        <v>133</v>
      </c>
      <c r="D635" s="53" t="s">
        <v>116</v>
      </c>
      <c r="E635" s="54" t="n">
        <v>46119</v>
      </c>
      <c r="F635" s="55" t="n">
        <v>17</v>
      </c>
      <c r="G635" s="55" t="n">
        <v>15</v>
      </c>
      <c r="H635" s="55" t="n">
        <v>75</v>
      </c>
      <c r="I635" s="56" t="n">
        <v>3.7</v>
      </c>
      <c r="J635" s="53" t="s">
        <v>153</v>
      </c>
      <c r="K635" s="53"/>
      <c r="L635" s="57" t="str">
        <f aca="false">IF(C635="","",IFERROR(INDEX(site_ID,MATCH(C635,site_Name,0)),"Not on SITES"))</f>
        <v>LW-109</v>
      </c>
      <c r="M635" s="58" t="n">
        <f aca="false">IF(E635="","",DATE(YEAR(E635),MONTH(E635),1))</f>
        <v>46113</v>
      </c>
      <c r="N635" s="57" t="str">
        <f aca="false">IF(E635="","","FY"&amp;(YEAR(E635)+IF(AND(FYStart&gt;1,MONTH(E635)&gt;=FYStart),1,0))&amp;" Q"&amp;(INT(MOD(MONTH(E635)-FYStart,12)/3)+1))</f>
        <v>FY2026 Q4</v>
      </c>
      <c r="O635" s="59" t="n">
        <f aca="false">IF(OR(E635="",N(F635)=0),"",G635/F635)</f>
        <v>0.882352941176471</v>
      </c>
      <c r="P635" s="60" t="n">
        <f aca="false">IF(E635="","",ROUND(N(G635)*N(H635)/60,1))</f>
        <v>18.8</v>
      </c>
      <c r="Q635" s="57" t="str">
        <f aca="false">IF(E635="","",IF(COUNTIFS($C$2:C635,C635,$E$2:E635,E635,$B$2:B635,B635)&gt;1,"No","Yes"))</f>
        <v>Yes</v>
      </c>
      <c r="R635" s="61" t="str">
        <f aca="false">IF(E635="","",IF(Q635="No","Duplicate of an earlier response",IF(L635="Not on SITES","Site not on SITES",IF(N(G635)&gt;N(F635),"Present is more than enrolled",IF(OR(I635&lt;1,I635&gt;5),"Score outside 1 to 5","")))))</f>
        <v/>
      </c>
    </row>
    <row r="636" customFormat="false" ht="15" hidden="false" customHeight="false" outlineLevel="0" collapsed="false">
      <c r="A636" s="52" t="n">
        <v>46119.8185416667</v>
      </c>
      <c r="B636" s="53" t="s">
        <v>124</v>
      </c>
      <c r="C636" s="53" t="s">
        <v>125</v>
      </c>
      <c r="D636" s="53" t="s">
        <v>119</v>
      </c>
      <c r="E636" s="54" t="n">
        <v>46119</v>
      </c>
      <c r="F636" s="55" t="n">
        <v>18</v>
      </c>
      <c r="G636" s="55" t="n">
        <v>16</v>
      </c>
      <c r="H636" s="55" t="n">
        <v>60</v>
      </c>
      <c r="I636" s="56" t="n">
        <v>3.7</v>
      </c>
      <c r="J636" s="53" t="s">
        <v>126</v>
      </c>
      <c r="K636" s="53"/>
      <c r="L636" s="57" t="str">
        <f aca="false">IF(C636="","",IFERROR(INDEX(site_ID,MATCH(C636,site_Name,0)),"Not on SITES"))</f>
        <v>LW-106</v>
      </c>
      <c r="M636" s="58" t="n">
        <f aca="false">IF(E636="","",DATE(YEAR(E636),MONTH(E636),1))</f>
        <v>46113</v>
      </c>
      <c r="N636" s="57" t="str">
        <f aca="false">IF(E636="","","FY"&amp;(YEAR(E636)+IF(AND(FYStart&gt;1,MONTH(E636)&gt;=FYStart),1,0))&amp;" Q"&amp;(INT(MOD(MONTH(E636)-FYStart,12)/3)+1))</f>
        <v>FY2026 Q4</v>
      </c>
      <c r="O636" s="59" t="n">
        <f aca="false">IF(OR(E636="",N(F636)=0),"",G636/F636)</f>
        <v>0.888888888888889</v>
      </c>
      <c r="P636" s="60" t="n">
        <f aca="false">IF(E636="","",ROUND(N(G636)*N(H636)/60,1))</f>
        <v>16</v>
      </c>
      <c r="Q636" s="57" t="str">
        <f aca="false">IF(E636="","",IF(COUNTIFS($C$2:C636,C636,$E$2:E636,E636,$B$2:B636,B636)&gt;1,"No","Yes"))</f>
        <v>Yes</v>
      </c>
      <c r="R636" s="61" t="str">
        <f aca="false">IF(E636="","",IF(Q636="No","Duplicate of an earlier response",IF(L636="Not on SITES","Site not on SITES",IF(N(G636)&gt;N(F636),"Present is more than enrolled",IF(OR(I636&lt;1,I636&gt;5),"Score outside 1 to 5","")))))</f>
        <v/>
      </c>
    </row>
    <row r="637" customFormat="false" ht="15" hidden="false" customHeight="false" outlineLevel="0" collapsed="false">
      <c r="A637" s="52" t="n">
        <v>46119.8204861111</v>
      </c>
      <c r="B637" s="53" t="s">
        <v>129</v>
      </c>
      <c r="C637" s="53" t="s">
        <v>130</v>
      </c>
      <c r="D637" s="53" t="s">
        <v>113</v>
      </c>
      <c r="E637" s="54" t="n">
        <v>46119</v>
      </c>
      <c r="F637" s="55" t="n">
        <v>16</v>
      </c>
      <c r="G637" s="55" t="n">
        <v>13</v>
      </c>
      <c r="H637" s="55" t="n">
        <v>75</v>
      </c>
      <c r="I637" s="56" t="n">
        <v>3.5</v>
      </c>
      <c r="J637" s="53" t="s">
        <v>136</v>
      </c>
      <c r="K637" s="53"/>
      <c r="L637" s="57" t="str">
        <f aca="false">IF(C637="","",IFERROR(INDEX(site_ID,MATCH(C637,site_Name,0)),"Not on SITES"))</f>
        <v>LW-107</v>
      </c>
      <c r="M637" s="58" t="n">
        <f aca="false">IF(E637="","",DATE(YEAR(E637),MONTH(E637),1))</f>
        <v>46113</v>
      </c>
      <c r="N637" s="57" t="str">
        <f aca="false">IF(E637="","","FY"&amp;(YEAR(E637)+IF(AND(FYStart&gt;1,MONTH(E637)&gt;=FYStart),1,0))&amp;" Q"&amp;(INT(MOD(MONTH(E637)-FYStart,12)/3)+1))</f>
        <v>FY2026 Q4</v>
      </c>
      <c r="O637" s="59" t="n">
        <f aca="false">IF(OR(E637="",N(F637)=0),"",G637/F637)</f>
        <v>0.8125</v>
      </c>
      <c r="P637" s="60" t="n">
        <f aca="false">IF(E637="","",ROUND(N(G637)*N(H637)/60,1))</f>
        <v>16.3</v>
      </c>
      <c r="Q637" s="57" t="str">
        <f aca="false">IF(E637="","",IF(COUNTIFS($C$2:C637,C637,$E$2:E637,E637,$B$2:B637,B637)&gt;1,"No","Yes"))</f>
        <v>Yes</v>
      </c>
      <c r="R637" s="61" t="str">
        <f aca="false">IF(E637="","",IF(Q637="No","Duplicate of an earlier response",IF(L637="Not on SITES","Site not on SITES",IF(N(G637)&gt;N(F637),"Present is more than enrolled",IF(OR(I637&lt;1,I637&gt;5),"Score outside 1 to 5","")))))</f>
        <v/>
      </c>
    </row>
    <row r="638" customFormat="false" ht="15" hidden="false" customHeight="false" outlineLevel="0" collapsed="false">
      <c r="A638" s="52" t="n">
        <v>46119.8241550926</v>
      </c>
      <c r="B638" s="53" t="s">
        <v>121</v>
      </c>
      <c r="C638" s="53" t="s">
        <v>127</v>
      </c>
      <c r="D638" s="53" t="s">
        <v>107</v>
      </c>
      <c r="E638" s="54" t="n">
        <v>46119</v>
      </c>
      <c r="F638" s="55" t="n">
        <v>15</v>
      </c>
      <c r="G638" s="55" t="n">
        <v>14</v>
      </c>
      <c r="H638" s="55" t="n">
        <v>60</v>
      </c>
      <c r="I638" s="56" t="n">
        <v>4.1</v>
      </c>
      <c r="J638" s="53" t="s">
        <v>156</v>
      </c>
      <c r="K638" s="53"/>
      <c r="L638" s="57" t="str">
        <f aca="false">IF(C638="","",IFERROR(INDEX(site_ID,MATCH(C638,site_Name,0)),"Not on SITES"))</f>
        <v>LW-108</v>
      </c>
      <c r="M638" s="58" t="n">
        <f aca="false">IF(E638="","",DATE(YEAR(E638),MONTH(E638),1))</f>
        <v>46113</v>
      </c>
      <c r="N638" s="57" t="str">
        <f aca="false">IF(E638="","","FY"&amp;(YEAR(E638)+IF(AND(FYStart&gt;1,MONTH(E638)&gt;=FYStart),1,0))&amp;" Q"&amp;(INT(MOD(MONTH(E638)-FYStart,12)/3)+1))</f>
        <v>FY2026 Q4</v>
      </c>
      <c r="O638" s="59" t="n">
        <f aca="false">IF(OR(E638="",N(F638)=0),"",G638/F638)</f>
        <v>0.933333333333333</v>
      </c>
      <c r="P638" s="60" t="n">
        <f aca="false">IF(E638="","",ROUND(N(G638)*N(H638)/60,1))</f>
        <v>14</v>
      </c>
      <c r="Q638" s="57" t="str">
        <f aca="false">IF(E638="","",IF(COUNTIFS($C$2:C638,C638,$E$2:E638,E638,$B$2:B638,B638)&gt;1,"No","Yes"))</f>
        <v>Yes</v>
      </c>
      <c r="R638" s="61" t="str">
        <f aca="false">IF(E638="","",IF(Q638="No","Duplicate of an earlier response",IF(L638="Not on SITES","Site not on SITES",IF(N(G638)&gt;N(F638),"Present is more than enrolled",IF(OR(I638&lt;1,I638&gt;5),"Score outside 1 to 5","")))))</f>
        <v/>
      </c>
    </row>
    <row r="639" customFormat="false" ht="15" hidden="false" customHeight="false" outlineLevel="0" collapsed="false">
      <c r="A639" s="52" t="n">
        <v>46120.6278125</v>
      </c>
      <c r="B639" s="53" t="s">
        <v>129</v>
      </c>
      <c r="C639" s="53" t="s">
        <v>137</v>
      </c>
      <c r="D639" s="53" t="s">
        <v>138</v>
      </c>
      <c r="E639" s="54" t="n">
        <v>46120</v>
      </c>
      <c r="F639" s="55" t="n">
        <v>16</v>
      </c>
      <c r="G639" s="55" t="n">
        <v>15</v>
      </c>
      <c r="H639" s="55" t="n">
        <v>90</v>
      </c>
      <c r="I639" s="56" t="n">
        <v>3.8</v>
      </c>
      <c r="J639" s="53" t="s">
        <v>164</v>
      </c>
      <c r="K639" s="53"/>
      <c r="L639" s="57" t="str">
        <f aca="false">IF(C639="","",IFERROR(INDEX(site_ID,MATCH(C639,site_Name,0)),"Not on SITES"))</f>
        <v>LW-115</v>
      </c>
      <c r="M639" s="58" t="n">
        <f aca="false">IF(E639="","",DATE(YEAR(E639),MONTH(E639),1))</f>
        <v>46113</v>
      </c>
      <c r="N639" s="57" t="str">
        <f aca="false">IF(E639="","","FY"&amp;(YEAR(E639)+IF(AND(FYStart&gt;1,MONTH(E639)&gt;=FYStart),1,0))&amp;" Q"&amp;(INT(MOD(MONTH(E639)-FYStart,12)/3)+1))</f>
        <v>FY2026 Q4</v>
      </c>
      <c r="O639" s="59" t="n">
        <f aca="false">IF(OR(E639="",N(F639)=0),"",G639/F639)</f>
        <v>0.9375</v>
      </c>
      <c r="P639" s="60" t="n">
        <f aca="false">IF(E639="","",ROUND(N(G639)*N(H639)/60,1))</f>
        <v>22.5</v>
      </c>
      <c r="Q639" s="57" t="str">
        <f aca="false">IF(E639="","",IF(COUNTIFS($C$2:C639,C639,$E$2:E639,E639,$B$2:B639,B639)&gt;1,"No","Yes"))</f>
        <v>Yes</v>
      </c>
      <c r="R639" s="61" t="str">
        <f aca="false">IF(E639="","",IF(Q639="No","Duplicate of an earlier response",IF(L639="Not on SITES","Site not on SITES",IF(N(G639)&gt;N(F639),"Present is more than enrolled",IF(OR(I639&lt;1,I639&gt;5),"Score outside 1 to 5","")))))</f>
        <v/>
      </c>
    </row>
    <row r="640" customFormat="false" ht="15" hidden="false" customHeight="false" outlineLevel="0" collapsed="false">
      <c r="A640" s="52" t="n">
        <v>46120.634375</v>
      </c>
      <c r="B640" s="53" t="s">
        <v>111</v>
      </c>
      <c r="C640" s="53" t="s">
        <v>112</v>
      </c>
      <c r="D640" s="53" t="s">
        <v>113</v>
      </c>
      <c r="E640" s="54" t="n">
        <v>46120</v>
      </c>
      <c r="F640" s="55" t="n">
        <v>15</v>
      </c>
      <c r="G640" s="55" t="n">
        <v>14</v>
      </c>
      <c r="H640" s="55" t="n">
        <v>75</v>
      </c>
      <c r="I640" s="56" t="n">
        <v>4</v>
      </c>
      <c r="J640" s="53" t="s">
        <v>131</v>
      </c>
      <c r="K640" s="53"/>
      <c r="L640" s="57" t="str">
        <f aca="false">IF(C640="","",IFERROR(INDEX(site_ID,MATCH(C640,site_Name,0)),"Not on SITES"))</f>
        <v>LW-120</v>
      </c>
      <c r="M640" s="58" t="n">
        <f aca="false">IF(E640="","",DATE(YEAR(E640),MONTH(E640),1))</f>
        <v>46113</v>
      </c>
      <c r="N640" s="57" t="str">
        <f aca="false">IF(E640="","","FY"&amp;(YEAR(E640)+IF(AND(FYStart&gt;1,MONTH(E640)&gt;=FYStart),1,0))&amp;" Q"&amp;(INT(MOD(MONTH(E640)-FYStart,12)/3)+1))</f>
        <v>FY2026 Q4</v>
      </c>
      <c r="O640" s="59" t="n">
        <f aca="false">IF(OR(E640="",N(F640)=0),"",G640/F640)</f>
        <v>0.933333333333333</v>
      </c>
      <c r="P640" s="60" t="n">
        <f aca="false">IF(E640="","",ROUND(N(G640)*N(H640)/60,1))</f>
        <v>17.5</v>
      </c>
      <c r="Q640" s="57" t="str">
        <f aca="false">IF(E640="","",IF(COUNTIFS($C$2:C640,C640,$E$2:E640,E640,$B$2:B640,B640)&gt;1,"No","Yes"))</f>
        <v>Yes</v>
      </c>
      <c r="R640" s="61" t="str">
        <f aca="false">IF(E640="","",IF(Q640="No","Duplicate of an earlier response",IF(L640="Not on SITES","Site not on SITES",IF(N(G640)&gt;N(F640),"Present is more than enrolled",IF(OR(I640&lt;1,I640&gt;5),"Score outside 1 to 5","")))))</f>
        <v/>
      </c>
    </row>
    <row r="641" customFormat="false" ht="15" hidden="false" customHeight="false" outlineLevel="0" collapsed="false">
      <c r="A641" s="52" t="n">
        <v>46120.810462963</v>
      </c>
      <c r="B641" s="53" t="s">
        <v>105</v>
      </c>
      <c r="C641" s="53" t="s">
        <v>118</v>
      </c>
      <c r="D641" s="53" t="s">
        <v>119</v>
      </c>
      <c r="E641" s="54" t="n">
        <v>46120</v>
      </c>
      <c r="F641" s="55" t="n">
        <v>22</v>
      </c>
      <c r="G641" s="55" t="n">
        <v>19</v>
      </c>
      <c r="H641" s="55" t="n">
        <v>90</v>
      </c>
      <c r="I641" s="56" t="n">
        <v>3.7</v>
      </c>
      <c r="J641" s="53" t="s">
        <v>144</v>
      </c>
      <c r="K641" s="53"/>
      <c r="L641" s="57" t="str">
        <f aca="false">IF(C641="","",IFERROR(INDEX(site_ID,MATCH(C641,site_Name,0)),"Not on SITES"))</f>
        <v>LW-111</v>
      </c>
      <c r="M641" s="58" t="n">
        <f aca="false">IF(E641="","",DATE(YEAR(E641),MONTH(E641),1))</f>
        <v>46113</v>
      </c>
      <c r="N641" s="57" t="str">
        <f aca="false">IF(E641="","","FY"&amp;(YEAR(E641)+IF(AND(FYStart&gt;1,MONTH(E641)&gt;=FYStart),1,0))&amp;" Q"&amp;(INT(MOD(MONTH(E641)-FYStart,12)/3)+1))</f>
        <v>FY2026 Q4</v>
      </c>
      <c r="O641" s="59" t="n">
        <f aca="false">IF(OR(E641="",N(F641)=0),"",G641/F641)</f>
        <v>0.863636363636364</v>
      </c>
      <c r="P641" s="60" t="n">
        <f aca="false">IF(E641="","",ROUND(N(G641)*N(H641)/60,1))</f>
        <v>28.5</v>
      </c>
      <c r="Q641" s="57" t="str">
        <f aca="false">IF(E641="","",IF(COUNTIFS($C$2:C641,C641,$E$2:E641,E641,$B$2:B641,B641)&gt;1,"No","Yes"))</f>
        <v>Yes</v>
      </c>
      <c r="R641" s="61" t="str">
        <f aca="false">IF(E641="","",IF(Q641="No","Duplicate of an earlier response",IF(L641="Not on SITES","Site not on SITES",IF(N(G641)&gt;N(F641),"Present is more than enrolled",IF(OR(I641&lt;1,I641&gt;5),"Score outside 1 to 5","")))))</f>
        <v/>
      </c>
    </row>
    <row r="642" customFormat="false" ht="15" hidden="false" customHeight="false" outlineLevel="0" collapsed="false">
      <c r="A642" s="52" t="n">
        <v>46120.8444097222</v>
      </c>
      <c r="B642" s="53" t="s">
        <v>132</v>
      </c>
      <c r="C642" s="53" t="s">
        <v>145</v>
      </c>
      <c r="D642" s="53" t="s">
        <v>119</v>
      </c>
      <c r="E642" s="54" t="n">
        <v>46120</v>
      </c>
      <c r="F642" s="55" t="n">
        <v>19</v>
      </c>
      <c r="G642" s="55" t="n">
        <v>14</v>
      </c>
      <c r="H642" s="55" t="n">
        <v>60</v>
      </c>
      <c r="I642" s="56" t="n">
        <v>3.8</v>
      </c>
      <c r="J642" s="53" t="s">
        <v>162</v>
      </c>
      <c r="K642" s="53"/>
      <c r="L642" s="57" t="str">
        <f aca="false">IF(C642="","",IFERROR(INDEX(site_ID,MATCH(C642,site_Name,0)),"Not on SITES"))</f>
        <v>LW-101</v>
      </c>
      <c r="M642" s="58" t="n">
        <f aca="false">IF(E642="","",DATE(YEAR(E642),MONTH(E642),1))</f>
        <v>46113</v>
      </c>
      <c r="N642" s="57" t="str">
        <f aca="false">IF(E642="","","FY"&amp;(YEAR(E642)+IF(AND(FYStart&gt;1,MONTH(E642)&gt;=FYStart),1,0))&amp;" Q"&amp;(INT(MOD(MONTH(E642)-FYStart,12)/3)+1))</f>
        <v>FY2026 Q4</v>
      </c>
      <c r="O642" s="59" t="n">
        <f aca="false">IF(OR(E642="",N(F642)=0),"",G642/F642)</f>
        <v>0.736842105263158</v>
      </c>
      <c r="P642" s="60" t="n">
        <f aca="false">IF(E642="","",ROUND(N(G642)*N(H642)/60,1))</f>
        <v>14</v>
      </c>
      <c r="Q642" s="57" t="str">
        <f aca="false">IF(E642="","",IF(COUNTIFS($C$2:C642,C642,$E$2:E642,E642,$B$2:B642,B642)&gt;1,"No","Yes"))</f>
        <v>Yes</v>
      </c>
      <c r="R642" s="61" t="str">
        <f aca="false">IF(E642="","",IF(Q642="No","Duplicate of an earlier response",IF(L642="Not on SITES","Site not on SITES",IF(N(G642)&gt;N(F642),"Present is more than enrolled",IF(OR(I642&lt;1,I642&gt;5),"Score outside 1 to 5","")))))</f>
        <v/>
      </c>
    </row>
    <row r="643" customFormat="false" ht="15" hidden="false" customHeight="false" outlineLevel="0" collapsed="false">
      <c r="A643" s="52" t="n">
        <v>46120.8446875</v>
      </c>
      <c r="B643" s="53" t="s">
        <v>129</v>
      </c>
      <c r="C643" s="53" t="s">
        <v>142</v>
      </c>
      <c r="D643" s="53" t="s">
        <v>113</v>
      </c>
      <c r="E643" s="54" t="n">
        <v>46120</v>
      </c>
      <c r="F643" s="55" t="n">
        <v>18</v>
      </c>
      <c r="G643" s="55" t="n">
        <v>17</v>
      </c>
      <c r="H643" s="55" t="n">
        <v>60</v>
      </c>
      <c r="I643" s="56" t="n">
        <v>3.9</v>
      </c>
      <c r="J643" s="53" t="s">
        <v>114</v>
      </c>
      <c r="K643" s="53"/>
      <c r="L643" s="57" t="str">
        <f aca="false">IF(C643="","",IFERROR(INDEX(site_ID,MATCH(C643,site_Name,0)),"Not on SITES"))</f>
        <v>LW-102</v>
      </c>
      <c r="M643" s="58" t="n">
        <f aca="false">IF(E643="","",DATE(YEAR(E643),MONTH(E643),1))</f>
        <v>46113</v>
      </c>
      <c r="N643" s="57" t="str">
        <f aca="false">IF(E643="","","FY"&amp;(YEAR(E643)+IF(AND(FYStart&gt;1,MONTH(E643)&gt;=FYStart),1,0))&amp;" Q"&amp;(INT(MOD(MONTH(E643)-FYStart,12)/3)+1))</f>
        <v>FY2026 Q4</v>
      </c>
      <c r="O643" s="59" t="n">
        <f aca="false">IF(OR(E643="",N(F643)=0),"",G643/F643)</f>
        <v>0.944444444444444</v>
      </c>
      <c r="P643" s="60" t="n">
        <f aca="false">IF(E643="","",ROUND(N(G643)*N(H643)/60,1))</f>
        <v>17</v>
      </c>
      <c r="Q643" s="57" t="str">
        <f aca="false">IF(E643="","",IF(COUNTIFS($C$2:C643,C643,$E$2:E643,E643,$B$2:B643,B643)&gt;1,"No","Yes"))</f>
        <v>Yes</v>
      </c>
      <c r="R643" s="61" t="str">
        <f aca="false">IF(E643="","",IF(Q643="No","Duplicate of an earlier response",IF(L643="Not on SITES","Site not on SITES",IF(N(G643)&gt;N(F643),"Present is more than enrolled",IF(OR(I643&lt;1,I643&gt;5),"Score outside 1 to 5","")))))</f>
        <v/>
      </c>
    </row>
    <row r="644" customFormat="false" ht="15" hidden="false" customHeight="false" outlineLevel="0" collapsed="false">
      <c r="A644" s="52" t="n">
        <v>46120.8687268519</v>
      </c>
      <c r="B644" s="53" t="s">
        <v>140</v>
      </c>
      <c r="C644" s="53" t="s">
        <v>141</v>
      </c>
      <c r="D644" s="53" t="s">
        <v>116</v>
      </c>
      <c r="E644" s="54" t="n">
        <v>46120</v>
      </c>
      <c r="F644" s="55" t="n">
        <v>13</v>
      </c>
      <c r="G644" s="55" t="n">
        <v>12</v>
      </c>
      <c r="H644" s="55" t="n">
        <v>60</v>
      </c>
      <c r="I644" s="56" t="n">
        <v>4.3</v>
      </c>
      <c r="J644" s="53" t="s">
        <v>117</v>
      </c>
      <c r="K644" s="53"/>
      <c r="L644" s="57" t="str">
        <f aca="false">IF(C644="","",IFERROR(INDEX(site_ID,MATCH(C644,site_Name,0)),"Not on SITES"))</f>
        <v>LW-118</v>
      </c>
      <c r="M644" s="58" t="n">
        <f aca="false">IF(E644="","",DATE(YEAR(E644),MONTH(E644),1))</f>
        <v>46113</v>
      </c>
      <c r="N644" s="57" t="str">
        <f aca="false">IF(E644="","","FY"&amp;(YEAR(E644)+IF(AND(FYStart&gt;1,MONTH(E644)&gt;=FYStart),1,0))&amp;" Q"&amp;(INT(MOD(MONTH(E644)-FYStart,12)/3)+1))</f>
        <v>FY2026 Q4</v>
      </c>
      <c r="O644" s="59" t="n">
        <f aca="false">IF(OR(E644="",N(F644)=0),"",G644/F644)</f>
        <v>0.923076923076923</v>
      </c>
      <c r="P644" s="60" t="n">
        <f aca="false">IF(E644="","",ROUND(N(G644)*N(H644)/60,1))</f>
        <v>12</v>
      </c>
      <c r="Q644" s="57" t="str">
        <f aca="false">IF(E644="","",IF(COUNTIFS($C$2:C644,C644,$E$2:E644,E644,$B$2:B644,B644)&gt;1,"No","Yes"))</f>
        <v>Yes</v>
      </c>
      <c r="R644" s="61" t="str">
        <f aca="false">IF(E644="","",IF(Q644="No","Duplicate of an earlier response",IF(L644="Not on SITES","Site not on SITES",IF(N(G644)&gt;N(F644),"Present is more than enrolled",IF(OR(I644&lt;1,I644&gt;5),"Score outside 1 to 5","")))))</f>
        <v/>
      </c>
    </row>
    <row r="645" customFormat="false" ht="15" hidden="false" customHeight="false" outlineLevel="0" collapsed="false">
      <c r="A645" s="52" t="n">
        <v>46121.7072916667</v>
      </c>
      <c r="B645" s="53" t="s">
        <v>111</v>
      </c>
      <c r="C645" s="53" t="s">
        <v>149</v>
      </c>
      <c r="D645" s="53" t="s">
        <v>113</v>
      </c>
      <c r="E645" s="54" t="n">
        <v>46121</v>
      </c>
      <c r="F645" s="55" t="n">
        <v>21</v>
      </c>
      <c r="G645" s="55" t="n">
        <v>19</v>
      </c>
      <c r="H645" s="55" t="n">
        <v>60</v>
      </c>
      <c r="I645" s="56" t="n">
        <v>4.2</v>
      </c>
      <c r="J645" s="53" t="s">
        <v>131</v>
      </c>
      <c r="K645" s="53"/>
      <c r="L645" s="57" t="str">
        <f aca="false">IF(C645="","",IFERROR(INDEX(site_ID,MATCH(C645,site_Name,0)),"Not on SITES"))</f>
        <v>LW-112</v>
      </c>
      <c r="M645" s="58" t="n">
        <f aca="false">IF(E645="","",DATE(YEAR(E645),MONTH(E645),1))</f>
        <v>46113</v>
      </c>
      <c r="N645" s="57" t="str">
        <f aca="false">IF(E645="","","FY"&amp;(YEAR(E645)+IF(AND(FYStart&gt;1,MONTH(E645)&gt;=FYStart),1,0))&amp;" Q"&amp;(INT(MOD(MONTH(E645)-FYStart,12)/3)+1))</f>
        <v>FY2026 Q4</v>
      </c>
      <c r="O645" s="59" t="n">
        <f aca="false">IF(OR(E645="",N(F645)=0),"",G645/F645)</f>
        <v>0.904761904761905</v>
      </c>
      <c r="P645" s="60" t="n">
        <f aca="false">IF(E645="","",ROUND(N(G645)*N(H645)/60,1))</f>
        <v>19</v>
      </c>
      <c r="Q645" s="57" t="str">
        <f aca="false">IF(E645="","",IF(COUNTIFS($C$2:C645,C645,$E$2:E645,E645,$B$2:B645,B645)&gt;1,"No","Yes"))</f>
        <v>Yes</v>
      </c>
      <c r="R645" s="61" t="str">
        <f aca="false">IF(E645="","",IF(Q645="No","Duplicate of an earlier response",IF(L645="Not on SITES","Site not on SITES",IF(N(G645)&gt;N(F645),"Present is more than enrolled",IF(OR(I645&lt;1,I645&gt;5),"Score outside 1 to 5","")))))</f>
        <v/>
      </c>
    </row>
    <row r="646" customFormat="false" ht="15" hidden="false" customHeight="false" outlineLevel="0" collapsed="false">
      <c r="A646" s="52" t="n">
        <v>46121.7716435185</v>
      </c>
      <c r="B646" s="53" t="s">
        <v>140</v>
      </c>
      <c r="C646" s="53" t="s">
        <v>151</v>
      </c>
      <c r="D646" s="53" t="s">
        <v>138</v>
      </c>
      <c r="E646" s="54" t="n">
        <v>46121</v>
      </c>
      <c r="F646" s="55" t="n">
        <v>13</v>
      </c>
      <c r="G646" s="55" t="n">
        <v>11</v>
      </c>
      <c r="H646" s="55" t="n">
        <v>90</v>
      </c>
      <c r="I646" s="56" t="n">
        <v>4.2</v>
      </c>
      <c r="J646" s="53" t="s">
        <v>152</v>
      </c>
      <c r="K646" s="53"/>
      <c r="L646" s="57" t="str">
        <f aca="false">IF(C646="","",IFERROR(INDEX(site_ID,MATCH(C646,site_Name,0)),"Not on SITES"))</f>
        <v>LW-110</v>
      </c>
      <c r="M646" s="58" t="n">
        <f aca="false">IF(E646="","",DATE(YEAR(E646),MONTH(E646),1))</f>
        <v>46113</v>
      </c>
      <c r="N646" s="57" t="str">
        <f aca="false">IF(E646="","","FY"&amp;(YEAR(E646)+IF(AND(FYStart&gt;1,MONTH(E646)&gt;=FYStart),1,0))&amp;" Q"&amp;(INT(MOD(MONTH(E646)-FYStart,12)/3)+1))</f>
        <v>FY2026 Q4</v>
      </c>
      <c r="O646" s="59" t="n">
        <f aca="false">IF(OR(E646="",N(F646)=0),"",G646/F646)</f>
        <v>0.846153846153846</v>
      </c>
      <c r="P646" s="60" t="n">
        <f aca="false">IF(E646="","",ROUND(N(G646)*N(H646)/60,1))</f>
        <v>16.5</v>
      </c>
      <c r="Q646" s="57" t="str">
        <f aca="false">IF(E646="","",IF(COUNTIFS($C$2:C646,C646,$E$2:E646,E646,$B$2:B646,B646)&gt;1,"No","Yes"))</f>
        <v>Yes</v>
      </c>
      <c r="R646" s="61" t="str">
        <f aca="false">IF(E646="","",IF(Q646="No","Duplicate of an earlier response",IF(L646="Not on SITES","Site not on SITES",IF(N(G646)&gt;N(F646),"Present is more than enrolled",IF(OR(I646&lt;1,I646&gt;5),"Score outside 1 to 5","")))))</f>
        <v/>
      </c>
    </row>
    <row r="647" customFormat="false" ht="15" hidden="false" customHeight="false" outlineLevel="0" collapsed="false">
      <c r="A647" s="52" t="n">
        <v>46121.8080555556</v>
      </c>
      <c r="B647" s="53" t="s">
        <v>111</v>
      </c>
      <c r="C647" s="53" t="s">
        <v>148</v>
      </c>
      <c r="D647" s="53" t="s">
        <v>116</v>
      </c>
      <c r="E647" s="54" t="n">
        <v>46121</v>
      </c>
      <c r="F647" s="55" t="n">
        <v>16</v>
      </c>
      <c r="G647" s="55" t="n">
        <v>11</v>
      </c>
      <c r="H647" s="55" t="n">
        <v>90</v>
      </c>
      <c r="I647" s="56" t="n">
        <v>3.7</v>
      </c>
      <c r="J647" s="53" t="s">
        <v>153</v>
      </c>
      <c r="K647" s="53"/>
      <c r="L647" s="57" t="str">
        <f aca="false">IF(C647="","",IFERROR(INDEX(site_ID,MATCH(C647,site_Name,0)),"Not on SITES"))</f>
        <v>LW-104</v>
      </c>
      <c r="M647" s="58" t="n">
        <f aca="false">IF(E647="","",DATE(YEAR(E647),MONTH(E647),1))</f>
        <v>46113</v>
      </c>
      <c r="N647" s="57" t="str">
        <f aca="false">IF(E647="","","FY"&amp;(YEAR(E647)+IF(AND(FYStart&gt;1,MONTH(E647)&gt;=FYStart),1,0))&amp;" Q"&amp;(INT(MOD(MONTH(E647)-FYStart,12)/3)+1))</f>
        <v>FY2026 Q4</v>
      </c>
      <c r="O647" s="59" t="n">
        <f aca="false">IF(OR(E647="",N(F647)=0),"",G647/F647)</f>
        <v>0.6875</v>
      </c>
      <c r="P647" s="60" t="n">
        <f aca="false">IF(E647="","",ROUND(N(G647)*N(H647)/60,1))</f>
        <v>16.5</v>
      </c>
      <c r="Q647" s="57" t="str">
        <f aca="false">IF(E647="","",IF(COUNTIFS($C$2:C647,C647,$E$2:E647,E647,$B$2:B647,B647)&gt;1,"No","Yes"))</f>
        <v>Yes</v>
      </c>
      <c r="R647" s="61" t="str">
        <f aca="false">IF(E647="","",IF(Q647="No","Duplicate of an earlier response",IF(L647="Not on SITES","Site not on SITES",IF(N(G647)&gt;N(F647),"Present is more than enrolled",IF(OR(I647&lt;1,I647&gt;5),"Score outside 1 to 5","")))))</f>
        <v/>
      </c>
    </row>
    <row r="648" customFormat="false" ht="15" hidden="false" customHeight="false" outlineLevel="0" collapsed="false">
      <c r="A648" s="52" t="n">
        <v>46121.8503240741</v>
      </c>
      <c r="B648" s="53" t="s">
        <v>121</v>
      </c>
      <c r="C648" s="53" t="s">
        <v>122</v>
      </c>
      <c r="D648" s="53" t="s">
        <v>116</v>
      </c>
      <c r="E648" s="54" t="n">
        <v>46121</v>
      </c>
      <c r="F648" s="55" t="n">
        <v>16</v>
      </c>
      <c r="G648" s="55" t="n">
        <v>14</v>
      </c>
      <c r="H648" s="55" t="n">
        <v>60</v>
      </c>
      <c r="I648" s="56" t="n">
        <v>4.3</v>
      </c>
      <c r="J648" s="53" t="s">
        <v>117</v>
      </c>
      <c r="K648" s="53"/>
      <c r="L648" s="57" t="str">
        <f aca="false">IF(C648="","",IFERROR(INDEX(site_ID,MATCH(C648,site_Name,0)),"Not on SITES"))</f>
        <v>LW-116</v>
      </c>
      <c r="M648" s="58" t="n">
        <f aca="false">IF(E648="","",DATE(YEAR(E648),MONTH(E648),1))</f>
        <v>46113</v>
      </c>
      <c r="N648" s="57" t="str">
        <f aca="false">IF(E648="","","FY"&amp;(YEAR(E648)+IF(AND(FYStart&gt;1,MONTH(E648)&gt;=FYStart),1,0))&amp;" Q"&amp;(INT(MOD(MONTH(E648)-FYStart,12)/3)+1))</f>
        <v>FY2026 Q4</v>
      </c>
      <c r="O648" s="59" t="n">
        <f aca="false">IF(OR(E648="",N(F648)=0),"",G648/F648)</f>
        <v>0.875</v>
      </c>
      <c r="P648" s="60" t="n">
        <f aca="false">IF(E648="","",ROUND(N(G648)*N(H648)/60,1))</f>
        <v>14</v>
      </c>
      <c r="Q648" s="57" t="str">
        <f aca="false">IF(E648="","",IF(COUNTIFS($C$2:C648,C648,$E$2:E648,E648,$B$2:B648,B648)&gt;1,"No","Yes"))</f>
        <v>Yes</v>
      </c>
      <c r="R648" s="61" t="str">
        <f aca="false">IF(E648="","",IF(Q648="No","Duplicate of an earlier response",IF(L648="Not on SITES","Site not on SITES",IF(N(G648)&gt;N(F648),"Present is more than enrolled",IF(OR(I648&lt;1,I648&gt;5),"Score outside 1 to 5","")))))</f>
        <v/>
      </c>
    </row>
    <row r="649" customFormat="false" ht="15" hidden="false" customHeight="false" outlineLevel="0" collapsed="false">
      <c r="A649" s="52" t="n">
        <v>46122.778912037</v>
      </c>
      <c r="B649" s="53" t="s">
        <v>129</v>
      </c>
      <c r="C649" s="53" t="s">
        <v>137</v>
      </c>
      <c r="D649" s="53" t="s">
        <v>138</v>
      </c>
      <c r="E649" s="54" t="n">
        <v>46122</v>
      </c>
      <c r="F649" s="55" t="n">
        <v>16</v>
      </c>
      <c r="G649" s="55" t="n">
        <v>15</v>
      </c>
      <c r="H649" s="55" t="n">
        <v>90</v>
      </c>
      <c r="I649" s="56" t="n">
        <v>3.8</v>
      </c>
      <c r="J649" s="53" t="s">
        <v>152</v>
      </c>
      <c r="K649" s="53"/>
      <c r="L649" s="57" t="str">
        <f aca="false">IF(C649="","",IFERROR(INDEX(site_ID,MATCH(C649,site_Name,0)),"Not on SITES"))</f>
        <v>LW-115</v>
      </c>
      <c r="M649" s="58" t="n">
        <f aca="false">IF(E649="","",DATE(YEAR(E649),MONTH(E649),1))</f>
        <v>46113</v>
      </c>
      <c r="N649" s="57" t="str">
        <f aca="false">IF(E649="","","FY"&amp;(YEAR(E649)+IF(AND(FYStart&gt;1,MONTH(E649)&gt;=FYStart),1,0))&amp;" Q"&amp;(INT(MOD(MONTH(E649)-FYStart,12)/3)+1))</f>
        <v>FY2026 Q4</v>
      </c>
      <c r="O649" s="59" t="n">
        <f aca="false">IF(OR(E649="",N(F649)=0),"",G649/F649)</f>
        <v>0.9375</v>
      </c>
      <c r="P649" s="60" t="n">
        <f aca="false">IF(E649="","",ROUND(N(G649)*N(H649)/60,1))</f>
        <v>22.5</v>
      </c>
      <c r="Q649" s="57" t="str">
        <f aca="false">IF(E649="","",IF(COUNTIFS($C$2:C649,C649,$E$2:E649,E649,$B$2:B649,B649)&gt;1,"No","Yes"))</f>
        <v>Yes</v>
      </c>
      <c r="R649" s="61" t="str">
        <f aca="false">IF(E649="","",IF(Q649="No","Duplicate of an earlier response",IF(L649="Not on SITES","Site not on SITES",IF(N(G649)&gt;N(F649),"Present is more than enrolled",IF(OR(I649&lt;1,I649&gt;5),"Score outside 1 to 5","")))))</f>
        <v/>
      </c>
    </row>
    <row r="650" customFormat="false" ht="15" hidden="false" customHeight="false" outlineLevel="0" collapsed="false">
      <c r="A650" s="52" t="n">
        <v>46124.8166435185</v>
      </c>
      <c r="B650" s="53" t="s">
        <v>124</v>
      </c>
      <c r="C650" s="53" t="s">
        <v>154</v>
      </c>
      <c r="D650" s="53" t="s">
        <v>116</v>
      </c>
      <c r="E650" s="54" t="n">
        <v>46121</v>
      </c>
      <c r="F650" s="55" t="n">
        <v>18</v>
      </c>
      <c r="G650" s="55" t="n">
        <v>15</v>
      </c>
      <c r="H650" s="55" t="n">
        <v>75</v>
      </c>
      <c r="I650" s="56" t="n">
        <v>4.3</v>
      </c>
      <c r="J650" s="53" t="s">
        <v>160</v>
      </c>
      <c r="K650" s="53"/>
      <c r="L650" s="57" t="str">
        <f aca="false">IF(C650="","",IFERROR(INDEX(site_ID,MATCH(C650,site_Name,0)),"Not on SITES"))</f>
        <v>LW-114</v>
      </c>
      <c r="M650" s="58" t="n">
        <f aca="false">IF(E650="","",DATE(YEAR(E650),MONTH(E650),1))</f>
        <v>46113</v>
      </c>
      <c r="N650" s="57" t="str">
        <f aca="false">IF(E650="","","FY"&amp;(YEAR(E650)+IF(AND(FYStart&gt;1,MONTH(E650)&gt;=FYStart),1,0))&amp;" Q"&amp;(INT(MOD(MONTH(E650)-FYStart,12)/3)+1))</f>
        <v>FY2026 Q4</v>
      </c>
      <c r="O650" s="59" t="n">
        <f aca="false">IF(OR(E650="",N(F650)=0),"",G650/F650)</f>
        <v>0.833333333333333</v>
      </c>
      <c r="P650" s="60" t="n">
        <f aca="false">IF(E650="","",ROUND(N(G650)*N(H650)/60,1))</f>
        <v>18.8</v>
      </c>
      <c r="Q650" s="57" t="str">
        <f aca="false">IF(E650="","",IF(COUNTIFS($C$2:C650,C650,$E$2:E650,E650,$B$2:B650,B650)&gt;1,"No","Yes"))</f>
        <v>Yes</v>
      </c>
      <c r="R650" s="61" t="str">
        <f aca="false">IF(E650="","",IF(Q650="No","Duplicate of an earlier response",IF(L650="Not on SITES","Site not on SITES",IF(N(G650)&gt;N(F650),"Present is more than enrolled",IF(OR(I650&lt;1,I650&gt;5),"Score outside 1 to 5","")))))</f>
        <v/>
      </c>
    </row>
    <row r="651" customFormat="false" ht="15" hidden="false" customHeight="false" outlineLevel="0" collapsed="false">
      <c r="A651" s="52" t="n">
        <v>46125.7151041667</v>
      </c>
      <c r="B651" s="53" t="s">
        <v>105</v>
      </c>
      <c r="C651" s="53" t="s">
        <v>106</v>
      </c>
      <c r="D651" s="53" t="s">
        <v>107</v>
      </c>
      <c r="E651" s="54" t="n">
        <v>46125</v>
      </c>
      <c r="F651" s="55" t="n">
        <v>16</v>
      </c>
      <c r="G651" s="55" t="n">
        <v>13</v>
      </c>
      <c r="H651" s="55" t="n">
        <v>60</v>
      </c>
      <c r="I651" s="56" t="n">
        <v>3.9</v>
      </c>
      <c r="J651" s="53" t="s">
        <v>166</v>
      </c>
      <c r="K651" s="53"/>
      <c r="L651" s="57" t="str">
        <f aca="false">IF(C651="","",IFERROR(INDEX(site_ID,MATCH(C651,site_Name,0)),"Not on SITES"))</f>
        <v>LW-103</v>
      </c>
      <c r="M651" s="58" t="n">
        <f aca="false">IF(E651="","",DATE(YEAR(E651),MONTH(E651),1))</f>
        <v>46113</v>
      </c>
      <c r="N651" s="57" t="str">
        <f aca="false">IF(E651="","","FY"&amp;(YEAR(E651)+IF(AND(FYStart&gt;1,MONTH(E651)&gt;=FYStart),1,0))&amp;" Q"&amp;(INT(MOD(MONTH(E651)-FYStart,12)/3)+1))</f>
        <v>FY2026 Q4</v>
      </c>
      <c r="O651" s="59" t="n">
        <f aca="false">IF(OR(E651="",N(F651)=0),"",G651/F651)</f>
        <v>0.8125</v>
      </c>
      <c r="P651" s="60" t="n">
        <f aca="false">IF(E651="","",ROUND(N(G651)*N(H651)/60,1))</f>
        <v>13</v>
      </c>
      <c r="Q651" s="57" t="str">
        <f aca="false">IF(E651="","",IF(COUNTIFS($C$2:C651,C651,$E$2:E651,E651,$B$2:B651,B651)&gt;1,"No","Yes"))</f>
        <v>Yes</v>
      </c>
      <c r="R651" s="61" t="str">
        <f aca="false">IF(E651="","",IF(Q651="No","Duplicate of an earlier response",IF(L651="Not on SITES","Site not on SITES",IF(N(G651)&gt;N(F651),"Present is more than enrolled",IF(OR(I651&lt;1,I651&gt;5),"Score outside 1 to 5","")))))</f>
        <v/>
      </c>
    </row>
    <row r="652" customFormat="false" ht="15" hidden="false" customHeight="false" outlineLevel="0" collapsed="false">
      <c r="A652" s="52" t="n">
        <v>46125.7435532407</v>
      </c>
      <c r="B652" s="53" t="s">
        <v>105</v>
      </c>
      <c r="C652" s="53" t="s">
        <v>118</v>
      </c>
      <c r="D652" s="53" t="s">
        <v>119</v>
      </c>
      <c r="E652" s="54" t="n">
        <v>46125</v>
      </c>
      <c r="F652" s="55" t="n">
        <v>22</v>
      </c>
      <c r="G652" s="55" t="n">
        <v>17</v>
      </c>
      <c r="H652" s="55" t="n">
        <v>75</v>
      </c>
      <c r="I652" s="56" t="n">
        <v>4.2</v>
      </c>
      <c r="J652" s="53" t="s">
        <v>162</v>
      </c>
      <c r="K652" s="53"/>
      <c r="L652" s="57" t="str">
        <f aca="false">IF(C652="","",IFERROR(INDEX(site_ID,MATCH(C652,site_Name,0)),"Not on SITES"))</f>
        <v>LW-111</v>
      </c>
      <c r="M652" s="58" t="n">
        <f aca="false">IF(E652="","",DATE(YEAR(E652),MONTH(E652),1))</f>
        <v>46113</v>
      </c>
      <c r="N652" s="57" t="str">
        <f aca="false">IF(E652="","","FY"&amp;(YEAR(E652)+IF(AND(FYStart&gt;1,MONTH(E652)&gt;=FYStart),1,0))&amp;" Q"&amp;(INT(MOD(MONTH(E652)-FYStart,12)/3)+1))</f>
        <v>FY2026 Q4</v>
      </c>
      <c r="O652" s="59" t="n">
        <f aca="false">IF(OR(E652="",N(F652)=0),"",G652/F652)</f>
        <v>0.772727272727273</v>
      </c>
      <c r="P652" s="60" t="n">
        <f aca="false">IF(E652="","",ROUND(N(G652)*N(H652)/60,1))</f>
        <v>21.3</v>
      </c>
      <c r="Q652" s="57" t="str">
        <f aca="false">IF(E652="","",IF(COUNTIFS($C$2:C652,C652,$E$2:E652,E652,$B$2:B652,B652)&gt;1,"No","Yes"))</f>
        <v>Yes</v>
      </c>
      <c r="R652" s="61" t="str">
        <f aca="false">IF(E652="","",IF(Q652="No","Duplicate of an earlier response",IF(L652="Not on SITES","Site not on SITES",IF(N(G652)&gt;N(F652),"Present is more than enrolled",IF(OR(I652&lt;1,I652&gt;5),"Score outside 1 to 5","")))))</f>
        <v/>
      </c>
    </row>
    <row r="653" customFormat="false" ht="15" hidden="false" customHeight="false" outlineLevel="0" collapsed="false">
      <c r="A653" s="52" t="n">
        <v>46125.7916782407</v>
      </c>
      <c r="B653" s="53" t="s">
        <v>111</v>
      </c>
      <c r="C653" s="53" t="s">
        <v>112</v>
      </c>
      <c r="D653" s="53" t="s">
        <v>113</v>
      </c>
      <c r="E653" s="54" t="n">
        <v>46125</v>
      </c>
      <c r="F653" s="55" t="n">
        <v>15</v>
      </c>
      <c r="G653" s="55" t="n">
        <v>13</v>
      </c>
      <c r="H653" s="55" t="n">
        <v>75</v>
      </c>
      <c r="I653" s="56" t="n">
        <v>3.7</v>
      </c>
      <c r="J653" s="53" t="s">
        <v>114</v>
      </c>
      <c r="K653" s="53"/>
      <c r="L653" s="57" t="str">
        <f aca="false">IF(C653="","",IFERROR(INDEX(site_ID,MATCH(C653,site_Name,0)),"Not on SITES"))</f>
        <v>LW-120</v>
      </c>
      <c r="M653" s="58" t="n">
        <f aca="false">IF(E653="","",DATE(YEAR(E653),MONTH(E653),1))</f>
        <v>46113</v>
      </c>
      <c r="N653" s="57" t="str">
        <f aca="false">IF(E653="","","FY"&amp;(YEAR(E653)+IF(AND(FYStart&gt;1,MONTH(E653)&gt;=FYStart),1,0))&amp;" Q"&amp;(INT(MOD(MONTH(E653)-FYStart,12)/3)+1))</f>
        <v>FY2026 Q4</v>
      </c>
      <c r="O653" s="59" t="n">
        <f aca="false">IF(OR(E653="",N(F653)=0),"",G653/F653)</f>
        <v>0.866666666666667</v>
      </c>
      <c r="P653" s="60" t="n">
        <f aca="false">IF(E653="","",ROUND(N(G653)*N(H653)/60,1))</f>
        <v>16.3</v>
      </c>
      <c r="Q653" s="57" t="str">
        <f aca="false">IF(E653="","",IF(COUNTIFS($C$2:C653,C653,$E$2:E653,E653,$B$2:B653,B653)&gt;1,"No","Yes"))</f>
        <v>Yes</v>
      </c>
      <c r="R653" s="61" t="str">
        <f aca="false">IF(E653="","",IF(Q653="No","Duplicate of an earlier response",IF(L653="Not on SITES","Site not on SITES",IF(N(G653)&gt;N(F653),"Present is more than enrolled",IF(OR(I653&lt;1,I653&gt;5),"Score outside 1 to 5","")))))</f>
        <v/>
      </c>
    </row>
    <row r="654" customFormat="false" ht="15" hidden="false" customHeight="false" outlineLevel="0" collapsed="false">
      <c r="A654" s="52" t="n">
        <v>46125.7968865741</v>
      </c>
      <c r="B654" s="53" t="s">
        <v>109</v>
      </c>
      <c r="C654" s="53" t="s">
        <v>110</v>
      </c>
      <c r="D654" s="53" t="s">
        <v>107</v>
      </c>
      <c r="E654" s="54" t="n">
        <v>46125</v>
      </c>
      <c r="F654" s="55" t="n">
        <v>21</v>
      </c>
      <c r="G654" s="55" t="n">
        <v>17</v>
      </c>
      <c r="H654" s="55" t="n">
        <v>60</v>
      </c>
      <c r="I654" s="56" t="n">
        <v>4.4</v>
      </c>
      <c r="J654" s="53" t="s">
        <v>108</v>
      </c>
      <c r="K654" s="53" t="s">
        <v>135</v>
      </c>
      <c r="L654" s="57" t="str">
        <f aca="false">IF(C654="","",IFERROR(INDEX(site_ID,MATCH(C654,site_Name,0)),"Not on SITES"))</f>
        <v>LW-113</v>
      </c>
      <c r="M654" s="58" t="n">
        <f aca="false">IF(E654="","",DATE(YEAR(E654),MONTH(E654),1))</f>
        <v>46113</v>
      </c>
      <c r="N654" s="57" t="str">
        <f aca="false">IF(E654="","","FY"&amp;(YEAR(E654)+IF(AND(FYStart&gt;1,MONTH(E654)&gt;=FYStart),1,0))&amp;" Q"&amp;(INT(MOD(MONTH(E654)-FYStart,12)/3)+1))</f>
        <v>FY2026 Q4</v>
      </c>
      <c r="O654" s="59" t="n">
        <f aca="false">IF(OR(E654="",N(F654)=0),"",G654/F654)</f>
        <v>0.80952380952381</v>
      </c>
      <c r="P654" s="60" t="n">
        <f aca="false">IF(E654="","",ROUND(N(G654)*N(H654)/60,1))</f>
        <v>17</v>
      </c>
      <c r="Q654" s="57" t="str">
        <f aca="false">IF(E654="","",IF(COUNTIFS($C$2:C654,C654,$E$2:E654,E654,$B$2:B654,B654)&gt;1,"No","Yes"))</f>
        <v>Yes</v>
      </c>
      <c r="R654" s="61" t="str">
        <f aca="false">IF(E654="","",IF(Q654="No","Duplicate of an earlier response",IF(L654="Not on SITES","Site not on SITES",IF(N(G654)&gt;N(F654),"Present is more than enrolled",IF(OR(I654&lt;1,I654&gt;5),"Score outside 1 to 5","")))))</f>
        <v/>
      </c>
    </row>
    <row r="655" customFormat="false" ht="15" hidden="false" customHeight="false" outlineLevel="0" collapsed="false">
      <c r="A655" s="52" t="n">
        <v>46125.86375</v>
      </c>
      <c r="B655" s="53" t="s">
        <v>105</v>
      </c>
      <c r="C655" s="53" t="s">
        <v>115</v>
      </c>
      <c r="D655" s="53" t="s">
        <v>116</v>
      </c>
      <c r="E655" s="54" t="n">
        <v>46125</v>
      </c>
      <c r="F655" s="55" t="n">
        <v>16</v>
      </c>
      <c r="G655" s="55" t="n">
        <v>15</v>
      </c>
      <c r="H655" s="55" t="n">
        <v>75</v>
      </c>
      <c r="I655" s="56" t="n">
        <v>3.8</v>
      </c>
      <c r="J655" s="53" t="s">
        <v>153</v>
      </c>
      <c r="K655" s="53"/>
      <c r="L655" s="57" t="str">
        <f aca="false">IF(C655="","",IFERROR(INDEX(site_ID,MATCH(C655,site_Name,0)),"Not on SITES"))</f>
        <v>LW-119</v>
      </c>
      <c r="M655" s="58" t="n">
        <f aca="false">IF(E655="","",DATE(YEAR(E655),MONTH(E655),1))</f>
        <v>46113</v>
      </c>
      <c r="N655" s="57" t="str">
        <f aca="false">IF(E655="","","FY"&amp;(YEAR(E655)+IF(AND(FYStart&gt;1,MONTH(E655)&gt;=FYStart),1,0))&amp;" Q"&amp;(INT(MOD(MONTH(E655)-FYStart,12)/3)+1))</f>
        <v>FY2026 Q4</v>
      </c>
      <c r="O655" s="59" t="n">
        <f aca="false">IF(OR(E655="",N(F655)=0),"",G655/F655)</f>
        <v>0.9375</v>
      </c>
      <c r="P655" s="60" t="n">
        <f aca="false">IF(E655="","",ROUND(N(G655)*N(H655)/60,1))</f>
        <v>18.8</v>
      </c>
      <c r="Q655" s="57" t="str">
        <f aca="false">IF(E655="","",IF(COUNTIFS($C$2:C655,C655,$E$2:E655,E655,$B$2:B655,B655)&gt;1,"No","Yes"))</f>
        <v>Yes</v>
      </c>
      <c r="R655" s="61" t="str">
        <f aca="false">IF(E655="","",IF(Q655="No","Duplicate of an earlier response",IF(L655="Not on SITES","Site not on SITES",IF(N(G655)&gt;N(F655),"Present is more than enrolled",IF(OR(I655&lt;1,I655&gt;5),"Score outside 1 to 5","")))))</f>
        <v/>
      </c>
    </row>
    <row r="656" customFormat="false" ht="15" hidden="false" customHeight="false" outlineLevel="0" collapsed="false">
      <c r="A656" s="52" t="n">
        <v>46126.6785416667</v>
      </c>
      <c r="B656" s="53" t="s">
        <v>121</v>
      </c>
      <c r="C656" s="53" t="s">
        <v>127</v>
      </c>
      <c r="D656" s="53" t="s">
        <v>107</v>
      </c>
      <c r="E656" s="54" t="n">
        <v>46126</v>
      </c>
      <c r="F656" s="55" t="n">
        <v>15</v>
      </c>
      <c r="G656" s="55" t="n">
        <v>14</v>
      </c>
      <c r="H656" s="55" t="n">
        <v>60</v>
      </c>
      <c r="I656" s="56" t="n">
        <v>4.5</v>
      </c>
      <c r="J656" s="53" t="s">
        <v>155</v>
      </c>
      <c r="K656" s="53"/>
      <c r="L656" s="57" t="str">
        <f aca="false">IF(C656="","",IFERROR(INDEX(site_ID,MATCH(C656,site_Name,0)),"Not on SITES"))</f>
        <v>LW-108</v>
      </c>
      <c r="M656" s="58" t="n">
        <f aca="false">IF(E656="","",DATE(YEAR(E656),MONTH(E656),1))</f>
        <v>46113</v>
      </c>
      <c r="N656" s="57" t="str">
        <f aca="false">IF(E656="","","FY"&amp;(YEAR(E656)+IF(AND(FYStart&gt;1,MONTH(E656)&gt;=FYStart),1,0))&amp;" Q"&amp;(INT(MOD(MONTH(E656)-FYStart,12)/3)+1))</f>
        <v>FY2026 Q4</v>
      </c>
      <c r="O656" s="59" t="n">
        <f aca="false">IF(OR(E656="",N(F656)=0),"",G656/F656)</f>
        <v>0.933333333333333</v>
      </c>
      <c r="P656" s="60" t="n">
        <f aca="false">IF(E656="","",ROUND(N(G656)*N(H656)/60,1))</f>
        <v>14</v>
      </c>
      <c r="Q656" s="57" t="str">
        <f aca="false">IF(E656="","",IF(COUNTIFS($C$2:C656,C656,$E$2:E656,E656,$B$2:B656,B656)&gt;1,"No","Yes"))</f>
        <v>Yes</v>
      </c>
      <c r="R656" s="61" t="str">
        <f aca="false">IF(E656="","",IF(Q656="No","Duplicate of an earlier response",IF(L656="Not on SITES","Site not on SITES",IF(N(G656)&gt;N(F656),"Present is more than enrolled",IF(OR(I656&lt;1,I656&gt;5),"Score outside 1 to 5","")))))</f>
        <v/>
      </c>
    </row>
    <row r="657" customFormat="false" ht="15" hidden="false" customHeight="false" outlineLevel="0" collapsed="false">
      <c r="A657" s="52" t="n">
        <v>46126.6940046296</v>
      </c>
      <c r="B657" s="53" t="s">
        <v>129</v>
      </c>
      <c r="C657" s="53" t="s">
        <v>130</v>
      </c>
      <c r="D657" s="53" t="s">
        <v>113</v>
      </c>
      <c r="E657" s="54" t="n">
        <v>46126</v>
      </c>
      <c r="F657" s="55" t="n">
        <v>16</v>
      </c>
      <c r="G657" s="55" t="n">
        <v>15</v>
      </c>
      <c r="H657" s="55" t="n">
        <v>75</v>
      </c>
      <c r="I657" s="56" t="n">
        <v>3.3</v>
      </c>
      <c r="J657" s="53" t="s">
        <v>136</v>
      </c>
      <c r="K657" s="53"/>
      <c r="L657" s="57" t="str">
        <f aca="false">IF(C657="","",IFERROR(INDEX(site_ID,MATCH(C657,site_Name,0)),"Not on SITES"))</f>
        <v>LW-107</v>
      </c>
      <c r="M657" s="58" t="n">
        <f aca="false">IF(E657="","",DATE(YEAR(E657),MONTH(E657),1))</f>
        <v>46113</v>
      </c>
      <c r="N657" s="57" t="str">
        <f aca="false">IF(E657="","","FY"&amp;(YEAR(E657)+IF(AND(FYStart&gt;1,MONTH(E657)&gt;=FYStart),1,0))&amp;" Q"&amp;(INT(MOD(MONTH(E657)-FYStart,12)/3)+1))</f>
        <v>FY2026 Q4</v>
      </c>
      <c r="O657" s="59" t="n">
        <f aca="false">IF(OR(E657="",N(F657)=0),"",G657/F657)</f>
        <v>0.9375</v>
      </c>
      <c r="P657" s="60" t="n">
        <f aca="false">IF(E657="","",ROUND(N(G657)*N(H657)/60,1))</f>
        <v>18.8</v>
      </c>
      <c r="Q657" s="57" t="str">
        <f aca="false">IF(E657="","",IF(COUNTIFS($C$2:C657,C657,$E$2:E657,E657,$B$2:B657,B657)&gt;1,"No","Yes"))</f>
        <v>Yes</v>
      </c>
      <c r="R657" s="61" t="str">
        <f aca="false">IF(E657="","",IF(Q657="No","Duplicate of an earlier response",IF(L657="Not on SITES","Site not on SITES",IF(N(G657)&gt;N(F657),"Present is more than enrolled",IF(OR(I657&lt;1,I657&gt;5),"Score outside 1 to 5","")))))</f>
        <v/>
      </c>
    </row>
    <row r="658" customFormat="false" ht="15" hidden="false" customHeight="false" outlineLevel="0" collapsed="false">
      <c r="A658" s="52" t="n">
        <v>46126.7108449074</v>
      </c>
      <c r="B658" s="53" t="s">
        <v>132</v>
      </c>
      <c r="C658" s="53" t="s">
        <v>133</v>
      </c>
      <c r="D658" s="53" t="s">
        <v>116</v>
      </c>
      <c r="E658" s="54" t="n">
        <v>46126</v>
      </c>
      <c r="F658" s="55" t="n">
        <v>17</v>
      </c>
      <c r="G658" s="55" t="n">
        <v>14</v>
      </c>
      <c r="H658" s="55" t="n">
        <v>60</v>
      </c>
      <c r="I658" s="56" t="n">
        <v>3.9</v>
      </c>
      <c r="J658" s="53" t="s">
        <v>153</v>
      </c>
      <c r="K658" s="53"/>
      <c r="L658" s="57" t="str">
        <f aca="false">IF(C658="","",IFERROR(INDEX(site_ID,MATCH(C658,site_Name,0)),"Not on SITES"))</f>
        <v>LW-109</v>
      </c>
      <c r="M658" s="58" t="n">
        <f aca="false">IF(E658="","",DATE(YEAR(E658),MONTH(E658),1))</f>
        <v>46113</v>
      </c>
      <c r="N658" s="57" t="str">
        <f aca="false">IF(E658="","","FY"&amp;(YEAR(E658)+IF(AND(FYStart&gt;1,MONTH(E658)&gt;=FYStart),1,0))&amp;" Q"&amp;(INT(MOD(MONTH(E658)-FYStart,12)/3)+1))</f>
        <v>FY2026 Q4</v>
      </c>
      <c r="O658" s="59" t="n">
        <f aca="false">IF(OR(E658="",N(F658)=0),"",G658/F658)</f>
        <v>0.823529411764706</v>
      </c>
      <c r="P658" s="60" t="n">
        <f aca="false">IF(E658="","",ROUND(N(G658)*N(H658)/60,1))</f>
        <v>14</v>
      </c>
      <c r="Q658" s="57" t="str">
        <f aca="false">IF(E658="","",IF(COUNTIFS($C$2:C658,C658,$E$2:E658,E658,$B$2:B658,B658)&gt;1,"No","Yes"))</f>
        <v>Yes</v>
      </c>
      <c r="R658" s="61" t="str">
        <f aca="false">IF(E658="","",IF(Q658="No","Duplicate of an earlier response",IF(L658="Not on SITES","Site not on SITES",IF(N(G658)&gt;N(F658),"Present is more than enrolled",IF(OR(I658&lt;1,I658&gt;5),"Score outside 1 to 5","")))))</f>
        <v/>
      </c>
    </row>
    <row r="659" customFormat="false" ht="15" hidden="false" customHeight="false" outlineLevel="0" collapsed="false">
      <c r="A659" s="52" t="n">
        <v>46127.6803703704</v>
      </c>
      <c r="B659" s="53" t="s">
        <v>140</v>
      </c>
      <c r="C659" s="53" t="s">
        <v>142</v>
      </c>
      <c r="D659" s="53" t="s">
        <v>113</v>
      </c>
      <c r="E659" s="54" t="n">
        <v>46127</v>
      </c>
      <c r="F659" s="55" t="n">
        <v>18</v>
      </c>
      <c r="G659" s="55" t="n">
        <v>17</v>
      </c>
      <c r="H659" s="55" t="n">
        <v>60</v>
      </c>
      <c r="I659" s="56" t="n">
        <v>3.6</v>
      </c>
      <c r="J659" s="53" t="s">
        <v>143</v>
      </c>
      <c r="K659" s="53"/>
      <c r="L659" s="57" t="str">
        <f aca="false">IF(C659="","",IFERROR(INDEX(site_ID,MATCH(C659,site_Name,0)),"Not on SITES"))</f>
        <v>LW-102</v>
      </c>
      <c r="M659" s="58" t="n">
        <f aca="false">IF(E659="","",DATE(YEAR(E659),MONTH(E659),1))</f>
        <v>46113</v>
      </c>
      <c r="N659" s="57" t="str">
        <f aca="false">IF(E659="","","FY"&amp;(YEAR(E659)+IF(AND(FYStart&gt;1,MONTH(E659)&gt;=FYStart),1,0))&amp;" Q"&amp;(INT(MOD(MONTH(E659)-FYStart,12)/3)+1))</f>
        <v>FY2026 Q4</v>
      </c>
      <c r="O659" s="59" t="n">
        <f aca="false">IF(OR(E659="",N(F659)=0),"",G659/F659)</f>
        <v>0.944444444444444</v>
      </c>
      <c r="P659" s="60" t="n">
        <f aca="false">IF(E659="","",ROUND(N(G659)*N(H659)/60,1))</f>
        <v>17</v>
      </c>
      <c r="Q659" s="57" t="str">
        <f aca="false">IF(E659="","",IF(COUNTIFS($C$2:C659,C659,$E$2:E659,E659,$B$2:B659,B659)&gt;1,"No","Yes"))</f>
        <v>Yes</v>
      </c>
      <c r="R659" s="61" t="str">
        <f aca="false">IF(E659="","",IF(Q659="No","Duplicate of an earlier response",IF(L659="Not on SITES","Site not on SITES",IF(N(G659)&gt;N(F659),"Present is more than enrolled",IF(OR(I659&lt;1,I659&gt;5),"Score outside 1 to 5","")))))</f>
        <v/>
      </c>
    </row>
    <row r="660" customFormat="false" ht="15" hidden="false" customHeight="false" outlineLevel="0" collapsed="false">
      <c r="A660" s="52" t="n">
        <v>46127.7171875</v>
      </c>
      <c r="B660" s="53" t="s">
        <v>105</v>
      </c>
      <c r="C660" s="53" t="s">
        <v>118</v>
      </c>
      <c r="D660" s="53" t="s">
        <v>119</v>
      </c>
      <c r="E660" s="54" t="n">
        <v>46127</v>
      </c>
      <c r="F660" s="55" t="n">
        <v>22</v>
      </c>
      <c r="G660" s="55" t="n">
        <v>15</v>
      </c>
      <c r="H660" s="55" t="n">
        <v>60</v>
      </c>
      <c r="I660" s="56" t="n">
        <v>3.9</v>
      </c>
      <c r="J660" s="53" t="s">
        <v>120</v>
      </c>
      <c r="K660" s="53"/>
      <c r="L660" s="57" t="str">
        <f aca="false">IF(C660="","",IFERROR(INDEX(site_ID,MATCH(C660,site_Name,0)),"Not on SITES"))</f>
        <v>LW-111</v>
      </c>
      <c r="M660" s="58" t="n">
        <f aca="false">IF(E660="","",DATE(YEAR(E660),MONTH(E660),1))</f>
        <v>46113</v>
      </c>
      <c r="N660" s="57" t="str">
        <f aca="false">IF(E660="","","FY"&amp;(YEAR(E660)+IF(AND(FYStart&gt;1,MONTH(E660)&gt;=FYStart),1,0))&amp;" Q"&amp;(INT(MOD(MONTH(E660)-FYStart,12)/3)+1))</f>
        <v>FY2026 Q4</v>
      </c>
      <c r="O660" s="59" t="n">
        <f aca="false">IF(OR(E660="",N(F660)=0),"",G660/F660)</f>
        <v>0.681818181818182</v>
      </c>
      <c r="P660" s="60" t="n">
        <f aca="false">IF(E660="","",ROUND(N(G660)*N(H660)/60,1))</f>
        <v>15</v>
      </c>
      <c r="Q660" s="57" t="str">
        <f aca="false">IF(E660="","",IF(COUNTIFS($C$2:C660,C660,$E$2:E660,E660,$B$2:B660,B660)&gt;1,"No","Yes"))</f>
        <v>Yes</v>
      </c>
      <c r="R660" s="61" t="str">
        <f aca="false">IF(E660="","",IF(Q660="No","Duplicate of an earlier response",IF(L660="Not on SITES","Site not on SITES",IF(N(G660)&gt;N(F660),"Present is more than enrolled",IF(OR(I660&lt;1,I660&gt;5),"Score outside 1 to 5","")))))</f>
        <v/>
      </c>
    </row>
    <row r="661" customFormat="false" ht="15" hidden="false" customHeight="false" outlineLevel="0" collapsed="false">
      <c r="A661" s="52" t="n">
        <v>46127.7672800926</v>
      </c>
      <c r="B661" s="53" t="s">
        <v>129</v>
      </c>
      <c r="C661" s="53" t="s">
        <v>137</v>
      </c>
      <c r="D661" s="53" t="s">
        <v>138</v>
      </c>
      <c r="E661" s="54" t="n">
        <v>46127</v>
      </c>
      <c r="F661" s="55" t="n">
        <v>16</v>
      </c>
      <c r="G661" s="55" t="n">
        <v>15</v>
      </c>
      <c r="H661" s="55" t="n">
        <v>90</v>
      </c>
      <c r="I661" s="56" t="n">
        <v>3.7</v>
      </c>
      <c r="J661" s="53" t="s">
        <v>152</v>
      </c>
      <c r="K661" s="53"/>
      <c r="L661" s="57" t="str">
        <f aca="false">IF(C661="","",IFERROR(INDEX(site_ID,MATCH(C661,site_Name,0)),"Not on SITES"))</f>
        <v>LW-115</v>
      </c>
      <c r="M661" s="58" t="n">
        <f aca="false">IF(E661="","",DATE(YEAR(E661),MONTH(E661),1))</f>
        <v>46113</v>
      </c>
      <c r="N661" s="57" t="str">
        <f aca="false">IF(E661="","","FY"&amp;(YEAR(E661)+IF(AND(FYStart&gt;1,MONTH(E661)&gt;=FYStart),1,0))&amp;" Q"&amp;(INT(MOD(MONTH(E661)-FYStart,12)/3)+1))</f>
        <v>FY2026 Q4</v>
      </c>
      <c r="O661" s="59" t="n">
        <f aca="false">IF(OR(E661="",N(F661)=0),"",G661/F661)</f>
        <v>0.9375</v>
      </c>
      <c r="P661" s="60" t="n">
        <f aca="false">IF(E661="","",ROUND(N(G661)*N(H661)/60,1))</f>
        <v>22.5</v>
      </c>
      <c r="Q661" s="57" t="str">
        <f aca="false">IF(E661="","",IF(COUNTIFS($C$2:C661,C661,$E$2:E661,E661,$B$2:B661,B661)&gt;1,"No","Yes"))</f>
        <v>Yes</v>
      </c>
      <c r="R661" s="61" t="str">
        <f aca="false">IF(E661="","",IF(Q661="No","Duplicate of an earlier response",IF(L661="Not on SITES","Site not on SITES",IF(N(G661)&gt;N(F661),"Present is more than enrolled",IF(OR(I661&lt;1,I661&gt;5),"Score outside 1 to 5","")))))</f>
        <v/>
      </c>
    </row>
    <row r="662" customFormat="false" ht="15" hidden="false" customHeight="false" outlineLevel="0" collapsed="false">
      <c r="A662" s="52" t="n">
        <v>46128.6520717593</v>
      </c>
      <c r="B662" s="53" t="s">
        <v>109</v>
      </c>
      <c r="C662" s="53" t="s">
        <v>146</v>
      </c>
      <c r="D662" s="53" t="s">
        <v>138</v>
      </c>
      <c r="E662" s="54" t="n">
        <v>46128</v>
      </c>
      <c r="F662" s="55" t="n">
        <v>14</v>
      </c>
      <c r="G662" s="55" t="n">
        <v>12</v>
      </c>
      <c r="H662" s="55" t="n">
        <v>90</v>
      </c>
      <c r="I662" s="56" t="n">
        <v>3.3</v>
      </c>
      <c r="J662" s="53" t="s">
        <v>152</v>
      </c>
      <c r="K662" s="53"/>
      <c r="L662" s="57" t="str">
        <f aca="false">IF(C662="","",IFERROR(INDEX(site_ID,MATCH(C662,site_Name,0)),"Not on SITES"))</f>
        <v>LW-105</v>
      </c>
      <c r="M662" s="58" t="n">
        <f aca="false">IF(E662="","",DATE(YEAR(E662),MONTH(E662),1))</f>
        <v>46113</v>
      </c>
      <c r="N662" s="57" t="str">
        <f aca="false">IF(E662="","","FY"&amp;(YEAR(E662)+IF(AND(FYStart&gt;1,MONTH(E662)&gt;=FYStart),1,0))&amp;" Q"&amp;(INT(MOD(MONTH(E662)-FYStart,12)/3)+1))</f>
        <v>FY2026 Q4</v>
      </c>
      <c r="O662" s="59" t="n">
        <f aca="false">IF(OR(E662="",N(F662)=0),"",G662/F662)</f>
        <v>0.857142857142857</v>
      </c>
      <c r="P662" s="60" t="n">
        <f aca="false">IF(E662="","",ROUND(N(G662)*N(H662)/60,1))</f>
        <v>18</v>
      </c>
      <c r="Q662" s="57" t="str">
        <f aca="false">IF(E662="","",IF(COUNTIFS($C$2:C662,C662,$E$2:E662,E662,$B$2:B662,B662)&gt;1,"No","Yes"))</f>
        <v>Yes</v>
      </c>
      <c r="R662" s="61" t="str">
        <f aca="false">IF(E662="","",IF(Q662="No","Duplicate of an earlier response",IF(L662="Not on SITES","Site not on SITES",IF(N(G662)&gt;N(F662),"Present is more than enrolled",IF(OR(I662&lt;1,I662&gt;5),"Score outside 1 to 5","")))))</f>
        <v/>
      </c>
    </row>
    <row r="663" customFormat="false" ht="15" hidden="false" customHeight="false" outlineLevel="0" collapsed="false">
      <c r="A663" s="52" t="n">
        <v>46128.6841203704</v>
      </c>
      <c r="B663" s="53" t="s">
        <v>121</v>
      </c>
      <c r="C663" s="53" t="s">
        <v>122</v>
      </c>
      <c r="D663" s="53" t="s">
        <v>116</v>
      </c>
      <c r="E663" s="54" t="n">
        <v>46128</v>
      </c>
      <c r="F663" s="55" t="n">
        <v>16</v>
      </c>
      <c r="G663" s="55" t="n">
        <v>13</v>
      </c>
      <c r="H663" s="55" t="n">
        <v>75</v>
      </c>
      <c r="I663" s="56" t="n">
        <v>3.9</v>
      </c>
      <c r="J663" s="53" t="s">
        <v>160</v>
      </c>
      <c r="K663" s="53"/>
      <c r="L663" s="57" t="str">
        <f aca="false">IF(C663="","",IFERROR(INDEX(site_ID,MATCH(C663,site_Name,0)),"Not on SITES"))</f>
        <v>LW-116</v>
      </c>
      <c r="M663" s="58" t="n">
        <f aca="false">IF(E663="","",DATE(YEAR(E663),MONTH(E663),1))</f>
        <v>46113</v>
      </c>
      <c r="N663" s="57" t="str">
        <f aca="false">IF(E663="","","FY"&amp;(YEAR(E663)+IF(AND(FYStart&gt;1,MONTH(E663)&gt;=FYStart),1,0))&amp;" Q"&amp;(INT(MOD(MONTH(E663)-FYStart,12)/3)+1))</f>
        <v>FY2026 Q4</v>
      </c>
      <c r="O663" s="59" t="n">
        <f aca="false">IF(OR(E663="",N(F663)=0),"",G663/F663)</f>
        <v>0.8125</v>
      </c>
      <c r="P663" s="60" t="n">
        <f aca="false">IF(E663="","",ROUND(N(G663)*N(H663)/60,1))</f>
        <v>16.3</v>
      </c>
      <c r="Q663" s="57" t="str">
        <f aca="false">IF(E663="","",IF(COUNTIFS($C$2:C663,C663,$E$2:E663,E663,$B$2:B663,B663)&gt;1,"No","Yes"))</f>
        <v>Yes</v>
      </c>
      <c r="R663" s="61" t="str">
        <f aca="false">IF(E663="","",IF(Q663="No","Duplicate of an earlier response",IF(L663="Not on SITES","Site not on SITES",IF(N(G663)&gt;N(F663),"Present is more than enrolled",IF(OR(I663&lt;1,I663&gt;5),"Score outside 1 to 5","")))))</f>
        <v/>
      </c>
    </row>
    <row r="664" customFormat="false" ht="15" hidden="false" customHeight="false" outlineLevel="0" collapsed="false">
      <c r="A664" s="52" t="n">
        <v>46128.7105439815</v>
      </c>
      <c r="B664" s="53" t="s">
        <v>124</v>
      </c>
      <c r="C664" s="53" t="s">
        <v>154</v>
      </c>
      <c r="D664" s="53" t="s">
        <v>116</v>
      </c>
      <c r="E664" s="54" t="n">
        <v>46128</v>
      </c>
      <c r="F664" s="55" t="n">
        <v>18</v>
      </c>
      <c r="G664" s="55" t="n">
        <v>18</v>
      </c>
      <c r="H664" s="55" t="n">
        <v>60</v>
      </c>
      <c r="I664" s="56" t="n">
        <v>4.2</v>
      </c>
      <c r="J664" s="53" t="s">
        <v>117</v>
      </c>
      <c r="K664" s="53"/>
      <c r="L664" s="57" t="str">
        <f aca="false">IF(C664="","",IFERROR(INDEX(site_ID,MATCH(C664,site_Name,0)),"Not on SITES"))</f>
        <v>LW-114</v>
      </c>
      <c r="M664" s="58" t="n">
        <f aca="false">IF(E664="","",DATE(YEAR(E664),MONTH(E664),1))</f>
        <v>46113</v>
      </c>
      <c r="N664" s="57" t="str">
        <f aca="false">IF(E664="","","FY"&amp;(YEAR(E664)+IF(AND(FYStart&gt;1,MONTH(E664)&gt;=FYStart),1,0))&amp;" Q"&amp;(INT(MOD(MONTH(E664)-FYStart,12)/3)+1))</f>
        <v>FY2026 Q4</v>
      </c>
      <c r="O664" s="59" t="n">
        <f aca="false">IF(OR(E664="",N(F664)=0),"",G664/F664)</f>
        <v>1</v>
      </c>
      <c r="P664" s="60" t="n">
        <f aca="false">IF(E664="","",ROUND(N(G664)*N(H664)/60,1))</f>
        <v>18</v>
      </c>
      <c r="Q664" s="57" t="str">
        <f aca="false">IF(E664="","",IF(COUNTIFS($C$2:C664,C664,$E$2:E664,E664,$B$2:B664,B664)&gt;1,"No","Yes"))</f>
        <v>Yes</v>
      </c>
      <c r="R664" s="61" t="str">
        <f aca="false">IF(E664="","",IF(Q664="No","Duplicate of an earlier response",IF(L664="Not on SITES","Site not on SITES",IF(N(G664)&gt;N(F664),"Present is more than enrolled",IF(OR(I664&lt;1,I664&gt;5),"Score outside 1 to 5","")))))</f>
        <v/>
      </c>
    </row>
    <row r="665" customFormat="false" ht="15" hidden="false" customHeight="false" outlineLevel="0" collapsed="false">
      <c r="A665" s="52" t="n">
        <v>46128.722025463</v>
      </c>
      <c r="B665" s="53" t="s">
        <v>124</v>
      </c>
      <c r="C665" s="53" t="s">
        <v>125</v>
      </c>
      <c r="D665" s="53" t="s">
        <v>119</v>
      </c>
      <c r="E665" s="54" t="n">
        <v>46126</v>
      </c>
      <c r="F665" s="55" t="n">
        <v>18</v>
      </c>
      <c r="G665" s="55" t="n">
        <v>14</v>
      </c>
      <c r="H665" s="55" t="n">
        <v>75</v>
      </c>
      <c r="I665" s="56" t="n">
        <v>3.1</v>
      </c>
      <c r="J665" s="53" t="s">
        <v>159</v>
      </c>
      <c r="K665" s="53" t="s">
        <v>135</v>
      </c>
      <c r="L665" s="57" t="str">
        <f aca="false">IF(C665="","",IFERROR(INDEX(site_ID,MATCH(C665,site_Name,0)),"Not on SITES"))</f>
        <v>LW-106</v>
      </c>
      <c r="M665" s="58" t="n">
        <f aca="false">IF(E665="","",DATE(YEAR(E665),MONTH(E665),1))</f>
        <v>46113</v>
      </c>
      <c r="N665" s="57" t="str">
        <f aca="false">IF(E665="","","FY"&amp;(YEAR(E665)+IF(AND(FYStart&gt;1,MONTH(E665)&gt;=FYStart),1,0))&amp;" Q"&amp;(INT(MOD(MONTH(E665)-FYStart,12)/3)+1))</f>
        <v>FY2026 Q4</v>
      </c>
      <c r="O665" s="59" t="n">
        <f aca="false">IF(OR(E665="",N(F665)=0),"",G665/F665)</f>
        <v>0.777777777777778</v>
      </c>
      <c r="P665" s="60" t="n">
        <f aca="false">IF(E665="","",ROUND(N(G665)*N(H665)/60,1))</f>
        <v>17.5</v>
      </c>
      <c r="Q665" s="57" t="str">
        <f aca="false">IF(E665="","",IF(COUNTIFS($C$2:C665,C665,$E$2:E665,E665,$B$2:B665,B665)&gt;1,"No","Yes"))</f>
        <v>Yes</v>
      </c>
      <c r="R665" s="61" t="str">
        <f aca="false">IF(E665="","",IF(Q665="No","Duplicate of an earlier response",IF(L665="Not on SITES","Site not on SITES",IF(N(G665)&gt;N(F665),"Present is more than enrolled",IF(OR(I665&lt;1,I665&gt;5),"Score outside 1 to 5","")))))</f>
        <v/>
      </c>
    </row>
    <row r="666" customFormat="false" ht="15" hidden="false" customHeight="false" outlineLevel="0" collapsed="false">
      <c r="A666" s="52" t="n">
        <v>46129.6840509259</v>
      </c>
      <c r="B666" s="53" t="s">
        <v>129</v>
      </c>
      <c r="C666" s="53" t="s">
        <v>137</v>
      </c>
      <c r="D666" s="53" t="s">
        <v>138</v>
      </c>
      <c r="E666" s="54" t="n">
        <v>46129</v>
      </c>
      <c r="F666" s="55" t="n">
        <v>16</v>
      </c>
      <c r="G666" s="55" t="n">
        <v>15</v>
      </c>
      <c r="H666" s="55" t="n">
        <v>90</v>
      </c>
      <c r="I666" s="56" t="n">
        <v>4.2</v>
      </c>
      <c r="J666" s="53" t="s">
        <v>164</v>
      </c>
      <c r="K666" s="53"/>
      <c r="L666" s="57" t="str">
        <f aca="false">IF(C666="","",IFERROR(INDEX(site_ID,MATCH(C666,site_Name,0)),"Not on SITES"))</f>
        <v>LW-115</v>
      </c>
      <c r="M666" s="58" t="n">
        <f aca="false">IF(E666="","",DATE(YEAR(E666),MONTH(E666),1))</f>
        <v>46113</v>
      </c>
      <c r="N666" s="57" t="str">
        <f aca="false">IF(E666="","","FY"&amp;(YEAR(E666)+IF(AND(FYStart&gt;1,MONTH(E666)&gt;=FYStart),1,0))&amp;" Q"&amp;(INT(MOD(MONTH(E666)-FYStart,12)/3)+1))</f>
        <v>FY2026 Q4</v>
      </c>
      <c r="O666" s="59" t="n">
        <f aca="false">IF(OR(E666="",N(F666)=0),"",G666/F666)</f>
        <v>0.9375</v>
      </c>
      <c r="P666" s="60" t="n">
        <f aca="false">IF(E666="","",ROUND(N(G666)*N(H666)/60,1))</f>
        <v>22.5</v>
      </c>
      <c r="Q666" s="57" t="str">
        <f aca="false">IF(E666="","",IF(COUNTIFS($C$2:C666,C666,$E$2:E666,E666,$B$2:B666,B666)&gt;1,"No","Yes"))</f>
        <v>Yes</v>
      </c>
      <c r="R666" s="61" t="str">
        <f aca="false">IF(E666="","",IF(Q666="No","Duplicate of an earlier response",IF(L666="Not on SITES","Site not on SITES",IF(N(G666)&gt;N(F666),"Present is more than enrolled",IF(OR(I666&lt;1,I666&gt;5),"Score outside 1 to 5","")))))</f>
        <v/>
      </c>
    </row>
    <row r="667" customFormat="false" ht="15" hidden="false" customHeight="false" outlineLevel="0" collapsed="false">
      <c r="A667" s="52" t="n">
        <v>46129.8330902778</v>
      </c>
      <c r="B667" s="53" t="s">
        <v>121</v>
      </c>
      <c r="C667" s="53" t="s">
        <v>122</v>
      </c>
      <c r="D667" s="53" t="s">
        <v>116</v>
      </c>
      <c r="E667" s="54" t="n">
        <v>46126</v>
      </c>
      <c r="F667" s="55" t="n">
        <v>16</v>
      </c>
      <c r="G667" s="55" t="n">
        <v>14</v>
      </c>
      <c r="H667" s="55" t="n">
        <v>60</v>
      </c>
      <c r="I667" s="56" t="n">
        <v>4</v>
      </c>
      <c r="J667" s="53" t="s">
        <v>123</v>
      </c>
      <c r="K667" s="53"/>
      <c r="L667" s="57" t="str">
        <f aca="false">IF(C667="","",IFERROR(INDEX(site_ID,MATCH(C667,site_Name,0)),"Not on SITES"))</f>
        <v>LW-116</v>
      </c>
      <c r="M667" s="58" t="n">
        <f aca="false">IF(E667="","",DATE(YEAR(E667),MONTH(E667),1))</f>
        <v>46113</v>
      </c>
      <c r="N667" s="57" t="str">
        <f aca="false">IF(E667="","","FY"&amp;(YEAR(E667)+IF(AND(FYStart&gt;1,MONTH(E667)&gt;=FYStart),1,0))&amp;" Q"&amp;(INT(MOD(MONTH(E667)-FYStart,12)/3)+1))</f>
        <v>FY2026 Q4</v>
      </c>
      <c r="O667" s="59" t="n">
        <f aca="false">IF(OR(E667="",N(F667)=0),"",G667/F667)</f>
        <v>0.875</v>
      </c>
      <c r="P667" s="60" t="n">
        <f aca="false">IF(E667="","",ROUND(N(G667)*N(H667)/60,1))</f>
        <v>14</v>
      </c>
      <c r="Q667" s="57" t="str">
        <f aca="false">IF(E667="","",IF(COUNTIFS($C$2:C667,C667,$E$2:E667,E667,$B$2:B667,B667)&gt;1,"No","Yes"))</f>
        <v>Yes</v>
      </c>
      <c r="R667" s="61" t="str">
        <f aca="false">IF(E667="","",IF(Q667="No","Duplicate of an earlier response",IF(L667="Not on SITES","Site not on SITES",IF(N(G667)&gt;N(F667),"Present is more than enrolled",IF(OR(I667&lt;1,I667&gt;5),"Score outside 1 to 5","")))))</f>
        <v/>
      </c>
    </row>
    <row r="668" customFormat="false" ht="15" hidden="false" customHeight="false" outlineLevel="0" collapsed="false">
      <c r="A668" s="52" t="n">
        <v>46130.7755324074</v>
      </c>
      <c r="B668" s="53" t="s">
        <v>132</v>
      </c>
      <c r="C668" s="53" t="s">
        <v>145</v>
      </c>
      <c r="D668" s="53" t="s">
        <v>119</v>
      </c>
      <c r="E668" s="54" t="n">
        <v>46127</v>
      </c>
      <c r="F668" s="55" t="n">
        <v>19</v>
      </c>
      <c r="G668" s="55" t="n">
        <v>15</v>
      </c>
      <c r="H668" s="55" t="n">
        <v>75</v>
      </c>
      <c r="I668" s="56" t="n">
        <v>4.3</v>
      </c>
      <c r="J668" s="53" t="s">
        <v>159</v>
      </c>
      <c r="K668" s="53"/>
      <c r="L668" s="57" t="str">
        <f aca="false">IF(C668="","",IFERROR(INDEX(site_ID,MATCH(C668,site_Name,0)),"Not on SITES"))</f>
        <v>LW-101</v>
      </c>
      <c r="M668" s="58" t="n">
        <f aca="false">IF(E668="","",DATE(YEAR(E668),MONTH(E668),1))</f>
        <v>46113</v>
      </c>
      <c r="N668" s="57" t="str">
        <f aca="false">IF(E668="","","FY"&amp;(YEAR(E668)+IF(AND(FYStart&gt;1,MONTH(E668)&gt;=FYStart),1,0))&amp;" Q"&amp;(INT(MOD(MONTH(E668)-FYStart,12)/3)+1))</f>
        <v>FY2026 Q4</v>
      </c>
      <c r="O668" s="59" t="n">
        <f aca="false">IF(OR(E668="",N(F668)=0),"",G668/F668)</f>
        <v>0.789473684210526</v>
      </c>
      <c r="P668" s="60" t="n">
        <f aca="false">IF(E668="","",ROUND(N(G668)*N(H668)/60,1))</f>
        <v>18.8</v>
      </c>
      <c r="Q668" s="57" t="str">
        <f aca="false">IF(E668="","",IF(COUNTIFS($C$2:C668,C668,$E$2:E668,E668,$B$2:B668,B668)&gt;1,"No","Yes"))</f>
        <v>Yes</v>
      </c>
      <c r="R668" s="61" t="str">
        <f aca="false">IF(E668="","",IF(Q668="No","Duplicate of an earlier response",IF(L668="Not on SITES","Site not on SITES",IF(N(G668)&gt;N(F668),"Present is more than enrolled",IF(OR(I668&lt;1,I668&gt;5),"Score outside 1 to 5","")))))</f>
        <v/>
      </c>
    </row>
    <row r="669" customFormat="false" ht="15" hidden="false" customHeight="false" outlineLevel="0" collapsed="false">
      <c r="A669" s="52" t="n">
        <v>46130.7791898148</v>
      </c>
      <c r="B669" s="53" t="s">
        <v>111</v>
      </c>
      <c r="C669" s="53" t="s">
        <v>112</v>
      </c>
      <c r="D669" s="53" t="s">
        <v>113</v>
      </c>
      <c r="E669" s="54" t="n">
        <v>46127</v>
      </c>
      <c r="F669" s="55" t="n">
        <v>15</v>
      </c>
      <c r="G669" s="55" t="n">
        <v>13</v>
      </c>
      <c r="H669" s="55" t="n">
        <v>60</v>
      </c>
      <c r="I669" s="56" t="n">
        <v>3.9</v>
      </c>
      <c r="J669" s="53" t="s">
        <v>131</v>
      </c>
      <c r="K669" s="53"/>
      <c r="L669" s="57" t="str">
        <f aca="false">IF(C669="","",IFERROR(INDEX(site_ID,MATCH(C669,site_Name,0)),"Not on SITES"))</f>
        <v>LW-120</v>
      </c>
      <c r="M669" s="58" t="n">
        <f aca="false">IF(E669="","",DATE(YEAR(E669),MONTH(E669),1))</f>
        <v>46113</v>
      </c>
      <c r="N669" s="57" t="str">
        <f aca="false">IF(E669="","","FY"&amp;(YEAR(E669)+IF(AND(FYStart&gt;1,MONTH(E669)&gt;=FYStart),1,0))&amp;" Q"&amp;(INT(MOD(MONTH(E669)-FYStart,12)/3)+1))</f>
        <v>FY2026 Q4</v>
      </c>
      <c r="O669" s="59" t="n">
        <f aca="false">IF(OR(E669="",N(F669)=0),"",G669/F669)</f>
        <v>0.866666666666667</v>
      </c>
      <c r="P669" s="60" t="n">
        <f aca="false">IF(E669="","",ROUND(N(G669)*N(H669)/60,1))</f>
        <v>13</v>
      </c>
      <c r="Q669" s="57" t="str">
        <f aca="false">IF(E669="","",IF(COUNTIFS($C$2:C669,C669,$E$2:E669,E669,$B$2:B669,B669)&gt;1,"No","Yes"))</f>
        <v>Yes</v>
      </c>
      <c r="R669" s="61" t="str">
        <f aca="false">IF(E669="","",IF(Q669="No","Duplicate of an earlier response",IF(L669="Not on SITES","Site not on SITES",IF(N(G669)&gt;N(F669),"Present is more than enrolled",IF(OR(I669&lt;1,I669&gt;5),"Score outside 1 to 5","")))))</f>
        <v/>
      </c>
    </row>
    <row r="670" customFormat="false" ht="15" hidden="false" customHeight="false" outlineLevel="0" collapsed="false">
      <c r="A670" s="52" t="n">
        <v>46130.8125578704</v>
      </c>
      <c r="B670" s="53" t="s">
        <v>140</v>
      </c>
      <c r="C670" s="53" t="s">
        <v>151</v>
      </c>
      <c r="D670" s="53" t="s">
        <v>138</v>
      </c>
      <c r="E670" s="54" t="n">
        <v>46128</v>
      </c>
      <c r="F670" s="55" t="n">
        <v>13</v>
      </c>
      <c r="G670" s="55" t="n">
        <v>11</v>
      </c>
      <c r="H670" s="55" t="n">
        <v>90</v>
      </c>
      <c r="I670" s="56" t="n">
        <v>4.2</v>
      </c>
      <c r="J670" s="53" t="s">
        <v>147</v>
      </c>
      <c r="K670" s="53"/>
      <c r="L670" s="57" t="str">
        <f aca="false">IF(C670="","",IFERROR(INDEX(site_ID,MATCH(C670,site_Name,0)),"Not on SITES"))</f>
        <v>LW-110</v>
      </c>
      <c r="M670" s="58" t="n">
        <f aca="false">IF(E670="","",DATE(YEAR(E670),MONTH(E670),1))</f>
        <v>46113</v>
      </c>
      <c r="N670" s="57" t="str">
        <f aca="false">IF(E670="","","FY"&amp;(YEAR(E670)+IF(AND(FYStart&gt;1,MONTH(E670)&gt;=FYStart),1,0))&amp;" Q"&amp;(INT(MOD(MONTH(E670)-FYStart,12)/3)+1))</f>
        <v>FY2026 Q4</v>
      </c>
      <c r="O670" s="59" t="n">
        <f aca="false">IF(OR(E670="",N(F670)=0),"",G670/F670)</f>
        <v>0.846153846153846</v>
      </c>
      <c r="P670" s="60" t="n">
        <f aca="false">IF(E670="","",ROUND(N(G670)*N(H670)/60,1))</f>
        <v>16.5</v>
      </c>
      <c r="Q670" s="57" t="str">
        <f aca="false">IF(E670="","",IF(COUNTIFS($C$2:C670,C670,$E$2:E670,E670,$B$2:B670,B670)&gt;1,"No","Yes"))</f>
        <v>Yes</v>
      </c>
      <c r="R670" s="61" t="str">
        <f aca="false">IF(E670="","",IF(Q670="No","Duplicate of an earlier response",IF(L670="Not on SITES","Site not on SITES",IF(N(G670)&gt;N(F670),"Present is more than enrolled",IF(OR(I670&lt;1,I670&gt;5),"Score outside 1 to 5","")))))</f>
        <v/>
      </c>
    </row>
    <row r="671" customFormat="false" ht="15" hidden="false" customHeight="false" outlineLevel="0" collapsed="false">
      <c r="A671" s="52" t="n">
        <v>46131.693287037</v>
      </c>
      <c r="B671" s="53" t="s">
        <v>132</v>
      </c>
      <c r="C671" s="53" t="s">
        <v>150</v>
      </c>
      <c r="D671" s="53" t="s">
        <v>138</v>
      </c>
      <c r="E671" s="54" t="n">
        <v>46128</v>
      </c>
      <c r="F671" s="55" t="n">
        <v>21</v>
      </c>
      <c r="G671" s="55" t="n">
        <v>17</v>
      </c>
      <c r="H671" s="55" t="n">
        <v>90</v>
      </c>
      <c r="I671" s="56" t="n">
        <v>3.5</v>
      </c>
      <c r="J671" s="53" t="s">
        <v>147</v>
      </c>
      <c r="K671" s="53"/>
      <c r="L671" s="57" t="str">
        <f aca="false">IF(C671="","",IFERROR(INDEX(site_ID,MATCH(C671,site_Name,0)),"Not on SITES"))</f>
        <v>LW-117</v>
      </c>
      <c r="M671" s="58" t="n">
        <f aca="false">IF(E671="","",DATE(YEAR(E671),MONTH(E671),1))</f>
        <v>46113</v>
      </c>
      <c r="N671" s="57" t="str">
        <f aca="false">IF(E671="","","FY"&amp;(YEAR(E671)+IF(AND(FYStart&gt;1,MONTH(E671)&gt;=FYStart),1,0))&amp;" Q"&amp;(INT(MOD(MONTH(E671)-FYStart,12)/3)+1))</f>
        <v>FY2026 Q4</v>
      </c>
      <c r="O671" s="59" t="n">
        <f aca="false">IF(OR(E671="",N(F671)=0),"",G671/F671)</f>
        <v>0.80952380952381</v>
      </c>
      <c r="P671" s="60" t="n">
        <f aca="false">IF(E671="","",ROUND(N(G671)*N(H671)/60,1))</f>
        <v>25.5</v>
      </c>
      <c r="Q671" s="57" t="str">
        <f aca="false">IF(E671="","",IF(COUNTIFS($C$2:C671,C671,$E$2:E671,E671,$B$2:B671,B671)&gt;1,"No","Yes"))</f>
        <v>Yes</v>
      </c>
      <c r="R671" s="61" t="str">
        <f aca="false">IF(E671="","",IF(Q671="No","Duplicate of an earlier response",IF(L671="Not on SITES","Site not on SITES",IF(N(G671)&gt;N(F671),"Present is more than enrolled",IF(OR(I671&lt;1,I671&gt;5),"Score outside 1 to 5","")))))</f>
        <v/>
      </c>
    </row>
    <row r="672" customFormat="false" ht="15" hidden="false" customHeight="false" outlineLevel="0" collapsed="false">
      <c r="A672" s="52" t="n">
        <v>46131.7544675926</v>
      </c>
      <c r="B672" s="53" t="s">
        <v>111</v>
      </c>
      <c r="C672" s="53" t="s">
        <v>149</v>
      </c>
      <c r="D672" s="53" t="s">
        <v>113</v>
      </c>
      <c r="E672" s="54" t="n">
        <v>46128</v>
      </c>
      <c r="F672" s="55" t="n">
        <v>21</v>
      </c>
      <c r="G672" s="55" t="n">
        <v>19</v>
      </c>
      <c r="H672" s="55" t="n">
        <v>60</v>
      </c>
      <c r="I672" s="56" t="n">
        <v>3.6</v>
      </c>
      <c r="J672" s="53" t="s">
        <v>136</v>
      </c>
      <c r="K672" s="53"/>
      <c r="L672" s="57" t="str">
        <f aca="false">IF(C672="","",IFERROR(INDEX(site_ID,MATCH(C672,site_Name,0)),"Not on SITES"))</f>
        <v>LW-112</v>
      </c>
      <c r="M672" s="58" t="n">
        <f aca="false">IF(E672="","",DATE(YEAR(E672),MONTH(E672),1))</f>
        <v>46113</v>
      </c>
      <c r="N672" s="57" t="str">
        <f aca="false">IF(E672="","","FY"&amp;(YEAR(E672)+IF(AND(FYStart&gt;1,MONTH(E672)&gt;=FYStart),1,0))&amp;" Q"&amp;(INT(MOD(MONTH(E672)-FYStart,12)/3)+1))</f>
        <v>FY2026 Q4</v>
      </c>
      <c r="O672" s="59" t="n">
        <f aca="false">IF(OR(E672="",N(F672)=0),"",G672/F672)</f>
        <v>0.904761904761905</v>
      </c>
      <c r="P672" s="60" t="n">
        <f aca="false">IF(E672="","",ROUND(N(G672)*N(H672)/60,1))</f>
        <v>19</v>
      </c>
      <c r="Q672" s="57" t="str">
        <f aca="false">IF(E672="","",IF(COUNTIFS($C$2:C672,C672,$E$2:E672,E672,$B$2:B672,B672)&gt;1,"No","Yes"))</f>
        <v>Yes</v>
      </c>
      <c r="R672" s="61" t="str">
        <f aca="false">IF(E672="","",IF(Q672="No","Duplicate of an earlier response",IF(L672="Not on SITES","Site not on SITES",IF(N(G672)&gt;N(F672),"Present is more than enrolled",IF(OR(I672&lt;1,I672&gt;5),"Score outside 1 to 5","")))))</f>
        <v/>
      </c>
    </row>
    <row r="673" customFormat="false" ht="15" hidden="false" customHeight="false" outlineLevel="0" collapsed="false">
      <c r="A673" s="52" t="n">
        <v>46131.8151388889</v>
      </c>
      <c r="B673" s="53" t="s">
        <v>140</v>
      </c>
      <c r="C673" s="53" t="s">
        <v>141</v>
      </c>
      <c r="D673" s="53" t="s">
        <v>116</v>
      </c>
      <c r="E673" s="54" t="n">
        <v>46129</v>
      </c>
      <c r="F673" s="55" t="n">
        <v>13</v>
      </c>
      <c r="G673" s="55" t="n">
        <v>12</v>
      </c>
      <c r="H673" s="55" t="n">
        <v>75</v>
      </c>
      <c r="I673" s="56" t="n">
        <v>4.3</v>
      </c>
      <c r="J673" s="53" t="s">
        <v>160</v>
      </c>
      <c r="K673" s="53"/>
      <c r="L673" s="57" t="str">
        <f aca="false">IF(C673="","",IFERROR(INDEX(site_ID,MATCH(C673,site_Name,0)),"Not on SITES"))</f>
        <v>LW-118</v>
      </c>
      <c r="M673" s="58" t="n">
        <f aca="false">IF(E673="","",DATE(YEAR(E673),MONTH(E673),1))</f>
        <v>46113</v>
      </c>
      <c r="N673" s="57" t="str">
        <f aca="false">IF(E673="","","FY"&amp;(YEAR(E673)+IF(AND(FYStart&gt;1,MONTH(E673)&gt;=FYStart),1,0))&amp;" Q"&amp;(INT(MOD(MONTH(E673)-FYStart,12)/3)+1))</f>
        <v>FY2026 Q4</v>
      </c>
      <c r="O673" s="59" t="n">
        <f aca="false">IF(OR(E673="",N(F673)=0),"",G673/F673)</f>
        <v>0.923076923076923</v>
      </c>
      <c r="P673" s="60" t="n">
        <f aca="false">IF(E673="","",ROUND(N(G673)*N(H673)/60,1))</f>
        <v>15</v>
      </c>
      <c r="Q673" s="57" t="str">
        <f aca="false">IF(E673="","",IF(COUNTIFS($C$2:C673,C673,$E$2:E673,E673,$B$2:B673,B673)&gt;1,"No","Yes"))</f>
        <v>Yes</v>
      </c>
      <c r="R673" s="61" t="str">
        <f aca="false">IF(E673="","",IF(Q673="No","Duplicate of an earlier response",IF(L673="Not on SITES","Site not on SITES",IF(N(G673)&gt;N(F673),"Present is more than enrolled",IF(OR(I673&lt;1,I673&gt;5),"Score outside 1 to 5","")))))</f>
        <v/>
      </c>
    </row>
    <row r="674" customFormat="false" ht="15" hidden="false" customHeight="false" outlineLevel="0" collapsed="false">
      <c r="A674" s="52" t="n">
        <v>46132.6367939815</v>
      </c>
      <c r="B674" s="53" t="s">
        <v>109</v>
      </c>
      <c r="C674" s="53" t="s">
        <v>110</v>
      </c>
      <c r="D674" s="53" t="s">
        <v>107</v>
      </c>
      <c r="E674" s="54" t="n">
        <v>46132</v>
      </c>
      <c r="F674" s="55" t="n">
        <v>21</v>
      </c>
      <c r="G674" s="55" t="n">
        <v>17</v>
      </c>
      <c r="H674" s="55" t="n">
        <v>60</v>
      </c>
      <c r="I674" s="56" t="n">
        <v>4.3</v>
      </c>
      <c r="J674" s="53" t="s">
        <v>108</v>
      </c>
      <c r="K674" s="53"/>
      <c r="L674" s="57" t="str">
        <f aca="false">IF(C674="","",IFERROR(INDEX(site_ID,MATCH(C674,site_Name,0)),"Not on SITES"))</f>
        <v>LW-113</v>
      </c>
      <c r="M674" s="58" t="n">
        <f aca="false">IF(E674="","",DATE(YEAR(E674),MONTH(E674),1))</f>
        <v>46113</v>
      </c>
      <c r="N674" s="57" t="str">
        <f aca="false">IF(E674="","","FY"&amp;(YEAR(E674)+IF(AND(FYStart&gt;1,MONTH(E674)&gt;=FYStart),1,0))&amp;" Q"&amp;(INT(MOD(MONTH(E674)-FYStart,12)/3)+1))</f>
        <v>FY2026 Q4</v>
      </c>
      <c r="O674" s="59" t="n">
        <f aca="false">IF(OR(E674="",N(F674)=0),"",G674/F674)</f>
        <v>0.80952380952381</v>
      </c>
      <c r="P674" s="60" t="n">
        <f aca="false">IF(E674="","",ROUND(N(G674)*N(H674)/60,1))</f>
        <v>17</v>
      </c>
      <c r="Q674" s="57" t="str">
        <f aca="false">IF(E674="","",IF(COUNTIFS($C$2:C674,C674,$E$2:E674,E674,$B$2:B674,B674)&gt;1,"No","Yes"))</f>
        <v>Yes</v>
      </c>
      <c r="R674" s="61" t="str">
        <f aca="false">IF(E674="","",IF(Q674="No","Duplicate of an earlier response",IF(L674="Not on SITES","Site not on SITES",IF(N(G674)&gt;N(F674),"Present is more than enrolled",IF(OR(I674&lt;1,I674&gt;5),"Score outside 1 to 5","")))))</f>
        <v/>
      </c>
    </row>
    <row r="675" customFormat="false" ht="15" hidden="false" customHeight="false" outlineLevel="0" collapsed="false">
      <c r="A675" s="52" t="n">
        <v>46132.6543402778</v>
      </c>
      <c r="B675" s="53" t="s">
        <v>105</v>
      </c>
      <c r="C675" s="53" t="s">
        <v>115</v>
      </c>
      <c r="D675" s="53" t="s">
        <v>116</v>
      </c>
      <c r="E675" s="54" t="n">
        <v>46132</v>
      </c>
      <c r="F675" s="55" t="n">
        <v>16</v>
      </c>
      <c r="G675" s="55" t="n">
        <v>14</v>
      </c>
      <c r="H675" s="55" t="n">
        <v>60</v>
      </c>
      <c r="I675" s="56" t="n">
        <v>3.7</v>
      </c>
      <c r="J675" s="53" t="s">
        <v>160</v>
      </c>
      <c r="K675" s="53"/>
      <c r="L675" s="57" t="str">
        <f aca="false">IF(C675="","",IFERROR(INDEX(site_ID,MATCH(C675,site_Name,0)),"Not on SITES"))</f>
        <v>LW-119</v>
      </c>
      <c r="M675" s="58" t="n">
        <f aca="false">IF(E675="","",DATE(YEAR(E675),MONTH(E675),1))</f>
        <v>46113</v>
      </c>
      <c r="N675" s="57" t="str">
        <f aca="false">IF(E675="","","FY"&amp;(YEAR(E675)+IF(AND(FYStart&gt;1,MONTH(E675)&gt;=FYStart),1,0))&amp;" Q"&amp;(INT(MOD(MONTH(E675)-FYStart,12)/3)+1))</f>
        <v>FY2026 Q4</v>
      </c>
      <c r="O675" s="59" t="n">
        <f aca="false">IF(OR(E675="",N(F675)=0),"",G675/F675)</f>
        <v>0.875</v>
      </c>
      <c r="P675" s="60" t="n">
        <f aca="false">IF(E675="","",ROUND(N(G675)*N(H675)/60,1))</f>
        <v>14</v>
      </c>
      <c r="Q675" s="57" t="str">
        <f aca="false">IF(E675="","",IF(COUNTIFS($C$2:C675,C675,$E$2:E675,E675,$B$2:B675,B675)&gt;1,"No","Yes"))</f>
        <v>Yes</v>
      </c>
      <c r="R675" s="61" t="str">
        <f aca="false">IF(E675="","",IF(Q675="No","Duplicate of an earlier response",IF(L675="Not on SITES","Site not on SITES",IF(N(G675)&gt;N(F675),"Present is more than enrolled",IF(OR(I675&lt;1,I675&gt;5),"Score outside 1 to 5","")))))</f>
        <v/>
      </c>
    </row>
    <row r="676" customFormat="false" ht="15" hidden="false" customHeight="false" outlineLevel="0" collapsed="false">
      <c r="A676" s="52" t="n">
        <v>46132.7700347222</v>
      </c>
      <c r="B676" s="53" t="s">
        <v>105</v>
      </c>
      <c r="C676" s="53" t="s">
        <v>118</v>
      </c>
      <c r="D676" s="53" t="s">
        <v>119</v>
      </c>
      <c r="E676" s="54" t="n">
        <v>46132</v>
      </c>
      <c r="F676" s="55" t="n">
        <v>22</v>
      </c>
      <c r="G676" s="55" t="n">
        <v>18</v>
      </c>
      <c r="H676" s="55" t="n">
        <v>60</v>
      </c>
      <c r="I676" s="56" t="n">
        <v>3.6</v>
      </c>
      <c r="J676" s="53" t="s">
        <v>159</v>
      </c>
      <c r="K676" s="53"/>
      <c r="L676" s="57" t="str">
        <f aca="false">IF(C676="","",IFERROR(INDEX(site_ID,MATCH(C676,site_Name,0)),"Not on SITES"))</f>
        <v>LW-111</v>
      </c>
      <c r="M676" s="58" t="n">
        <f aca="false">IF(E676="","",DATE(YEAR(E676),MONTH(E676),1))</f>
        <v>46113</v>
      </c>
      <c r="N676" s="57" t="str">
        <f aca="false">IF(E676="","","FY"&amp;(YEAR(E676)+IF(AND(FYStart&gt;1,MONTH(E676)&gt;=FYStart),1,0))&amp;" Q"&amp;(INT(MOD(MONTH(E676)-FYStart,12)/3)+1))</f>
        <v>FY2026 Q4</v>
      </c>
      <c r="O676" s="59" t="n">
        <f aca="false">IF(OR(E676="",N(F676)=0),"",G676/F676)</f>
        <v>0.818181818181818</v>
      </c>
      <c r="P676" s="60" t="n">
        <f aca="false">IF(E676="","",ROUND(N(G676)*N(H676)/60,1))</f>
        <v>18</v>
      </c>
      <c r="Q676" s="57" t="str">
        <f aca="false">IF(E676="","",IF(COUNTIFS($C$2:C676,C676,$E$2:E676,E676,$B$2:B676,B676)&gt;1,"No","Yes"))</f>
        <v>Yes</v>
      </c>
      <c r="R676" s="61" t="str">
        <f aca="false">IF(E676="","",IF(Q676="No","Duplicate of an earlier response",IF(L676="Not on SITES","Site not on SITES",IF(N(G676)&gt;N(F676),"Present is more than enrolled",IF(OR(I676&lt;1,I676&gt;5),"Score outside 1 to 5","")))))</f>
        <v/>
      </c>
    </row>
    <row r="677" customFormat="false" ht="15" hidden="false" customHeight="false" outlineLevel="0" collapsed="false">
      <c r="A677" s="52" t="n">
        <v>46132.7819444445</v>
      </c>
      <c r="B677" s="53" t="s">
        <v>111</v>
      </c>
      <c r="C677" s="53" t="s">
        <v>112</v>
      </c>
      <c r="D677" s="53" t="s">
        <v>113</v>
      </c>
      <c r="E677" s="54" t="n">
        <v>46132</v>
      </c>
      <c r="F677" s="55" t="n">
        <v>15</v>
      </c>
      <c r="G677" s="55" t="n">
        <v>14</v>
      </c>
      <c r="H677" s="55" t="n">
        <v>60</v>
      </c>
      <c r="I677" s="56" t="n">
        <v>3.6</v>
      </c>
      <c r="J677" s="53" t="s">
        <v>136</v>
      </c>
      <c r="K677" s="53"/>
      <c r="L677" s="57" t="str">
        <f aca="false">IF(C677="","",IFERROR(INDEX(site_ID,MATCH(C677,site_Name,0)),"Not on SITES"))</f>
        <v>LW-120</v>
      </c>
      <c r="M677" s="58" t="n">
        <f aca="false">IF(E677="","",DATE(YEAR(E677),MONTH(E677),1))</f>
        <v>46113</v>
      </c>
      <c r="N677" s="57" t="str">
        <f aca="false">IF(E677="","","FY"&amp;(YEAR(E677)+IF(AND(FYStart&gt;1,MONTH(E677)&gt;=FYStart),1,0))&amp;" Q"&amp;(INT(MOD(MONTH(E677)-FYStart,12)/3)+1))</f>
        <v>FY2026 Q4</v>
      </c>
      <c r="O677" s="59" t="n">
        <f aca="false">IF(OR(E677="",N(F677)=0),"",G677/F677)</f>
        <v>0.933333333333333</v>
      </c>
      <c r="P677" s="60" t="n">
        <f aca="false">IF(E677="","",ROUND(N(G677)*N(H677)/60,1))</f>
        <v>14</v>
      </c>
      <c r="Q677" s="57" t="str">
        <f aca="false">IF(E677="","",IF(COUNTIFS($C$2:C677,C677,$E$2:E677,E677,$B$2:B677,B677)&gt;1,"No","Yes"))</f>
        <v>Yes</v>
      </c>
      <c r="R677" s="61" t="str">
        <f aca="false">IF(E677="","",IF(Q677="No","Duplicate of an earlier response",IF(L677="Not on SITES","Site not on SITES",IF(N(G677)&gt;N(F677),"Present is more than enrolled",IF(OR(I677&lt;1,I677&gt;5),"Score outside 1 to 5","")))))</f>
        <v/>
      </c>
    </row>
    <row r="678" customFormat="false" ht="15" hidden="false" customHeight="false" outlineLevel="0" collapsed="false">
      <c r="A678" s="52" t="n">
        <v>46132.7921643519</v>
      </c>
      <c r="B678" s="53" t="s">
        <v>105</v>
      </c>
      <c r="C678" s="53" t="s">
        <v>106</v>
      </c>
      <c r="D678" s="53" t="s">
        <v>107</v>
      </c>
      <c r="E678" s="54" t="n">
        <v>46132</v>
      </c>
      <c r="F678" s="55" t="n">
        <v>16</v>
      </c>
      <c r="G678" s="55" t="n">
        <v>11</v>
      </c>
      <c r="H678" s="55" t="n">
        <v>90</v>
      </c>
      <c r="I678" s="56" t="n">
        <v>4</v>
      </c>
      <c r="J678" s="53" t="s">
        <v>166</v>
      </c>
      <c r="K678" s="53"/>
      <c r="L678" s="57" t="str">
        <f aca="false">IF(C678="","",IFERROR(INDEX(site_ID,MATCH(C678,site_Name,0)),"Not on SITES"))</f>
        <v>LW-103</v>
      </c>
      <c r="M678" s="58" t="n">
        <f aca="false">IF(E678="","",DATE(YEAR(E678),MONTH(E678),1))</f>
        <v>46113</v>
      </c>
      <c r="N678" s="57" t="str">
        <f aca="false">IF(E678="","","FY"&amp;(YEAR(E678)+IF(AND(FYStart&gt;1,MONTH(E678)&gt;=FYStart),1,0))&amp;" Q"&amp;(INT(MOD(MONTH(E678)-FYStart,12)/3)+1))</f>
        <v>FY2026 Q4</v>
      </c>
      <c r="O678" s="59" t="n">
        <f aca="false">IF(OR(E678="",N(F678)=0),"",G678/F678)</f>
        <v>0.6875</v>
      </c>
      <c r="P678" s="60" t="n">
        <f aca="false">IF(E678="","",ROUND(N(G678)*N(H678)/60,1))</f>
        <v>16.5</v>
      </c>
      <c r="Q678" s="57" t="str">
        <f aca="false">IF(E678="","",IF(COUNTIFS($C$2:C678,C678,$E$2:E678,E678,$B$2:B678,B678)&gt;1,"No","Yes"))</f>
        <v>Yes</v>
      </c>
      <c r="R678" s="61" t="str">
        <f aca="false">IF(E678="","",IF(Q678="No","Duplicate of an earlier response",IF(L678="Not on SITES","Site not on SITES",IF(N(G678)&gt;N(F678),"Present is more than enrolled",IF(OR(I678&lt;1,I678&gt;5),"Score outside 1 to 5","")))))</f>
        <v/>
      </c>
    </row>
    <row r="679" customFormat="false" ht="15" hidden="false" customHeight="false" outlineLevel="0" collapsed="false">
      <c r="A679" s="52" t="n">
        <v>46133.7080324074</v>
      </c>
      <c r="B679" s="53" t="s">
        <v>121</v>
      </c>
      <c r="C679" s="53" t="s">
        <v>127</v>
      </c>
      <c r="D679" s="53" t="s">
        <v>107</v>
      </c>
      <c r="E679" s="54" t="n">
        <v>46133</v>
      </c>
      <c r="F679" s="55" t="n">
        <v>15</v>
      </c>
      <c r="G679" s="55" t="n">
        <v>13</v>
      </c>
      <c r="H679" s="55" t="n">
        <v>60</v>
      </c>
      <c r="I679" s="56" t="n">
        <v>4.1</v>
      </c>
      <c r="J679" s="53" t="s">
        <v>166</v>
      </c>
      <c r="K679" s="53"/>
      <c r="L679" s="57" t="str">
        <f aca="false">IF(C679="","",IFERROR(INDEX(site_ID,MATCH(C679,site_Name,0)),"Not on SITES"))</f>
        <v>LW-108</v>
      </c>
      <c r="M679" s="58" t="n">
        <f aca="false">IF(E679="","",DATE(YEAR(E679),MONTH(E679),1))</f>
        <v>46113</v>
      </c>
      <c r="N679" s="57" t="str">
        <f aca="false">IF(E679="","","FY"&amp;(YEAR(E679)+IF(AND(FYStart&gt;1,MONTH(E679)&gt;=FYStart),1,0))&amp;" Q"&amp;(INT(MOD(MONTH(E679)-FYStart,12)/3)+1))</f>
        <v>FY2026 Q4</v>
      </c>
      <c r="O679" s="59" t="n">
        <f aca="false">IF(OR(E679="",N(F679)=0),"",G679/F679)</f>
        <v>0.866666666666667</v>
      </c>
      <c r="P679" s="60" t="n">
        <f aca="false">IF(E679="","",ROUND(N(G679)*N(H679)/60,1))</f>
        <v>13</v>
      </c>
      <c r="Q679" s="57" t="str">
        <f aca="false">IF(E679="","",IF(COUNTIFS($C$2:C679,C679,$E$2:E679,E679,$B$2:B679,B679)&gt;1,"No","Yes"))</f>
        <v>Yes</v>
      </c>
      <c r="R679" s="61" t="str">
        <f aca="false">IF(E679="","",IF(Q679="No","Duplicate of an earlier response",IF(L679="Not on SITES","Site not on SITES",IF(N(G679)&gt;N(F679),"Present is more than enrolled",IF(OR(I679&lt;1,I679&gt;5),"Score outside 1 to 5","")))))</f>
        <v/>
      </c>
    </row>
    <row r="680" customFormat="false" ht="15" hidden="false" customHeight="false" outlineLevel="0" collapsed="false">
      <c r="A680" s="52" t="n">
        <v>46133.7367824074</v>
      </c>
      <c r="B680" s="53" t="s">
        <v>121</v>
      </c>
      <c r="C680" s="53" t="s">
        <v>122</v>
      </c>
      <c r="D680" s="53" t="s">
        <v>116</v>
      </c>
      <c r="E680" s="54" t="n">
        <v>46133</v>
      </c>
      <c r="F680" s="55" t="n">
        <v>16</v>
      </c>
      <c r="G680" s="55" t="n">
        <v>13</v>
      </c>
      <c r="H680" s="55" t="n">
        <v>90</v>
      </c>
      <c r="I680" s="56" t="n">
        <v>3.8</v>
      </c>
      <c r="J680" s="53" t="s">
        <v>134</v>
      </c>
      <c r="K680" s="53"/>
      <c r="L680" s="57" t="str">
        <f aca="false">IF(C680="","",IFERROR(INDEX(site_ID,MATCH(C680,site_Name,0)),"Not on SITES"))</f>
        <v>LW-116</v>
      </c>
      <c r="M680" s="58" t="n">
        <f aca="false">IF(E680="","",DATE(YEAR(E680),MONTH(E680),1))</f>
        <v>46113</v>
      </c>
      <c r="N680" s="57" t="str">
        <f aca="false">IF(E680="","","FY"&amp;(YEAR(E680)+IF(AND(FYStart&gt;1,MONTH(E680)&gt;=FYStart),1,0))&amp;" Q"&amp;(INT(MOD(MONTH(E680)-FYStart,12)/3)+1))</f>
        <v>FY2026 Q4</v>
      </c>
      <c r="O680" s="59" t="n">
        <f aca="false">IF(OR(E680="",N(F680)=0),"",G680/F680)</f>
        <v>0.8125</v>
      </c>
      <c r="P680" s="60" t="n">
        <f aca="false">IF(E680="","",ROUND(N(G680)*N(H680)/60,1))</f>
        <v>19.5</v>
      </c>
      <c r="Q680" s="57" t="str">
        <f aca="false">IF(E680="","",IF(COUNTIFS($C$2:C680,C680,$E$2:E680,E680,$B$2:B680,B680)&gt;1,"No","Yes"))</f>
        <v>Yes</v>
      </c>
      <c r="R680" s="61" t="str">
        <f aca="false">IF(E680="","",IF(Q680="No","Duplicate of an earlier response",IF(L680="Not on SITES","Site not on SITES",IF(N(G680)&gt;N(F680),"Present is more than enrolled",IF(OR(I680&lt;1,I680&gt;5),"Score outside 1 to 5","")))))</f>
        <v/>
      </c>
    </row>
    <row r="681" customFormat="false" ht="15" hidden="false" customHeight="false" outlineLevel="0" collapsed="false">
      <c r="A681" s="52" t="n">
        <v>46133.8405439815</v>
      </c>
      <c r="B681" s="53" t="s">
        <v>132</v>
      </c>
      <c r="C681" s="53" t="s">
        <v>133</v>
      </c>
      <c r="D681" s="53" t="s">
        <v>116</v>
      </c>
      <c r="E681" s="54" t="n">
        <v>46133</v>
      </c>
      <c r="F681" s="55" t="n">
        <v>17</v>
      </c>
      <c r="G681" s="55" t="n">
        <v>14</v>
      </c>
      <c r="H681" s="55" t="n">
        <v>60</v>
      </c>
      <c r="I681" s="56" t="n">
        <v>4</v>
      </c>
      <c r="J681" s="53" t="s">
        <v>123</v>
      </c>
      <c r="K681" s="53"/>
      <c r="L681" s="57" t="str">
        <f aca="false">IF(C681="","",IFERROR(INDEX(site_ID,MATCH(C681,site_Name,0)),"Not on SITES"))</f>
        <v>LW-109</v>
      </c>
      <c r="M681" s="58" t="n">
        <f aca="false">IF(E681="","",DATE(YEAR(E681),MONTH(E681),1))</f>
        <v>46113</v>
      </c>
      <c r="N681" s="57" t="str">
        <f aca="false">IF(E681="","","FY"&amp;(YEAR(E681)+IF(AND(FYStart&gt;1,MONTH(E681)&gt;=FYStart),1,0))&amp;" Q"&amp;(INT(MOD(MONTH(E681)-FYStart,12)/3)+1))</f>
        <v>FY2026 Q4</v>
      </c>
      <c r="O681" s="59" t="n">
        <f aca="false">IF(OR(E681="",N(F681)=0),"",G681/F681)</f>
        <v>0.823529411764706</v>
      </c>
      <c r="P681" s="60" t="n">
        <f aca="false">IF(E681="","",ROUND(N(G681)*N(H681)/60,1))</f>
        <v>14</v>
      </c>
      <c r="Q681" s="57" t="str">
        <f aca="false">IF(E681="","",IF(COUNTIFS($C$2:C681,C681,$E$2:E681,E681,$B$2:B681,B681)&gt;1,"No","Yes"))</f>
        <v>Yes</v>
      </c>
      <c r="R681" s="61" t="str">
        <f aca="false">IF(E681="","",IF(Q681="No","Duplicate of an earlier response",IF(L681="Not on SITES","Site not on SITES",IF(N(G681)&gt;N(F681),"Present is more than enrolled",IF(OR(I681&lt;1,I681&gt;5),"Score outside 1 to 5","")))))</f>
        <v/>
      </c>
    </row>
    <row r="682" customFormat="false" ht="15" hidden="false" customHeight="false" outlineLevel="0" collapsed="false">
      <c r="A682" s="52" t="n">
        <v>46134.6653240741</v>
      </c>
      <c r="B682" s="53" t="s">
        <v>140</v>
      </c>
      <c r="C682" s="53" t="s">
        <v>142</v>
      </c>
      <c r="D682" s="53" t="s">
        <v>113</v>
      </c>
      <c r="E682" s="54" t="n">
        <v>46134</v>
      </c>
      <c r="F682" s="55" t="n">
        <v>18</v>
      </c>
      <c r="G682" s="55" t="n">
        <v>17</v>
      </c>
      <c r="H682" s="55" t="n">
        <v>60</v>
      </c>
      <c r="I682" s="56" t="n">
        <v>3.6</v>
      </c>
      <c r="J682" s="53" t="s">
        <v>114</v>
      </c>
      <c r="K682" s="53"/>
      <c r="L682" s="57" t="str">
        <f aca="false">IF(C682="","",IFERROR(INDEX(site_ID,MATCH(C682,site_Name,0)),"Not on SITES"))</f>
        <v>LW-102</v>
      </c>
      <c r="M682" s="58" t="n">
        <f aca="false">IF(E682="","",DATE(YEAR(E682),MONTH(E682),1))</f>
        <v>46113</v>
      </c>
      <c r="N682" s="57" t="str">
        <f aca="false">IF(E682="","","FY"&amp;(YEAR(E682)+IF(AND(FYStart&gt;1,MONTH(E682)&gt;=FYStart),1,0))&amp;" Q"&amp;(INT(MOD(MONTH(E682)-FYStart,12)/3)+1))</f>
        <v>FY2026 Q4</v>
      </c>
      <c r="O682" s="59" t="n">
        <f aca="false">IF(OR(E682="",N(F682)=0),"",G682/F682)</f>
        <v>0.944444444444444</v>
      </c>
      <c r="P682" s="60" t="n">
        <f aca="false">IF(E682="","",ROUND(N(G682)*N(H682)/60,1))</f>
        <v>17</v>
      </c>
      <c r="Q682" s="57" t="str">
        <f aca="false">IF(E682="","",IF(COUNTIFS($C$2:C682,C682,$E$2:E682,E682,$B$2:B682,B682)&gt;1,"No","Yes"))</f>
        <v>Yes</v>
      </c>
      <c r="R682" s="61" t="str">
        <f aca="false">IF(E682="","",IF(Q682="No","Duplicate of an earlier response",IF(L682="Not on SITES","Site not on SITES",IF(N(G682)&gt;N(F682),"Present is more than enrolled",IF(OR(I682&lt;1,I682&gt;5),"Score outside 1 to 5","")))))</f>
        <v/>
      </c>
    </row>
    <row r="683" customFormat="false" ht="15" hidden="false" customHeight="false" outlineLevel="0" collapsed="false">
      <c r="A683" s="52" t="n">
        <v>46134.6897569444</v>
      </c>
      <c r="B683" s="53" t="s">
        <v>129</v>
      </c>
      <c r="C683" s="53" t="s">
        <v>137</v>
      </c>
      <c r="D683" s="53" t="s">
        <v>138</v>
      </c>
      <c r="E683" s="54" t="n">
        <v>46134</v>
      </c>
      <c r="F683" s="55" t="n">
        <v>16</v>
      </c>
      <c r="G683" s="55" t="n">
        <v>15</v>
      </c>
      <c r="H683" s="55" t="n">
        <v>90</v>
      </c>
      <c r="I683" s="56" t="n">
        <v>3.5</v>
      </c>
      <c r="J683" s="53" t="s">
        <v>147</v>
      </c>
      <c r="K683" s="53"/>
      <c r="L683" s="57" t="str">
        <f aca="false">IF(C683="","",IFERROR(INDEX(site_ID,MATCH(C683,site_Name,0)),"Not on SITES"))</f>
        <v>LW-115</v>
      </c>
      <c r="M683" s="58" t="n">
        <f aca="false">IF(E683="","",DATE(YEAR(E683),MONTH(E683),1))</f>
        <v>46113</v>
      </c>
      <c r="N683" s="57" t="str">
        <f aca="false">IF(E683="","","FY"&amp;(YEAR(E683)+IF(AND(FYStart&gt;1,MONTH(E683)&gt;=FYStart),1,0))&amp;" Q"&amp;(INT(MOD(MONTH(E683)-FYStart,12)/3)+1))</f>
        <v>FY2026 Q4</v>
      </c>
      <c r="O683" s="59" t="n">
        <f aca="false">IF(OR(E683="",N(F683)=0),"",G683/F683)</f>
        <v>0.9375</v>
      </c>
      <c r="P683" s="60" t="n">
        <f aca="false">IF(E683="","",ROUND(N(G683)*N(H683)/60,1))</f>
        <v>22.5</v>
      </c>
      <c r="Q683" s="57" t="str">
        <f aca="false">IF(E683="","",IF(COUNTIFS($C$2:C683,C683,$E$2:E683,E683,$B$2:B683,B683)&gt;1,"No","Yes"))</f>
        <v>Yes</v>
      </c>
      <c r="R683" s="61" t="str">
        <f aca="false">IF(E683="","",IF(Q683="No","Duplicate of an earlier response",IF(L683="Not on SITES","Site not on SITES",IF(N(G683)&gt;N(F683),"Present is more than enrolled",IF(OR(I683&lt;1,I683&gt;5),"Score outside 1 to 5","")))))</f>
        <v/>
      </c>
    </row>
    <row r="684" customFormat="false" ht="15" hidden="false" customHeight="false" outlineLevel="0" collapsed="false">
      <c r="A684" s="52" t="n">
        <v>46134.7009143519</v>
      </c>
      <c r="B684" s="53" t="s">
        <v>132</v>
      </c>
      <c r="C684" s="53" t="s">
        <v>145</v>
      </c>
      <c r="D684" s="53" t="s">
        <v>119</v>
      </c>
      <c r="E684" s="54" t="n">
        <v>46134</v>
      </c>
      <c r="F684" s="55" t="n">
        <v>19</v>
      </c>
      <c r="G684" s="55" t="n">
        <v>15</v>
      </c>
      <c r="H684" s="55" t="n">
        <v>75</v>
      </c>
      <c r="I684" s="56" t="n">
        <v>3.9</v>
      </c>
      <c r="J684" s="53" t="s">
        <v>162</v>
      </c>
      <c r="K684" s="53"/>
      <c r="L684" s="57" t="str">
        <f aca="false">IF(C684="","",IFERROR(INDEX(site_ID,MATCH(C684,site_Name,0)),"Not on SITES"))</f>
        <v>LW-101</v>
      </c>
      <c r="M684" s="58" t="n">
        <f aca="false">IF(E684="","",DATE(YEAR(E684),MONTH(E684),1))</f>
        <v>46113</v>
      </c>
      <c r="N684" s="57" t="str">
        <f aca="false">IF(E684="","","FY"&amp;(YEAR(E684)+IF(AND(FYStart&gt;1,MONTH(E684)&gt;=FYStart),1,0))&amp;" Q"&amp;(INT(MOD(MONTH(E684)-FYStart,12)/3)+1))</f>
        <v>FY2026 Q4</v>
      </c>
      <c r="O684" s="59" t="n">
        <f aca="false">IF(OR(E684="",N(F684)=0),"",G684/F684)</f>
        <v>0.789473684210526</v>
      </c>
      <c r="P684" s="60" t="n">
        <f aca="false">IF(E684="","",ROUND(N(G684)*N(H684)/60,1))</f>
        <v>18.8</v>
      </c>
      <c r="Q684" s="57" t="str">
        <f aca="false">IF(E684="","",IF(COUNTIFS($C$2:C684,C684,$E$2:E684,E684,$B$2:B684,B684)&gt;1,"No","Yes"))</f>
        <v>Yes</v>
      </c>
      <c r="R684" s="61" t="str">
        <f aca="false">IF(E684="","",IF(Q684="No","Duplicate of an earlier response",IF(L684="Not on SITES","Site not on SITES",IF(N(G684)&gt;N(F684),"Present is more than enrolled",IF(OR(I684&lt;1,I684&gt;5),"Score outside 1 to 5","")))))</f>
        <v/>
      </c>
    </row>
    <row r="685" customFormat="false" ht="15" hidden="false" customHeight="false" outlineLevel="0" collapsed="false">
      <c r="A685" s="52" t="n">
        <v>46134.7720949074</v>
      </c>
      <c r="B685" s="53" t="s">
        <v>111</v>
      </c>
      <c r="C685" s="53" t="s">
        <v>112</v>
      </c>
      <c r="D685" s="53" t="s">
        <v>113</v>
      </c>
      <c r="E685" s="54" t="n">
        <v>46134</v>
      </c>
      <c r="F685" s="55" t="n">
        <v>15</v>
      </c>
      <c r="G685" s="55" t="n">
        <v>12</v>
      </c>
      <c r="H685" s="55" t="n">
        <v>60</v>
      </c>
      <c r="I685" s="56" t="n">
        <v>3.7</v>
      </c>
      <c r="J685" s="53" t="s">
        <v>131</v>
      </c>
      <c r="K685" s="53"/>
      <c r="L685" s="57" t="str">
        <f aca="false">IF(C685="","",IFERROR(INDEX(site_ID,MATCH(C685,site_Name,0)),"Not on SITES"))</f>
        <v>LW-120</v>
      </c>
      <c r="M685" s="58" t="n">
        <f aca="false">IF(E685="","",DATE(YEAR(E685),MONTH(E685),1))</f>
        <v>46113</v>
      </c>
      <c r="N685" s="57" t="str">
        <f aca="false">IF(E685="","","FY"&amp;(YEAR(E685)+IF(AND(FYStart&gt;1,MONTH(E685)&gt;=FYStart),1,0))&amp;" Q"&amp;(INT(MOD(MONTH(E685)-FYStart,12)/3)+1))</f>
        <v>FY2026 Q4</v>
      </c>
      <c r="O685" s="59" t="n">
        <f aca="false">IF(OR(E685="",N(F685)=0),"",G685/F685)</f>
        <v>0.8</v>
      </c>
      <c r="P685" s="60" t="n">
        <f aca="false">IF(E685="","",ROUND(N(G685)*N(H685)/60,1))</f>
        <v>12</v>
      </c>
      <c r="Q685" s="57" t="str">
        <f aca="false">IF(E685="","",IF(COUNTIFS($C$2:C685,C685,$E$2:E685,E685,$B$2:B685,B685)&gt;1,"No","Yes"))</f>
        <v>Yes</v>
      </c>
      <c r="R685" s="61" t="str">
        <f aca="false">IF(E685="","",IF(Q685="No","Duplicate of an earlier response",IF(L685="Not on SITES","Site not on SITES",IF(N(G685)&gt;N(F685),"Present is more than enrolled",IF(OR(I685&lt;1,I685&gt;5),"Score outside 1 to 5","")))))</f>
        <v/>
      </c>
    </row>
    <row r="686" customFormat="false" ht="15" hidden="false" customHeight="false" outlineLevel="0" collapsed="false">
      <c r="A686" s="52" t="n">
        <v>46134.795</v>
      </c>
      <c r="B686" s="53" t="s">
        <v>105</v>
      </c>
      <c r="C686" s="53" t="s">
        <v>118</v>
      </c>
      <c r="D686" s="53" t="s">
        <v>119</v>
      </c>
      <c r="E686" s="54" t="n">
        <v>46134</v>
      </c>
      <c r="F686" s="55" t="n">
        <v>22</v>
      </c>
      <c r="G686" s="55" t="n">
        <v>19</v>
      </c>
      <c r="H686" s="55" t="n">
        <v>75</v>
      </c>
      <c r="I686" s="56" t="n">
        <v>3.9</v>
      </c>
      <c r="J686" s="53" t="s">
        <v>120</v>
      </c>
      <c r="K686" s="53"/>
      <c r="L686" s="57" t="str">
        <f aca="false">IF(C686="","",IFERROR(INDEX(site_ID,MATCH(C686,site_Name,0)),"Not on SITES"))</f>
        <v>LW-111</v>
      </c>
      <c r="M686" s="58" t="n">
        <f aca="false">IF(E686="","",DATE(YEAR(E686),MONTH(E686),1))</f>
        <v>46113</v>
      </c>
      <c r="N686" s="57" t="str">
        <f aca="false">IF(E686="","","FY"&amp;(YEAR(E686)+IF(AND(FYStart&gt;1,MONTH(E686)&gt;=FYStart),1,0))&amp;" Q"&amp;(INT(MOD(MONTH(E686)-FYStart,12)/3)+1))</f>
        <v>FY2026 Q4</v>
      </c>
      <c r="O686" s="59" t="n">
        <f aca="false">IF(OR(E686="",N(F686)=0),"",G686/F686)</f>
        <v>0.863636363636364</v>
      </c>
      <c r="P686" s="60" t="n">
        <f aca="false">IF(E686="","",ROUND(N(G686)*N(H686)/60,1))</f>
        <v>23.8</v>
      </c>
      <c r="Q686" s="57" t="str">
        <f aca="false">IF(E686="","",IF(COUNTIFS($C$2:C686,C686,$E$2:E686,E686,$B$2:B686,B686)&gt;1,"No","Yes"))</f>
        <v>Yes</v>
      </c>
      <c r="R686" s="61" t="str">
        <f aca="false">IF(E686="","",IF(Q686="No","Duplicate of an earlier response",IF(L686="Not on SITES","Site not on SITES",IF(N(G686)&gt;N(F686),"Present is more than enrolled",IF(OR(I686&lt;1,I686&gt;5),"Score outside 1 to 5","")))))</f>
        <v/>
      </c>
    </row>
    <row r="687" customFormat="false" ht="15" hidden="false" customHeight="false" outlineLevel="0" collapsed="false">
      <c r="A687" s="52" t="n">
        <v>46134.8294328704</v>
      </c>
      <c r="B687" s="53" t="s">
        <v>140</v>
      </c>
      <c r="C687" s="53" t="s">
        <v>141</v>
      </c>
      <c r="D687" s="53" t="s">
        <v>116</v>
      </c>
      <c r="E687" s="54" t="n">
        <v>46134</v>
      </c>
      <c r="F687" s="55" t="n">
        <v>13</v>
      </c>
      <c r="G687" s="55" t="n">
        <v>11</v>
      </c>
      <c r="H687" s="55" t="n">
        <v>90</v>
      </c>
      <c r="I687" s="56" t="n">
        <v>4.5</v>
      </c>
      <c r="J687" s="53" t="s">
        <v>123</v>
      </c>
      <c r="K687" s="53"/>
      <c r="L687" s="57" t="str">
        <f aca="false">IF(C687="","",IFERROR(INDEX(site_ID,MATCH(C687,site_Name,0)),"Not on SITES"))</f>
        <v>LW-118</v>
      </c>
      <c r="M687" s="58" t="n">
        <f aca="false">IF(E687="","",DATE(YEAR(E687),MONTH(E687),1))</f>
        <v>46113</v>
      </c>
      <c r="N687" s="57" t="str">
        <f aca="false">IF(E687="","","FY"&amp;(YEAR(E687)+IF(AND(FYStart&gt;1,MONTH(E687)&gt;=FYStart),1,0))&amp;" Q"&amp;(INT(MOD(MONTH(E687)-FYStart,12)/3)+1))</f>
        <v>FY2026 Q4</v>
      </c>
      <c r="O687" s="59" t="n">
        <f aca="false">IF(OR(E687="",N(F687)=0),"",G687/F687)</f>
        <v>0.846153846153846</v>
      </c>
      <c r="P687" s="60" t="n">
        <f aca="false">IF(E687="","",ROUND(N(G687)*N(H687)/60,1))</f>
        <v>16.5</v>
      </c>
      <c r="Q687" s="57" t="str">
        <f aca="false">IF(E687="","",IF(COUNTIFS($C$2:C687,C687,$E$2:E687,E687,$B$2:B687,B687)&gt;1,"No","Yes"))</f>
        <v>Yes</v>
      </c>
      <c r="R687" s="61" t="str">
        <f aca="false">IF(E687="","",IF(Q687="No","Duplicate of an earlier response",IF(L687="Not on SITES","Site not on SITES",IF(N(G687)&gt;N(F687),"Present is more than enrolled",IF(OR(I687&lt;1,I687&gt;5),"Score outside 1 to 5","")))))</f>
        <v/>
      </c>
    </row>
    <row r="688" customFormat="false" ht="15" hidden="false" customHeight="false" outlineLevel="0" collapsed="false">
      <c r="A688" s="52" t="n">
        <v>46135.6658680556</v>
      </c>
      <c r="B688" s="53" t="s">
        <v>140</v>
      </c>
      <c r="C688" s="53" t="s">
        <v>151</v>
      </c>
      <c r="D688" s="53" t="s">
        <v>138</v>
      </c>
      <c r="E688" s="54" t="n">
        <v>46135</v>
      </c>
      <c r="F688" s="55" t="n">
        <v>13</v>
      </c>
      <c r="G688" s="55" t="n">
        <v>11</v>
      </c>
      <c r="H688" s="55" t="n">
        <v>90</v>
      </c>
      <c r="I688" s="56" t="n">
        <v>3.8</v>
      </c>
      <c r="J688" s="53" t="s">
        <v>152</v>
      </c>
      <c r="K688" s="53"/>
      <c r="L688" s="57" t="str">
        <f aca="false">IF(C688="","",IFERROR(INDEX(site_ID,MATCH(C688,site_Name,0)),"Not on SITES"))</f>
        <v>LW-110</v>
      </c>
      <c r="M688" s="58" t="n">
        <f aca="false">IF(E688="","",DATE(YEAR(E688),MONTH(E688),1))</f>
        <v>46113</v>
      </c>
      <c r="N688" s="57" t="str">
        <f aca="false">IF(E688="","","FY"&amp;(YEAR(E688)+IF(AND(FYStart&gt;1,MONTH(E688)&gt;=FYStart),1,0))&amp;" Q"&amp;(INT(MOD(MONTH(E688)-FYStart,12)/3)+1))</f>
        <v>FY2026 Q4</v>
      </c>
      <c r="O688" s="59" t="n">
        <f aca="false">IF(OR(E688="",N(F688)=0),"",G688/F688)</f>
        <v>0.846153846153846</v>
      </c>
      <c r="P688" s="60" t="n">
        <f aca="false">IF(E688="","",ROUND(N(G688)*N(H688)/60,1))</f>
        <v>16.5</v>
      </c>
      <c r="Q688" s="57" t="str">
        <f aca="false">IF(E688="","",IF(COUNTIFS($C$2:C688,C688,$E$2:E688,E688,$B$2:B688,B688)&gt;1,"No","Yes"))</f>
        <v>Yes</v>
      </c>
      <c r="R688" s="61" t="str">
        <f aca="false">IF(E688="","",IF(Q688="No","Duplicate of an earlier response",IF(L688="Not on SITES","Site not on SITES",IF(N(G688)&gt;N(F688),"Present is more than enrolled",IF(OR(I688&lt;1,I688&gt;5),"Score outside 1 to 5","")))))</f>
        <v/>
      </c>
    </row>
    <row r="689" customFormat="false" ht="15" hidden="false" customHeight="false" outlineLevel="0" collapsed="false">
      <c r="A689" s="52" t="n">
        <v>46135.6818634259</v>
      </c>
      <c r="B689" s="53" t="s">
        <v>124</v>
      </c>
      <c r="C689" s="53" t="s">
        <v>154</v>
      </c>
      <c r="D689" s="53" t="s">
        <v>116</v>
      </c>
      <c r="E689" s="54" t="n">
        <v>46135</v>
      </c>
      <c r="F689" s="55" t="n">
        <v>18</v>
      </c>
      <c r="G689" s="55" t="n">
        <v>15</v>
      </c>
      <c r="H689" s="55" t="n">
        <v>90</v>
      </c>
      <c r="I689" s="56" t="n">
        <v>4</v>
      </c>
      <c r="J689" s="53" t="s">
        <v>153</v>
      </c>
      <c r="K689" s="53"/>
      <c r="L689" s="57" t="str">
        <f aca="false">IF(C689="","",IFERROR(INDEX(site_ID,MATCH(C689,site_Name,0)),"Not on SITES"))</f>
        <v>LW-114</v>
      </c>
      <c r="M689" s="58" t="n">
        <f aca="false">IF(E689="","",DATE(YEAR(E689),MONTH(E689),1))</f>
        <v>46113</v>
      </c>
      <c r="N689" s="57" t="str">
        <f aca="false">IF(E689="","","FY"&amp;(YEAR(E689)+IF(AND(FYStart&gt;1,MONTH(E689)&gt;=FYStart),1,0))&amp;" Q"&amp;(INT(MOD(MONTH(E689)-FYStart,12)/3)+1))</f>
        <v>FY2026 Q4</v>
      </c>
      <c r="O689" s="59" t="n">
        <f aca="false">IF(OR(E689="",N(F689)=0),"",G689/F689)</f>
        <v>0.833333333333333</v>
      </c>
      <c r="P689" s="60" t="n">
        <f aca="false">IF(E689="","",ROUND(N(G689)*N(H689)/60,1))</f>
        <v>22.5</v>
      </c>
      <c r="Q689" s="57" t="str">
        <f aca="false">IF(E689="","",IF(COUNTIFS($C$2:C689,C689,$E$2:E689,E689,$B$2:B689,B689)&gt;1,"No","Yes"))</f>
        <v>Yes</v>
      </c>
      <c r="R689" s="61" t="str">
        <f aca="false">IF(E689="","",IF(Q689="No","Duplicate of an earlier response",IF(L689="Not on SITES","Site not on SITES",IF(N(G689)&gt;N(F689),"Present is more than enrolled",IF(OR(I689&lt;1,I689&gt;5),"Score outside 1 to 5","")))))</f>
        <v/>
      </c>
    </row>
    <row r="690" customFormat="false" ht="15" hidden="false" customHeight="false" outlineLevel="0" collapsed="false">
      <c r="A690" s="52" t="n">
        <v>46135.6878125</v>
      </c>
      <c r="B690" s="53" t="s">
        <v>111</v>
      </c>
      <c r="C690" s="53" t="s">
        <v>149</v>
      </c>
      <c r="D690" s="53" t="s">
        <v>113</v>
      </c>
      <c r="E690" s="54" t="n">
        <v>46135</v>
      </c>
      <c r="F690" s="55" t="n">
        <v>21</v>
      </c>
      <c r="G690" s="55" t="n">
        <v>18</v>
      </c>
      <c r="H690" s="55" t="n">
        <v>75</v>
      </c>
      <c r="I690" s="56" t="n">
        <v>4.1</v>
      </c>
      <c r="J690" s="53" t="s">
        <v>131</v>
      </c>
      <c r="K690" s="53" t="s">
        <v>158</v>
      </c>
      <c r="L690" s="57" t="str">
        <f aca="false">IF(C690="","",IFERROR(INDEX(site_ID,MATCH(C690,site_Name,0)),"Not on SITES"))</f>
        <v>LW-112</v>
      </c>
      <c r="M690" s="58" t="n">
        <f aca="false">IF(E690="","",DATE(YEAR(E690),MONTH(E690),1))</f>
        <v>46113</v>
      </c>
      <c r="N690" s="57" t="str">
        <f aca="false">IF(E690="","","FY"&amp;(YEAR(E690)+IF(AND(FYStart&gt;1,MONTH(E690)&gt;=FYStart),1,0))&amp;" Q"&amp;(INT(MOD(MONTH(E690)-FYStart,12)/3)+1))</f>
        <v>FY2026 Q4</v>
      </c>
      <c r="O690" s="59" t="n">
        <f aca="false">IF(OR(E690="",N(F690)=0),"",G690/F690)</f>
        <v>0.857142857142857</v>
      </c>
      <c r="P690" s="60" t="n">
        <f aca="false">IF(E690="","",ROUND(N(G690)*N(H690)/60,1))</f>
        <v>22.5</v>
      </c>
      <c r="Q690" s="57" t="str">
        <f aca="false">IF(E690="","",IF(COUNTIFS($C$2:C690,C690,$E$2:E690,E690,$B$2:B690,B690)&gt;1,"No","Yes"))</f>
        <v>Yes</v>
      </c>
      <c r="R690" s="61" t="str">
        <f aca="false">IF(E690="","",IF(Q690="No","Duplicate of an earlier response",IF(L690="Not on SITES","Site not on SITES",IF(N(G690)&gt;N(F690),"Present is more than enrolled",IF(OR(I690&lt;1,I690&gt;5),"Score outside 1 to 5","")))))</f>
        <v/>
      </c>
    </row>
    <row r="691" customFormat="false" ht="15" hidden="false" customHeight="false" outlineLevel="0" collapsed="false">
      <c r="A691" s="52" t="n">
        <v>46135.7325</v>
      </c>
      <c r="B691" s="53" t="s">
        <v>109</v>
      </c>
      <c r="C691" s="53" t="s">
        <v>146</v>
      </c>
      <c r="D691" s="53" t="s">
        <v>138</v>
      </c>
      <c r="E691" s="54" t="n">
        <v>46135</v>
      </c>
      <c r="F691" s="55" t="n">
        <v>14</v>
      </c>
      <c r="G691" s="55" t="n">
        <v>13</v>
      </c>
      <c r="H691" s="55" t="n">
        <v>90</v>
      </c>
      <c r="I691" s="56" t="n">
        <v>3.7</v>
      </c>
      <c r="J691" s="53" t="s">
        <v>139</v>
      </c>
      <c r="K691" s="53"/>
      <c r="L691" s="57" t="str">
        <f aca="false">IF(C691="","",IFERROR(INDEX(site_ID,MATCH(C691,site_Name,0)),"Not on SITES"))</f>
        <v>LW-105</v>
      </c>
      <c r="M691" s="58" t="n">
        <f aca="false">IF(E691="","",DATE(YEAR(E691),MONTH(E691),1))</f>
        <v>46113</v>
      </c>
      <c r="N691" s="57" t="str">
        <f aca="false">IF(E691="","","FY"&amp;(YEAR(E691)+IF(AND(FYStart&gt;1,MONTH(E691)&gt;=FYStart),1,0))&amp;" Q"&amp;(INT(MOD(MONTH(E691)-FYStart,12)/3)+1))</f>
        <v>FY2026 Q4</v>
      </c>
      <c r="O691" s="59" t="n">
        <f aca="false">IF(OR(E691="",N(F691)=0),"",G691/F691)</f>
        <v>0.928571428571429</v>
      </c>
      <c r="P691" s="60" t="n">
        <f aca="false">IF(E691="","",ROUND(N(G691)*N(H691)/60,1))</f>
        <v>19.5</v>
      </c>
      <c r="Q691" s="57" t="str">
        <f aca="false">IF(E691="","",IF(COUNTIFS($C$2:C691,C691,$E$2:E691,E691,$B$2:B691,B691)&gt;1,"No","Yes"))</f>
        <v>Yes</v>
      </c>
      <c r="R691" s="61" t="str">
        <f aca="false">IF(E691="","",IF(Q691="No","Duplicate of an earlier response",IF(L691="Not on SITES","Site not on SITES",IF(N(G691)&gt;N(F691),"Present is more than enrolled",IF(OR(I691&lt;1,I691&gt;5),"Score outside 1 to 5","")))))</f>
        <v/>
      </c>
    </row>
    <row r="692" customFormat="false" ht="15" hidden="false" customHeight="false" outlineLevel="0" collapsed="false">
      <c r="A692" s="52" t="n">
        <v>46135.750150463</v>
      </c>
      <c r="B692" s="53" t="s">
        <v>132</v>
      </c>
      <c r="C692" s="53" t="s">
        <v>150</v>
      </c>
      <c r="D692" s="53" t="s">
        <v>138</v>
      </c>
      <c r="E692" s="54" t="n">
        <v>46135</v>
      </c>
      <c r="F692" s="55" t="n">
        <v>21</v>
      </c>
      <c r="G692" s="55" t="n">
        <v>18</v>
      </c>
      <c r="H692" s="55" t="n">
        <v>90</v>
      </c>
      <c r="I692" s="56" t="n">
        <v>3.7</v>
      </c>
      <c r="J692" s="53" t="s">
        <v>139</v>
      </c>
      <c r="K692" s="53"/>
      <c r="L692" s="57" t="str">
        <f aca="false">IF(C692="","",IFERROR(INDEX(site_ID,MATCH(C692,site_Name,0)),"Not on SITES"))</f>
        <v>LW-117</v>
      </c>
      <c r="M692" s="58" t="n">
        <f aca="false">IF(E692="","",DATE(YEAR(E692),MONTH(E692),1))</f>
        <v>46113</v>
      </c>
      <c r="N692" s="57" t="str">
        <f aca="false">IF(E692="","","FY"&amp;(YEAR(E692)+IF(AND(FYStart&gt;1,MONTH(E692)&gt;=FYStart),1,0))&amp;" Q"&amp;(INT(MOD(MONTH(E692)-FYStart,12)/3)+1))</f>
        <v>FY2026 Q4</v>
      </c>
      <c r="O692" s="59" t="n">
        <f aca="false">IF(OR(E692="",N(F692)=0),"",G692/F692)</f>
        <v>0.857142857142857</v>
      </c>
      <c r="P692" s="60" t="n">
        <f aca="false">IF(E692="","",ROUND(N(G692)*N(H692)/60,1))</f>
        <v>27</v>
      </c>
      <c r="Q692" s="57" t="str">
        <f aca="false">IF(E692="","",IF(COUNTIFS($C$2:C692,C692,$E$2:E692,E692,$B$2:B692,B692)&gt;1,"No","Yes"))</f>
        <v>Yes</v>
      </c>
      <c r="R692" s="61" t="str">
        <f aca="false">IF(E692="","",IF(Q692="No","Duplicate of an earlier response",IF(L692="Not on SITES","Site not on SITES",IF(N(G692)&gt;N(F692),"Present is more than enrolled",IF(OR(I692&lt;1,I692&gt;5),"Score outside 1 to 5","")))))</f>
        <v/>
      </c>
    </row>
    <row r="693" customFormat="false" ht="15" hidden="false" customHeight="false" outlineLevel="0" collapsed="false">
      <c r="A693" s="52" t="n">
        <v>46135.8025231482</v>
      </c>
      <c r="B693" s="53" t="s">
        <v>111</v>
      </c>
      <c r="C693" s="53" t="s">
        <v>148</v>
      </c>
      <c r="D693" s="53" t="s">
        <v>116</v>
      </c>
      <c r="E693" s="54" t="n">
        <v>46135</v>
      </c>
      <c r="F693" s="55" t="n">
        <v>16</v>
      </c>
      <c r="G693" s="55" t="n">
        <v>13</v>
      </c>
      <c r="H693" s="55" t="n">
        <v>90</v>
      </c>
      <c r="I693" s="56" t="n">
        <v>3.9</v>
      </c>
      <c r="J693" s="53" t="s">
        <v>117</v>
      </c>
      <c r="K693" s="53"/>
      <c r="L693" s="57" t="str">
        <f aca="false">IF(C693="","",IFERROR(INDEX(site_ID,MATCH(C693,site_Name,0)),"Not on SITES"))</f>
        <v>LW-104</v>
      </c>
      <c r="M693" s="58" t="n">
        <f aca="false">IF(E693="","",DATE(YEAR(E693),MONTH(E693),1))</f>
        <v>46113</v>
      </c>
      <c r="N693" s="57" t="str">
        <f aca="false">IF(E693="","","FY"&amp;(YEAR(E693)+IF(AND(FYStart&gt;1,MONTH(E693)&gt;=FYStart),1,0))&amp;" Q"&amp;(INT(MOD(MONTH(E693)-FYStart,12)/3)+1))</f>
        <v>FY2026 Q4</v>
      </c>
      <c r="O693" s="59" t="n">
        <f aca="false">IF(OR(E693="",N(F693)=0),"",G693/F693)</f>
        <v>0.8125</v>
      </c>
      <c r="P693" s="60" t="n">
        <f aca="false">IF(E693="","",ROUND(N(G693)*N(H693)/60,1))</f>
        <v>19.5</v>
      </c>
      <c r="Q693" s="57" t="str">
        <f aca="false">IF(E693="","",IF(COUNTIFS($C$2:C693,C693,$E$2:E693,E693,$B$2:B693,B693)&gt;1,"No","Yes"))</f>
        <v>Yes</v>
      </c>
      <c r="R693" s="61" t="str">
        <f aca="false">IF(E693="","",IF(Q693="No","Duplicate of an earlier response",IF(L693="Not on SITES","Site not on SITES",IF(N(G693)&gt;N(F693),"Present is more than enrolled",IF(OR(I693&lt;1,I693&gt;5),"Score outside 1 to 5","")))))</f>
        <v/>
      </c>
    </row>
    <row r="694" customFormat="false" ht="15" hidden="false" customHeight="false" outlineLevel="0" collapsed="false">
      <c r="A694" s="52" t="n">
        <v>46135.8153125</v>
      </c>
      <c r="B694" s="53" t="s">
        <v>121</v>
      </c>
      <c r="C694" s="53" t="s">
        <v>122</v>
      </c>
      <c r="D694" s="53" t="s">
        <v>116</v>
      </c>
      <c r="E694" s="54" t="n">
        <v>46135</v>
      </c>
      <c r="F694" s="55" t="n">
        <v>16</v>
      </c>
      <c r="G694" s="55" t="n">
        <v>13</v>
      </c>
      <c r="H694" s="55" t="n">
        <v>90</v>
      </c>
      <c r="I694" s="56" t="n">
        <v>3.5</v>
      </c>
      <c r="J694" s="53" t="s">
        <v>134</v>
      </c>
      <c r="K694" s="53"/>
      <c r="L694" s="57" t="str">
        <f aca="false">IF(C694="","",IFERROR(INDEX(site_ID,MATCH(C694,site_Name,0)),"Not on SITES"))</f>
        <v>LW-116</v>
      </c>
      <c r="M694" s="58" t="n">
        <f aca="false">IF(E694="","",DATE(YEAR(E694),MONTH(E694),1))</f>
        <v>46113</v>
      </c>
      <c r="N694" s="57" t="str">
        <f aca="false">IF(E694="","","FY"&amp;(YEAR(E694)+IF(AND(FYStart&gt;1,MONTH(E694)&gt;=FYStart),1,0))&amp;" Q"&amp;(INT(MOD(MONTH(E694)-FYStart,12)/3)+1))</f>
        <v>FY2026 Q4</v>
      </c>
      <c r="O694" s="59" t="n">
        <f aca="false">IF(OR(E694="",N(F694)=0),"",G694/F694)</f>
        <v>0.8125</v>
      </c>
      <c r="P694" s="60" t="n">
        <f aca="false">IF(E694="","",ROUND(N(G694)*N(H694)/60,1))</f>
        <v>19.5</v>
      </c>
      <c r="Q694" s="57" t="str">
        <f aca="false">IF(E694="","",IF(COUNTIFS($C$2:C694,C694,$E$2:E694,E694,$B$2:B694,B694)&gt;1,"No","Yes"))</f>
        <v>Yes</v>
      </c>
      <c r="R694" s="61" t="str">
        <f aca="false">IF(E694="","",IF(Q694="No","Duplicate of an earlier response",IF(L694="Not on SITES","Site not on SITES",IF(N(G694)&gt;N(F694),"Present is more than enrolled",IF(OR(I694&lt;1,I694&gt;5),"Score outside 1 to 5","")))))</f>
        <v/>
      </c>
    </row>
    <row r="695" customFormat="false" ht="15" hidden="false" customHeight="false" outlineLevel="0" collapsed="false">
      <c r="A695" s="52" t="n">
        <v>46136.6793287037</v>
      </c>
      <c r="B695" s="53" t="s">
        <v>129</v>
      </c>
      <c r="C695" s="53" t="s">
        <v>137</v>
      </c>
      <c r="D695" s="53" t="s">
        <v>138</v>
      </c>
      <c r="E695" s="54" t="n">
        <v>46136</v>
      </c>
      <c r="F695" s="55" t="n">
        <v>16</v>
      </c>
      <c r="G695" s="55" t="n">
        <v>15</v>
      </c>
      <c r="H695" s="55" t="n">
        <v>90</v>
      </c>
      <c r="I695" s="56" t="n">
        <v>4.4</v>
      </c>
      <c r="J695" s="53" t="s">
        <v>164</v>
      </c>
      <c r="K695" s="53"/>
      <c r="L695" s="57" t="str">
        <f aca="false">IF(C695="","",IFERROR(INDEX(site_ID,MATCH(C695,site_Name,0)),"Not on SITES"))</f>
        <v>LW-115</v>
      </c>
      <c r="M695" s="58" t="n">
        <f aca="false">IF(E695="","",DATE(YEAR(E695),MONTH(E695),1))</f>
        <v>46113</v>
      </c>
      <c r="N695" s="57" t="str">
        <f aca="false">IF(E695="","","FY"&amp;(YEAR(E695)+IF(AND(FYStart&gt;1,MONTH(E695)&gt;=FYStart),1,0))&amp;" Q"&amp;(INT(MOD(MONTH(E695)-FYStart,12)/3)+1))</f>
        <v>FY2026 Q4</v>
      </c>
      <c r="O695" s="59" t="n">
        <f aca="false">IF(OR(E695="",N(F695)=0),"",G695/F695)</f>
        <v>0.9375</v>
      </c>
      <c r="P695" s="60" t="n">
        <f aca="false">IF(E695="","",ROUND(N(G695)*N(H695)/60,1))</f>
        <v>22.5</v>
      </c>
      <c r="Q695" s="57" t="str">
        <f aca="false">IF(E695="","",IF(COUNTIFS($C$2:C695,C695,$E$2:E695,E695,$B$2:B695,B695)&gt;1,"No","Yes"))</f>
        <v>Yes</v>
      </c>
      <c r="R695" s="61" t="str">
        <f aca="false">IF(E695="","",IF(Q695="No","Duplicate of an earlier response",IF(L695="Not on SITES","Site not on SITES",IF(N(G695)&gt;N(F695),"Present is more than enrolled",IF(OR(I695&lt;1,I695&gt;5),"Score outside 1 to 5","")))))</f>
        <v/>
      </c>
    </row>
    <row r="696" customFormat="false" ht="15" hidden="false" customHeight="false" outlineLevel="0" collapsed="false">
      <c r="A696" s="52" t="n">
        <v>46136.7157175926</v>
      </c>
      <c r="B696" s="53" t="s">
        <v>129</v>
      </c>
      <c r="C696" s="53" t="s">
        <v>130</v>
      </c>
      <c r="D696" s="53" t="s">
        <v>113</v>
      </c>
      <c r="E696" s="54" t="n">
        <v>46133</v>
      </c>
      <c r="F696" s="55" t="n">
        <v>16</v>
      </c>
      <c r="G696" s="55" t="n">
        <v>13</v>
      </c>
      <c r="H696" s="55" t="n">
        <v>75</v>
      </c>
      <c r="I696" s="56" t="n">
        <v>3.6</v>
      </c>
      <c r="J696" s="53" t="s">
        <v>114</v>
      </c>
      <c r="K696" s="53" t="s">
        <v>168</v>
      </c>
      <c r="L696" s="57" t="str">
        <f aca="false">IF(C696="","",IFERROR(INDEX(site_ID,MATCH(C696,site_Name,0)),"Not on SITES"))</f>
        <v>LW-107</v>
      </c>
      <c r="M696" s="58" t="n">
        <f aca="false">IF(E696="","",DATE(YEAR(E696),MONTH(E696),1))</f>
        <v>46113</v>
      </c>
      <c r="N696" s="57" t="str">
        <f aca="false">IF(E696="","","FY"&amp;(YEAR(E696)+IF(AND(FYStart&gt;1,MONTH(E696)&gt;=FYStart),1,0))&amp;" Q"&amp;(INT(MOD(MONTH(E696)-FYStart,12)/3)+1))</f>
        <v>FY2026 Q4</v>
      </c>
      <c r="O696" s="59" t="n">
        <f aca="false">IF(OR(E696="",N(F696)=0),"",G696/F696)</f>
        <v>0.8125</v>
      </c>
      <c r="P696" s="60" t="n">
        <f aca="false">IF(E696="","",ROUND(N(G696)*N(H696)/60,1))</f>
        <v>16.3</v>
      </c>
      <c r="Q696" s="57" t="str">
        <f aca="false">IF(E696="","",IF(COUNTIFS($C$2:C696,C696,$E$2:E696,E696,$B$2:B696,B696)&gt;1,"No","Yes"))</f>
        <v>Yes</v>
      </c>
      <c r="R696" s="61" t="str">
        <f aca="false">IF(E696="","",IF(Q696="No","Duplicate of an earlier response",IF(L696="Not on SITES","Site not on SITES",IF(N(G696)&gt;N(F696),"Present is more than enrolled",IF(OR(I696&lt;1,I696&gt;5),"Score outside 1 to 5","")))))</f>
        <v/>
      </c>
    </row>
    <row r="697" customFormat="false" ht="15" hidden="false" customHeight="false" outlineLevel="0" collapsed="false">
      <c r="A697" s="52" t="n">
        <v>46136.719537037</v>
      </c>
      <c r="B697" s="53" t="s">
        <v>140</v>
      </c>
      <c r="C697" s="53" t="s">
        <v>141</v>
      </c>
      <c r="D697" s="53" t="s">
        <v>116</v>
      </c>
      <c r="E697" s="54" t="n">
        <v>46136</v>
      </c>
      <c r="F697" s="55" t="n">
        <v>13</v>
      </c>
      <c r="G697" s="55" t="n">
        <v>11</v>
      </c>
      <c r="H697" s="55" t="n">
        <v>75</v>
      </c>
      <c r="I697" s="56" t="n">
        <v>4</v>
      </c>
      <c r="J697" s="53" t="s">
        <v>160</v>
      </c>
      <c r="K697" s="53"/>
      <c r="L697" s="57" t="str">
        <f aca="false">IF(C697="","",IFERROR(INDEX(site_ID,MATCH(C697,site_Name,0)),"Not on SITES"))</f>
        <v>LW-118</v>
      </c>
      <c r="M697" s="58" t="n">
        <f aca="false">IF(E697="","",DATE(YEAR(E697),MONTH(E697),1))</f>
        <v>46113</v>
      </c>
      <c r="N697" s="57" t="str">
        <f aca="false">IF(E697="","","FY"&amp;(YEAR(E697)+IF(AND(FYStart&gt;1,MONTH(E697)&gt;=FYStart),1,0))&amp;" Q"&amp;(INT(MOD(MONTH(E697)-FYStart,12)/3)+1))</f>
        <v>FY2026 Q4</v>
      </c>
      <c r="O697" s="59" t="n">
        <f aca="false">IF(OR(E697="",N(F697)=0),"",G697/F697)</f>
        <v>0.846153846153846</v>
      </c>
      <c r="P697" s="60" t="n">
        <f aca="false">IF(E697="","",ROUND(N(G697)*N(H697)/60,1))</f>
        <v>13.8</v>
      </c>
      <c r="Q697" s="57" t="str">
        <f aca="false">IF(E697="","",IF(COUNTIFS($C$2:C697,C697,$E$2:E697,E697,$B$2:B697,B697)&gt;1,"No","Yes"))</f>
        <v>Yes</v>
      </c>
      <c r="R697" s="61" t="str">
        <f aca="false">IF(E697="","",IF(Q697="No","Duplicate of an earlier response",IF(L697="Not on SITES","Site not on SITES",IF(N(G697)&gt;N(F697),"Present is more than enrolled",IF(OR(I697&lt;1,I697&gt;5),"Score outside 1 to 5","")))))</f>
        <v/>
      </c>
    </row>
    <row r="698" customFormat="false" ht="15" hidden="false" customHeight="false" outlineLevel="0" collapsed="false">
      <c r="A698" s="52" t="n">
        <v>46139.6344560185</v>
      </c>
      <c r="B698" s="53" t="s">
        <v>109</v>
      </c>
      <c r="C698" s="53" t="s">
        <v>110</v>
      </c>
      <c r="D698" s="53" t="s">
        <v>107</v>
      </c>
      <c r="E698" s="54" t="n">
        <v>46139</v>
      </c>
      <c r="F698" s="55" t="n">
        <v>21</v>
      </c>
      <c r="G698" s="55" t="n">
        <v>16</v>
      </c>
      <c r="H698" s="55" t="n">
        <v>60</v>
      </c>
      <c r="I698" s="56" t="n">
        <v>4.7</v>
      </c>
      <c r="J698" s="53" t="s">
        <v>166</v>
      </c>
      <c r="K698" s="53"/>
      <c r="L698" s="57" t="str">
        <f aca="false">IF(C698="","",IFERROR(INDEX(site_ID,MATCH(C698,site_Name,0)),"Not on SITES"))</f>
        <v>LW-113</v>
      </c>
      <c r="M698" s="58" t="n">
        <f aca="false">IF(E698="","",DATE(YEAR(E698),MONTH(E698),1))</f>
        <v>46113</v>
      </c>
      <c r="N698" s="57" t="str">
        <f aca="false">IF(E698="","","FY"&amp;(YEAR(E698)+IF(AND(FYStart&gt;1,MONTH(E698)&gt;=FYStart),1,0))&amp;" Q"&amp;(INT(MOD(MONTH(E698)-FYStart,12)/3)+1))</f>
        <v>FY2026 Q4</v>
      </c>
      <c r="O698" s="59" t="n">
        <f aca="false">IF(OR(E698="",N(F698)=0),"",G698/F698)</f>
        <v>0.761904761904762</v>
      </c>
      <c r="P698" s="60" t="n">
        <f aca="false">IF(E698="","",ROUND(N(G698)*N(H698)/60,1))</f>
        <v>16</v>
      </c>
      <c r="Q698" s="57" t="str">
        <f aca="false">IF(E698="","",IF(COUNTIFS($C$2:C698,C698,$E$2:E698,E698,$B$2:B698,B698)&gt;1,"No","Yes"))</f>
        <v>Yes</v>
      </c>
      <c r="R698" s="61" t="str">
        <f aca="false">IF(E698="","",IF(Q698="No","Duplicate of an earlier response",IF(L698="Not on SITES","Site not on SITES",IF(N(G698)&gt;N(F698),"Present is more than enrolled",IF(OR(I698&lt;1,I698&gt;5),"Score outside 1 to 5","")))))</f>
        <v/>
      </c>
    </row>
    <row r="699" customFormat="false" ht="15" hidden="false" customHeight="false" outlineLevel="0" collapsed="false">
      <c r="A699" s="52" t="n">
        <v>46139.6500810185</v>
      </c>
      <c r="B699" s="53" t="s">
        <v>105</v>
      </c>
      <c r="C699" s="53" t="s">
        <v>118</v>
      </c>
      <c r="D699" s="53" t="s">
        <v>119</v>
      </c>
      <c r="E699" s="54" t="n">
        <v>46139</v>
      </c>
      <c r="F699" s="55" t="n">
        <v>22</v>
      </c>
      <c r="G699" s="55" t="n">
        <v>18</v>
      </c>
      <c r="H699" s="55" t="n">
        <v>75</v>
      </c>
      <c r="I699" s="56" t="n">
        <v>3.7</v>
      </c>
      <c r="J699" s="53" t="s">
        <v>159</v>
      </c>
      <c r="K699" s="53"/>
      <c r="L699" s="57" t="str">
        <f aca="false">IF(C699="","",IFERROR(INDEX(site_ID,MATCH(C699,site_Name,0)),"Not on SITES"))</f>
        <v>LW-111</v>
      </c>
      <c r="M699" s="58" t="n">
        <f aca="false">IF(E699="","",DATE(YEAR(E699),MONTH(E699),1))</f>
        <v>46113</v>
      </c>
      <c r="N699" s="57" t="str">
        <f aca="false">IF(E699="","","FY"&amp;(YEAR(E699)+IF(AND(FYStart&gt;1,MONTH(E699)&gt;=FYStart),1,0))&amp;" Q"&amp;(INT(MOD(MONTH(E699)-FYStart,12)/3)+1))</f>
        <v>FY2026 Q4</v>
      </c>
      <c r="O699" s="59" t="n">
        <f aca="false">IF(OR(E699="",N(F699)=0),"",G699/F699)</f>
        <v>0.818181818181818</v>
      </c>
      <c r="P699" s="60" t="n">
        <f aca="false">IF(E699="","",ROUND(N(G699)*N(H699)/60,1))</f>
        <v>22.5</v>
      </c>
      <c r="Q699" s="57" t="str">
        <f aca="false">IF(E699="","",IF(COUNTIFS($C$2:C699,C699,$E$2:E699,E699,$B$2:B699,B699)&gt;1,"No","Yes"))</f>
        <v>Yes</v>
      </c>
      <c r="R699" s="61" t="str">
        <f aca="false">IF(E699="","",IF(Q699="No","Duplicate of an earlier response",IF(L699="Not on SITES","Site not on SITES",IF(N(G699)&gt;N(F699),"Present is more than enrolled",IF(OR(I699&lt;1,I699&gt;5),"Score outside 1 to 5","")))))</f>
        <v/>
      </c>
    </row>
    <row r="700" customFormat="false" ht="15" hidden="false" customHeight="false" outlineLevel="0" collapsed="false">
      <c r="A700" s="52" t="n">
        <v>46139.8219328704</v>
      </c>
      <c r="B700" s="53" t="s">
        <v>111</v>
      </c>
      <c r="C700" s="53" t="s">
        <v>112</v>
      </c>
      <c r="D700" s="53" t="s">
        <v>113</v>
      </c>
      <c r="E700" s="54" t="n">
        <v>46139</v>
      </c>
      <c r="F700" s="55" t="n">
        <v>15</v>
      </c>
      <c r="G700" s="55" t="n">
        <v>14</v>
      </c>
      <c r="H700" s="55" t="n">
        <v>75</v>
      </c>
      <c r="I700" s="56" t="n">
        <v>4.1</v>
      </c>
      <c r="J700" s="53" t="s">
        <v>114</v>
      </c>
      <c r="K700" s="53"/>
      <c r="L700" s="57" t="str">
        <f aca="false">IF(C700="","",IFERROR(INDEX(site_ID,MATCH(C700,site_Name,0)),"Not on SITES"))</f>
        <v>LW-120</v>
      </c>
      <c r="M700" s="58" t="n">
        <f aca="false">IF(E700="","",DATE(YEAR(E700),MONTH(E700),1))</f>
        <v>46113</v>
      </c>
      <c r="N700" s="57" t="str">
        <f aca="false">IF(E700="","","FY"&amp;(YEAR(E700)+IF(AND(FYStart&gt;1,MONTH(E700)&gt;=FYStart),1,0))&amp;" Q"&amp;(INT(MOD(MONTH(E700)-FYStart,12)/3)+1))</f>
        <v>FY2026 Q4</v>
      </c>
      <c r="O700" s="59" t="n">
        <f aca="false">IF(OR(E700="",N(F700)=0),"",G700/F700)</f>
        <v>0.933333333333333</v>
      </c>
      <c r="P700" s="60" t="n">
        <f aca="false">IF(E700="","",ROUND(N(G700)*N(H700)/60,1))</f>
        <v>17.5</v>
      </c>
      <c r="Q700" s="57" t="str">
        <f aca="false">IF(E700="","",IF(COUNTIFS($C$2:C700,C700,$E$2:E700,E700,$B$2:B700,B700)&gt;1,"No","Yes"))</f>
        <v>Yes</v>
      </c>
      <c r="R700" s="61" t="str">
        <f aca="false">IF(E700="","",IF(Q700="No","Duplicate of an earlier response",IF(L700="Not on SITES","Site not on SITES",IF(N(G700)&gt;N(F700),"Present is more than enrolled",IF(OR(I700&lt;1,I700&gt;5),"Score outside 1 to 5","")))))</f>
        <v/>
      </c>
    </row>
    <row r="701" customFormat="false" ht="15" hidden="false" customHeight="false" outlineLevel="0" collapsed="false">
      <c r="A701" s="52" t="n">
        <v>46139.8300347222</v>
      </c>
      <c r="B701" s="53" t="s">
        <v>105</v>
      </c>
      <c r="C701" s="53" t="s">
        <v>115</v>
      </c>
      <c r="D701" s="53" t="s">
        <v>116</v>
      </c>
      <c r="E701" s="54" t="n">
        <v>46139</v>
      </c>
      <c r="F701" s="55" t="n">
        <v>16</v>
      </c>
      <c r="G701" s="55" t="n">
        <v>14</v>
      </c>
      <c r="H701" s="55" t="n">
        <v>60</v>
      </c>
      <c r="I701" s="56" t="n">
        <v>3.7</v>
      </c>
      <c r="J701" s="53" t="s">
        <v>117</v>
      </c>
      <c r="K701" s="53"/>
      <c r="L701" s="57" t="str">
        <f aca="false">IF(C701="","",IFERROR(INDEX(site_ID,MATCH(C701,site_Name,0)),"Not on SITES"))</f>
        <v>LW-119</v>
      </c>
      <c r="M701" s="58" t="n">
        <f aca="false">IF(E701="","",DATE(YEAR(E701),MONTH(E701),1))</f>
        <v>46113</v>
      </c>
      <c r="N701" s="57" t="str">
        <f aca="false">IF(E701="","","FY"&amp;(YEAR(E701)+IF(AND(FYStart&gt;1,MONTH(E701)&gt;=FYStart),1,0))&amp;" Q"&amp;(INT(MOD(MONTH(E701)-FYStart,12)/3)+1))</f>
        <v>FY2026 Q4</v>
      </c>
      <c r="O701" s="59" t="n">
        <f aca="false">IF(OR(E701="",N(F701)=0),"",G701/F701)</f>
        <v>0.875</v>
      </c>
      <c r="P701" s="60" t="n">
        <f aca="false">IF(E701="","",ROUND(N(G701)*N(H701)/60,1))</f>
        <v>14</v>
      </c>
      <c r="Q701" s="57" t="str">
        <f aca="false">IF(E701="","",IF(COUNTIFS($C$2:C701,C701,$E$2:E701,E701,$B$2:B701,B701)&gt;1,"No","Yes"))</f>
        <v>Yes</v>
      </c>
      <c r="R701" s="61" t="str">
        <f aca="false">IF(E701="","",IF(Q701="No","Duplicate of an earlier response",IF(L701="Not on SITES","Site not on SITES",IF(N(G701)&gt;N(F701),"Present is more than enrolled",IF(OR(I701&lt;1,I701&gt;5),"Score outside 1 to 5","")))))</f>
        <v/>
      </c>
    </row>
    <row r="702" customFormat="false" ht="15" hidden="false" customHeight="false" outlineLevel="0" collapsed="false">
      <c r="A702" s="52" t="n">
        <v>46139.8589236111</v>
      </c>
      <c r="B702" s="53" t="s">
        <v>105</v>
      </c>
      <c r="C702" s="53" t="s">
        <v>106</v>
      </c>
      <c r="D702" s="53" t="s">
        <v>107</v>
      </c>
      <c r="E702" s="54" t="n">
        <v>46139</v>
      </c>
      <c r="F702" s="55" t="n">
        <v>16</v>
      </c>
      <c r="G702" s="55" t="n">
        <v>14</v>
      </c>
      <c r="H702" s="55" t="n">
        <v>90</v>
      </c>
      <c r="I702" s="56" t="n">
        <v>3.8</v>
      </c>
      <c r="J702" s="53" t="s">
        <v>108</v>
      </c>
      <c r="K702" s="53"/>
      <c r="L702" s="57" t="str">
        <f aca="false">IF(C702="","",IFERROR(INDEX(site_ID,MATCH(C702,site_Name,0)),"Not on SITES"))</f>
        <v>LW-103</v>
      </c>
      <c r="M702" s="58" t="n">
        <f aca="false">IF(E702="","",DATE(YEAR(E702),MONTH(E702),1))</f>
        <v>46113</v>
      </c>
      <c r="N702" s="57" t="str">
        <f aca="false">IF(E702="","","FY"&amp;(YEAR(E702)+IF(AND(FYStart&gt;1,MONTH(E702)&gt;=FYStart),1,0))&amp;" Q"&amp;(INT(MOD(MONTH(E702)-FYStart,12)/3)+1))</f>
        <v>FY2026 Q4</v>
      </c>
      <c r="O702" s="59" t="n">
        <f aca="false">IF(OR(E702="",N(F702)=0),"",G702/F702)</f>
        <v>0.875</v>
      </c>
      <c r="P702" s="60" t="n">
        <f aca="false">IF(E702="","",ROUND(N(G702)*N(H702)/60,1))</f>
        <v>21</v>
      </c>
      <c r="Q702" s="57" t="str">
        <f aca="false">IF(E702="","",IF(COUNTIFS($C$2:C702,C702,$E$2:E702,E702,$B$2:B702,B702)&gt;1,"No","Yes"))</f>
        <v>Yes</v>
      </c>
      <c r="R702" s="61" t="str">
        <f aca="false">IF(E702="","",IF(Q702="No","Duplicate of an earlier response",IF(L702="Not on SITES","Site not on SITES",IF(N(G702)&gt;N(F702),"Present is more than enrolled",IF(OR(I702&lt;1,I702&gt;5),"Score outside 1 to 5","")))))</f>
        <v/>
      </c>
    </row>
    <row r="703" customFormat="false" ht="15" hidden="false" customHeight="false" outlineLevel="0" collapsed="false">
      <c r="A703" s="52" t="n">
        <v>46140.6576851852</v>
      </c>
      <c r="B703" s="53" t="s">
        <v>121</v>
      </c>
      <c r="C703" s="53" t="s">
        <v>127</v>
      </c>
      <c r="D703" s="53" t="s">
        <v>107</v>
      </c>
      <c r="E703" s="54" t="n">
        <v>46140</v>
      </c>
      <c r="F703" s="55" t="n">
        <v>15</v>
      </c>
      <c r="G703" s="55" t="n">
        <v>14</v>
      </c>
      <c r="H703" s="55" t="n">
        <v>60</v>
      </c>
      <c r="I703" s="56" t="n">
        <v>4</v>
      </c>
      <c r="J703" s="53" t="s">
        <v>156</v>
      </c>
      <c r="K703" s="53"/>
      <c r="L703" s="57" t="str">
        <f aca="false">IF(C703="","",IFERROR(INDEX(site_ID,MATCH(C703,site_Name,0)),"Not on SITES"))</f>
        <v>LW-108</v>
      </c>
      <c r="M703" s="58" t="n">
        <f aca="false">IF(E703="","",DATE(YEAR(E703),MONTH(E703),1))</f>
        <v>46113</v>
      </c>
      <c r="N703" s="57" t="str">
        <f aca="false">IF(E703="","","FY"&amp;(YEAR(E703)+IF(AND(FYStart&gt;1,MONTH(E703)&gt;=FYStart),1,0))&amp;" Q"&amp;(INT(MOD(MONTH(E703)-FYStart,12)/3)+1))</f>
        <v>FY2026 Q4</v>
      </c>
      <c r="O703" s="59" t="n">
        <f aca="false">IF(OR(E703="",N(F703)=0),"",G703/F703)</f>
        <v>0.933333333333333</v>
      </c>
      <c r="P703" s="60" t="n">
        <f aca="false">IF(E703="","",ROUND(N(G703)*N(H703)/60,1))</f>
        <v>14</v>
      </c>
      <c r="Q703" s="57" t="str">
        <f aca="false">IF(E703="","",IF(COUNTIFS($C$2:C703,C703,$E$2:E703,E703,$B$2:B703,B703)&gt;1,"No","Yes"))</f>
        <v>Yes</v>
      </c>
      <c r="R703" s="61" t="str">
        <f aca="false">IF(E703="","",IF(Q703="No","Duplicate of an earlier response",IF(L703="Not on SITES","Site not on SITES",IF(N(G703)&gt;N(F703),"Present is more than enrolled",IF(OR(I703&lt;1,I703&gt;5),"Score outside 1 to 5","")))))</f>
        <v/>
      </c>
    </row>
    <row r="704" customFormat="false" ht="15" hidden="false" customHeight="false" outlineLevel="0" collapsed="false">
      <c r="A704" s="52" t="n">
        <v>46140.6601388889</v>
      </c>
      <c r="B704" s="53" t="s">
        <v>132</v>
      </c>
      <c r="C704" s="53" t="s">
        <v>133</v>
      </c>
      <c r="D704" s="53" t="s">
        <v>116</v>
      </c>
      <c r="E704" s="54" t="n">
        <v>46140</v>
      </c>
      <c r="F704" s="55" t="n">
        <v>17</v>
      </c>
      <c r="G704" s="55" t="n">
        <v>17</v>
      </c>
      <c r="H704" s="55" t="n">
        <v>90</v>
      </c>
      <c r="I704" s="56" t="n">
        <v>3.8</v>
      </c>
      <c r="J704" s="53" t="s">
        <v>160</v>
      </c>
      <c r="K704" s="53"/>
      <c r="L704" s="57" t="str">
        <f aca="false">IF(C704="","",IFERROR(INDEX(site_ID,MATCH(C704,site_Name,0)),"Not on SITES"))</f>
        <v>LW-109</v>
      </c>
      <c r="M704" s="58" t="n">
        <f aca="false">IF(E704="","",DATE(YEAR(E704),MONTH(E704),1))</f>
        <v>46113</v>
      </c>
      <c r="N704" s="57" t="str">
        <f aca="false">IF(E704="","","FY"&amp;(YEAR(E704)+IF(AND(FYStart&gt;1,MONTH(E704)&gt;=FYStart),1,0))&amp;" Q"&amp;(INT(MOD(MONTH(E704)-FYStart,12)/3)+1))</f>
        <v>FY2026 Q4</v>
      </c>
      <c r="O704" s="59" t="n">
        <f aca="false">IF(OR(E704="",N(F704)=0),"",G704/F704)</f>
        <v>1</v>
      </c>
      <c r="P704" s="60" t="n">
        <f aca="false">IF(E704="","",ROUND(N(G704)*N(H704)/60,1))</f>
        <v>25.5</v>
      </c>
      <c r="Q704" s="57" t="str">
        <f aca="false">IF(E704="","",IF(COUNTIFS($C$2:C704,C704,$E$2:E704,E704,$B$2:B704,B704)&gt;1,"No","Yes"))</f>
        <v>Yes</v>
      </c>
      <c r="R704" s="61" t="str">
        <f aca="false">IF(E704="","",IF(Q704="No","Duplicate of an earlier response",IF(L704="Not on SITES","Site not on SITES",IF(N(G704)&gt;N(F704),"Present is more than enrolled",IF(OR(I704&lt;1,I704&gt;5),"Score outside 1 to 5","")))))</f>
        <v/>
      </c>
    </row>
    <row r="705" customFormat="false" ht="15" hidden="false" customHeight="false" outlineLevel="0" collapsed="false">
      <c r="A705" s="52" t="n">
        <v>46140.7256365741</v>
      </c>
      <c r="B705" s="53" t="s">
        <v>121</v>
      </c>
      <c r="C705" s="53" t="s">
        <v>122</v>
      </c>
      <c r="D705" s="53" t="s">
        <v>116</v>
      </c>
      <c r="E705" s="54" t="n">
        <v>46140</v>
      </c>
      <c r="F705" s="55" t="n">
        <v>16</v>
      </c>
      <c r="G705" s="55" t="n">
        <v>13</v>
      </c>
      <c r="H705" s="55" t="n">
        <v>75</v>
      </c>
      <c r="I705" s="56" t="n">
        <v>3.8</v>
      </c>
      <c r="J705" s="53" t="s">
        <v>134</v>
      </c>
      <c r="K705" s="53"/>
      <c r="L705" s="57" t="str">
        <f aca="false">IF(C705="","",IFERROR(INDEX(site_ID,MATCH(C705,site_Name,0)),"Not on SITES"))</f>
        <v>LW-116</v>
      </c>
      <c r="M705" s="58" t="n">
        <f aca="false">IF(E705="","",DATE(YEAR(E705),MONTH(E705),1))</f>
        <v>46113</v>
      </c>
      <c r="N705" s="57" t="str">
        <f aca="false">IF(E705="","","FY"&amp;(YEAR(E705)+IF(AND(FYStart&gt;1,MONTH(E705)&gt;=FYStart),1,0))&amp;" Q"&amp;(INT(MOD(MONTH(E705)-FYStart,12)/3)+1))</f>
        <v>FY2026 Q4</v>
      </c>
      <c r="O705" s="59" t="n">
        <f aca="false">IF(OR(E705="",N(F705)=0),"",G705/F705)</f>
        <v>0.8125</v>
      </c>
      <c r="P705" s="60" t="n">
        <f aca="false">IF(E705="","",ROUND(N(G705)*N(H705)/60,1))</f>
        <v>16.3</v>
      </c>
      <c r="Q705" s="57" t="str">
        <f aca="false">IF(E705="","",IF(COUNTIFS($C$2:C705,C705,$E$2:E705,E705,$B$2:B705,B705)&gt;1,"No","Yes"))</f>
        <v>Yes</v>
      </c>
      <c r="R705" s="61" t="str">
        <f aca="false">IF(E705="","",IF(Q705="No","Duplicate of an earlier response",IF(L705="Not on SITES","Site not on SITES",IF(N(G705)&gt;N(F705),"Present is more than enrolled",IF(OR(I705&lt;1,I705&gt;5),"Score outside 1 to 5","")))))</f>
        <v/>
      </c>
    </row>
    <row r="706" customFormat="false" ht="15" hidden="false" customHeight="false" outlineLevel="0" collapsed="false">
      <c r="A706" s="52" t="n">
        <v>46140.8740856482</v>
      </c>
      <c r="B706" s="53" t="s">
        <v>124</v>
      </c>
      <c r="C706" s="53" t="s">
        <v>125</v>
      </c>
      <c r="D706" s="53" t="s">
        <v>119</v>
      </c>
      <c r="E706" s="54" t="n">
        <v>46140</v>
      </c>
      <c r="F706" s="55" t="n">
        <v>18</v>
      </c>
      <c r="G706" s="55" t="n">
        <v>16</v>
      </c>
      <c r="H706" s="55" t="n">
        <v>60</v>
      </c>
      <c r="I706" s="56" t="n">
        <v>3.7</v>
      </c>
      <c r="J706" s="53" t="s">
        <v>162</v>
      </c>
      <c r="K706" s="53"/>
      <c r="L706" s="57" t="str">
        <f aca="false">IF(C706="","",IFERROR(INDEX(site_ID,MATCH(C706,site_Name,0)),"Not on SITES"))</f>
        <v>LW-106</v>
      </c>
      <c r="M706" s="58" t="n">
        <f aca="false">IF(E706="","",DATE(YEAR(E706),MONTH(E706),1))</f>
        <v>46113</v>
      </c>
      <c r="N706" s="57" t="str">
        <f aca="false">IF(E706="","","FY"&amp;(YEAR(E706)+IF(AND(FYStart&gt;1,MONTH(E706)&gt;=FYStart),1,0))&amp;" Q"&amp;(INT(MOD(MONTH(E706)-FYStart,12)/3)+1))</f>
        <v>FY2026 Q4</v>
      </c>
      <c r="O706" s="59" t="n">
        <f aca="false">IF(OR(E706="",N(F706)=0),"",G706/F706)</f>
        <v>0.888888888888889</v>
      </c>
      <c r="P706" s="60" t="n">
        <f aca="false">IF(E706="","",ROUND(N(G706)*N(H706)/60,1))</f>
        <v>16</v>
      </c>
      <c r="Q706" s="57" t="str">
        <f aca="false">IF(E706="","",IF(COUNTIFS($C$2:C706,C706,$E$2:E706,E706,$B$2:B706,B706)&gt;1,"No","Yes"))</f>
        <v>Yes</v>
      </c>
      <c r="R706" s="61" t="str">
        <f aca="false">IF(E706="","",IF(Q706="No","Duplicate of an earlier response",IF(L706="Not on SITES","Site not on SITES",IF(N(G706)&gt;N(F706),"Present is more than enrolled",IF(OR(I706&lt;1,I706&gt;5),"Score outside 1 to 5","")))))</f>
        <v/>
      </c>
    </row>
    <row r="707" customFormat="false" ht="15" hidden="false" customHeight="false" outlineLevel="0" collapsed="false">
      <c r="A707" s="52" t="n">
        <v>46141.6689699074</v>
      </c>
      <c r="B707" s="53" t="s">
        <v>132</v>
      </c>
      <c r="C707" s="53" t="s">
        <v>145</v>
      </c>
      <c r="D707" s="53" t="s">
        <v>119</v>
      </c>
      <c r="E707" s="54" t="n">
        <v>46141</v>
      </c>
      <c r="F707" s="55" t="n">
        <v>19</v>
      </c>
      <c r="G707" s="55" t="n">
        <v>13</v>
      </c>
      <c r="H707" s="55" t="n">
        <v>90</v>
      </c>
      <c r="I707" s="56" t="n">
        <v>3.9</v>
      </c>
      <c r="J707" s="53" t="s">
        <v>144</v>
      </c>
      <c r="K707" s="53"/>
      <c r="L707" s="57" t="str">
        <f aca="false">IF(C707="","",IFERROR(INDEX(site_ID,MATCH(C707,site_Name,0)),"Not on SITES"))</f>
        <v>LW-101</v>
      </c>
      <c r="M707" s="58" t="n">
        <f aca="false">IF(E707="","",DATE(YEAR(E707),MONTH(E707),1))</f>
        <v>46113</v>
      </c>
      <c r="N707" s="57" t="str">
        <f aca="false">IF(E707="","","FY"&amp;(YEAR(E707)+IF(AND(FYStart&gt;1,MONTH(E707)&gt;=FYStart),1,0))&amp;" Q"&amp;(INT(MOD(MONTH(E707)-FYStart,12)/3)+1))</f>
        <v>FY2026 Q4</v>
      </c>
      <c r="O707" s="59" t="n">
        <f aca="false">IF(OR(E707="",N(F707)=0),"",G707/F707)</f>
        <v>0.68421052631579</v>
      </c>
      <c r="P707" s="60" t="n">
        <f aca="false">IF(E707="","",ROUND(N(G707)*N(H707)/60,1))</f>
        <v>19.5</v>
      </c>
      <c r="Q707" s="57" t="str">
        <f aca="false">IF(E707="","",IF(COUNTIFS($C$2:C707,C707,$E$2:E707,E707,$B$2:B707,B707)&gt;1,"No","Yes"))</f>
        <v>Yes</v>
      </c>
      <c r="R707" s="61" t="str">
        <f aca="false">IF(E707="","",IF(Q707="No","Duplicate of an earlier response",IF(L707="Not on SITES","Site not on SITES",IF(N(G707)&gt;N(F707),"Present is more than enrolled",IF(OR(I707&lt;1,I707&gt;5),"Score outside 1 to 5","")))))</f>
        <v/>
      </c>
    </row>
    <row r="708" customFormat="false" ht="15" hidden="false" customHeight="false" outlineLevel="0" collapsed="false">
      <c r="A708" s="52" t="n">
        <v>46141.7440162037</v>
      </c>
      <c r="B708" s="53" t="s">
        <v>105</v>
      </c>
      <c r="C708" s="53" t="s">
        <v>118</v>
      </c>
      <c r="D708" s="53" t="s">
        <v>119</v>
      </c>
      <c r="E708" s="54" t="n">
        <v>46141</v>
      </c>
      <c r="F708" s="55" t="n">
        <v>22</v>
      </c>
      <c r="G708" s="55" t="n">
        <v>21</v>
      </c>
      <c r="H708" s="55" t="n">
        <v>90</v>
      </c>
      <c r="I708" s="56" t="n">
        <v>3.7</v>
      </c>
      <c r="J708" s="53" t="s">
        <v>157</v>
      </c>
      <c r="K708" s="53"/>
      <c r="L708" s="57" t="str">
        <f aca="false">IF(C708="","",IFERROR(INDEX(site_ID,MATCH(C708,site_Name,0)),"Not on SITES"))</f>
        <v>LW-111</v>
      </c>
      <c r="M708" s="58" t="n">
        <f aca="false">IF(E708="","",DATE(YEAR(E708),MONTH(E708),1))</f>
        <v>46113</v>
      </c>
      <c r="N708" s="57" t="str">
        <f aca="false">IF(E708="","","FY"&amp;(YEAR(E708)+IF(AND(FYStart&gt;1,MONTH(E708)&gt;=FYStart),1,0))&amp;" Q"&amp;(INT(MOD(MONTH(E708)-FYStart,12)/3)+1))</f>
        <v>FY2026 Q4</v>
      </c>
      <c r="O708" s="59" t="n">
        <f aca="false">IF(OR(E708="",N(F708)=0),"",G708/F708)</f>
        <v>0.954545454545455</v>
      </c>
      <c r="P708" s="60" t="n">
        <f aca="false">IF(E708="","",ROUND(N(G708)*N(H708)/60,1))</f>
        <v>31.5</v>
      </c>
      <c r="Q708" s="57" t="str">
        <f aca="false">IF(E708="","",IF(COUNTIFS($C$2:C708,C708,$E$2:E708,E708,$B$2:B708,B708)&gt;1,"No","Yes"))</f>
        <v>Yes</v>
      </c>
      <c r="R708" s="61" t="str">
        <f aca="false">IF(E708="","",IF(Q708="No","Duplicate of an earlier response",IF(L708="Not on SITES","Site not on SITES",IF(N(G708)&gt;N(F708),"Present is more than enrolled",IF(OR(I708&lt;1,I708&gt;5),"Score outside 1 to 5","")))))</f>
        <v/>
      </c>
    </row>
    <row r="709" customFormat="false" ht="15" hidden="false" customHeight="false" outlineLevel="0" collapsed="false">
      <c r="A709" s="52" t="n">
        <v>46141.8101157407</v>
      </c>
      <c r="B709" s="53" t="s">
        <v>129</v>
      </c>
      <c r="C709" s="53" t="s">
        <v>137</v>
      </c>
      <c r="D709" s="53" t="s">
        <v>138</v>
      </c>
      <c r="E709" s="54" t="n">
        <v>46141</v>
      </c>
      <c r="F709" s="55" t="n">
        <v>16</v>
      </c>
      <c r="G709" s="55" t="n">
        <v>14</v>
      </c>
      <c r="H709" s="55" t="n">
        <v>90</v>
      </c>
      <c r="I709" s="56" t="n">
        <v>3.8</v>
      </c>
      <c r="J709" s="53" t="s">
        <v>139</v>
      </c>
      <c r="K709" s="53"/>
      <c r="L709" s="57" t="str">
        <f aca="false">IF(C709="","",IFERROR(INDEX(site_ID,MATCH(C709,site_Name,0)),"Not on SITES"))</f>
        <v>LW-115</v>
      </c>
      <c r="M709" s="58" t="n">
        <f aca="false">IF(E709="","",DATE(YEAR(E709),MONTH(E709),1))</f>
        <v>46113</v>
      </c>
      <c r="N709" s="57" t="str">
        <f aca="false">IF(E709="","","FY"&amp;(YEAR(E709)+IF(AND(FYStart&gt;1,MONTH(E709)&gt;=FYStart),1,0))&amp;" Q"&amp;(INT(MOD(MONTH(E709)-FYStart,12)/3)+1))</f>
        <v>FY2026 Q4</v>
      </c>
      <c r="O709" s="59" t="n">
        <f aca="false">IF(OR(E709="",N(F709)=0),"",G709/F709)</f>
        <v>0.875</v>
      </c>
      <c r="P709" s="60" t="n">
        <f aca="false">IF(E709="","",ROUND(N(G709)*N(H709)/60,1))</f>
        <v>21</v>
      </c>
      <c r="Q709" s="57" t="str">
        <f aca="false">IF(E709="","",IF(COUNTIFS($C$2:C709,C709,$E$2:E709,E709,$B$2:B709,B709)&gt;1,"No","Yes"))</f>
        <v>Yes</v>
      </c>
      <c r="R709" s="61" t="str">
        <f aca="false">IF(E709="","",IF(Q709="No","Duplicate of an earlier response",IF(L709="Not on SITES","Site not on SITES",IF(N(G709)&gt;N(F709),"Present is more than enrolled",IF(OR(I709&lt;1,I709&gt;5),"Score outside 1 to 5","")))))</f>
        <v/>
      </c>
    </row>
    <row r="710" customFormat="false" ht="15" hidden="false" customHeight="false" outlineLevel="0" collapsed="false">
      <c r="A710" s="52" t="n">
        <v>46141.8122222222</v>
      </c>
      <c r="B710" s="53" t="s">
        <v>140</v>
      </c>
      <c r="C710" s="53" t="s">
        <v>141</v>
      </c>
      <c r="D710" s="53" t="s">
        <v>116</v>
      </c>
      <c r="E710" s="54" t="n">
        <v>46141</v>
      </c>
      <c r="F710" s="55" t="n">
        <v>13</v>
      </c>
      <c r="G710" s="55" t="n">
        <v>12</v>
      </c>
      <c r="H710" s="55" t="n">
        <v>75</v>
      </c>
      <c r="I710" s="56" t="n">
        <v>3.9</v>
      </c>
      <c r="J710" s="53" t="s">
        <v>117</v>
      </c>
      <c r="K710" s="53"/>
      <c r="L710" s="57" t="str">
        <f aca="false">IF(C710="","",IFERROR(INDEX(site_ID,MATCH(C710,site_Name,0)),"Not on SITES"))</f>
        <v>LW-118</v>
      </c>
      <c r="M710" s="58" t="n">
        <f aca="false">IF(E710="","",DATE(YEAR(E710),MONTH(E710),1))</f>
        <v>46113</v>
      </c>
      <c r="N710" s="57" t="str">
        <f aca="false">IF(E710="","","FY"&amp;(YEAR(E710)+IF(AND(FYStart&gt;1,MONTH(E710)&gt;=FYStart),1,0))&amp;" Q"&amp;(INT(MOD(MONTH(E710)-FYStart,12)/3)+1))</f>
        <v>FY2026 Q4</v>
      </c>
      <c r="O710" s="59" t="n">
        <f aca="false">IF(OR(E710="",N(F710)=0),"",G710/F710)</f>
        <v>0.923076923076923</v>
      </c>
      <c r="P710" s="60" t="n">
        <f aca="false">IF(E710="","",ROUND(N(G710)*N(H710)/60,1))</f>
        <v>15</v>
      </c>
      <c r="Q710" s="57" t="str">
        <f aca="false">IF(E710="","",IF(COUNTIFS($C$2:C710,C710,$E$2:E710,E710,$B$2:B710,B710)&gt;1,"No","Yes"))</f>
        <v>Yes</v>
      </c>
      <c r="R710" s="61" t="str">
        <f aca="false">IF(E710="","",IF(Q710="No","Duplicate of an earlier response",IF(L710="Not on SITES","Site not on SITES",IF(N(G710)&gt;N(F710),"Present is more than enrolled",IF(OR(I710&lt;1,I710&gt;5),"Score outside 1 to 5","")))))</f>
        <v/>
      </c>
    </row>
    <row r="711" customFormat="false" ht="15" hidden="false" customHeight="false" outlineLevel="0" collapsed="false">
      <c r="A711" s="52" t="n">
        <v>46141.8163657407</v>
      </c>
      <c r="B711" s="53" t="s">
        <v>111</v>
      </c>
      <c r="C711" s="53" t="s">
        <v>112</v>
      </c>
      <c r="D711" s="53" t="s">
        <v>113</v>
      </c>
      <c r="E711" s="54" t="n">
        <v>46141</v>
      </c>
      <c r="F711" s="55" t="n">
        <v>15</v>
      </c>
      <c r="G711" s="55" t="n">
        <v>14</v>
      </c>
      <c r="H711" s="55" t="n">
        <v>60</v>
      </c>
      <c r="I711" s="56" t="n">
        <v>3.6</v>
      </c>
      <c r="J711" s="53" t="s">
        <v>114</v>
      </c>
      <c r="K711" s="53"/>
      <c r="L711" s="57" t="str">
        <f aca="false">IF(C711="","",IFERROR(INDEX(site_ID,MATCH(C711,site_Name,0)),"Not on SITES"))</f>
        <v>LW-120</v>
      </c>
      <c r="M711" s="58" t="n">
        <f aca="false">IF(E711="","",DATE(YEAR(E711),MONTH(E711),1))</f>
        <v>46113</v>
      </c>
      <c r="N711" s="57" t="str">
        <f aca="false">IF(E711="","","FY"&amp;(YEAR(E711)+IF(AND(FYStart&gt;1,MONTH(E711)&gt;=FYStart),1,0))&amp;" Q"&amp;(INT(MOD(MONTH(E711)-FYStart,12)/3)+1))</f>
        <v>FY2026 Q4</v>
      </c>
      <c r="O711" s="59" t="n">
        <f aca="false">IF(OR(E711="",N(F711)=0),"",G711/F711)</f>
        <v>0.933333333333333</v>
      </c>
      <c r="P711" s="60" t="n">
        <f aca="false">IF(E711="","",ROUND(N(G711)*N(H711)/60,1))</f>
        <v>14</v>
      </c>
      <c r="Q711" s="57" t="str">
        <f aca="false">IF(E711="","",IF(COUNTIFS($C$2:C711,C711,$E$2:E711,E711,$B$2:B711,B711)&gt;1,"No","Yes"))</f>
        <v>Yes</v>
      </c>
      <c r="R711" s="61" t="str">
        <f aca="false">IF(E711="","",IF(Q711="No","Duplicate of an earlier response",IF(L711="Not on SITES","Site not on SITES",IF(N(G711)&gt;N(F711),"Present is more than enrolled",IF(OR(I711&lt;1,I711&gt;5),"Score outside 1 to 5","")))))</f>
        <v/>
      </c>
    </row>
    <row r="712" customFormat="false" ht="15" hidden="false" customHeight="false" outlineLevel="0" collapsed="false">
      <c r="A712" s="52" t="n">
        <v>46141.8472453704</v>
      </c>
      <c r="B712" s="53" t="s">
        <v>140</v>
      </c>
      <c r="C712" s="53" t="s">
        <v>142</v>
      </c>
      <c r="D712" s="53" t="s">
        <v>113</v>
      </c>
      <c r="E712" s="54" t="n">
        <v>46141</v>
      </c>
      <c r="F712" s="55" t="n">
        <v>18</v>
      </c>
      <c r="G712" s="55" t="n">
        <v>17</v>
      </c>
      <c r="H712" s="55" t="n">
        <v>60</v>
      </c>
      <c r="I712" s="56" t="n">
        <v>3.8</v>
      </c>
      <c r="J712" s="53" t="s">
        <v>131</v>
      </c>
      <c r="K712" s="53"/>
      <c r="L712" s="57" t="str">
        <f aca="false">IF(C712="","",IFERROR(INDEX(site_ID,MATCH(C712,site_Name,0)),"Not on SITES"))</f>
        <v>LW-102</v>
      </c>
      <c r="M712" s="58" t="n">
        <f aca="false">IF(E712="","",DATE(YEAR(E712),MONTH(E712),1))</f>
        <v>46113</v>
      </c>
      <c r="N712" s="57" t="str">
        <f aca="false">IF(E712="","","FY"&amp;(YEAR(E712)+IF(AND(FYStart&gt;1,MONTH(E712)&gt;=FYStart),1,0))&amp;" Q"&amp;(INT(MOD(MONTH(E712)-FYStart,12)/3)+1))</f>
        <v>FY2026 Q4</v>
      </c>
      <c r="O712" s="59" t="n">
        <f aca="false">IF(OR(E712="",N(F712)=0),"",G712/F712)</f>
        <v>0.944444444444444</v>
      </c>
      <c r="P712" s="60" t="n">
        <f aca="false">IF(E712="","",ROUND(N(G712)*N(H712)/60,1))</f>
        <v>17</v>
      </c>
      <c r="Q712" s="57" t="str">
        <f aca="false">IF(E712="","",IF(COUNTIFS($C$2:C712,C712,$E$2:E712,E712,$B$2:B712,B712)&gt;1,"No","Yes"))</f>
        <v>Yes</v>
      </c>
      <c r="R712" s="61" t="str">
        <f aca="false">IF(E712="","",IF(Q712="No","Duplicate of an earlier response",IF(L712="Not on SITES","Site not on SITES",IF(N(G712)&gt;N(F712),"Present is more than enrolled",IF(OR(I712&lt;1,I712&gt;5),"Score outside 1 to 5","")))))</f>
        <v/>
      </c>
    </row>
    <row r="713" customFormat="false" ht="15" hidden="false" customHeight="false" outlineLevel="0" collapsed="false">
      <c r="A713" s="52" t="n">
        <v>46141.8478125</v>
      </c>
      <c r="B713" s="53" t="s">
        <v>129</v>
      </c>
      <c r="C713" s="53" t="s">
        <v>130</v>
      </c>
      <c r="D713" s="53" t="s">
        <v>113</v>
      </c>
      <c r="E713" s="54" t="n">
        <v>46140</v>
      </c>
      <c r="F713" s="55" t="n">
        <v>16</v>
      </c>
      <c r="G713" s="55" t="n">
        <v>15</v>
      </c>
      <c r="H713" s="55" t="n">
        <v>75</v>
      </c>
      <c r="I713" s="56" t="n">
        <v>3.8</v>
      </c>
      <c r="J713" s="53" t="s">
        <v>114</v>
      </c>
      <c r="K713" s="53"/>
      <c r="L713" s="57" t="str">
        <f aca="false">IF(C713="","",IFERROR(INDEX(site_ID,MATCH(C713,site_Name,0)),"Not on SITES"))</f>
        <v>LW-107</v>
      </c>
      <c r="M713" s="58" t="n">
        <f aca="false">IF(E713="","",DATE(YEAR(E713),MONTH(E713),1))</f>
        <v>46113</v>
      </c>
      <c r="N713" s="57" t="str">
        <f aca="false">IF(E713="","","FY"&amp;(YEAR(E713)+IF(AND(FYStart&gt;1,MONTH(E713)&gt;=FYStart),1,0))&amp;" Q"&amp;(INT(MOD(MONTH(E713)-FYStart,12)/3)+1))</f>
        <v>FY2026 Q4</v>
      </c>
      <c r="O713" s="59" t="n">
        <f aca="false">IF(OR(E713="",N(F713)=0),"",G713/F713)</f>
        <v>0.9375</v>
      </c>
      <c r="P713" s="60" t="n">
        <f aca="false">IF(E713="","",ROUND(N(G713)*N(H713)/60,1))</f>
        <v>18.8</v>
      </c>
      <c r="Q713" s="57" t="str">
        <f aca="false">IF(E713="","",IF(COUNTIFS($C$2:C713,C713,$E$2:E713,E713,$B$2:B713,B713)&gt;1,"No","Yes"))</f>
        <v>Yes</v>
      </c>
      <c r="R713" s="61" t="str">
        <f aca="false">IF(E713="","",IF(Q713="No","Duplicate of an earlier response",IF(L713="Not on SITES","Site not on SITES",IF(N(G713)&gt;N(F713),"Present is more than enrolled",IF(OR(I713&lt;1,I713&gt;5),"Score outside 1 to 5","")))))</f>
        <v/>
      </c>
    </row>
    <row r="714" customFormat="false" ht="15" hidden="false" customHeight="false" outlineLevel="0" collapsed="false">
      <c r="A714" s="52" t="n">
        <v>46142.7028356482</v>
      </c>
      <c r="B714" s="53" t="s">
        <v>111</v>
      </c>
      <c r="C714" s="53" t="s">
        <v>148</v>
      </c>
      <c r="D714" s="53" t="s">
        <v>116</v>
      </c>
      <c r="E714" s="54" t="n">
        <v>46142</v>
      </c>
      <c r="F714" s="55" t="n">
        <v>16</v>
      </c>
      <c r="G714" s="55" t="n">
        <v>13</v>
      </c>
      <c r="H714" s="55" t="n">
        <v>60</v>
      </c>
      <c r="I714" s="56" t="n">
        <v>3.9</v>
      </c>
      <c r="J714" s="53" t="s">
        <v>117</v>
      </c>
      <c r="K714" s="53"/>
      <c r="L714" s="57" t="str">
        <f aca="false">IF(C714="","",IFERROR(INDEX(site_ID,MATCH(C714,site_Name,0)),"Not on SITES"))</f>
        <v>LW-104</v>
      </c>
      <c r="M714" s="58" t="n">
        <f aca="false">IF(E714="","",DATE(YEAR(E714),MONTH(E714),1))</f>
        <v>46113</v>
      </c>
      <c r="N714" s="57" t="str">
        <f aca="false">IF(E714="","","FY"&amp;(YEAR(E714)+IF(AND(FYStart&gt;1,MONTH(E714)&gt;=FYStart),1,0))&amp;" Q"&amp;(INT(MOD(MONTH(E714)-FYStart,12)/3)+1))</f>
        <v>FY2026 Q4</v>
      </c>
      <c r="O714" s="59" t="n">
        <f aca="false">IF(OR(E714="",N(F714)=0),"",G714/F714)</f>
        <v>0.8125</v>
      </c>
      <c r="P714" s="60" t="n">
        <f aca="false">IF(E714="","",ROUND(N(G714)*N(H714)/60,1))</f>
        <v>13</v>
      </c>
      <c r="Q714" s="57" t="str">
        <f aca="false">IF(E714="","",IF(COUNTIFS($C$2:C714,C714,$E$2:E714,E714,$B$2:B714,B714)&gt;1,"No","Yes"))</f>
        <v>Yes</v>
      </c>
      <c r="R714" s="61" t="str">
        <f aca="false">IF(E714="","",IF(Q714="No","Duplicate of an earlier response",IF(L714="Not on SITES","Site not on SITES",IF(N(G714)&gt;N(F714),"Present is more than enrolled",IF(OR(I714&lt;1,I714&gt;5),"Score outside 1 to 5","")))))</f>
        <v/>
      </c>
    </row>
    <row r="715" customFormat="false" ht="15" hidden="false" customHeight="false" outlineLevel="0" collapsed="false">
      <c r="A715" s="52" t="n">
        <v>46142.814375</v>
      </c>
      <c r="B715" s="53" t="s">
        <v>140</v>
      </c>
      <c r="C715" s="53" t="s">
        <v>151</v>
      </c>
      <c r="D715" s="53" t="s">
        <v>138</v>
      </c>
      <c r="E715" s="54" t="n">
        <v>46142</v>
      </c>
      <c r="F715" s="55" t="n">
        <v>13</v>
      </c>
      <c r="G715" s="55" t="n">
        <v>12</v>
      </c>
      <c r="H715" s="55" t="n">
        <v>90</v>
      </c>
      <c r="I715" s="56" t="n">
        <v>4.2</v>
      </c>
      <c r="J715" s="53" t="s">
        <v>147</v>
      </c>
      <c r="K715" s="53" t="s">
        <v>168</v>
      </c>
      <c r="L715" s="57" t="str">
        <f aca="false">IF(C715="","",IFERROR(INDEX(site_ID,MATCH(C715,site_Name,0)),"Not on SITES"))</f>
        <v>LW-110</v>
      </c>
      <c r="M715" s="58" t="n">
        <f aca="false">IF(E715="","",DATE(YEAR(E715),MONTH(E715),1))</f>
        <v>46113</v>
      </c>
      <c r="N715" s="57" t="str">
        <f aca="false">IF(E715="","","FY"&amp;(YEAR(E715)+IF(AND(FYStart&gt;1,MONTH(E715)&gt;=FYStart),1,0))&amp;" Q"&amp;(INT(MOD(MONTH(E715)-FYStart,12)/3)+1))</f>
        <v>FY2026 Q4</v>
      </c>
      <c r="O715" s="59" t="n">
        <f aca="false">IF(OR(E715="",N(F715)=0),"",G715/F715)</f>
        <v>0.923076923076923</v>
      </c>
      <c r="P715" s="60" t="n">
        <f aca="false">IF(E715="","",ROUND(N(G715)*N(H715)/60,1))</f>
        <v>18</v>
      </c>
      <c r="Q715" s="57" t="str">
        <f aca="false">IF(E715="","",IF(COUNTIFS($C$2:C715,C715,$E$2:E715,E715,$B$2:B715,B715)&gt;1,"No","Yes"))</f>
        <v>Yes</v>
      </c>
      <c r="R715" s="61" t="str">
        <f aca="false">IF(E715="","",IF(Q715="No","Duplicate of an earlier response",IF(L715="Not on SITES","Site not on SITES",IF(N(G715)&gt;N(F715),"Present is more than enrolled",IF(OR(I715&lt;1,I715&gt;5),"Score outside 1 to 5","")))))</f>
        <v/>
      </c>
    </row>
    <row r="716" customFormat="false" ht="15" hidden="false" customHeight="false" outlineLevel="0" collapsed="false">
      <c r="A716" s="52" t="n">
        <v>46142.8234143519</v>
      </c>
      <c r="B716" s="53" t="s">
        <v>121</v>
      </c>
      <c r="C716" s="53" t="s">
        <v>122</v>
      </c>
      <c r="D716" s="53" t="s">
        <v>116</v>
      </c>
      <c r="E716" s="54" t="n">
        <v>46142</v>
      </c>
      <c r="F716" s="55" t="n">
        <v>16</v>
      </c>
      <c r="G716" s="55" t="n">
        <v>14</v>
      </c>
      <c r="H716" s="55" t="n">
        <v>75</v>
      </c>
      <c r="I716" s="56" t="n">
        <v>3.8</v>
      </c>
      <c r="J716" s="53" t="s">
        <v>117</v>
      </c>
      <c r="K716" s="53"/>
      <c r="L716" s="57" t="str">
        <f aca="false">IF(C716="","",IFERROR(INDEX(site_ID,MATCH(C716,site_Name,0)),"Not on SITES"))</f>
        <v>LW-116</v>
      </c>
      <c r="M716" s="58" t="n">
        <f aca="false">IF(E716="","",DATE(YEAR(E716),MONTH(E716),1))</f>
        <v>46113</v>
      </c>
      <c r="N716" s="57" t="str">
        <f aca="false">IF(E716="","","FY"&amp;(YEAR(E716)+IF(AND(FYStart&gt;1,MONTH(E716)&gt;=FYStart),1,0))&amp;" Q"&amp;(INT(MOD(MONTH(E716)-FYStart,12)/3)+1))</f>
        <v>FY2026 Q4</v>
      </c>
      <c r="O716" s="59" t="n">
        <f aca="false">IF(OR(E716="",N(F716)=0),"",G716/F716)</f>
        <v>0.875</v>
      </c>
      <c r="P716" s="60" t="n">
        <f aca="false">IF(E716="","",ROUND(N(G716)*N(H716)/60,1))</f>
        <v>17.5</v>
      </c>
      <c r="Q716" s="57" t="str">
        <f aca="false">IF(E716="","",IF(COUNTIFS($C$2:C716,C716,$E$2:E716,E716,$B$2:B716,B716)&gt;1,"No","Yes"))</f>
        <v>Yes</v>
      </c>
      <c r="R716" s="61" t="str">
        <f aca="false">IF(E716="","",IF(Q716="No","Duplicate of an earlier response",IF(L716="Not on SITES","Site not on SITES",IF(N(G716)&gt;N(F716),"Present is more than enrolled",IF(OR(I716&lt;1,I716&gt;5),"Score outside 1 to 5","")))))</f>
        <v/>
      </c>
    </row>
    <row r="717" customFormat="false" ht="15" hidden="false" customHeight="false" outlineLevel="0" collapsed="false">
      <c r="A717" s="52" t="n">
        <v>46142.8419791667</v>
      </c>
      <c r="B717" s="53" t="s">
        <v>111</v>
      </c>
      <c r="C717" s="53" t="s">
        <v>149</v>
      </c>
      <c r="D717" s="53" t="s">
        <v>113</v>
      </c>
      <c r="E717" s="54" t="n">
        <v>46142</v>
      </c>
      <c r="F717" s="55" t="n">
        <v>21</v>
      </c>
      <c r="G717" s="55" t="n">
        <v>19</v>
      </c>
      <c r="H717" s="55" t="n">
        <v>90</v>
      </c>
      <c r="I717" s="56" t="n">
        <v>3.8</v>
      </c>
      <c r="J717" s="53" t="s">
        <v>165</v>
      </c>
      <c r="K717" s="53" t="s">
        <v>167</v>
      </c>
      <c r="L717" s="57" t="str">
        <f aca="false">IF(C717="","",IFERROR(INDEX(site_ID,MATCH(C717,site_Name,0)),"Not on SITES"))</f>
        <v>LW-112</v>
      </c>
      <c r="M717" s="58" t="n">
        <f aca="false">IF(E717="","",DATE(YEAR(E717),MONTH(E717),1))</f>
        <v>46113</v>
      </c>
      <c r="N717" s="57" t="str">
        <f aca="false">IF(E717="","","FY"&amp;(YEAR(E717)+IF(AND(FYStart&gt;1,MONTH(E717)&gt;=FYStart),1,0))&amp;" Q"&amp;(INT(MOD(MONTH(E717)-FYStart,12)/3)+1))</f>
        <v>FY2026 Q4</v>
      </c>
      <c r="O717" s="59" t="n">
        <f aca="false">IF(OR(E717="",N(F717)=0),"",G717/F717)</f>
        <v>0.904761904761905</v>
      </c>
      <c r="P717" s="60" t="n">
        <f aca="false">IF(E717="","",ROUND(N(G717)*N(H717)/60,1))</f>
        <v>28.5</v>
      </c>
      <c r="Q717" s="57" t="str">
        <f aca="false">IF(E717="","",IF(COUNTIFS($C$2:C717,C717,$E$2:E717,E717,$B$2:B717,B717)&gt;1,"No","Yes"))</f>
        <v>Yes</v>
      </c>
      <c r="R717" s="61" t="str">
        <f aca="false">IF(E717="","",IF(Q717="No","Duplicate of an earlier response",IF(L717="Not on SITES","Site not on SITES",IF(N(G717)&gt;N(F717),"Present is more than enrolled",IF(OR(I717&lt;1,I717&gt;5),"Score outside 1 to 5","")))))</f>
        <v/>
      </c>
    </row>
    <row r="718" customFormat="false" ht="15" hidden="false" customHeight="false" outlineLevel="0" collapsed="false">
      <c r="A718" s="52" t="n">
        <v>46143.6921759259</v>
      </c>
      <c r="B718" s="53" t="s">
        <v>140</v>
      </c>
      <c r="C718" s="53" t="s">
        <v>141</v>
      </c>
      <c r="D718" s="53" t="s">
        <v>116</v>
      </c>
      <c r="E718" s="54" t="n">
        <v>46143</v>
      </c>
      <c r="F718" s="55" t="n">
        <v>13</v>
      </c>
      <c r="G718" s="55" t="n">
        <v>11</v>
      </c>
      <c r="H718" s="55" t="n">
        <v>90</v>
      </c>
      <c r="I718" s="56" t="n">
        <v>4.2</v>
      </c>
      <c r="J718" s="53" t="s">
        <v>117</v>
      </c>
      <c r="K718" s="53"/>
      <c r="L718" s="57" t="str">
        <f aca="false">IF(C718="","",IFERROR(INDEX(site_ID,MATCH(C718,site_Name,0)),"Not on SITES"))</f>
        <v>LW-118</v>
      </c>
      <c r="M718" s="58" t="n">
        <f aca="false">IF(E718="","",DATE(YEAR(E718),MONTH(E718),1))</f>
        <v>46143</v>
      </c>
      <c r="N718" s="57" t="str">
        <f aca="false">IF(E718="","","FY"&amp;(YEAR(E718)+IF(AND(FYStart&gt;1,MONTH(E718)&gt;=FYStart),1,0))&amp;" Q"&amp;(INT(MOD(MONTH(E718)-FYStart,12)/3)+1))</f>
        <v>FY2026 Q4</v>
      </c>
      <c r="O718" s="59" t="n">
        <f aca="false">IF(OR(E718="",N(F718)=0),"",G718/F718)</f>
        <v>0.846153846153846</v>
      </c>
      <c r="P718" s="60" t="n">
        <f aca="false">IF(E718="","",ROUND(N(G718)*N(H718)/60,1))</f>
        <v>16.5</v>
      </c>
      <c r="Q718" s="57" t="str">
        <f aca="false">IF(E718="","",IF(COUNTIFS($C$2:C718,C718,$E$2:E718,E718,$B$2:B718,B718)&gt;1,"No","Yes"))</f>
        <v>Yes</v>
      </c>
      <c r="R718" s="61" t="str">
        <f aca="false">IF(E718="","",IF(Q718="No","Duplicate of an earlier response",IF(L718="Not on SITES","Site not on SITES",IF(N(G718)&gt;N(F718),"Present is more than enrolled",IF(OR(I718&lt;1,I718&gt;5),"Score outside 1 to 5","")))))</f>
        <v/>
      </c>
    </row>
    <row r="719" customFormat="false" ht="15" hidden="false" customHeight="false" outlineLevel="0" collapsed="false">
      <c r="A719" s="52" t="n">
        <v>46144.6679976852</v>
      </c>
      <c r="B719" s="53" t="s">
        <v>124</v>
      </c>
      <c r="C719" s="53" t="s">
        <v>154</v>
      </c>
      <c r="D719" s="53" t="s">
        <v>116</v>
      </c>
      <c r="E719" s="54" t="n">
        <v>46142</v>
      </c>
      <c r="F719" s="55" t="n">
        <v>18</v>
      </c>
      <c r="G719" s="55" t="n">
        <v>15</v>
      </c>
      <c r="H719" s="55" t="n">
        <v>90</v>
      </c>
      <c r="I719" s="56" t="n">
        <v>4.1</v>
      </c>
      <c r="J719" s="53" t="s">
        <v>123</v>
      </c>
      <c r="K719" s="53"/>
      <c r="L719" s="57" t="str">
        <f aca="false">IF(C719="","",IFERROR(INDEX(site_ID,MATCH(C719,site_Name,0)),"Not on SITES"))</f>
        <v>LW-114</v>
      </c>
      <c r="M719" s="58" t="n">
        <f aca="false">IF(E719="","",DATE(YEAR(E719),MONTH(E719),1))</f>
        <v>46113</v>
      </c>
      <c r="N719" s="57" t="str">
        <f aca="false">IF(E719="","","FY"&amp;(YEAR(E719)+IF(AND(FYStart&gt;1,MONTH(E719)&gt;=FYStart),1,0))&amp;" Q"&amp;(INT(MOD(MONTH(E719)-FYStart,12)/3)+1))</f>
        <v>FY2026 Q4</v>
      </c>
      <c r="O719" s="59" t="n">
        <f aca="false">IF(OR(E719="",N(F719)=0),"",G719/F719)</f>
        <v>0.833333333333333</v>
      </c>
      <c r="P719" s="60" t="n">
        <f aca="false">IF(E719="","",ROUND(N(G719)*N(H719)/60,1))</f>
        <v>22.5</v>
      </c>
      <c r="Q719" s="57" t="str">
        <f aca="false">IF(E719="","",IF(COUNTIFS($C$2:C719,C719,$E$2:E719,E719,$B$2:B719,B719)&gt;1,"No","Yes"))</f>
        <v>Yes</v>
      </c>
      <c r="R719" s="61" t="str">
        <f aca="false">IF(E719="","",IF(Q719="No","Duplicate of an earlier response",IF(L719="Not on SITES","Site not on SITES",IF(N(G719)&gt;N(F719),"Present is more than enrolled",IF(OR(I719&lt;1,I719&gt;5),"Score outside 1 to 5","")))))</f>
        <v/>
      </c>
    </row>
    <row r="720" customFormat="false" ht="15" hidden="false" customHeight="false" outlineLevel="0" collapsed="false">
      <c r="A720" s="52" t="n">
        <v>46144.6851736111</v>
      </c>
      <c r="B720" s="53" t="s">
        <v>132</v>
      </c>
      <c r="C720" s="53" t="s">
        <v>150</v>
      </c>
      <c r="D720" s="53" t="s">
        <v>138</v>
      </c>
      <c r="E720" s="54" t="n">
        <v>46142</v>
      </c>
      <c r="F720" s="55" t="n">
        <v>21</v>
      </c>
      <c r="G720" s="55" t="n">
        <v>19</v>
      </c>
      <c r="H720" s="55" t="n">
        <v>90</v>
      </c>
      <c r="I720" s="56" t="n">
        <v>4.3</v>
      </c>
      <c r="J720" s="53" t="s">
        <v>163</v>
      </c>
      <c r="K720" s="53"/>
      <c r="L720" s="57" t="str">
        <f aca="false">IF(C720="","",IFERROR(INDEX(site_ID,MATCH(C720,site_Name,0)),"Not on SITES"))</f>
        <v>LW-117</v>
      </c>
      <c r="M720" s="58" t="n">
        <f aca="false">IF(E720="","",DATE(YEAR(E720),MONTH(E720),1))</f>
        <v>46113</v>
      </c>
      <c r="N720" s="57" t="str">
        <f aca="false">IF(E720="","","FY"&amp;(YEAR(E720)+IF(AND(FYStart&gt;1,MONTH(E720)&gt;=FYStart),1,0))&amp;" Q"&amp;(INT(MOD(MONTH(E720)-FYStart,12)/3)+1))</f>
        <v>FY2026 Q4</v>
      </c>
      <c r="O720" s="59" t="n">
        <f aca="false">IF(OR(E720="",N(F720)=0),"",G720/F720)</f>
        <v>0.904761904761905</v>
      </c>
      <c r="P720" s="60" t="n">
        <f aca="false">IF(E720="","",ROUND(N(G720)*N(H720)/60,1))</f>
        <v>28.5</v>
      </c>
      <c r="Q720" s="57" t="str">
        <f aca="false">IF(E720="","",IF(COUNTIFS($C$2:C720,C720,$E$2:E720,E720,$B$2:B720,B720)&gt;1,"No","Yes"))</f>
        <v>Yes</v>
      </c>
      <c r="R720" s="61" t="str">
        <f aca="false">IF(E720="","",IF(Q720="No","Duplicate of an earlier response",IF(L720="Not on SITES","Site not on SITES",IF(N(G720)&gt;N(F720),"Present is more than enrolled",IF(OR(I720&lt;1,I720&gt;5),"Score outside 1 to 5","")))))</f>
        <v/>
      </c>
    </row>
    <row r="721" customFormat="false" ht="15" hidden="false" customHeight="false" outlineLevel="0" collapsed="false">
      <c r="A721" s="52" t="n">
        <v>46144.695787037</v>
      </c>
      <c r="B721" s="53" t="s">
        <v>109</v>
      </c>
      <c r="C721" s="53" t="s">
        <v>146</v>
      </c>
      <c r="D721" s="53" t="s">
        <v>138</v>
      </c>
      <c r="E721" s="54" t="n">
        <v>46142</v>
      </c>
      <c r="F721" s="55" t="n">
        <v>14</v>
      </c>
      <c r="G721" s="55" t="n">
        <v>10</v>
      </c>
      <c r="H721" s="55" t="n">
        <v>90</v>
      </c>
      <c r="I721" s="56" t="n">
        <v>4.1</v>
      </c>
      <c r="J721" s="53" t="s">
        <v>164</v>
      </c>
      <c r="K721" s="53"/>
      <c r="L721" s="57" t="str">
        <f aca="false">IF(C721="","",IFERROR(INDEX(site_ID,MATCH(C721,site_Name,0)),"Not on SITES"))</f>
        <v>LW-105</v>
      </c>
      <c r="M721" s="58" t="n">
        <f aca="false">IF(E721="","",DATE(YEAR(E721),MONTH(E721),1))</f>
        <v>46113</v>
      </c>
      <c r="N721" s="57" t="str">
        <f aca="false">IF(E721="","","FY"&amp;(YEAR(E721)+IF(AND(FYStart&gt;1,MONTH(E721)&gt;=FYStart),1,0))&amp;" Q"&amp;(INT(MOD(MONTH(E721)-FYStart,12)/3)+1))</f>
        <v>FY2026 Q4</v>
      </c>
      <c r="O721" s="59" t="n">
        <f aca="false">IF(OR(E721="",N(F721)=0),"",G721/F721)</f>
        <v>0.714285714285714</v>
      </c>
      <c r="P721" s="60" t="n">
        <f aca="false">IF(E721="","",ROUND(N(G721)*N(H721)/60,1))</f>
        <v>15</v>
      </c>
      <c r="Q721" s="57" t="str">
        <f aca="false">IF(E721="","",IF(COUNTIFS($C$2:C721,C721,$E$2:E721,E721,$B$2:B721,B721)&gt;1,"No","Yes"))</f>
        <v>Yes</v>
      </c>
      <c r="R721" s="61" t="str">
        <f aca="false">IF(E721="","",IF(Q721="No","Duplicate of an earlier response",IF(L721="Not on SITES","Site not on SITES",IF(N(G721)&gt;N(F721),"Present is more than enrolled",IF(OR(I721&lt;1,I721&gt;5),"Score outside 1 to 5","")))))</f>
        <v/>
      </c>
    </row>
    <row r="722" customFormat="false" ht="15" hidden="false" customHeight="false" outlineLevel="0" collapsed="false">
      <c r="A722" s="52" t="n">
        <v>46146.7115740741</v>
      </c>
      <c r="B722" s="53" t="s">
        <v>105</v>
      </c>
      <c r="C722" s="53" t="s">
        <v>106</v>
      </c>
      <c r="D722" s="53" t="s">
        <v>107</v>
      </c>
      <c r="E722" s="54" t="n">
        <v>46146</v>
      </c>
      <c r="F722" s="55" t="n">
        <v>16</v>
      </c>
      <c r="G722" s="55" t="n">
        <v>11</v>
      </c>
      <c r="H722" s="55" t="n">
        <v>60</v>
      </c>
      <c r="I722" s="56" t="n">
        <v>3.9</v>
      </c>
      <c r="J722" s="53" t="s">
        <v>156</v>
      </c>
      <c r="K722" s="53"/>
      <c r="L722" s="57" t="str">
        <f aca="false">IF(C722="","",IFERROR(INDEX(site_ID,MATCH(C722,site_Name,0)),"Not on SITES"))</f>
        <v>LW-103</v>
      </c>
      <c r="M722" s="58" t="n">
        <f aca="false">IF(E722="","",DATE(YEAR(E722),MONTH(E722),1))</f>
        <v>46143</v>
      </c>
      <c r="N722" s="57" t="str">
        <f aca="false">IF(E722="","","FY"&amp;(YEAR(E722)+IF(AND(FYStart&gt;1,MONTH(E722)&gt;=FYStart),1,0))&amp;" Q"&amp;(INT(MOD(MONTH(E722)-FYStart,12)/3)+1))</f>
        <v>FY2026 Q4</v>
      </c>
      <c r="O722" s="59" t="n">
        <f aca="false">IF(OR(E722="",N(F722)=0),"",G722/F722)</f>
        <v>0.6875</v>
      </c>
      <c r="P722" s="60" t="n">
        <f aca="false">IF(E722="","",ROUND(N(G722)*N(H722)/60,1))</f>
        <v>11</v>
      </c>
      <c r="Q722" s="57" t="str">
        <f aca="false">IF(E722="","",IF(COUNTIFS($C$2:C722,C722,$E$2:E722,E722,$B$2:B722,B722)&gt;1,"No","Yes"))</f>
        <v>Yes</v>
      </c>
      <c r="R722" s="61" t="str">
        <f aca="false">IF(E722="","",IF(Q722="No","Duplicate of an earlier response",IF(L722="Not on SITES","Site not on SITES",IF(N(G722)&gt;N(F722),"Present is more than enrolled",IF(OR(I722&lt;1,I722&gt;5),"Score outside 1 to 5","")))))</f>
        <v/>
      </c>
    </row>
    <row r="723" customFormat="false" ht="15" hidden="false" customHeight="false" outlineLevel="0" collapsed="false">
      <c r="A723" s="52" t="n">
        <v>46146.767662037</v>
      </c>
      <c r="B723" s="53" t="s">
        <v>105</v>
      </c>
      <c r="C723" s="53" t="s">
        <v>118</v>
      </c>
      <c r="D723" s="53" t="s">
        <v>119</v>
      </c>
      <c r="E723" s="54" t="n">
        <v>46146</v>
      </c>
      <c r="F723" s="55" t="n">
        <v>22</v>
      </c>
      <c r="G723" s="55" t="n">
        <v>17</v>
      </c>
      <c r="H723" s="55" t="n">
        <v>60</v>
      </c>
      <c r="I723" s="56" t="n">
        <v>3.9</v>
      </c>
      <c r="J723" s="53" t="s">
        <v>126</v>
      </c>
      <c r="K723" s="53"/>
      <c r="L723" s="57" t="str">
        <f aca="false">IF(C723="","",IFERROR(INDEX(site_ID,MATCH(C723,site_Name,0)),"Not on SITES"))</f>
        <v>LW-111</v>
      </c>
      <c r="M723" s="58" t="n">
        <f aca="false">IF(E723="","",DATE(YEAR(E723),MONTH(E723),1))</f>
        <v>46143</v>
      </c>
      <c r="N723" s="57" t="str">
        <f aca="false">IF(E723="","","FY"&amp;(YEAR(E723)+IF(AND(FYStart&gt;1,MONTH(E723)&gt;=FYStart),1,0))&amp;" Q"&amp;(INT(MOD(MONTH(E723)-FYStart,12)/3)+1))</f>
        <v>FY2026 Q4</v>
      </c>
      <c r="O723" s="59" t="n">
        <f aca="false">IF(OR(E723="",N(F723)=0),"",G723/F723)</f>
        <v>0.772727272727273</v>
      </c>
      <c r="P723" s="60" t="n">
        <f aca="false">IF(E723="","",ROUND(N(G723)*N(H723)/60,1))</f>
        <v>17</v>
      </c>
      <c r="Q723" s="57" t="str">
        <f aca="false">IF(E723="","",IF(COUNTIFS($C$2:C723,C723,$E$2:E723,E723,$B$2:B723,B723)&gt;1,"No","Yes"))</f>
        <v>Yes</v>
      </c>
      <c r="R723" s="61" t="str">
        <f aca="false">IF(E723="","",IF(Q723="No","Duplicate of an earlier response",IF(L723="Not on SITES","Site not on SITES",IF(N(G723)&gt;N(F723),"Present is more than enrolled",IF(OR(I723&lt;1,I723&gt;5),"Score outside 1 to 5","")))))</f>
        <v/>
      </c>
    </row>
    <row r="724" customFormat="false" ht="15" hidden="false" customHeight="false" outlineLevel="0" collapsed="false">
      <c r="A724" s="52" t="n">
        <v>46146.7860532407</v>
      </c>
      <c r="B724" s="53" t="s">
        <v>109</v>
      </c>
      <c r="C724" s="53" t="s">
        <v>110</v>
      </c>
      <c r="D724" s="53" t="s">
        <v>107</v>
      </c>
      <c r="E724" s="54" t="n">
        <v>46146</v>
      </c>
      <c r="F724" s="55" t="n">
        <v>21</v>
      </c>
      <c r="G724" s="55" t="n">
        <v>16</v>
      </c>
      <c r="H724" s="55" t="n">
        <v>90</v>
      </c>
      <c r="I724" s="56" t="n">
        <v>4.2</v>
      </c>
      <c r="J724" s="53" t="s">
        <v>128</v>
      </c>
      <c r="K724" s="53" t="s">
        <v>161</v>
      </c>
      <c r="L724" s="57" t="str">
        <f aca="false">IF(C724="","",IFERROR(INDEX(site_ID,MATCH(C724,site_Name,0)),"Not on SITES"))</f>
        <v>LW-113</v>
      </c>
      <c r="M724" s="58" t="n">
        <f aca="false">IF(E724="","",DATE(YEAR(E724),MONTH(E724),1))</f>
        <v>46143</v>
      </c>
      <c r="N724" s="57" t="str">
        <f aca="false">IF(E724="","","FY"&amp;(YEAR(E724)+IF(AND(FYStart&gt;1,MONTH(E724)&gt;=FYStart),1,0))&amp;" Q"&amp;(INT(MOD(MONTH(E724)-FYStart,12)/3)+1))</f>
        <v>FY2026 Q4</v>
      </c>
      <c r="O724" s="59" t="n">
        <f aca="false">IF(OR(E724="",N(F724)=0),"",G724/F724)</f>
        <v>0.761904761904762</v>
      </c>
      <c r="P724" s="60" t="n">
        <f aca="false">IF(E724="","",ROUND(N(G724)*N(H724)/60,1))</f>
        <v>24</v>
      </c>
      <c r="Q724" s="57" t="str">
        <f aca="false">IF(E724="","",IF(COUNTIFS($C$2:C724,C724,$E$2:E724,E724,$B$2:B724,B724)&gt;1,"No","Yes"))</f>
        <v>Yes</v>
      </c>
      <c r="R724" s="61" t="str">
        <f aca="false">IF(E724="","",IF(Q724="No","Duplicate of an earlier response",IF(L724="Not on SITES","Site not on SITES",IF(N(G724)&gt;N(F724),"Present is more than enrolled",IF(OR(I724&lt;1,I724&gt;5),"Score outside 1 to 5","")))))</f>
        <v/>
      </c>
    </row>
    <row r="725" customFormat="false" ht="15" hidden="false" customHeight="false" outlineLevel="0" collapsed="false">
      <c r="A725" s="52" t="n">
        <v>46147.6860300926</v>
      </c>
      <c r="B725" s="53" t="s">
        <v>121</v>
      </c>
      <c r="C725" s="53" t="s">
        <v>127</v>
      </c>
      <c r="D725" s="53" t="s">
        <v>107</v>
      </c>
      <c r="E725" s="54" t="n">
        <v>46147</v>
      </c>
      <c r="F725" s="55" t="n">
        <v>15</v>
      </c>
      <c r="G725" s="55" t="n">
        <v>13</v>
      </c>
      <c r="H725" s="55" t="n">
        <v>75</v>
      </c>
      <c r="I725" s="56" t="n">
        <v>4.5</v>
      </c>
      <c r="J725" s="53" t="s">
        <v>128</v>
      </c>
      <c r="K725" s="53"/>
      <c r="L725" s="57" t="str">
        <f aca="false">IF(C725="","",IFERROR(INDEX(site_ID,MATCH(C725,site_Name,0)),"Not on SITES"))</f>
        <v>LW-108</v>
      </c>
      <c r="M725" s="58" t="n">
        <f aca="false">IF(E725="","",DATE(YEAR(E725),MONTH(E725),1))</f>
        <v>46143</v>
      </c>
      <c r="N725" s="57" t="str">
        <f aca="false">IF(E725="","","FY"&amp;(YEAR(E725)+IF(AND(FYStart&gt;1,MONTH(E725)&gt;=FYStart),1,0))&amp;" Q"&amp;(INT(MOD(MONTH(E725)-FYStart,12)/3)+1))</f>
        <v>FY2026 Q4</v>
      </c>
      <c r="O725" s="59" t="n">
        <f aca="false">IF(OR(E725="",N(F725)=0),"",G725/F725)</f>
        <v>0.866666666666667</v>
      </c>
      <c r="P725" s="60" t="n">
        <f aca="false">IF(E725="","",ROUND(N(G725)*N(H725)/60,1))</f>
        <v>16.3</v>
      </c>
      <c r="Q725" s="57" t="str">
        <f aca="false">IF(E725="","",IF(COUNTIFS($C$2:C725,C725,$E$2:E725,E725,$B$2:B725,B725)&gt;1,"No","Yes"))</f>
        <v>Yes</v>
      </c>
      <c r="R725" s="61" t="str">
        <f aca="false">IF(E725="","",IF(Q725="No","Duplicate of an earlier response",IF(L725="Not on SITES","Site not on SITES",IF(N(G725)&gt;N(F725),"Present is more than enrolled",IF(OR(I725&lt;1,I725&gt;5),"Score outside 1 to 5","")))))</f>
        <v/>
      </c>
    </row>
    <row r="726" customFormat="false" ht="15" hidden="false" customHeight="false" outlineLevel="0" collapsed="false">
      <c r="A726" s="52" t="n">
        <v>46147.7039814815</v>
      </c>
      <c r="B726" s="53" t="s">
        <v>132</v>
      </c>
      <c r="C726" s="53" t="s">
        <v>133</v>
      </c>
      <c r="D726" s="53" t="s">
        <v>116</v>
      </c>
      <c r="E726" s="54" t="n">
        <v>46147</v>
      </c>
      <c r="F726" s="55" t="n">
        <v>17</v>
      </c>
      <c r="G726" s="55" t="n">
        <v>15</v>
      </c>
      <c r="H726" s="55" t="n">
        <v>90</v>
      </c>
      <c r="I726" s="56" t="n">
        <v>3.6</v>
      </c>
      <c r="J726" s="53" t="s">
        <v>123</v>
      </c>
      <c r="K726" s="53"/>
      <c r="L726" s="57" t="str">
        <f aca="false">IF(C726="","",IFERROR(INDEX(site_ID,MATCH(C726,site_Name,0)),"Not on SITES"))</f>
        <v>LW-109</v>
      </c>
      <c r="M726" s="58" t="n">
        <f aca="false">IF(E726="","",DATE(YEAR(E726),MONTH(E726),1))</f>
        <v>46143</v>
      </c>
      <c r="N726" s="57" t="str">
        <f aca="false">IF(E726="","","FY"&amp;(YEAR(E726)+IF(AND(FYStart&gt;1,MONTH(E726)&gt;=FYStart),1,0))&amp;" Q"&amp;(INT(MOD(MONTH(E726)-FYStart,12)/3)+1))</f>
        <v>FY2026 Q4</v>
      </c>
      <c r="O726" s="59" t="n">
        <f aca="false">IF(OR(E726="",N(F726)=0),"",G726/F726)</f>
        <v>0.882352941176471</v>
      </c>
      <c r="P726" s="60" t="n">
        <f aca="false">IF(E726="","",ROUND(N(G726)*N(H726)/60,1))</f>
        <v>22.5</v>
      </c>
      <c r="Q726" s="57" t="str">
        <f aca="false">IF(E726="","",IF(COUNTIFS($C$2:C726,C726,$E$2:E726,E726,$B$2:B726,B726)&gt;1,"No","Yes"))</f>
        <v>Yes</v>
      </c>
      <c r="R726" s="61" t="str">
        <f aca="false">IF(E726="","",IF(Q726="No","Duplicate of an earlier response",IF(L726="Not on SITES","Site not on SITES",IF(N(G726)&gt;N(F726),"Present is more than enrolled",IF(OR(I726&lt;1,I726&gt;5),"Score outside 1 to 5","")))))</f>
        <v/>
      </c>
    </row>
    <row r="727" customFormat="false" ht="15" hidden="false" customHeight="false" outlineLevel="0" collapsed="false">
      <c r="A727" s="52" t="n">
        <v>46147.8277083333</v>
      </c>
      <c r="B727" s="53" t="s">
        <v>111</v>
      </c>
      <c r="C727" s="53" t="s">
        <v>122</v>
      </c>
      <c r="D727" s="53" t="s">
        <v>116</v>
      </c>
      <c r="E727" s="54" t="n">
        <v>46147</v>
      </c>
      <c r="F727" s="55" t="n">
        <v>16</v>
      </c>
      <c r="G727" s="55" t="n">
        <v>12</v>
      </c>
      <c r="H727" s="55" t="n">
        <v>90</v>
      </c>
      <c r="I727" s="56" t="n">
        <v>3.8</v>
      </c>
      <c r="J727" s="53" t="s">
        <v>117</v>
      </c>
      <c r="K727" s="53"/>
      <c r="L727" s="57" t="str">
        <f aca="false">IF(C727="","",IFERROR(INDEX(site_ID,MATCH(C727,site_Name,0)),"Not on SITES"))</f>
        <v>LW-116</v>
      </c>
      <c r="M727" s="58" t="n">
        <f aca="false">IF(E727="","",DATE(YEAR(E727),MONTH(E727),1))</f>
        <v>46143</v>
      </c>
      <c r="N727" s="57" t="str">
        <f aca="false">IF(E727="","","FY"&amp;(YEAR(E727)+IF(AND(FYStart&gt;1,MONTH(E727)&gt;=FYStart),1,0))&amp;" Q"&amp;(INT(MOD(MONTH(E727)-FYStart,12)/3)+1))</f>
        <v>FY2026 Q4</v>
      </c>
      <c r="O727" s="59" t="n">
        <f aca="false">IF(OR(E727="",N(F727)=0),"",G727/F727)</f>
        <v>0.75</v>
      </c>
      <c r="P727" s="60" t="n">
        <f aca="false">IF(E727="","",ROUND(N(G727)*N(H727)/60,1))</f>
        <v>18</v>
      </c>
      <c r="Q727" s="57" t="str">
        <f aca="false">IF(E727="","",IF(COUNTIFS($C$2:C727,C727,$E$2:E727,E727,$B$2:B727,B727)&gt;1,"No","Yes"))</f>
        <v>Yes</v>
      </c>
      <c r="R727" s="61" t="str">
        <f aca="false">IF(E727="","",IF(Q727="No","Duplicate of an earlier response",IF(L727="Not on SITES","Site not on SITES",IF(N(G727)&gt;N(F727),"Present is more than enrolled",IF(OR(I727&lt;1,I727&gt;5),"Score outside 1 to 5","")))))</f>
        <v/>
      </c>
    </row>
    <row r="728" customFormat="false" ht="15" hidden="false" customHeight="false" outlineLevel="0" collapsed="false">
      <c r="A728" s="52" t="n">
        <v>46147.8544097222</v>
      </c>
      <c r="B728" s="53" t="s">
        <v>105</v>
      </c>
      <c r="C728" s="53" t="s">
        <v>115</v>
      </c>
      <c r="D728" s="53" t="s">
        <v>116</v>
      </c>
      <c r="E728" s="54" t="n">
        <v>46146</v>
      </c>
      <c r="F728" s="55" t="n">
        <v>16</v>
      </c>
      <c r="G728" s="55" t="n">
        <v>14</v>
      </c>
      <c r="H728" s="55" t="n">
        <v>90</v>
      </c>
      <c r="I728" s="56" t="n">
        <v>4</v>
      </c>
      <c r="J728" s="53" t="s">
        <v>160</v>
      </c>
      <c r="K728" s="53"/>
      <c r="L728" s="57" t="str">
        <f aca="false">IF(C728="","",IFERROR(INDEX(site_ID,MATCH(C728,site_Name,0)),"Not on SITES"))</f>
        <v>LW-119</v>
      </c>
      <c r="M728" s="58" t="n">
        <f aca="false">IF(E728="","",DATE(YEAR(E728),MONTH(E728),1))</f>
        <v>46143</v>
      </c>
      <c r="N728" s="57" t="str">
        <f aca="false">IF(E728="","","FY"&amp;(YEAR(E728)+IF(AND(FYStart&gt;1,MONTH(E728)&gt;=FYStart),1,0))&amp;" Q"&amp;(INT(MOD(MONTH(E728)-FYStart,12)/3)+1))</f>
        <v>FY2026 Q4</v>
      </c>
      <c r="O728" s="59" t="n">
        <f aca="false">IF(OR(E728="",N(F728)=0),"",G728/F728)</f>
        <v>0.875</v>
      </c>
      <c r="P728" s="60" t="n">
        <f aca="false">IF(E728="","",ROUND(N(G728)*N(H728)/60,1))</f>
        <v>21</v>
      </c>
      <c r="Q728" s="57" t="str">
        <f aca="false">IF(E728="","",IF(COUNTIFS($C$2:C728,C728,$E$2:E728,E728,$B$2:B728,B728)&gt;1,"No","Yes"))</f>
        <v>Yes</v>
      </c>
      <c r="R728" s="61" t="str">
        <f aca="false">IF(E728="","",IF(Q728="No","Duplicate of an earlier response",IF(L728="Not on SITES","Site not on SITES",IF(N(G728)&gt;N(F728),"Present is more than enrolled",IF(OR(I728&lt;1,I728&gt;5),"Score outside 1 to 5","")))))</f>
        <v/>
      </c>
    </row>
    <row r="729" customFormat="false" ht="15" hidden="false" customHeight="false" outlineLevel="0" collapsed="false">
      <c r="A729" s="52" t="n">
        <v>46148.6703703704</v>
      </c>
      <c r="B729" s="53" t="s">
        <v>140</v>
      </c>
      <c r="C729" s="53" t="s">
        <v>142</v>
      </c>
      <c r="D729" s="53" t="s">
        <v>113</v>
      </c>
      <c r="E729" s="54" t="n">
        <v>46148</v>
      </c>
      <c r="F729" s="55" t="n">
        <v>18</v>
      </c>
      <c r="G729" s="55" t="n">
        <v>12</v>
      </c>
      <c r="H729" s="55" t="n">
        <v>60</v>
      </c>
      <c r="I729" s="56" t="n">
        <v>3.5</v>
      </c>
      <c r="J729" s="53" t="s">
        <v>136</v>
      </c>
      <c r="K729" s="53"/>
      <c r="L729" s="57" t="str">
        <f aca="false">IF(C729="","",IFERROR(INDEX(site_ID,MATCH(C729,site_Name,0)),"Not on SITES"))</f>
        <v>LW-102</v>
      </c>
      <c r="M729" s="58" t="n">
        <f aca="false">IF(E729="","",DATE(YEAR(E729),MONTH(E729),1))</f>
        <v>46143</v>
      </c>
      <c r="N729" s="57" t="str">
        <f aca="false">IF(E729="","","FY"&amp;(YEAR(E729)+IF(AND(FYStart&gt;1,MONTH(E729)&gt;=FYStart),1,0))&amp;" Q"&amp;(INT(MOD(MONTH(E729)-FYStart,12)/3)+1))</f>
        <v>FY2026 Q4</v>
      </c>
      <c r="O729" s="59" t="n">
        <f aca="false">IF(OR(E729="",N(F729)=0),"",G729/F729)</f>
        <v>0.666666666666667</v>
      </c>
      <c r="P729" s="60" t="n">
        <f aca="false">IF(E729="","",ROUND(N(G729)*N(H729)/60,1))</f>
        <v>12</v>
      </c>
      <c r="Q729" s="57" t="str">
        <f aca="false">IF(E729="","",IF(COUNTIFS($C$2:C729,C729,$E$2:E729,E729,$B$2:B729,B729)&gt;1,"No","Yes"))</f>
        <v>Yes</v>
      </c>
      <c r="R729" s="61" t="str">
        <f aca="false">IF(E729="","",IF(Q729="No","Duplicate of an earlier response",IF(L729="Not on SITES","Site not on SITES",IF(N(G729)&gt;N(F729),"Present is more than enrolled",IF(OR(I729&lt;1,I729&gt;5),"Score outside 1 to 5","")))))</f>
        <v/>
      </c>
    </row>
    <row r="730" customFormat="false" ht="15" hidden="false" customHeight="false" outlineLevel="0" collapsed="false">
      <c r="A730" s="52" t="n">
        <v>46148.6923726852</v>
      </c>
      <c r="B730" s="53" t="s">
        <v>105</v>
      </c>
      <c r="C730" s="53" t="s">
        <v>118</v>
      </c>
      <c r="D730" s="53" t="s">
        <v>119</v>
      </c>
      <c r="E730" s="54" t="n">
        <v>46148</v>
      </c>
      <c r="F730" s="55" t="n">
        <v>22</v>
      </c>
      <c r="G730" s="55" t="n">
        <v>19</v>
      </c>
      <c r="H730" s="55" t="n">
        <v>60</v>
      </c>
      <c r="I730" s="56" t="n">
        <v>3.7</v>
      </c>
      <c r="J730" s="53" t="s">
        <v>157</v>
      </c>
      <c r="K730" s="53"/>
      <c r="L730" s="57" t="str">
        <f aca="false">IF(C730="","",IFERROR(INDEX(site_ID,MATCH(C730,site_Name,0)),"Not on SITES"))</f>
        <v>LW-111</v>
      </c>
      <c r="M730" s="58" t="n">
        <f aca="false">IF(E730="","",DATE(YEAR(E730),MONTH(E730),1))</f>
        <v>46143</v>
      </c>
      <c r="N730" s="57" t="str">
        <f aca="false">IF(E730="","","FY"&amp;(YEAR(E730)+IF(AND(FYStart&gt;1,MONTH(E730)&gt;=FYStart),1,0))&amp;" Q"&amp;(INT(MOD(MONTH(E730)-FYStart,12)/3)+1))</f>
        <v>FY2026 Q4</v>
      </c>
      <c r="O730" s="59" t="n">
        <f aca="false">IF(OR(E730="",N(F730)=0),"",G730/F730)</f>
        <v>0.863636363636364</v>
      </c>
      <c r="P730" s="60" t="n">
        <f aca="false">IF(E730="","",ROUND(N(G730)*N(H730)/60,1))</f>
        <v>19</v>
      </c>
      <c r="Q730" s="57" t="str">
        <f aca="false">IF(E730="","",IF(COUNTIFS($C$2:C730,C730,$E$2:E730,E730,$B$2:B730,B730)&gt;1,"No","Yes"))</f>
        <v>Yes</v>
      </c>
      <c r="R730" s="61" t="str">
        <f aca="false">IF(E730="","",IF(Q730="No","Duplicate of an earlier response",IF(L730="Not on SITES","Site not on SITES",IF(N(G730)&gt;N(F730),"Present is more than enrolled",IF(OR(I730&lt;1,I730&gt;5),"Score outside 1 to 5","")))))</f>
        <v/>
      </c>
    </row>
    <row r="731" customFormat="false" ht="15" hidden="false" customHeight="false" outlineLevel="0" collapsed="false">
      <c r="A731" s="52" t="n">
        <v>46148.855462963</v>
      </c>
      <c r="B731" s="53" t="s">
        <v>111</v>
      </c>
      <c r="C731" s="53" t="s">
        <v>112</v>
      </c>
      <c r="D731" s="53" t="s">
        <v>113</v>
      </c>
      <c r="E731" s="54" t="n">
        <v>46148</v>
      </c>
      <c r="F731" s="55" t="n">
        <v>15</v>
      </c>
      <c r="G731" s="55" t="n">
        <v>12</v>
      </c>
      <c r="H731" s="55" t="n">
        <v>90</v>
      </c>
      <c r="I731" s="56" t="n">
        <v>3.9</v>
      </c>
      <c r="J731" s="53" t="s">
        <v>114</v>
      </c>
      <c r="K731" s="53"/>
      <c r="L731" s="57" t="str">
        <f aca="false">IF(C731="","",IFERROR(INDEX(site_ID,MATCH(C731,site_Name,0)),"Not on SITES"))</f>
        <v>LW-120</v>
      </c>
      <c r="M731" s="58" t="n">
        <f aca="false">IF(E731="","",DATE(YEAR(E731),MONTH(E731),1))</f>
        <v>46143</v>
      </c>
      <c r="N731" s="57" t="str">
        <f aca="false">IF(E731="","","FY"&amp;(YEAR(E731)+IF(AND(FYStart&gt;1,MONTH(E731)&gt;=FYStart),1,0))&amp;" Q"&amp;(INT(MOD(MONTH(E731)-FYStart,12)/3)+1))</f>
        <v>FY2026 Q4</v>
      </c>
      <c r="O731" s="59" t="n">
        <f aca="false">IF(OR(E731="",N(F731)=0),"",G731/F731)</f>
        <v>0.8</v>
      </c>
      <c r="P731" s="60" t="n">
        <f aca="false">IF(E731="","",ROUND(N(G731)*N(H731)/60,1))</f>
        <v>18</v>
      </c>
      <c r="Q731" s="57" t="str">
        <f aca="false">IF(E731="","",IF(COUNTIFS($C$2:C731,C731,$E$2:E731,E731,$B$2:B731,B731)&gt;1,"No","Yes"))</f>
        <v>Yes</v>
      </c>
      <c r="R731" s="61" t="str">
        <f aca="false">IF(E731="","",IF(Q731="No","Duplicate of an earlier response",IF(L731="Not on SITES","Site not on SITES",IF(N(G731)&gt;N(F731),"Present is more than enrolled",IF(OR(I731&lt;1,I731&gt;5),"Score outside 1 to 5","")))))</f>
        <v/>
      </c>
    </row>
    <row r="732" customFormat="false" ht="15" hidden="false" customHeight="false" outlineLevel="0" collapsed="false">
      <c r="A732" s="52" t="n">
        <v>46148.865775463</v>
      </c>
      <c r="B732" s="53" t="s">
        <v>132</v>
      </c>
      <c r="C732" s="53" t="s">
        <v>145</v>
      </c>
      <c r="D732" s="53" t="s">
        <v>119</v>
      </c>
      <c r="E732" s="54" t="n">
        <v>46148</v>
      </c>
      <c r="F732" s="55" t="n">
        <v>19</v>
      </c>
      <c r="G732" s="55" t="n">
        <v>16</v>
      </c>
      <c r="H732" s="55" t="n">
        <v>75</v>
      </c>
      <c r="I732" s="56" t="n">
        <v>4</v>
      </c>
      <c r="J732" s="53" t="s">
        <v>144</v>
      </c>
      <c r="K732" s="53"/>
      <c r="L732" s="57" t="str">
        <f aca="false">IF(C732="","",IFERROR(INDEX(site_ID,MATCH(C732,site_Name,0)),"Not on SITES"))</f>
        <v>LW-101</v>
      </c>
      <c r="M732" s="58" t="n">
        <f aca="false">IF(E732="","",DATE(YEAR(E732),MONTH(E732),1))</f>
        <v>46143</v>
      </c>
      <c r="N732" s="57" t="str">
        <f aca="false">IF(E732="","","FY"&amp;(YEAR(E732)+IF(AND(FYStart&gt;1,MONTH(E732)&gt;=FYStart),1,0))&amp;" Q"&amp;(INT(MOD(MONTH(E732)-FYStart,12)/3)+1))</f>
        <v>FY2026 Q4</v>
      </c>
      <c r="O732" s="59" t="n">
        <f aca="false">IF(OR(E732="",N(F732)=0),"",G732/F732)</f>
        <v>0.842105263157895</v>
      </c>
      <c r="P732" s="60" t="n">
        <f aca="false">IF(E732="","",ROUND(N(G732)*N(H732)/60,1))</f>
        <v>20</v>
      </c>
      <c r="Q732" s="57" t="str">
        <f aca="false">IF(E732="","",IF(COUNTIFS($C$2:C732,C732,$E$2:E732,E732,$B$2:B732,B732)&gt;1,"No","Yes"))</f>
        <v>Yes</v>
      </c>
      <c r="R732" s="61" t="str">
        <f aca="false">IF(E732="","",IF(Q732="No","Duplicate of an earlier response",IF(L732="Not on SITES","Site not on SITES",IF(N(G732)&gt;N(F732),"Present is more than enrolled",IF(OR(I732&lt;1,I732&gt;5),"Score outside 1 to 5","")))))</f>
        <v/>
      </c>
    </row>
    <row r="733" customFormat="false" ht="15" hidden="false" customHeight="false" outlineLevel="0" collapsed="false">
      <c r="A733" s="52" t="n">
        <v>46149.6353935185</v>
      </c>
      <c r="B733" s="53" t="s">
        <v>109</v>
      </c>
      <c r="C733" s="53" t="s">
        <v>146</v>
      </c>
      <c r="D733" s="53" t="s">
        <v>138</v>
      </c>
      <c r="E733" s="54" t="n">
        <v>46149</v>
      </c>
      <c r="F733" s="55" t="n">
        <v>14</v>
      </c>
      <c r="G733" s="55" t="n">
        <v>13</v>
      </c>
      <c r="H733" s="55" t="n">
        <v>90</v>
      </c>
      <c r="I733" s="56" t="n">
        <v>4.1</v>
      </c>
      <c r="J733" s="53" t="s">
        <v>147</v>
      </c>
      <c r="K733" s="53"/>
      <c r="L733" s="57" t="str">
        <f aca="false">IF(C733="","",IFERROR(INDEX(site_ID,MATCH(C733,site_Name,0)),"Not on SITES"))</f>
        <v>LW-105</v>
      </c>
      <c r="M733" s="58" t="n">
        <f aca="false">IF(E733="","",DATE(YEAR(E733),MONTH(E733),1))</f>
        <v>46143</v>
      </c>
      <c r="N733" s="57" t="str">
        <f aca="false">IF(E733="","","FY"&amp;(YEAR(E733)+IF(AND(FYStart&gt;1,MONTH(E733)&gt;=FYStart),1,0))&amp;" Q"&amp;(INT(MOD(MONTH(E733)-FYStart,12)/3)+1))</f>
        <v>FY2026 Q4</v>
      </c>
      <c r="O733" s="59" t="n">
        <f aca="false">IF(OR(E733="",N(F733)=0),"",G733/F733)</f>
        <v>0.928571428571429</v>
      </c>
      <c r="P733" s="60" t="n">
        <f aca="false">IF(E733="","",ROUND(N(G733)*N(H733)/60,1))</f>
        <v>19.5</v>
      </c>
      <c r="Q733" s="57" t="str">
        <f aca="false">IF(E733="","",IF(COUNTIFS($C$2:C733,C733,$E$2:E733,E733,$B$2:B733,B733)&gt;1,"No","Yes"))</f>
        <v>Yes</v>
      </c>
      <c r="R733" s="61" t="str">
        <f aca="false">IF(E733="","",IF(Q733="No","Duplicate of an earlier response",IF(L733="Not on SITES","Site not on SITES",IF(N(G733)&gt;N(F733),"Present is more than enrolled",IF(OR(I733&lt;1,I733&gt;5),"Score outside 1 to 5","")))))</f>
        <v/>
      </c>
    </row>
    <row r="734" customFormat="false" ht="15" hidden="false" customHeight="false" outlineLevel="0" collapsed="false">
      <c r="A734" s="52" t="n">
        <v>46149.6750810185</v>
      </c>
      <c r="B734" s="53" t="s">
        <v>124</v>
      </c>
      <c r="C734" s="53" t="s">
        <v>154</v>
      </c>
      <c r="D734" s="53" t="s">
        <v>116</v>
      </c>
      <c r="E734" s="54" t="n">
        <v>46149</v>
      </c>
      <c r="F734" s="55" t="n">
        <v>18</v>
      </c>
      <c r="G734" s="55" t="n">
        <v>14</v>
      </c>
      <c r="H734" s="55" t="n">
        <v>60</v>
      </c>
      <c r="I734" s="56" t="n">
        <v>3.7</v>
      </c>
      <c r="J734" s="53" t="s">
        <v>160</v>
      </c>
      <c r="K734" s="53"/>
      <c r="L734" s="57" t="str">
        <f aca="false">IF(C734="","",IFERROR(INDEX(site_ID,MATCH(C734,site_Name,0)),"Not on SITES"))</f>
        <v>LW-114</v>
      </c>
      <c r="M734" s="58" t="n">
        <f aca="false">IF(E734="","",DATE(YEAR(E734),MONTH(E734),1))</f>
        <v>46143</v>
      </c>
      <c r="N734" s="57" t="str">
        <f aca="false">IF(E734="","","FY"&amp;(YEAR(E734)+IF(AND(FYStart&gt;1,MONTH(E734)&gt;=FYStart),1,0))&amp;" Q"&amp;(INT(MOD(MONTH(E734)-FYStart,12)/3)+1))</f>
        <v>FY2026 Q4</v>
      </c>
      <c r="O734" s="59" t="n">
        <f aca="false">IF(OR(E734="",N(F734)=0),"",G734/F734)</f>
        <v>0.777777777777778</v>
      </c>
      <c r="P734" s="60" t="n">
        <f aca="false">IF(E734="","",ROUND(N(G734)*N(H734)/60,1))</f>
        <v>14</v>
      </c>
      <c r="Q734" s="57" t="str">
        <f aca="false">IF(E734="","",IF(COUNTIFS($C$2:C734,C734,$E$2:E734,E734,$B$2:B734,B734)&gt;1,"No","Yes"))</f>
        <v>Yes</v>
      </c>
      <c r="R734" s="61" t="str">
        <f aca="false">IF(E734="","",IF(Q734="No","Duplicate of an earlier response",IF(L734="Not on SITES","Site not on SITES",IF(N(G734)&gt;N(F734),"Present is more than enrolled",IF(OR(I734&lt;1,I734&gt;5),"Score outside 1 to 5","")))))</f>
        <v/>
      </c>
    </row>
    <row r="735" customFormat="false" ht="15" hidden="false" customHeight="false" outlineLevel="0" collapsed="false">
      <c r="A735" s="52" t="n">
        <v>46149.7139699074</v>
      </c>
      <c r="B735" s="53" t="s">
        <v>132</v>
      </c>
      <c r="C735" s="53" t="s">
        <v>150</v>
      </c>
      <c r="D735" s="53" t="s">
        <v>138</v>
      </c>
      <c r="E735" s="54" t="n">
        <v>46149</v>
      </c>
      <c r="F735" s="55" t="n">
        <v>21</v>
      </c>
      <c r="G735" s="55" t="n">
        <v>16</v>
      </c>
      <c r="H735" s="55" t="n">
        <v>90</v>
      </c>
      <c r="I735" s="56" t="n">
        <v>3.6</v>
      </c>
      <c r="J735" s="53" t="s">
        <v>163</v>
      </c>
      <c r="K735" s="53"/>
      <c r="L735" s="57" t="str">
        <f aca="false">IF(C735="","",IFERROR(INDEX(site_ID,MATCH(C735,site_Name,0)),"Not on SITES"))</f>
        <v>LW-117</v>
      </c>
      <c r="M735" s="58" t="n">
        <f aca="false">IF(E735="","",DATE(YEAR(E735),MONTH(E735),1))</f>
        <v>46143</v>
      </c>
      <c r="N735" s="57" t="str">
        <f aca="false">IF(E735="","","FY"&amp;(YEAR(E735)+IF(AND(FYStart&gt;1,MONTH(E735)&gt;=FYStart),1,0))&amp;" Q"&amp;(INT(MOD(MONTH(E735)-FYStart,12)/3)+1))</f>
        <v>FY2026 Q4</v>
      </c>
      <c r="O735" s="59" t="n">
        <f aca="false">IF(OR(E735="",N(F735)=0),"",G735/F735)</f>
        <v>0.761904761904762</v>
      </c>
      <c r="P735" s="60" t="n">
        <f aca="false">IF(E735="","",ROUND(N(G735)*N(H735)/60,1))</f>
        <v>24</v>
      </c>
      <c r="Q735" s="57" t="str">
        <f aca="false">IF(E735="","",IF(COUNTIFS($C$2:C735,C735,$E$2:E735,E735,$B$2:B735,B735)&gt;1,"No","Yes"))</f>
        <v>Yes</v>
      </c>
      <c r="R735" s="61" t="str">
        <f aca="false">IF(E735="","",IF(Q735="No","Duplicate of an earlier response",IF(L735="Not on SITES","Site not on SITES",IF(N(G735)&gt;N(F735),"Present is more than enrolled",IF(OR(I735&lt;1,I735&gt;5),"Score outside 1 to 5","")))))</f>
        <v/>
      </c>
    </row>
    <row r="736" customFormat="false" ht="15" hidden="false" customHeight="false" outlineLevel="0" collapsed="false">
      <c r="A736" s="52" t="n">
        <v>46149.7793402778</v>
      </c>
      <c r="B736" s="53" t="s">
        <v>121</v>
      </c>
      <c r="C736" s="53" t="s">
        <v>122</v>
      </c>
      <c r="D736" s="53" t="s">
        <v>116</v>
      </c>
      <c r="E736" s="54" t="n">
        <v>46149</v>
      </c>
      <c r="F736" s="55" t="n">
        <v>16</v>
      </c>
      <c r="G736" s="55" t="n">
        <v>12</v>
      </c>
      <c r="H736" s="55" t="n">
        <v>75</v>
      </c>
      <c r="I736" s="56" t="n">
        <v>4</v>
      </c>
      <c r="J736" s="53" t="s">
        <v>117</v>
      </c>
      <c r="K736" s="53"/>
      <c r="L736" s="57" t="str">
        <f aca="false">IF(C736="","",IFERROR(INDEX(site_ID,MATCH(C736,site_Name,0)),"Not on SITES"))</f>
        <v>LW-116</v>
      </c>
      <c r="M736" s="58" t="n">
        <f aca="false">IF(E736="","",DATE(YEAR(E736),MONTH(E736),1))</f>
        <v>46143</v>
      </c>
      <c r="N736" s="57" t="str">
        <f aca="false">IF(E736="","","FY"&amp;(YEAR(E736)+IF(AND(FYStart&gt;1,MONTH(E736)&gt;=FYStart),1,0))&amp;" Q"&amp;(INT(MOD(MONTH(E736)-FYStart,12)/3)+1))</f>
        <v>FY2026 Q4</v>
      </c>
      <c r="O736" s="59" t="n">
        <f aca="false">IF(OR(E736="",N(F736)=0),"",G736/F736)</f>
        <v>0.75</v>
      </c>
      <c r="P736" s="60" t="n">
        <f aca="false">IF(E736="","",ROUND(N(G736)*N(H736)/60,1))</f>
        <v>15</v>
      </c>
      <c r="Q736" s="57" t="str">
        <f aca="false">IF(E736="","",IF(COUNTIFS($C$2:C736,C736,$E$2:E736,E736,$B$2:B736,B736)&gt;1,"No","Yes"))</f>
        <v>Yes</v>
      </c>
      <c r="R736" s="61" t="str">
        <f aca="false">IF(E736="","",IF(Q736="No","Duplicate of an earlier response",IF(L736="Not on SITES","Site not on SITES",IF(N(G736)&gt;N(F736),"Present is more than enrolled",IF(OR(I736&lt;1,I736&gt;5),"Score outside 1 to 5","")))))</f>
        <v/>
      </c>
    </row>
    <row r="737" customFormat="false" ht="15" hidden="false" customHeight="false" outlineLevel="0" collapsed="false">
      <c r="A737" s="52" t="n">
        <v>46149.7835648148</v>
      </c>
      <c r="B737" s="53" t="s">
        <v>140</v>
      </c>
      <c r="C737" s="53" t="s">
        <v>151</v>
      </c>
      <c r="D737" s="53" t="s">
        <v>138</v>
      </c>
      <c r="E737" s="54" t="n">
        <v>46149</v>
      </c>
      <c r="F737" s="55" t="n">
        <v>13</v>
      </c>
      <c r="G737" s="55" t="n">
        <v>11</v>
      </c>
      <c r="H737" s="55" t="n">
        <v>90</v>
      </c>
      <c r="I737" s="56" t="n">
        <v>3.9</v>
      </c>
      <c r="J737" s="53" t="s">
        <v>152</v>
      </c>
      <c r="K737" s="53"/>
      <c r="L737" s="57" t="str">
        <f aca="false">IF(C737="","",IFERROR(INDEX(site_ID,MATCH(C737,site_Name,0)),"Not on SITES"))</f>
        <v>LW-110</v>
      </c>
      <c r="M737" s="58" t="n">
        <f aca="false">IF(E737="","",DATE(YEAR(E737),MONTH(E737),1))</f>
        <v>46143</v>
      </c>
      <c r="N737" s="57" t="str">
        <f aca="false">IF(E737="","","FY"&amp;(YEAR(E737)+IF(AND(FYStart&gt;1,MONTH(E737)&gt;=FYStart),1,0))&amp;" Q"&amp;(INT(MOD(MONTH(E737)-FYStart,12)/3)+1))</f>
        <v>FY2026 Q4</v>
      </c>
      <c r="O737" s="59" t="n">
        <f aca="false">IF(OR(E737="",N(F737)=0),"",G737/F737)</f>
        <v>0.846153846153846</v>
      </c>
      <c r="P737" s="60" t="n">
        <f aca="false">IF(E737="","",ROUND(N(G737)*N(H737)/60,1))</f>
        <v>16.5</v>
      </c>
      <c r="Q737" s="57" t="str">
        <f aca="false">IF(E737="","",IF(COUNTIFS($C$2:C737,C737,$E$2:E737,E737,$B$2:B737,B737)&gt;1,"No","Yes"))</f>
        <v>Yes</v>
      </c>
      <c r="R737" s="61" t="str">
        <f aca="false">IF(E737="","",IF(Q737="No","Duplicate of an earlier response",IF(L737="Not on SITES","Site not on SITES",IF(N(G737)&gt;N(F737),"Present is more than enrolled",IF(OR(I737&lt;1,I737&gt;5),"Score outside 1 to 5","")))))</f>
        <v/>
      </c>
    </row>
    <row r="738" customFormat="false" ht="15" hidden="false" customHeight="false" outlineLevel="0" collapsed="false">
      <c r="A738" s="52" t="n">
        <v>46149.842349537</v>
      </c>
      <c r="B738" s="53" t="s">
        <v>140</v>
      </c>
      <c r="C738" s="53" t="s">
        <v>141</v>
      </c>
      <c r="D738" s="53" t="s">
        <v>116</v>
      </c>
      <c r="E738" s="54" t="n">
        <v>46148</v>
      </c>
      <c r="F738" s="55" t="n">
        <v>13</v>
      </c>
      <c r="G738" s="55" t="n">
        <v>11</v>
      </c>
      <c r="H738" s="55" t="n">
        <v>90</v>
      </c>
      <c r="I738" s="56" t="n">
        <v>4.2</v>
      </c>
      <c r="J738" s="53" t="s">
        <v>153</v>
      </c>
      <c r="K738" s="53"/>
      <c r="L738" s="57" t="str">
        <f aca="false">IF(C738="","",IFERROR(INDEX(site_ID,MATCH(C738,site_Name,0)),"Not on SITES"))</f>
        <v>LW-118</v>
      </c>
      <c r="M738" s="58" t="n">
        <f aca="false">IF(E738="","",DATE(YEAR(E738),MONTH(E738),1))</f>
        <v>46143</v>
      </c>
      <c r="N738" s="57" t="str">
        <f aca="false">IF(E738="","","FY"&amp;(YEAR(E738)+IF(AND(FYStart&gt;1,MONTH(E738)&gt;=FYStart),1,0))&amp;" Q"&amp;(INT(MOD(MONTH(E738)-FYStart,12)/3)+1))</f>
        <v>FY2026 Q4</v>
      </c>
      <c r="O738" s="59" t="n">
        <f aca="false">IF(OR(E738="",N(F738)=0),"",G738/F738)</f>
        <v>0.846153846153846</v>
      </c>
      <c r="P738" s="60" t="n">
        <f aca="false">IF(E738="","",ROUND(N(G738)*N(H738)/60,1))</f>
        <v>16.5</v>
      </c>
      <c r="Q738" s="57" t="str">
        <f aca="false">IF(E738="","",IF(COUNTIFS($C$2:C738,C738,$E$2:E738,E738,$B$2:B738,B738)&gt;1,"No","Yes"))</f>
        <v>Yes</v>
      </c>
      <c r="R738" s="61" t="str">
        <f aca="false">IF(E738="","",IF(Q738="No","Duplicate of an earlier response",IF(L738="Not on SITES","Site not on SITES",IF(N(G738)&gt;N(F738),"Present is more than enrolled",IF(OR(I738&lt;1,I738&gt;5),"Score outside 1 to 5","")))))</f>
        <v/>
      </c>
    </row>
    <row r="739" customFormat="false" ht="15" hidden="false" customHeight="false" outlineLevel="0" collapsed="false">
      <c r="A739" s="52" t="n">
        <v>46149.8547685185</v>
      </c>
      <c r="B739" s="53" t="s">
        <v>111</v>
      </c>
      <c r="C739" s="53" t="s">
        <v>149</v>
      </c>
      <c r="D739" s="53" t="s">
        <v>113</v>
      </c>
      <c r="E739" s="54" t="n">
        <v>46149</v>
      </c>
      <c r="F739" s="55" t="n">
        <v>21</v>
      </c>
      <c r="G739" s="55" t="n">
        <v>19</v>
      </c>
      <c r="H739" s="55" t="n">
        <v>90</v>
      </c>
      <c r="I739" s="56" t="n">
        <v>4.1</v>
      </c>
      <c r="J739" s="53" t="s">
        <v>131</v>
      </c>
      <c r="K739" s="53"/>
      <c r="L739" s="57" t="str">
        <f aca="false">IF(C739="","",IFERROR(INDEX(site_ID,MATCH(C739,site_Name,0)),"Not on SITES"))</f>
        <v>LW-112</v>
      </c>
      <c r="M739" s="58" t="n">
        <f aca="false">IF(E739="","",DATE(YEAR(E739),MONTH(E739),1))</f>
        <v>46143</v>
      </c>
      <c r="N739" s="57" t="str">
        <f aca="false">IF(E739="","","FY"&amp;(YEAR(E739)+IF(AND(FYStart&gt;1,MONTH(E739)&gt;=FYStart),1,0))&amp;" Q"&amp;(INT(MOD(MONTH(E739)-FYStart,12)/3)+1))</f>
        <v>FY2026 Q4</v>
      </c>
      <c r="O739" s="59" t="n">
        <f aca="false">IF(OR(E739="",N(F739)=0),"",G739/F739)</f>
        <v>0.904761904761905</v>
      </c>
      <c r="P739" s="60" t="n">
        <f aca="false">IF(E739="","",ROUND(N(G739)*N(H739)/60,1))</f>
        <v>28.5</v>
      </c>
      <c r="Q739" s="57" t="str">
        <f aca="false">IF(E739="","",IF(COUNTIFS($C$2:C739,C739,$E$2:E739,E739,$B$2:B739,B739)&gt;1,"No","Yes"))</f>
        <v>Yes</v>
      </c>
      <c r="R739" s="61" t="str">
        <f aca="false">IF(E739="","",IF(Q739="No","Duplicate of an earlier response",IF(L739="Not on SITES","Site not on SITES",IF(N(G739)&gt;N(F739),"Present is more than enrolled",IF(OR(I739&lt;1,I739&gt;5),"Score outside 1 to 5","")))))</f>
        <v/>
      </c>
    </row>
    <row r="740" customFormat="false" ht="15" hidden="false" customHeight="false" outlineLevel="0" collapsed="false">
      <c r="A740" s="52" t="n">
        <v>46150.7611111111</v>
      </c>
      <c r="B740" s="53" t="s">
        <v>140</v>
      </c>
      <c r="C740" s="53" t="s">
        <v>141</v>
      </c>
      <c r="D740" s="53" t="s">
        <v>116</v>
      </c>
      <c r="E740" s="54" t="n">
        <v>46150</v>
      </c>
      <c r="F740" s="55" t="n">
        <v>13</v>
      </c>
      <c r="G740" s="55" t="n">
        <v>10</v>
      </c>
      <c r="H740" s="55" t="n">
        <v>60</v>
      </c>
      <c r="I740" s="56" t="n">
        <v>4.2</v>
      </c>
      <c r="J740" s="53" t="s">
        <v>134</v>
      </c>
      <c r="K740" s="53"/>
      <c r="L740" s="57" t="str">
        <f aca="false">IF(C740="","",IFERROR(INDEX(site_ID,MATCH(C740,site_Name,0)),"Not on SITES"))</f>
        <v>LW-118</v>
      </c>
      <c r="M740" s="58" t="n">
        <f aca="false">IF(E740="","",DATE(YEAR(E740),MONTH(E740),1))</f>
        <v>46143</v>
      </c>
      <c r="N740" s="57" t="str">
        <f aca="false">IF(E740="","","FY"&amp;(YEAR(E740)+IF(AND(FYStart&gt;1,MONTH(E740)&gt;=FYStart),1,0))&amp;" Q"&amp;(INT(MOD(MONTH(E740)-FYStart,12)/3)+1))</f>
        <v>FY2026 Q4</v>
      </c>
      <c r="O740" s="59" t="n">
        <f aca="false">IF(OR(E740="",N(F740)=0),"",G740/F740)</f>
        <v>0.769230769230769</v>
      </c>
      <c r="P740" s="60" t="n">
        <f aca="false">IF(E740="","",ROUND(N(G740)*N(H740)/60,1))</f>
        <v>10</v>
      </c>
      <c r="Q740" s="57" t="str">
        <f aca="false">IF(E740="","",IF(COUNTIFS($C$2:C740,C740,$E$2:E740,E740,$B$2:B740,B740)&gt;1,"No","Yes"))</f>
        <v>Yes</v>
      </c>
      <c r="R740" s="61" t="str">
        <f aca="false">IF(E740="","",IF(Q740="No","Duplicate of an earlier response",IF(L740="Not on SITES","Site not on SITES",IF(N(G740)&gt;N(F740),"Present is more than enrolled",IF(OR(I740&lt;1,I740&gt;5),"Score outside 1 to 5","")))))</f>
        <v/>
      </c>
    </row>
    <row r="741" customFormat="false" ht="15" hidden="false" customHeight="false" outlineLevel="0" collapsed="false">
      <c r="A741" s="52" t="n">
        <v>46150.8292476852</v>
      </c>
      <c r="B741" s="53" t="s">
        <v>124</v>
      </c>
      <c r="C741" s="53" t="s">
        <v>125</v>
      </c>
      <c r="D741" s="53" t="s">
        <v>119</v>
      </c>
      <c r="E741" s="54" t="n">
        <v>46147</v>
      </c>
      <c r="F741" s="55" t="n">
        <v>18</v>
      </c>
      <c r="G741" s="55" t="n">
        <v>13</v>
      </c>
      <c r="H741" s="55" t="n">
        <v>75</v>
      </c>
      <c r="I741" s="56" t="n">
        <v>4.1</v>
      </c>
      <c r="J741" s="53" t="s">
        <v>126</v>
      </c>
      <c r="K741" s="53"/>
      <c r="L741" s="57" t="str">
        <f aca="false">IF(C741="","",IFERROR(INDEX(site_ID,MATCH(C741,site_Name,0)),"Not on SITES"))</f>
        <v>LW-106</v>
      </c>
      <c r="M741" s="58" t="n">
        <f aca="false">IF(E741="","",DATE(YEAR(E741),MONTH(E741),1))</f>
        <v>46143</v>
      </c>
      <c r="N741" s="57" t="str">
        <f aca="false">IF(E741="","","FY"&amp;(YEAR(E741)+IF(AND(FYStart&gt;1,MONTH(E741)&gt;=FYStart),1,0))&amp;" Q"&amp;(INT(MOD(MONTH(E741)-FYStart,12)/3)+1))</f>
        <v>FY2026 Q4</v>
      </c>
      <c r="O741" s="59" t="n">
        <f aca="false">IF(OR(E741="",N(F741)=0),"",G741/F741)</f>
        <v>0.722222222222222</v>
      </c>
      <c r="P741" s="60" t="n">
        <f aca="false">IF(E741="","",ROUND(N(G741)*N(H741)/60,1))</f>
        <v>16.3</v>
      </c>
      <c r="Q741" s="57" t="str">
        <f aca="false">IF(E741="","",IF(COUNTIFS($C$2:C741,C741,$E$2:E741,E741,$B$2:B741,B741)&gt;1,"No","Yes"))</f>
        <v>Yes</v>
      </c>
      <c r="R741" s="61" t="str">
        <f aca="false">IF(E741="","",IF(Q741="No","Duplicate of an earlier response",IF(L741="Not on SITES","Site not on SITES",IF(N(G741)&gt;N(F741),"Present is more than enrolled",IF(OR(I741&lt;1,I741&gt;5),"Score outside 1 to 5","")))))</f>
        <v/>
      </c>
    </row>
    <row r="742" customFormat="false" ht="15" hidden="false" customHeight="false" outlineLevel="0" collapsed="false">
      <c r="A742" s="52" t="n">
        <v>46152.8084259259</v>
      </c>
      <c r="B742" s="53" t="s">
        <v>111</v>
      </c>
      <c r="C742" s="53" t="s">
        <v>148</v>
      </c>
      <c r="D742" s="53" t="s">
        <v>116</v>
      </c>
      <c r="E742" s="54" t="n">
        <v>46149</v>
      </c>
      <c r="F742" s="55" t="n">
        <v>16</v>
      </c>
      <c r="G742" s="55" t="n">
        <v>11</v>
      </c>
      <c r="H742" s="55" t="n">
        <v>60</v>
      </c>
      <c r="I742" s="56" t="n">
        <v>4.3</v>
      </c>
      <c r="J742" s="53" t="s">
        <v>117</v>
      </c>
      <c r="K742" s="53"/>
      <c r="L742" s="57" t="str">
        <f aca="false">IF(C742="","",IFERROR(INDEX(site_ID,MATCH(C742,site_Name,0)),"Not on SITES"))</f>
        <v>LW-104</v>
      </c>
      <c r="M742" s="58" t="n">
        <f aca="false">IF(E742="","",DATE(YEAR(E742),MONTH(E742),1))</f>
        <v>46143</v>
      </c>
      <c r="N742" s="57" t="str">
        <f aca="false">IF(E742="","","FY"&amp;(YEAR(E742)+IF(AND(FYStart&gt;1,MONTH(E742)&gt;=FYStart),1,0))&amp;" Q"&amp;(INT(MOD(MONTH(E742)-FYStart,12)/3)+1))</f>
        <v>FY2026 Q4</v>
      </c>
      <c r="O742" s="59" t="n">
        <f aca="false">IF(OR(E742="",N(F742)=0),"",G742/F742)</f>
        <v>0.6875</v>
      </c>
      <c r="P742" s="60" t="n">
        <f aca="false">IF(E742="","",ROUND(N(G742)*N(H742)/60,1))</f>
        <v>11</v>
      </c>
      <c r="Q742" s="57" t="str">
        <f aca="false">IF(E742="","",IF(COUNTIFS($C$2:C742,C742,$E$2:E742,E742,$B$2:B742,B742)&gt;1,"No","Yes"))</f>
        <v>Yes</v>
      </c>
      <c r="R742" s="61" t="str">
        <f aca="false">IF(E742="","",IF(Q742="No","Duplicate of an earlier response",IF(L742="Not on SITES","Site not on SITES",IF(N(G742)&gt;N(F742),"Present is more than enrolled",IF(OR(I742&lt;1,I742&gt;5),"Score outside 1 to 5","")))))</f>
        <v/>
      </c>
    </row>
    <row r="743" customFormat="false" ht="15" hidden="false" customHeight="false" outlineLevel="0" collapsed="false">
      <c r="A743" s="52" t="n">
        <v>46153.7104282407</v>
      </c>
      <c r="B743" s="53" t="s">
        <v>105</v>
      </c>
      <c r="C743" s="53" t="s">
        <v>118</v>
      </c>
      <c r="D743" s="53" t="s">
        <v>119</v>
      </c>
      <c r="E743" s="54" t="n">
        <v>46153</v>
      </c>
      <c r="F743" s="55" t="n">
        <v>22</v>
      </c>
      <c r="G743" s="55" t="n">
        <v>20</v>
      </c>
      <c r="H743" s="55" t="n">
        <v>60</v>
      </c>
      <c r="I743" s="56" t="n">
        <v>4.1</v>
      </c>
      <c r="J743" s="53" t="s">
        <v>159</v>
      </c>
      <c r="K743" s="53"/>
      <c r="L743" s="57" t="str">
        <f aca="false">IF(C743="","",IFERROR(INDEX(site_ID,MATCH(C743,site_Name,0)),"Not on SITES"))</f>
        <v>LW-111</v>
      </c>
      <c r="M743" s="58" t="n">
        <f aca="false">IF(E743="","",DATE(YEAR(E743),MONTH(E743),1))</f>
        <v>46143</v>
      </c>
      <c r="N743" s="57" t="str">
        <f aca="false">IF(E743="","","FY"&amp;(YEAR(E743)+IF(AND(FYStart&gt;1,MONTH(E743)&gt;=FYStart),1,0))&amp;" Q"&amp;(INT(MOD(MONTH(E743)-FYStart,12)/3)+1))</f>
        <v>FY2026 Q4</v>
      </c>
      <c r="O743" s="59" t="n">
        <f aca="false">IF(OR(E743="",N(F743)=0),"",G743/F743)</f>
        <v>0.909090909090909</v>
      </c>
      <c r="P743" s="60" t="n">
        <f aca="false">IF(E743="","",ROUND(N(G743)*N(H743)/60,1))</f>
        <v>20</v>
      </c>
      <c r="Q743" s="57" t="str">
        <f aca="false">IF(E743="","",IF(COUNTIFS($C$2:C743,C743,$E$2:E743,E743,$B$2:B743,B743)&gt;1,"No","Yes"))</f>
        <v>Yes</v>
      </c>
      <c r="R743" s="61" t="str">
        <f aca="false">IF(E743="","",IF(Q743="No","Duplicate of an earlier response",IF(L743="Not on SITES","Site not on SITES",IF(N(G743)&gt;N(F743),"Present is more than enrolled",IF(OR(I743&lt;1,I743&gt;5),"Score outside 1 to 5","")))))</f>
        <v/>
      </c>
    </row>
    <row r="744" customFormat="false" ht="15" hidden="false" customHeight="false" outlineLevel="0" collapsed="false">
      <c r="A744" s="52" t="n">
        <v>46153.7105671296</v>
      </c>
      <c r="B744" s="53" t="s">
        <v>111</v>
      </c>
      <c r="C744" s="53" t="s">
        <v>112</v>
      </c>
      <c r="D744" s="53" t="s">
        <v>113</v>
      </c>
      <c r="E744" s="54" t="n">
        <v>46153</v>
      </c>
      <c r="F744" s="55" t="n">
        <v>15</v>
      </c>
      <c r="G744" s="55" t="n">
        <v>12</v>
      </c>
      <c r="H744" s="55" t="n">
        <v>60</v>
      </c>
      <c r="I744" s="56" t="n">
        <v>4</v>
      </c>
      <c r="J744" s="53" t="s">
        <v>143</v>
      </c>
      <c r="K744" s="53"/>
      <c r="L744" s="57" t="str">
        <f aca="false">IF(C744="","",IFERROR(INDEX(site_ID,MATCH(C744,site_Name,0)),"Not on SITES"))</f>
        <v>LW-120</v>
      </c>
      <c r="M744" s="58" t="n">
        <f aca="false">IF(E744="","",DATE(YEAR(E744),MONTH(E744),1))</f>
        <v>46143</v>
      </c>
      <c r="N744" s="57" t="str">
        <f aca="false">IF(E744="","","FY"&amp;(YEAR(E744)+IF(AND(FYStart&gt;1,MONTH(E744)&gt;=FYStart),1,0))&amp;" Q"&amp;(INT(MOD(MONTH(E744)-FYStart,12)/3)+1))</f>
        <v>FY2026 Q4</v>
      </c>
      <c r="O744" s="59" t="n">
        <f aca="false">IF(OR(E744="",N(F744)=0),"",G744/F744)</f>
        <v>0.8</v>
      </c>
      <c r="P744" s="60" t="n">
        <f aca="false">IF(E744="","",ROUND(N(G744)*N(H744)/60,1))</f>
        <v>12</v>
      </c>
      <c r="Q744" s="57" t="str">
        <f aca="false">IF(E744="","",IF(COUNTIFS($C$2:C744,C744,$E$2:E744,E744,$B$2:B744,B744)&gt;1,"No","Yes"))</f>
        <v>Yes</v>
      </c>
      <c r="R744" s="61" t="str">
        <f aca="false">IF(E744="","",IF(Q744="No","Duplicate of an earlier response",IF(L744="Not on SITES","Site not on SITES",IF(N(G744)&gt;N(F744),"Present is more than enrolled",IF(OR(I744&lt;1,I744&gt;5),"Score outside 1 to 5","")))))</f>
        <v/>
      </c>
    </row>
    <row r="745" customFormat="false" ht="15" hidden="false" customHeight="false" outlineLevel="0" collapsed="false">
      <c r="A745" s="52" t="n">
        <v>46153.7174421296</v>
      </c>
      <c r="B745" s="53" t="s">
        <v>105</v>
      </c>
      <c r="C745" s="53" t="s">
        <v>115</v>
      </c>
      <c r="D745" s="53" t="s">
        <v>116</v>
      </c>
      <c r="E745" s="54" t="n">
        <v>46153</v>
      </c>
      <c r="F745" s="55" t="n">
        <v>16</v>
      </c>
      <c r="G745" s="55" t="n">
        <v>12</v>
      </c>
      <c r="H745" s="55" t="n">
        <v>90</v>
      </c>
      <c r="I745" s="56" t="n">
        <v>3.8</v>
      </c>
      <c r="J745" s="53" t="s">
        <v>134</v>
      </c>
      <c r="K745" s="53"/>
      <c r="L745" s="57" t="str">
        <f aca="false">IF(C745="","",IFERROR(INDEX(site_ID,MATCH(C745,site_Name,0)),"Not on SITES"))</f>
        <v>LW-119</v>
      </c>
      <c r="M745" s="58" t="n">
        <f aca="false">IF(E745="","",DATE(YEAR(E745),MONTH(E745),1))</f>
        <v>46143</v>
      </c>
      <c r="N745" s="57" t="str">
        <f aca="false">IF(E745="","","FY"&amp;(YEAR(E745)+IF(AND(FYStart&gt;1,MONTH(E745)&gt;=FYStart),1,0))&amp;" Q"&amp;(INT(MOD(MONTH(E745)-FYStart,12)/3)+1))</f>
        <v>FY2026 Q4</v>
      </c>
      <c r="O745" s="59" t="n">
        <f aca="false">IF(OR(E745="",N(F745)=0),"",G745/F745)</f>
        <v>0.75</v>
      </c>
      <c r="P745" s="60" t="n">
        <f aca="false">IF(E745="","",ROUND(N(G745)*N(H745)/60,1))</f>
        <v>18</v>
      </c>
      <c r="Q745" s="57" t="str">
        <f aca="false">IF(E745="","",IF(COUNTIFS($C$2:C745,C745,$E$2:E745,E745,$B$2:B745,B745)&gt;1,"No","Yes"))</f>
        <v>Yes</v>
      </c>
      <c r="R745" s="61" t="str">
        <f aca="false">IF(E745="","",IF(Q745="No","Duplicate of an earlier response",IF(L745="Not on SITES","Site not on SITES",IF(N(G745)&gt;N(F745),"Present is more than enrolled",IF(OR(I745&lt;1,I745&gt;5),"Score outside 1 to 5","")))))</f>
        <v/>
      </c>
    </row>
    <row r="746" customFormat="false" ht="15" hidden="false" customHeight="false" outlineLevel="0" collapsed="false">
      <c r="A746" s="52" t="n">
        <v>46153.7731597222</v>
      </c>
      <c r="B746" s="53" t="s">
        <v>105</v>
      </c>
      <c r="C746" s="53" t="s">
        <v>106</v>
      </c>
      <c r="D746" s="53" t="s">
        <v>107</v>
      </c>
      <c r="E746" s="54" t="n">
        <v>46153</v>
      </c>
      <c r="F746" s="55" t="n">
        <v>16</v>
      </c>
      <c r="G746" s="55" t="n">
        <v>13</v>
      </c>
      <c r="H746" s="55" t="n">
        <v>90</v>
      </c>
      <c r="I746" s="56" t="n">
        <v>4.3</v>
      </c>
      <c r="J746" s="53" t="s">
        <v>128</v>
      </c>
      <c r="K746" s="53"/>
      <c r="L746" s="57" t="str">
        <f aca="false">IF(C746="","",IFERROR(INDEX(site_ID,MATCH(C746,site_Name,0)),"Not on SITES"))</f>
        <v>LW-103</v>
      </c>
      <c r="M746" s="58" t="n">
        <f aca="false">IF(E746="","",DATE(YEAR(E746),MONTH(E746),1))</f>
        <v>46143</v>
      </c>
      <c r="N746" s="57" t="str">
        <f aca="false">IF(E746="","","FY"&amp;(YEAR(E746)+IF(AND(FYStart&gt;1,MONTH(E746)&gt;=FYStart),1,0))&amp;" Q"&amp;(INT(MOD(MONTH(E746)-FYStart,12)/3)+1))</f>
        <v>FY2026 Q4</v>
      </c>
      <c r="O746" s="59" t="n">
        <f aca="false">IF(OR(E746="",N(F746)=0),"",G746/F746)</f>
        <v>0.8125</v>
      </c>
      <c r="P746" s="60" t="n">
        <f aca="false">IF(E746="","",ROUND(N(G746)*N(H746)/60,1))</f>
        <v>19.5</v>
      </c>
      <c r="Q746" s="57" t="str">
        <f aca="false">IF(E746="","",IF(COUNTIFS($C$2:C746,C746,$E$2:E746,E746,$B$2:B746,B746)&gt;1,"No","Yes"))</f>
        <v>Yes</v>
      </c>
      <c r="R746" s="61" t="str">
        <f aca="false">IF(E746="","",IF(Q746="No","Duplicate of an earlier response",IF(L746="Not on SITES","Site not on SITES",IF(N(G746)&gt;N(F746),"Present is more than enrolled",IF(OR(I746&lt;1,I746&gt;5),"Score outside 1 to 5","")))))</f>
        <v/>
      </c>
    </row>
    <row r="747" customFormat="false" ht="15" hidden="false" customHeight="false" outlineLevel="0" collapsed="false">
      <c r="A747" s="52" t="n">
        <v>46154.6486342593</v>
      </c>
      <c r="B747" s="53" t="s">
        <v>121</v>
      </c>
      <c r="C747" s="53" t="s">
        <v>122</v>
      </c>
      <c r="D747" s="53" t="s">
        <v>116</v>
      </c>
      <c r="E747" s="54" t="n">
        <v>46154</v>
      </c>
      <c r="F747" s="55" t="n">
        <v>16</v>
      </c>
      <c r="G747" s="55" t="n">
        <v>12</v>
      </c>
      <c r="H747" s="55" t="n">
        <v>60</v>
      </c>
      <c r="I747" s="56" t="n">
        <v>3.5</v>
      </c>
      <c r="J747" s="53" t="s">
        <v>153</v>
      </c>
      <c r="K747" s="53"/>
      <c r="L747" s="57" t="str">
        <f aca="false">IF(C747="","",IFERROR(INDEX(site_ID,MATCH(C747,site_Name,0)),"Not on SITES"))</f>
        <v>LW-116</v>
      </c>
      <c r="M747" s="58" t="n">
        <f aca="false">IF(E747="","",DATE(YEAR(E747),MONTH(E747),1))</f>
        <v>46143</v>
      </c>
      <c r="N747" s="57" t="str">
        <f aca="false">IF(E747="","","FY"&amp;(YEAR(E747)+IF(AND(FYStart&gt;1,MONTH(E747)&gt;=FYStart),1,0))&amp;" Q"&amp;(INT(MOD(MONTH(E747)-FYStart,12)/3)+1))</f>
        <v>FY2026 Q4</v>
      </c>
      <c r="O747" s="59" t="n">
        <f aca="false">IF(OR(E747="",N(F747)=0),"",G747/F747)</f>
        <v>0.75</v>
      </c>
      <c r="P747" s="60" t="n">
        <f aca="false">IF(E747="","",ROUND(N(G747)*N(H747)/60,1))</f>
        <v>12</v>
      </c>
      <c r="Q747" s="57" t="str">
        <f aca="false">IF(E747="","",IF(COUNTIFS($C$2:C747,C747,$E$2:E747,E747,$B$2:B747,B747)&gt;1,"No","Yes"))</f>
        <v>Yes</v>
      </c>
      <c r="R747" s="61" t="str">
        <f aca="false">IF(E747="","",IF(Q747="No","Duplicate of an earlier response",IF(L747="Not on SITES","Site not on SITES",IF(N(G747)&gt;N(F747),"Present is more than enrolled",IF(OR(I747&lt;1,I747&gt;5),"Score outside 1 to 5","")))))</f>
        <v/>
      </c>
    </row>
    <row r="748" customFormat="false" ht="15" hidden="false" customHeight="false" outlineLevel="0" collapsed="false">
      <c r="A748" s="52" t="n">
        <v>46154.7154050926</v>
      </c>
      <c r="B748" s="53" t="s">
        <v>132</v>
      </c>
      <c r="C748" s="53" t="s">
        <v>133</v>
      </c>
      <c r="D748" s="53" t="s">
        <v>116</v>
      </c>
      <c r="E748" s="54" t="n">
        <v>46154</v>
      </c>
      <c r="F748" s="55" t="n">
        <v>17</v>
      </c>
      <c r="G748" s="55" t="n">
        <v>16</v>
      </c>
      <c r="H748" s="55" t="n">
        <v>75</v>
      </c>
      <c r="I748" s="56" t="n">
        <v>3.9</v>
      </c>
      <c r="J748" s="53" t="s">
        <v>123</v>
      </c>
      <c r="K748" s="53"/>
      <c r="L748" s="57" t="str">
        <f aca="false">IF(C748="","",IFERROR(INDEX(site_ID,MATCH(C748,site_Name,0)),"Not on SITES"))</f>
        <v>LW-109</v>
      </c>
      <c r="M748" s="58" t="n">
        <f aca="false">IF(E748="","",DATE(YEAR(E748),MONTH(E748),1))</f>
        <v>46143</v>
      </c>
      <c r="N748" s="57" t="str">
        <f aca="false">IF(E748="","","FY"&amp;(YEAR(E748)+IF(AND(FYStart&gt;1,MONTH(E748)&gt;=FYStart),1,0))&amp;" Q"&amp;(INT(MOD(MONTH(E748)-FYStart,12)/3)+1))</f>
        <v>FY2026 Q4</v>
      </c>
      <c r="O748" s="59" t="n">
        <f aca="false">IF(OR(E748="",N(F748)=0),"",G748/F748)</f>
        <v>0.941176470588235</v>
      </c>
      <c r="P748" s="60" t="n">
        <f aca="false">IF(E748="","",ROUND(N(G748)*N(H748)/60,1))</f>
        <v>20</v>
      </c>
      <c r="Q748" s="57" t="str">
        <f aca="false">IF(E748="","",IF(COUNTIFS($C$2:C748,C748,$E$2:E748,E748,$B$2:B748,B748)&gt;1,"No","Yes"))</f>
        <v>Yes</v>
      </c>
      <c r="R748" s="61" t="str">
        <f aca="false">IF(E748="","",IF(Q748="No","Duplicate of an earlier response",IF(L748="Not on SITES","Site not on SITES",IF(N(G748)&gt;N(F748),"Present is more than enrolled",IF(OR(I748&lt;1,I748&gt;5),"Score outside 1 to 5","")))))</f>
        <v/>
      </c>
    </row>
    <row r="749" customFormat="false" ht="15" hidden="false" customHeight="false" outlineLevel="0" collapsed="false">
      <c r="A749" s="52" t="n">
        <v>46154.7170717593</v>
      </c>
      <c r="B749" s="53" t="s">
        <v>109</v>
      </c>
      <c r="C749" s="53" t="s">
        <v>110</v>
      </c>
      <c r="D749" s="53" t="s">
        <v>107</v>
      </c>
      <c r="E749" s="54" t="n">
        <v>46153</v>
      </c>
      <c r="F749" s="55" t="n">
        <v>21</v>
      </c>
      <c r="G749" s="55" t="n">
        <v>19</v>
      </c>
      <c r="H749" s="55" t="n">
        <v>90</v>
      </c>
      <c r="I749" s="56" t="n">
        <v>4.2</v>
      </c>
      <c r="J749" s="53" t="s">
        <v>108</v>
      </c>
      <c r="K749" s="53"/>
      <c r="L749" s="57" t="str">
        <f aca="false">IF(C749="","",IFERROR(INDEX(site_ID,MATCH(C749,site_Name,0)),"Not on SITES"))</f>
        <v>LW-113</v>
      </c>
      <c r="M749" s="58" t="n">
        <f aca="false">IF(E749="","",DATE(YEAR(E749),MONTH(E749),1))</f>
        <v>46143</v>
      </c>
      <c r="N749" s="57" t="str">
        <f aca="false">IF(E749="","","FY"&amp;(YEAR(E749)+IF(AND(FYStart&gt;1,MONTH(E749)&gt;=FYStart),1,0))&amp;" Q"&amp;(INT(MOD(MONTH(E749)-FYStart,12)/3)+1))</f>
        <v>FY2026 Q4</v>
      </c>
      <c r="O749" s="59" t="n">
        <f aca="false">IF(OR(E749="",N(F749)=0),"",G749/F749)</f>
        <v>0.904761904761905</v>
      </c>
      <c r="P749" s="60" t="n">
        <f aca="false">IF(E749="","",ROUND(N(G749)*N(H749)/60,1))</f>
        <v>28.5</v>
      </c>
      <c r="Q749" s="57" t="str">
        <f aca="false">IF(E749="","",IF(COUNTIFS($C$2:C749,C749,$E$2:E749,E749,$B$2:B749,B749)&gt;1,"No","Yes"))</f>
        <v>Yes</v>
      </c>
      <c r="R749" s="61" t="str">
        <f aca="false">IF(E749="","",IF(Q749="No","Duplicate of an earlier response",IF(L749="Not on SITES","Site not on SITES",IF(N(G749)&gt;N(F749),"Present is more than enrolled",IF(OR(I749&lt;1,I749&gt;5),"Score outside 1 to 5","")))))</f>
        <v/>
      </c>
    </row>
    <row r="750" customFormat="false" ht="15" hidden="false" customHeight="false" outlineLevel="0" collapsed="false">
      <c r="A750" s="52" t="n">
        <v>46154.7728240741</v>
      </c>
      <c r="B750" s="53" t="s">
        <v>124</v>
      </c>
      <c r="C750" s="53" t="s">
        <v>125</v>
      </c>
      <c r="D750" s="53" t="s">
        <v>119</v>
      </c>
      <c r="E750" s="54" t="n">
        <v>46154</v>
      </c>
      <c r="F750" s="55" t="n">
        <v>18</v>
      </c>
      <c r="G750" s="55" t="n">
        <v>13</v>
      </c>
      <c r="H750" s="55" t="n">
        <v>90</v>
      </c>
      <c r="I750" s="56" t="n">
        <v>3.8</v>
      </c>
      <c r="J750" s="53" t="s">
        <v>144</v>
      </c>
      <c r="K750" s="53" t="s">
        <v>161</v>
      </c>
      <c r="L750" s="57" t="str">
        <f aca="false">IF(C750="","",IFERROR(INDEX(site_ID,MATCH(C750,site_Name,0)),"Not on SITES"))</f>
        <v>LW-106</v>
      </c>
      <c r="M750" s="58" t="n">
        <f aca="false">IF(E750="","",DATE(YEAR(E750),MONTH(E750),1))</f>
        <v>46143</v>
      </c>
      <c r="N750" s="57" t="str">
        <f aca="false">IF(E750="","","FY"&amp;(YEAR(E750)+IF(AND(FYStart&gt;1,MONTH(E750)&gt;=FYStart),1,0))&amp;" Q"&amp;(INT(MOD(MONTH(E750)-FYStart,12)/3)+1))</f>
        <v>FY2026 Q4</v>
      </c>
      <c r="O750" s="59" t="n">
        <f aca="false">IF(OR(E750="",N(F750)=0),"",G750/F750)</f>
        <v>0.722222222222222</v>
      </c>
      <c r="P750" s="60" t="n">
        <f aca="false">IF(E750="","",ROUND(N(G750)*N(H750)/60,1))</f>
        <v>19.5</v>
      </c>
      <c r="Q750" s="57" t="str">
        <f aca="false">IF(E750="","",IF(COUNTIFS($C$2:C750,C750,$E$2:E750,E750,$B$2:B750,B750)&gt;1,"No","Yes"))</f>
        <v>Yes</v>
      </c>
      <c r="R750" s="61" t="str">
        <f aca="false">IF(E750="","",IF(Q750="No","Duplicate of an earlier response",IF(L750="Not on SITES","Site not on SITES",IF(N(G750)&gt;N(F750),"Present is more than enrolled",IF(OR(I750&lt;1,I750&gt;5),"Score outside 1 to 5","")))))</f>
        <v/>
      </c>
    </row>
    <row r="751" customFormat="false" ht="15" hidden="false" customHeight="false" outlineLevel="0" collapsed="false">
      <c r="A751" s="52" t="n">
        <v>46154.8399074074</v>
      </c>
      <c r="B751" s="53" t="s">
        <v>121</v>
      </c>
      <c r="C751" s="53" t="s">
        <v>127</v>
      </c>
      <c r="D751" s="53" t="s">
        <v>107</v>
      </c>
      <c r="E751" s="54" t="n">
        <v>46154</v>
      </c>
      <c r="F751" s="55" t="n">
        <v>15</v>
      </c>
      <c r="G751" s="55" t="n">
        <v>13</v>
      </c>
      <c r="H751" s="55" t="n">
        <v>90</v>
      </c>
      <c r="I751" s="56" t="n">
        <v>3.9</v>
      </c>
      <c r="J751" s="53" t="s">
        <v>156</v>
      </c>
      <c r="K751" s="53"/>
      <c r="L751" s="57" t="str">
        <f aca="false">IF(C751="","",IFERROR(INDEX(site_ID,MATCH(C751,site_Name,0)),"Not on SITES"))</f>
        <v>LW-108</v>
      </c>
      <c r="M751" s="58" t="n">
        <f aca="false">IF(E751="","",DATE(YEAR(E751),MONTH(E751),1))</f>
        <v>46143</v>
      </c>
      <c r="N751" s="57" t="str">
        <f aca="false">IF(E751="","","FY"&amp;(YEAR(E751)+IF(AND(FYStart&gt;1,MONTH(E751)&gt;=FYStart),1,0))&amp;" Q"&amp;(INT(MOD(MONTH(E751)-FYStart,12)/3)+1))</f>
        <v>FY2026 Q4</v>
      </c>
      <c r="O751" s="59" t="n">
        <f aca="false">IF(OR(E751="",N(F751)=0),"",G751/F751)</f>
        <v>0.866666666666667</v>
      </c>
      <c r="P751" s="60" t="n">
        <f aca="false">IF(E751="","",ROUND(N(G751)*N(H751)/60,1))</f>
        <v>19.5</v>
      </c>
      <c r="Q751" s="57" t="str">
        <f aca="false">IF(E751="","",IF(COUNTIFS($C$2:C751,C751,$E$2:E751,E751,$B$2:B751,B751)&gt;1,"No","Yes"))</f>
        <v>Yes</v>
      </c>
      <c r="R751" s="61" t="str">
        <f aca="false">IF(E751="","",IF(Q751="No","Duplicate of an earlier response",IF(L751="Not on SITES","Site not on SITES",IF(N(G751)&gt;N(F751),"Present is more than enrolled",IF(OR(I751&lt;1,I751&gt;5),"Score outside 1 to 5","")))))</f>
        <v/>
      </c>
    </row>
    <row r="752" customFormat="false" ht="15" hidden="false" customHeight="false" outlineLevel="0" collapsed="false">
      <c r="A752" s="52" t="n">
        <v>46155.7096412037</v>
      </c>
      <c r="B752" s="53" t="s">
        <v>140</v>
      </c>
      <c r="C752" s="53" t="s">
        <v>142</v>
      </c>
      <c r="D752" s="53" t="s">
        <v>113</v>
      </c>
      <c r="E752" s="54" t="n">
        <v>46155</v>
      </c>
      <c r="F752" s="55" t="n">
        <v>18</v>
      </c>
      <c r="G752" s="55" t="n">
        <v>16</v>
      </c>
      <c r="H752" s="55" t="n">
        <v>60</v>
      </c>
      <c r="I752" s="56" t="n">
        <v>3.7</v>
      </c>
      <c r="J752" s="53" t="s">
        <v>114</v>
      </c>
      <c r="K752" s="53"/>
      <c r="L752" s="57" t="str">
        <f aca="false">IF(C752="","",IFERROR(INDEX(site_ID,MATCH(C752,site_Name,0)),"Not on SITES"))</f>
        <v>LW-102</v>
      </c>
      <c r="M752" s="58" t="n">
        <f aca="false">IF(E752="","",DATE(YEAR(E752),MONTH(E752),1))</f>
        <v>46143</v>
      </c>
      <c r="N752" s="57" t="str">
        <f aca="false">IF(E752="","","FY"&amp;(YEAR(E752)+IF(AND(FYStart&gt;1,MONTH(E752)&gt;=FYStart),1,0))&amp;" Q"&amp;(INT(MOD(MONTH(E752)-FYStart,12)/3)+1))</f>
        <v>FY2026 Q4</v>
      </c>
      <c r="O752" s="59" t="n">
        <f aca="false">IF(OR(E752="",N(F752)=0),"",G752/F752)</f>
        <v>0.888888888888889</v>
      </c>
      <c r="P752" s="60" t="n">
        <f aca="false">IF(E752="","",ROUND(N(G752)*N(H752)/60,1))</f>
        <v>16</v>
      </c>
      <c r="Q752" s="57" t="str">
        <f aca="false">IF(E752="","",IF(COUNTIFS($C$2:C752,C752,$E$2:E752,E752,$B$2:B752,B752)&gt;1,"No","Yes"))</f>
        <v>Yes</v>
      </c>
      <c r="R752" s="61" t="str">
        <f aca="false">IF(E752="","",IF(Q752="No","Duplicate of an earlier response",IF(L752="Not on SITES","Site not on SITES",IF(N(G752)&gt;N(F752),"Present is more than enrolled",IF(OR(I752&lt;1,I752&gt;5),"Score outside 1 to 5","")))))</f>
        <v/>
      </c>
    </row>
    <row r="753" customFormat="false" ht="15" hidden="false" customHeight="false" outlineLevel="0" collapsed="false">
      <c r="A753" s="52" t="n">
        <v>46155.7296064815</v>
      </c>
      <c r="B753" s="53" t="s">
        <v>111</v>
      </c>
      <c r="C753" s="53" t="s">
        <v>112</v>
      </c>
      <c r="D753" s="53" t="s">
        <v>113</v>
      </c>
      <c r="E753" s="54" t="n">
        <v>46155</v>
      </c>
      <c r="F753" s="55" t="n">
        <v>15</v>
      </c>
      <c r="G753" s="55" t="n">
        <v>13</v>
      </c>
      <c r="H753" s="55" t="n">
        <v>60</v>
      </c>
      <c r="I753" s="56" t="n">
        <v>3.9</v>
      </c>
      <c r="J753" s="53" t="s">
        <v>136</v>
      </c>
      <c r="K753" s="53"/>
      <c r="L753" s="57" t="str">
        <f aca="false">IF(C753="","",IFERROR(INDEX(site_ID,MATCH(C753,site_Name,0)),"Not on SITES"))</f>
        <v>LW-120</v>
      </c>
      <c r="M753" s="58" t="n">
        <f aca="false">IF(E753="","",DATE(YEAR(E753),MONTH(E753),1))</f>
        <v>46143</v>
      </c>
      <c r="N753" s="57" t="str">
        <f aca="false">IF(E753="","","FY"&amp;(YEAR(E753)+IF(AND(FYStart&gt;1,MONTH(E753)&gt;=FYStart),1,0))&amp;" Q"&amp;(INT(MOD(MONTH(E753)-FYStart,12)/3)+1))</f>
        <v>FY2026 Q4</v>
      </c>
      <c r="O753" s="59" t="n">
        <f aca="false">IF(OR(E753="",N(F753)=0),"",G753/F753)</f>
        <v>0.866666666666667</v>
      </c>
      <c r="P753" s="60" t="n">
        <f aca="false">IF(E753="","",ROUND(N(G753)*N(H753)/60,1))</f>
        <v>13</v>
      </c>
      <c r="Q753" s="57" t="str">
        <f aca="false">IF(E753="","",IF(COUNTIFS($C$2:C753,C753,$E$2:E753,E753,$B$2:B753,B753)&gt;1,"No","Yes"))</f>
        <v>Yes</v>
      </c>
      <c r="R753" s="61" t="str">
        <f aca="false">IF(E753="","",IF(Q753="No","Duplicate of an earlier response",IF(L753="Not on SITES","Site not on SITES",IF(N(G753)&gt;N(F753),"Present is more than enrolled",IF(OR(I753&lt;1,I753&gt;5),"Score outside 1 to 5","")))))</f>
        <v/>
      </c>
    </row>
    <row r="754" customFormat="false" ht="15" hidden="false" customHeight="false" outlineLevel="0" collapsed="false">
      <c r="A754" s="52" t="n">
        <v>46155.7772800926</v>
      </c>
      <c r="B754" s="53" t="s">
        <v>124</v>
      </c>
      <c r="C754" s="53" t="s">
        <v>141</v>
      </c>
      <c r="D754" s="53" t="s">
        <v>116</v>
      </c>
      <c r="E754" s="54" t="n">
        <v>46155</v>
      </c>
      <c r="F754" s="55" t="n">
        <v>13</v>
      </c>
      <c r="G754" s="55" t="n">
        <v>11</v>
      </c>
      <c r="H754" s="55" t="n">
        <v>60</v>
      </c>
      <c r="I754" s="56" t="n">
        <v>4</v>
      </c>
      <c r="J754" s="53" t="s">
        <v>117</v>
      </c>
      <c r="K754" s="53"/>
      <c r="L754" s="57" t="str">
        <f aca="false">IF(C754="","",IFERROR(INDEX(site_ID,MATCH(C754,site_Name,0)),"Not on SITES"))</f>
        <v>LW-118</v>
      </c>
      <c r="M754" s="58" t="n">
        <f aca="false">IF(E754="","",DATE(YEAR(E754),MONTH(E754),1))</f>
        <v>46143</v>
      </c>
      <c r="N754" s="57" t="str">
        <f aca="false">IF(E754="","","FY"&amp;(YEAR(E754)+IF(AND(FYStart&gt;1,MONTH(E754)&gt;=FYStart),1,0))&amp;" Q"&amp;(INT(MOD(MONTH(E754)-FYStart,12)/3)+1))</f>
        <v>FY2026 Q4</v>
      </c>
      <c r="O754" s="59" t="n">
        <f aca="false">IF(OR(E754="",N(F754)=0),"",G754/F754)</f>
        <v>0.846153846153846</v>
      </c>
      <c r="P754" s="60" t="n">
        <f aca="false">IF(E754="","",ROUND(N(G754)*N(H754)/60,1))</f>
        <v>11</v>
      </c>
      <c r="Q754" s="57" t="str">
        <f aca="false">IF(E754="","",IF(COUNTIFS($C$2:C754,C754,$E$2:E754,E754,$B$2:B754,B754)&gt;1,"No","Yes"))</f>
        <v>Yes</v>
      </c>
      <c r="R754" s="61" t="str">
        <f aca="false">IF(E754="","",IF(Q754="No","Duplicate of an earlier response",IF(L754="Not on SITES","Site not on SITES",IF(N(G754)&gt;N(F754),"Present is more than enrolled",IF(OR(I754&lt;1,I754&gt;5),"Score outside 1 to 5","")))))</f>
        <v/>
      </c>
    </row>
    <row r="755" customFormat="false" ht="15" hidden="false" customHeight="false" outlineLevel="0" collapsed="false">
      <c r="A755" s="52" t="n">
        <v>46155.8222800926</v>
      </c>
      <c r="B755" s="53" t="s">
        <v>132</v>
      </c>
      <c r="C755" s="53" t="s">
        <v>145</v>
      </c>
      <c r="D755" s="53" t="s">
        <v>119</v>
      </c>
      <c r="E755" s="54" t="n">
        <v>46155</v>
      </c>
      <c r="F755" s="55" t="n">
        <v>19</v>
      </c>
      <c r="G755" s="55" t="n">
        <v>15</v>
      </c>
      <c r="H755" s="55" t="n">
        <v>90</v>
      </c>
      <c r="I755" s="56" t="n">
        <v>4.4</v>
      </c>
      <c r="J755" s="53" t="s">
        <v>157</v>
      </c>
      <c r="K755" s="53"/>
      <c r="L755" s="57" t="str">
        <f aca="false">IF(C755="","",IFERROR(INDEX(site_ID,MATCH(C755,site_Name,0)),"Not on SITES"))</f>
        <v>LW-101</v>
      </c>
      <c r="M755" s="58" t="n">
        <f aca="false">IF(E755="","",DATE(YEAR(E755),MONTH(E755),1))</f>
        <v>46143</v>
      </c>
      <c r="N755" s="57" t="str">
        <f aca="false">IF(E755="","","FY"&amp;(YEAR(E755)+IF(AND(FYStart&gt;1,MONTH(E755)&gt;=FYStart),1,0))&amp;" Q"&amp;(INT(MOD(MONTH(E755)-FYStart,12)/3)+1))</f>
        <v>FY2026 Q4</v>
      </c>
      <c r="O755" s="59" t="n">
        <f aca="false">IF(OR(E755="",N(F755)=0),"",G755/F755)</f>
        <v>0.789473684210526</v>
      </c>
      <c r="P755" s="60" t="n">
        <f aca="false">IF(E755="","",ROUND(N(G755)*N(H755)/60,1))</f>
        <v>22.5</v>
      </c>
      <c r="Q755" s="57" t="str">
        <f aca="false">IF(E755="","",IF(COUNTIFS($C$2:C755,C755,$E$2:E755,E755,$B$2:B755,B755)&gt;1,"No","Yes"))</f>
        <v>Yes</v>
      </c>
      <c r="R755" s="61" t="str">
        <f aca="false">IF(E755="","",IF(Q755="No","Duplicate of an earlier response",IF(L755="Not on SITES","Site not on SITES",IF(N(G755)&gt;N(F755),"Present is more than enrolled",IF(OR(I755&lt;1,I755&gt;5),"Score outside 1 to 5","")))))</f>
        <v/>
      </c>
    </row>
    <row r="756" customFormat="false" ht="15" hidden="false" customHeight="false" outlineLevel="0" collapsed="false">
      <c r="A756" s="52" t="n">
        <v>46156.6659606482</v>
      </c>
      <c r="B756" s="53" t="s">
        <v>132</v>
      </c>
      <c r="C756" s="53" t="s">
        <v>150</v>
      </c>
      <c r="D756" s="53" t="s">
        <v>138</v>
      </c>
      <c r="E756" s="54" t="n">
        <v>46156</v>
      </c>
      <c r="F756" s="55" t="n">
        <v>21</v>
      </c>
      <c r="G756" s="55" t="n">
        <v>19</v>
      </c>
      <c r="H756" s="55" t="n">
        <v>90</v>
      </c>
      <c r="I756" s="56" t="n">
        <v>4.1</v>
      </c>
      <c r="J756" s="53" t="s">
        <v>139</v>
      </c>
      <c r="K756" s="53"/>
      <c r="L756" s="57" t="str">
        <f aca="false">IF(C756="","",IFERROR(INDEX(site_ID,MATCH(C756,site_Name,0)),"Not on SITES"))</f>
        <v>LW-117</v>
      </c>
      <c r="M756" s="58" t="n">
        <f aca="false">IF(E756="","",DATE(YEAR(E756),MONTH(E756),1))</f>
        <v>46143</v>
      </c>
      <c r="N756" s="57" t="str">
        <f aca="false">IF(E756="","","FY"&amp;(YEAR(E756)+IF(AND(FYStart&gt;1,MONTH(E756)&gt;=FYStart),1,0))&amp;" Q"&amp;(INT(MOD(MONTH(E756)-FYStart,12)/3)+1))</f>
        <v>FY2026 Q4</v>
      </c>
      <c r="O756" s="59" t="n">
        <f aca="false">IF(OR(E756="",N(F756)=0),"",G756/F756)</f>
        <v>0.904761904761905</v>
      </c>
      <c r="P756" s="60" t="n">
        <f aca="false">IF(E756="","",ROUND(N(G756)*N(H756)/60,1))</f>
        <v>28.5</v>
      </c>
      <c r="Q756" s="57" t="str">
        <f aca="false">IF(E756="","",IF(COUNTIFS($C$2:C756,C756,$E$2:E756,E756,$B$2:B756,B756)&gt;1,"No","Yes"))</f>
        <v>Yes</v>
      </c>
      <c r="R756" s="61" t="str">
        <f aca="false">IF(E756="","",IF(Q756="No","Duplicate of an earlier response",IF(L756="Not on SITES","Site not on SITES",IF(N(G756)&gt;N(F756),"Present is more than enrolled",IF(OR(I756&lt;1,I756&gt;5),"Score outside 1 to 5","")))))</f>
        <v/>
      </c>
    </row>
    <row r="757" customFormat="false" ht="15" hidden="false" customHeight="false" outlineLevel="0" collapsed="false">
      <c r="A757" s="52" t="n">
        <v>46156.6666550926</v>
      </c>
      <c r="B757" s="53" t="s">
        <v>140</v>
      </c>
      <c r="C757" s="53" t="s">
        <v>151</v>
      </c>
      <c r="D757" s="53" t="s">
        <v>138</v>
      </c>
      <c r="E757" s="54" t="n">
        <v>46156</v>
      </c>
      <c r="F757" s="55" t="n">
        <v>13</v>
      </c>
      <c r="G757" s="55" t="n">
        <v>10</v>
      </c>
      <c r="H757" s="55" t="n">
        <v>90</v>
      </c>
      <c r="I757" s="56" t="n">
        <v>4.6</v>
      </c>
      <c r="J757" s="53" t="s">
        <v>152</v>
      </c>
      <c r="K757" s="53"/>
      <c r="L757" s="57" t="str">
        <f aca="false">IF(C757="","",IFERROR(INDEX(site_ID,MATCH(C757,site_Name,0)),"Not on SITES"))</f>
        <v>LW-110</v>
      </c>
      <c r="M757" s="58" t="n">
        <f aca="false">IF(E757="","",DATE(YEAR(E757),MONTH(E757),1))</f>
        <v>46143</v>
      </c>
      <c r="N757" s="57" t="str">
        <f aca="false">IF(E757="","","FY"&amp;(YEAR(E757)+IF(AND(FYStart&gt;1,MONTH(E757)&gt;=FYStart),1,0))&amp;" Q"&amp;(INT(MOD(MONTH(E757)-FYStart,12)/3)+1))</f>
        <v>FY2026 Q4</v>
      </c>
      <c r="O757" s="59" t="n">
        <f aca="false">IF(OR(E757="",N(F757)=0),"",G757/F757)</f>
        <v>0.769230769230769</v>
      </c>
      <c r="P757" s="60" t="n">
        <f aca="false">IF(E757="","",ROUND(N(G757)*N(H757)/60,1))</f>
        <v>15</v>
      </c>
      <c r="Q757" s="57" t="str">
        <f aca="false">IF(E757="","",IF(COUNTIFS($C$2:C757,C757,$E$2:E757,E757,$B$2:B757,B757)&gt;1,"No","Yes"))</f>
        <v>Yes</v>
      </c>
      <c r="R757" s="61" t="str">
        <f aca="false">IF(E757="","",IF(Q757="No","Duplicate of an earlier response",IF(L757="Not on SITES","Site not on SITES",IF(N(G757)&gt;N(F757),"Present is more than enrolled",IF(OR(I757&lt;1,I757&gt;5),"Score outside 1 to 5","")))))</f>
        <v/>
      </c>
    </row>
    <row r="758" customFormat="false" ht="15" hidden="false" customHeight="false" outlineLevel="0" collapsed="false">
      <c r="A758" s="52" t="n">
        <v>46156.6747685185</v>
      </c>
      <c r="B758" s="53" t="s">
        <v>109</v>
      </c>
      <c r="C758" s="53" t="s">
        <v>146</v>
      </c>
      <c r="D758" s="53" t="s">
        <v>138</v>
      </c>
      <c r="E758" s="54" t="n">
        <v>46156</v>
      </c>
      <c r="F758" s="55" t="n">
        <v>14</v>
      </c>
      <c r="G758" s="55" t="n">
        <v>10</v>
      </c>
      <c r="H758" s="55" t="n">
        <v>90</v>
      </c>
      <c r="I758" s="56" t="n">
        <v>3.6</v>
      </c>
      <c r="J758" s="53" t="s">
        <v>163</v>
      </c>
      <c r="K758" s="53"/>
      <c r="L758" s="57" t="str">
        <f aca="false">IF(C758="","",IFERROR(INDEX(site_ID,MATCH(C758,site_Name,0)),"Not on SITES"))</f>
        <v>LW-105</v>
      </c>
      <c r="M758" s="58" t="n">
        <f aca="false">IF(E758="","",DATE(YEAR(E758),MONTH(E758),1))</f>
        <v>46143</v>
      </c>
      <c r="N758" s="57" t="str">
        <f aca="false">IF(E758="","","FY"&amp;(YEAR(E758)+IF(AND(FYStart&gt;1,MONTH(E758)&gt;=FYStart),1,0))&amp;" Q"&amp;(INT(MOD(MONTH(E758)-FYStart,12)/3)+1))</f>
        <v>FY2026 Q4</v>
      </c>
      <c r="O758" s="59" t="n">
        <f aca="false">IF(OR(E758="",N(F758)=0),"",G758/F758)</f>
        <v>0.714285714285714</v>
      </c>
      <c r="P758" s="60" t="n">
        <f aca="false">IF(E758="","",ROUND(N(G758)*N(H758)/60,1))</f>
        <v>15</v>
      </c>
      <c r="Q758" s="57" t="str">
        <f aca="false">IF(E758="","",IF(COUNTIFS($C$2:C758,C758,$E$2:E758,E758,$B$2:B758,B758)&gt;1,"No","Yes"))</f>
        <v>Yes</v>
      </c>
      <c r="R758" s="61" t="str">
        <f aca="false">IF(E758="","",IF(Q758="No","Duplicate of an earlier response",IF(L758="Not on SITES","Site not on SITES",IF(N(G758)&gt;N(F758),"Present is more than enrolled",IF(OR(I758&lt;1,I758&gt;5),"Score outside 1 to 5","")))))</f>
        <v/>
      </c>
    </row>
    <row r="759" customFormat="false" ht="15" hidden="false" customHeight="false" outlineLevel="0" collapsed="false">
      <c r="A759" s="52" t="n">
        <v>46156.6818171296</v>
      </c>
      <c r="B759" s="53" t="s">
        <v>124</v>
      </c>
      <c r="C759" s="53" t="s">
        <v>154</v>
      </c>
      <c r="D759" s="53" t="s">
        <v>116</v>
      </c>
      <c r="E759" s="54" t="n">
        <v>46156</v>
      </c>
      <c r="F759" s="55" t="n">
        <v>18</v>
      </c>
      <c r="G759" s="55" t="n">
        <v>15</v>
      </c>
      <c r="H759" s="55" t="n">
        <v>60</v>
      </c>
      <c r="I759" s="56" t="n">
        <v>4.2</v>
      </c>
      <c r="J759" s="53" t="s">
        <v>153</v>
      </c>
      <c r="K759" s="53"/>
      <c r="L759" s="57" t="str">
        <f aca="false">IF(C759="","",IFERROR(INDEX(site_ID,MATCH(C759,site_Name,0)),"Not on SITES"))</f>
        <v>LW-114</v>
      </c>
      <c r="M759" s="58" t="n">
        <f aca="false">IF(E759="","",DATE(YEAR(E759),MONTH(E759),1))</f>
        <v>46143</v>
      </c>
      <c r="N759" s="57" t="str">
        <f aca="false">IF(E759="","","FY"&amp;(YEAR(E759)+IF(AND(FYStart&gt;1,MONTH(E759)&gt;=FYStart),1,0))&amp;" Q"&amp;(INT(MOD(MONTH(E759)-FYStart,12)/3)+1))</f>
        <v>FY2026 Q4</v>
      </c>
      <c r="O759" s="59" t="n">
        <f aca="false">IF(OR(E759="",N(F759)=0),"",G759/F759)</f>
        <v>0.833333333333333</v>
      </c>
      <c r="P759" s="60" t="n">
        <f aca="false">IF(E759="","",ROUND(N(G759)*N(H759)/60,1))</f>
        <v>15</v>
      </c>
      <c r="Q759" s="57" t="str">
        <f aca="false">IF(E759="","",IF(COUNTIFS($C$2:C759,C759,$E$2:E759,E759,$B$2:B759,B759)&gt;1,"No","Yes"))</f>
        <v>Yes</v>
      </c>
      <c r="R759" s="61" t="str">
        <f aca="false">IF(E759="","",IF(Q759="No","Duplicate of an earlier response",IF(L759="Not on SITES","Site not on SITES",IF(N(G759)&gt;N(F759),"Present is more than enrolled",IF(OR(I759&lt;1,I759&gt;5),"Score outside 1 to 5","")))))</f>
        <v/>
      </c>
    </row>
    <row r="760" customFormat="false" ht="15" hidden="false" customHeight="false" outlineLevel="0" collapsed="false">
      <c r="A760" s="52" t="n">
        <v>46156.7205324074</v>
      </c>
      <c r="B760" s="53" t="s">
        <v>121</v>
      </c>
      <c r="C760" s="53" t="s">
        <v>122</v>
      </c>
      <c r="D760" s="53" t="s">
        <v>116</v>
      </c>
      <c r="E760" s="54" t="n">
        <v>46156</v>
      </c>
      <c r="F760" s="55" t="n">
        <v>16</v>
      </c>
      <c r="G760" s="55" t="n">
        <v>12</v>
      </c>
      <c r="H760" s="55" t="n">
        <v>75</v>
      </c>
      <c r="I760" s="56" t="n">
        <v>3.6</v>
      </c>
      <c r="J760" s="53" t="s">
        <v>134</v>
      </c>
      <c r="K760" s="53"/>
      <c r="L760" s="57" t="str">
        <f aca="false">IF(C760="","",IFERROR(INDEX(site_ID,MATCH(C760,site_Name,0)),"Not on SITES"))</f>
        <v>LW-116</v>
      </c>
      <c r="M760" s="58" t="n">
        <f aca="false">IF(E760="","",DATE(YEAR(E760),MONTH(E760),1))</f>
        <v>46143</v>
      </c>
      <c r="N760" s="57" t="str">
        <f aca="false">IF(E760="","","FY"&amp;(YEAR(E760)+IF(AND(FYStart&gt;1,MONTH(E760)&gt;=FYStart),1,0))&amp;" Q"&amp;(INT(MOD(MONTH(E760)-FYStart,12)/3)+1))</f>
        <v>FY2026 Q4</v>
      </c>
      <c r="O760" s="59" t="n">
        <f aca="false">IF(OR(E760="",N(F760)=0),"",G760/F760)</f>
        <v>0.75</v>
      </c>
      <c r="P760" s="60" t="n">
        <f aca="false">IF(E760="","",ROUND(N(G760)*N(H760)/60,1))</f>
        <v>15</v>
      </c>
      <c r="Q760" s="57" t="str">
        <f aca="false">IF(E760="","",IF(COUNTIFS($C$2:C760,C760,$E$2:E760,E760,$B$2:B760,B760)&gt;1,"No","Yes"))</f>
        <v>Yes</v>
      </c>
      <c r="R760" s="61" t="str">
        <f aca="false">IF(E760="","",IF(Q760="No","Duplicate of an earlier response",IF(L760="Not on SITES","Site not on SITES",IF(N(G760)&gt;N(F760),"Present is more than enrolled",IF(OR(I760&lt;1,I760&gt;5),"Score outside 1 to 5","")))))</f>
        <v/>
      </c>
    </row>
    <row r="761" customFormat="false" ht="15" hidden="false" customHeight="false" outlineLevel="0" collapsed="false">
      <c r="A761" s="52" t="n">
        <v>46156.7687384259</v>
      </c>
      <c r="B761" s="53" t="s">
        <v>111</v>
      </c>
      <c r="C761" s="53" t="s">
        <v>148</v>
      </c>
      <c r="D761" s="53" t="s">
        <v>116</v>
      </c>
      <c r="E761" s="54" t="n">
        <v>46156</v>
      </c>
      <c r="F761" s="55" t="n">
        <v>16</v>
      </c>
      <c r="G761" s="55" t="n">
        <v>12</v>
      </c>
      <c r="H761" s="55" t="n">
        <v>75</v>
      </c>
      <c r="I761" s="56" t="n">
        <v>4.1</v>
      </c>
      <c r="J761" s="53" t="s">
        <v>160</v>
      </c>
      <c r="K761" s="53"/>
      <c r="L761" s="57" t="str">
        <f aca="false">IF(C761="","",IFERROR(INDEX(site_ID,MATCH(C761,site_Name,0)),"Not on SITES"))</f>
        <v>LW-104</v>
      </c>
      <c r="M761" s="58" t="n">
        <f aca="false">IF(E761="","",DATE(YEAR(E761),MONTH(E761),1))</f>
        <v>46143</v>
      </c>
      <c r="N761" s="57" t="str">
        <f aca="false">IF(E761="","","FY"&amp;(YEAR(E761)+IF(AND(FYStart&gt;1,MONTH(E761)&gt;=FYStart),1,0))&amp;" Q"&amp;(INT(MOD(MONTH(E761)-FYStart,12)/3)+1))</f>
        <v>FY2026 Q4</v>
      </c>
      <c r="O761" s="59" t="n">
        <f aca="false">IF(OR(E761="",N(F761)=0),"",G761/F761)</f>
        <v>0.75</v>
      </c>
      <c r="P761" s="60" t="n">
        <f aca="false">IF(E761="","",ROUND(N(G761)*N(H761)/60,1))</f>
        <v>15</v>
      </c>
      <c r="Q761" s="57" t="str">
        <f aca="false">IF(E761="","",IF(COUNTIFS($C$2:C761,C761,$E$2:E761,E761,$B$2:B761,B761)&gt;1,"No","Yes"))</f>
        <v>Yes</v>
      </c>
      <c r="R761" s="61" t="str">
        <f aca="false">IF(E761="","",IF(Q761="No","Duplicate of an earlier response",IF(L761="Not on SITES","Site not on SITES",IF(N(G761)&gt;N(F761),"Present is more than enrolled",IF(OR(I761&lt;1,I761&gt;5),"Score outside 1 to 5","")))))</f>
        <v/>
      </c>
    </row>
    <row r="762" customFormat="false" ht="15" hidden="false" customHeight="false" outlineLevel="0" collapsed="false">
      <c r="A762" s="52" t="n">
        <v>46156.8225</v>
      </c>
      <c r="B762" s="53" t="s">
        <v>111</v>
      </c>
      <c r="C762" s="53" t="s">
        <v>149</v>
      </c>
      <c r="D762" s="53" t="s">
        <v>113</v>
      </c>
      <c r="E762" s="54" t="n">
        <v>46156</v>
      </c>
      <c r="F762" s="55" t="n">
        <v>21</v>
      </c>
      <c r="G762" s="55" t="n">
        <v>17</v>
      </c>
      <c r="H762" s="55" t="n">
        <v>60</v>
      </c>
      <c r="I762" s="56" t="n">
        <v>4.4</v>
      </c>
      <c r="J762" s="53" t="s">
        <v>131</v>
      </c>
      <c r="K762" s="53"/>
      <c r="L762" s="57" t="str">
        <f aca="false">IF(C762="","",IFERROR(INDEX(site_ID,MATCH(C762,site_Name,0)),"Not on SITES"))</f>
        <v>LW-112</v>
      </c>
      <c r="M762" s="58" t="n">
        <f aca="false">IF(E762="","",DATE(YEAR(E762),MONTH(E762),1))</f>
        <v>46143</v>
      </c>
      <c r="N762" s="57" t="str">
        <f aca="false">IF(E762="","","FY"&amp;(YEAR(E762)+IF(AND(FYStart&gt;1,MONTH(E762)&gt;=FYStart),1,0))&amp;" Q"&amp;(INT(MOD(MONTH(E762)-FYStart,12)/3)+1))</f>
        <v>FY2026 Q4</v>
      </c>
      <c r="O762" s="59" t="n">
        <f aca="false">IF(OR(E762="",N(F762)=0),"",G762/F762)</f>
        <v>0.80952380952381</v>
      </c>
      <c r="P762" s="60" t="n">
        <f aca="false">IF(E762="","",ROUND(N(G762)*N(H762)/60,1))</f>
        <v>17</v>
      </c>
      <c r="Q762" s="57" t="str">
        <f aca="false">IF(E762="","",IF(COUNTIFS($C$2:C762,C762,$E$2:E762,E762,$B$2:B762,B762)&gt;1,"No","Yes"))</f>
        <v>Yes</v>
      </c>
      <c r="R762" s="61" t="str">
        <f aca="false">IF(E762="","",IF(Q762="No","Duplicate of an earlier response",IF(L762="Not on SITES","Site not on SITES",IF(N(G762)&gt;N(F762),"Present is more than enrolled",IF(OR(I762&lt;1,I762&gt;5),"Score outside 1 to 5","")))))</f>
        <v/>
      </c>
    </row>
    <row r="763" customFormat="false" ht="15" hidden="false" customHeight="false" outlineLevel="0" collapsed="false">
      <c r="A763" s="52" t="n">
        <v>46157.6751273148</v>
      </c>
      <c r="B763" s="53" t="s">
        <v>140</v>
      </c>
      <c r="C763" s="53" t="s">
        <v>141</v>
      </c>
      <c r="D763" s="53" t="s">
        <v>116</v>
      </c>
      <c r="E763" s="54" t="n">
        <v>46157</v>
      </c>
      <c r="F763" s="55" t="n">
        <v>13</v>
      </c>
      <c r="G763" s="55" t="n">
        <v>12</v>
      </c>
      <c r="H763" s="55" t="n">
        <v>75</v>
      </c>
      <c r="I763" s="56" t="n">
        <v>4.1</v>
      </c>
      <c r="J763" s="53" t="s">
        <v>134</v>
      </c>
      <c r="K763" s="53"/>
      <c r="L763" s="57" t="str">
        <f aca="false">IF(C763="","",IFERROR(INDEX(site_ID,MATCH(C763,site_Name,0)),"Not on SITES"))</f>
        <v>LW-118</v>
      </c>
      <c r="M763" s="58" t="n">
        <f aca="false">IF(E763="","",DATE(YEAR(E763),MONTH(E763),1))</f>
        <v>46143</v>
      </c>
      <c r="N763" s="57" t="str">
        <f aca="false">IF(E763="","","FY"&amp;(YEAR(E763)+IF(AND(FYStart&gt;1,MONTH(E763)&gt;=FYStart),1,0))&amp;" Q"&amp;(INT(MOD(MONTH(E763)-FYStart,12)/3)+1))</f>
        <v>FY2026 Q4</v>
      </c>
      <c r="O763" s="59" t="n">
        <f aca="false">IF(OR(E763="",N(F763)=0),"",G763/F763)</f>
        <v>0.923076923076923</v>
      </c>
      <c r="P763" s="60" t="n">
        <f aca="false">IF(E763="","",ROUND(N(G763)*N(H763)/60,1))</f>
        <v>15</v>
      </c>
      <c r="Q763" s="57" t="str">
        <f aca="false">IF(E763="","",IF(COUNTIFS($C$2:C763,C763,$E$2:E763,E763,$B$2:B763,B763)&gt;1,"No","Yes"))</f>
        <v>Yes</v>
      </c>
      <c r="R763" s="61" t="str">
        <f aca="false">IF(E763="","",IF(Q763="No","Duplicate of an earlier response",IF(L763="Not on SITES","Site not on SITES",IF(N(G763)&gt;N(F763),"Present is more than enrolled",IF(OR(I763&lt;1,I763&gt;5),"Score outside 1 to 5","")))))</f>
        <v/>
      </c>
    </row>
    <row r="764" customFormat="false" ht="15" hidden="false" customHeight="false" outlineLevel="0" collapsed="false">
      <c r="A764" s="52" t="n">
        <v>46160.6849768519</v>
      </c>
      <c r="B764" s="53" t="s">
        <v>105</v>
      </c>
      <c r="C764" s="53" t="s">
        <v>106</v>
      </c>
      <c r="D764" s="53" t="s">
        <v>107</v>
      </c>
      <c r="E764" s="54" t="n">
        <v>46160</v>
      </c>
      <c r="F764" s="55" t="n">
        <v>16</v>
      </c>
      <c r="G764" s="55" t="n">
        <v>10</v>
      </c>
      <c r="H764" s="55" t="n">
        <v>75</v>
      </c>
      <c r="I764" s="56" t="n">
        <v>4.2</v>
      </c>
      <c r="J764" s="53" t="s">
        <v>128</v>
      </c>
      <c r="K764" s="53"/>
      <c r="L764" s="57" t="str">
        <f aca="false">IF(C764="","",IFERROR(INDEX(site_ID,MATCH(C764,site_Name,0)),"Not on SITES"))</f>
        <v>LW-103</v>
      </c>
      <c r="M764" s="58" t="n">
        <f aca="false">IF(E764="","",DATE(YEAR(E764),MONTH(E764),1))</f>
        <v>46143</v>
      </c>
      <c r="N764" s="57" t="str">
        <f aca="false">IF(E764="","","FY"&amp;(YEAR(E764)+IF(AND(FYStart&gt;1,MONTH(E764)&gt;=FYStart),1,0))&amp;" Q"&amp;(INT(MOD(MONTH(E764)-FYStart,12)/3)+1))</f>
        <v>FY2026 Q4</v>
      </c>
      <c r="O764" s="59" t="n">
        <f aca="false">IF(OR(E764="",N(F764)=0),"",G764/F764)</f>
        <v>0.625</v>
      </c>
      <c r="P764" s="60" t="n">
        <f aca="false">IF(E764="","",ROUND(N(G764)*N(H764)/60,1))</f>
        <v>12.5</v>
      </c>
      <c r="Q764" s="57" t="str">
        <f aca="false">IF(E764="","",IF(COUNTIFS($C$2:C764,C764,$E$2:E764,E764,$B$2:B764,B764)&gt;1,"No","Yes"))</f>
        <v>Yes</v>
      </c>
      <c r="R764" s="61" t="str">
        <f aca="false">IF(E764="","",IF(Q764="No","Duplicate of an earlier response",IF(L764="Not on SITES","Site not on SITES",IF(N(G764)&gt;N(F764),"Present is more than enrolled",IF(OR(I764&lt;1,I764&gt;5),"Score outside 1 to 5","")))))</f>
        <v/>
      </c>
    </row>
    <row r="765" customFormat="false" ht="15" hidden="false" customHeight="false" outlineLevel="0" collapsed="false">
      <c r="A765" s="52" t="n">
        <v>46160.7235416667</v>
      </c>
      <c r="B765" s="53" t="s">
        <v>109</v>
      </c>
      <c r="C765" s="53" t="s">
        <v>110</v>
      </c>
      <c r="D765" s="53" t="s">
        <v>107</v>
      </c>
      <c r="E765" s="54" t="n">
        <v>46160</v>
      </c>
      <c r="F765" s="55" t="n">
        <v>21</v>
      </c>
      <c r="G765" s="55" t="n">
        <v>16</v>
      </c>
      <c r="H765" s="55" t="n">
        <v>60</v>
      </c>
      <c r="I765" s="56" t="n">
        <v>4.1</v>
      </c>
      <c r="J765" s="53" t="s">
        <v>166</v>
      </c>
      <c r="K765" s="53"/>
      <c r="L765" s="57" t="str">
        <f aca="false">IF(C765="","",IFERROR(INDEX(site_ID,MATCH(C765,site_Name,0)),"Not on SITES"))</f>
        <v>LW-113</v>
      </c>
      <c r="M765" s="58" t="n">
        <f aca="false">IF(E765="","",DATE(YEAR(E765),MONTH(E765),1))</f>
        <v>46143</v>
      </c>
      <c r="N765" s="57" t="str">
        <f aca="false">IF(E765="","","FY"&amp;(YEAR(E765)+IF(AND(FYStart&gt;1,MONTH(E765)&gt;=FYStart),1,0))&amp;" Q"&amp;(INT(MOD(MONTH(E765)-FYStart,12)/3)+1))</f>
        <v>FY2026 Q4</v>
      </c>
      <c r="O765" s="59" t="n">
        <f aca="false">IF(OR(E765="",N(F765)=0),"",G765/F765)</f>
        <v>0.761904761904762</v>
      </c>
      <c r="P765" s="60" t="n">
        <f aca="false">IF(E765="","",ROUND(N(G765)*N(H765)/60,1))</f>
        <v>16</v>
      </c>
      <c r="Q765" s="57" t="str">
        <f aca="false">IF(E765="","",IF(COUNTIFS($C$2:C765,C765,$E$2:E765,E765,$B$2:B765,B765)&gt;1,"No","Yes"))</f>
        <v>Yes</v>
      </c>
      <c r="R765" s="61" t="str">
        <f aca="false">IF(E765="","",IF(Q765="No","Duplicate of an earlier response",IF(L765="Not on SITES","Site not on SITES",IF(N(G765)&gt;N(F765),"Present is more than enrolled",IF(OR(I765&lt;1,I765&gt;5),"Score outside 1 to 5","")))))</f>
        <v/>
      </c>
    </row>
    <row r="766" customFormat="false" ht="15" hidden="false" customHeight="false" outlineLevel="0" collapsed="false">
      <c r="A766" s="52" t="n">
        <v>46160.7319444444</v>
      </c>
      <c r="B766" s="53" t="s">
        <v>121</v>
      </c>
      <c r="C766" s="53" t="s">
        <v>112</v>
      </c>
      <c r="D766" s="53" t="s">
        <v>113</v>
      </c>
      <c r="E766" s="54" t="n">
        <v>46160</v>
      </c>
      <c r="F766" s="55" t="n">
        <v>15</v>
      </c>
      <c r="G766" s="55" t="n">
        <v>10</v>
      </c>
      <c r="H766" s="55" t="n">
        <v>90</v>
      </c>
      <c r="I766" s="56" t="n">
        <v>3.9</v>
      </c>
      <c r="J766" s="53" t="s">
        <v>131</v>
      </c>
      <c r="K766" s="53"/>
      <c r="L766" s="57" t="str">
        <f aca="false">IF(C766="","",IFERROR(INDEX(site_ID,MATCH(C766,site_Name,0)),"Not on SITES"))</f>
        <v>LW-120</v>
      </c>
      <c r="M766" s="58" t="n">
        <f aca="false">IF(E766="","",DATE(YEAR(E766),MONTH(E766),1))</f>
        <v>46143</v>
      </c>
      <c r="N766" s="57" t="str">
        <f aca="false">IF(E766="","","FY"&amp;(YEAR(E766)+IF(AND(FYStart&gt;1,MONTH(E766)&gt;=FYStart),1,0))&amp;" Q"&amp;(INT(MOD(MONTH(E766)-FYStart,12)/3)+1))</f>
        <v>FY2026 Q4</v>
      </c>
      <c r="O766" s="59" t="n">
        <f aca="false">IF(OR(E766="",N(F766)=0),"",G766/F766)</f>
        <v>0.666666666666667</v>
      </c>
      <c r="P766" s="60" t="n">
        <f aca="false">IF(E766="","",ROUND(N(G766)*N(H766)/60,1))</f>
        <v>15</v>
      </c>
      <c r="Q766" s="57" t="str">
        <f aca="false">IF(E766="","",IF(COUNTIFS($C$2:C766,C766,$E$2:E766,E766,$B$2:B766,B766)&gt;1,"No","Yes"))</f>
        <v>Yes</v>
      </c>
      <c r="R766" s="61" t="str">
        <f aca="false">IF(E766="","",IF(Q766="No","Duplicate of an earlier response",IF(L766="Not on SITES","Site not on SITES",IF(N(G766)&gt;N(F766),"Present is more than enrolled",IF(OR(I766&lt;1,I766&gt;5),"Score outside 1 to 5","")))))</f>
        <v/>
      </c>
    </row>
    <row r="767" customFormat="false" ht="15" hidden="false" customHeight="false" outlineLevel="0" collapsed="false">
      <c r="A767" s="52" t="n">
        <v>46160.7660416667</v>
      </c>
      <c r="B767" s="53" t="s">
        <v>105</v>
      </c>
      <c r="C767" s="53" t="s">
        <v>115</v>
      </c>
      <c r="D767" s="53" t="s">
        <v>116</v>
      </c>
      <c r="E767" s="54" t="n">
        <v>46160</v>
      </c>
      <c r="F767" s="55" t="n">
        <v>16</v>
      </c>
      <c r="G767" s="55" t="n">
        <v>16</v>
      </c>
      <c r="H767" s="55" t="n">
        <v>60</v>
      </c>
      <c r="I767" s="56" t="n">
        <v>3.9</v>
      </c>
      <c r="J767" s="53" t="s">
        <v>117</v>
      </c>
      <c r="K767" s="53"/>
      <c r="L767" s="57" t="str">
        <f aca="false">IF(C767="","",IFERROR(INDEX(site_ID,MATCH(C767,site_Name,0)),"Not on SITES"))</f>
        <v>LW-119</v>
      </c>
      <c r="M767" s="58" t="n">
        <f aca="false">IF(E767="","",DATE(YEAR(E767),MONTH(E767),1))</f>
        <v>46143</v>
      </c>
      <c r="N767" s="57" t="str">
        <f aca="false">IF(E767="","","FY"&amp;(YEAR(E767)+IF(AND(FYStart&gt;1,MONTH(E767)&gt;=FYStart),1,0))&amp;" Q"&amp;(INT(MOD(MONTH(E767)-FYStart,12)/3)+1))</f>
        <v>FY2026 Q4</v>
      </c>
      <c r="O767" s="59" t="n">
        <f aca="false">IF(OR(E767="",N(F767)=0),"",G767/F767)</f>
        <v>1</v>
      </c>
      <c r="P767" s="60" t="n">
        <f aca="false">IF(E767="","",ROUND(N(G767)*N(H767)/60,1))</f>
        <v>16</v>
      </c>
      <c r="Q767" s="57" t="str">
        <f aca="false">IF(E767="","",IF(COUNTIFS($C$2:C767,C767,$E$2:E767,E767,$B$2:B767,B767)&gt;1,"No","Yes"))</f>
        <v>Yes</v>
      </c>
      <c r="R767" s="61" t="str">
        <f aca="false">IF(E767="","",IF(Q767="No","Duplicate of an earlier response",IF(L767="Not on SITES","Site not on SITES",IF(N(G767)&gt;N(F767),"Present is more than enrolled",IF(OR(I767&lt;1,I767&gt;5),"Score outside 1 to 5","")))))</f>
        <v/>
      </c>
    </row>
    <row r="768" customFormat="false" ht="15" hidden="false" customHeight="false" outlineLevel="0" collapsed="false">
      <c r="A768" s="52" t="n">
        <v>46161.6314351852</v>
      </c>
      <c r="B768" s="53" t="s">
        <v>121</v>
      </c>
      <c r="C768" s="53" t="s">
        <v>127</v>
      </c>
      <c r="D768" s="53" t="s">
        <v>107</v>
      </c>
      <c r="E768" s="54" t="n">
        <v>46161</v>
      </c>
      <c r="F768" s="55" t="n">
        <v>15</v>
      </c>
      <c r="G768" s="55" t="n">
        <v>11</v>
      </c>
      <c r="H768" s="55" t="n">
        <v>60</v>
      </c>
      <c r="I768" s="56" t="n">
        <v>4.4</v>
      </c>
      <c r="J768" s="53" t="s">
        <v>156</v>
      </c>
      <c r="K768" s="53"/>
      <c r="L768" s="57" t="str">
        <f aca="false">IF(C768="","",IFERROR(INDEX(site_ID,MATCH(C768,site_Name,0)),"Not on SITES"))</f>
        <v>LW-108</v>
      </c>
      <c r="M768" s="58" t="n">
        <f aca="false">IF(E768="","",DATE(YEAR(E768),MONTH(E768),1))</f>
        <v>46143</v>
      </c>
      <c r="N768" s="57" t="str">
        <f aca="false">IF(E768="","","FY"&amp;(YEAR(E768)+IF(AND(FYStart&gt;1,MONTH(E768)&gt;=FYStart),1,0))&amp;" Q"&amp;(INT(MOD(MONTH(E768)-FYStart,12)/3)+1))</f>
        <v>FY2026 Q4</v>
      </c>
      <c r="O768" s="59" t="n">
        <f aca="false">IF(OR(E768="",N(F768)=0),"",G768/F768)</f>
        <v>0.733333333333333</v>
      </c>
      <c r="P768" s="60" t="n">
        <f aca="false">IF(E768="","",ROUND(N(G768)*N(H768)/60,1))</f>
        <v>11</v>
      </c>
      <c r="Q768" s="57" t="str">
        <f aca="false">IF(E768="","",IF(COUNTIFS($C$2:C768,C768,$E$2:E768,E768,$B$2:B768,B768)&gt;1,"No","Yes"))</f>
        <v>Yes</v>
      </c>
      <c r="R768" s="61" t="str">
        <f aca="false">IF(E768="","",IF(Q768="No","Duplicate of an earlier response",IF(L768="Not on SITES","Site not on SITES",IF(N(G768)&gt;N(F768),"Present is more than enrolled",IF(OR(I768&lt;1,I768&gt;5),"Score outside 1 to 5","")))))</f>
        <v/>
      </c>
    </row>
    <row r="769" customFormat="false" ht="15" hidden="false" customHeight="false" outlineLevel="0" collapsed="false">
      <c r="A769" s="52" t="n">
        <v>46161.6498032407</v>
      </c>
      <c r="B769" s="53" t="s">
        <v>124</v>
      </c>
      <c r="C769" s="53" t="s">
        <v>125</v>
      </c>
      <c r="D769" s="53" t="s">
        <v>119</v>
      </c>
      <c r="E769" s="54" t="n">
        <v>46161</v>
      </c>
      <c r="F769" s="55" t="n">
        <v>18</v>
      </c>
      <c r="G769" s="55" t="n">
        <v>15</v>
      </c>
      <c r="H769" s="55" t="n">
        <v>75</v>
      </c>
      <c r="I769" s="56" t="n">
        <v>4.1</v>
      </c>
      <c r="J769" s="53" t="s">
        <v>162</v>
      </c>
      <c r="K769" s="53"/>
      <c r="L769" s="57" t="str">
        <f aca="false">IF(C769="","",IFERROR(INDEX(site_ID,MATCH(C769,site_Name,0)),"Not on SITES"))</f>
        <v>LW-106</v>
      </c>
      <c r="M769" s="58" t="n">
        <f aca="false">IF(E769="","",DATE(YEAR(E769),MONTH(E769),1))</f>
        <v>46143</v>
      </c>
      <c r="N769" s="57" t="str">
        <f aca="false">IF(E769="","","FY"&amp;(YEAR(E769)+IF(AND(FYStart&gt;1,MONTH(E769)&gt;=FYStart),1,0))&amp;" Q"&amp;(INT(MOD(MONTH(E769)-FYStart,12)/3)+1))</f>
        <v>FY2026 Q4</v>
      </c>
      <c r="O769" s="59" t="n">
        <f aca="false">IF(OR(E769="",N(F769)=0),"",G769/F769)</f>
        <v>0.833333333333333</v>
      </c>
      <c r="P769" s="60" t="n">
        <f aca="false">IF(E769="","",ROUND(N(G769)*N(H769)/60,1))</f>
        <v>18.8</v>
      </c>
      <c r="Q769" s="57" t="str">
        <f aca="false">IF(E769="","",IF(COUNTIFS($C$2:C769,C769,$E$2:E769,E769,$B$2:B769,B769)&gt;1,"No","Yes"))</f>
        <v>Yes</v>
      </c>
      <c r="R769" s="61" t="str">
        <f aca="false">IF(E769="","",IF(Q769="No","Duplicate of an earlier response",IF(L769="Not on SITES","Site not on SITES",IF(N(G769)&gt;N(F769),"Present is more than enrolled",IF(OR(I769&lt;1,I769&gt;5),"Score outside 1 to 5","")))))</f>
        <v/>
      </c>
    </row>
    <row r="770" customFormat="false" ht="15" hidden="false" customHeight="false" outlineLevel="0" collapsed="false">
      <c r="A770" s="52" t="n">
        <v>46161.8622800926</v>
      </c>
      <c r="B770" s="53" t="s">
        <v>132</v>
      </c>
      <c r="C770" s="53" t="s">
        <v>133</v>
      </c>
      <c r="D770" s="53" t="s">
        <v>116</v>
      </c>
      <c r="E770" s="54" t="n">
        <v>46161</v>
      </c>
      <c r="F770" s="55" t="n">
        <v>17</v>
      </c>
      <c r="G770" s="55" t="n">
        <v>13</v>
      </c>
      <c r="H770" s="55" t="n">
        <v>60</v>
      </c>
      <c r="I770" s="56" t="n">
        <v>3.8</v>
      </c>
      <c r="J770" s="53" t="s">
        <v>123</v>
      </c>
      <c r="K770" s="53"/>
      <c r="L770" s="57" t="str">
        <f aca="false">IF(C770="","",IFERROR(INDEX(site_ID,MATCH(C770,site_Name,0)),"Not on SITES"))</f>
        <v>LW-109</v>
      </c>
      <c r="M770" s="58" t="n">
        <f aca="false">IF(E770="","",DATE(YEAR(E770),MONTH(E770),1))</f>
        <v>46143</v>
      </c>
      <c r="N770" s="57" t="str">
        <f aca="false">IF(E770="","","FY"&amp;(YEAR(E770)+IF(AND(FYStart&gt;1,MONTH(E770)&gt;=FYStart),1,0))&amp;" Q"&amp;(INT(MOD(MONTH(E770)-FYStart,12)/3)+1))</f>
        <v>FY2026 Q4</v>
      </c>
      <c r="O770" s="59" t="n">
        <f aca="false">IF(OR(E770="",N(F770)=0),"",G770/F770)</f>
        <v>0.764705882352941</v>
      </c>
      <c r="P770" s="60" t="n">
        <f aca="false">IF(E770="","",ROUND(N(G770)*N(H770)/60,1))</f>
        <v>13</v>
      </c>
      <c r="Q770" s="57" t="str">
        <f aca="false">IF(E770="","",IF(COUNTIFS($C$2:C770,C770,$E$2:E770,E770,$B$2:B770,B770)&gt;1,"No","Yes"))</f>
        <v>Yes</v>
      </c>
      <c r="R770" s="61" t="str">
        <f aca="false">IF(E770="","",IF(Q770="No","Duplicate of an earlier response",IF(L770="Not on SITES","Site not on SITES",IF(N(G770)&gt;N(F770),"Present is more than enrolled",IF(OR(I770&lt;1,I770&gt;5),"Score outside 1 to 5","")))))</f>
        <v/>
      </c>
    </row>
    <row r="771" customFormat="false" ht="15" hidden="false" customHeight="false" outlineLevel="0" collapsed="false">
      <c r="A771" s="52" t="n">
        <v>46161.8649421296</v>
      </c>
      <c r="B771" s="53" t="s">
        <v>121</v>
      </c>
      <c r="C771" s="53" t="s">
        <v>122</v>
      </c>
      <c r="D771" s="53" t="s">
        <v>116</v>
      </c>
      <c r="E771" s="54" t="n">
        <v>46161</v>
      </c>
      <c r="F771" s="55" t="n">
        <v>16</v>
      </c>
      <c r="G771" s="55" t="n">
        <v>10</v>
      </c>
      <c r="H771" s="55" t="n">
        <v>75</v>
      </c>
      <c r="I771" s="56" t="n">
        <v>3.9</v>
      </c>
      <c r="J771" s="53" t="s">
        <v>134</v>
      </c>
      <c r="K771" s="53"/>
      <c r="L771" s="57" t="str">
        <f aca="false">IF(C771="","",IFERROR(INDEX(site_ID,MATCH(C771,site_Name,0)),"Not on SITES"))</f>
        <v>LW-116</v>
      </c>
      <c r="M771" s="58" t="n">
        <f aca="false">IF(E771="","",DATE(YEAR(E771),MONTH(E771),1))</f>
        <v>46143</v>
      </c>
      <c r="N771" s="57" t="str">
        <f aca="false">IF(E771="","","FY"&amp;(YEAR(E771)+IF(AND(FYStart&gt;1,MONTH(E771)&gt;=FYStart),1,0))&amp;" Q"&amp;(INT(MOD(MONTH(E771)-FYStart,12)/3)+1))</f>
        <v>FY2026 Q4</v>
      </c>
      <c r="O771" s="59" t="n">
        <f aca="false">IF(OR(E771="",N(F771)=0),"",G771/F771)</f>
        <v>0.625</v>
      </c>
      <c r="P771" s="60" t="n">
        <f aca="false">IF(E771="","",ROUND(N(G771)*N(H771)/60,1))</f>
        <v>12.5</v>
      </c>
      <c r="Q771" s="57" t="str">
        <f aca="false">IF(E771="","",IF(COUNTIFS($C$2:C771,C771,$E$2:E771,E771,$B$2:B771,B771)&gt;1,"No","Yes"))</f>
        <v>Yes</v>
      </c>
      <c r="R771" s="61" t="str">
        <f aca="false">IF(E771="","",IF(Q771="No","Duplicate of an earlier response",IF(L771="Not on SITES","Site not on SITES",IF(N(G771)&gt;N(F771),"Present is more than enrolled",IF(OR(I771&lt;1,I771&gt;5),"Score outside 1 to 5","")))))</f>
        <v/>
      </c>
    </row>
    <row r="772" customFormat="false" ht="15" hidden="false" customHeight="false" outlineLevel="0" collapsed="false">
      <c r="A772" s="52" t="n">
        <v>46162.693599537</v>
      </c>
      <c r="B772" s="53" t="s">
        <v>111</v>
      </c>
      <c r="C772" s="53" t="s">
        <v>112</v>
      </c>
      <c r="D772" s="53" t="s">
        <v>113</v>
      </c>
      <c r="E772" s="54" t="n">
        <v>46162</v>
      </c>
      <c r="F772" s="55" t="n">
        <v>15</v>
      </c>
      <c r="G772" s="55" t="n">
        <v>12</v>
      </c>
      <c r="H772" s="55" t="n">
        <v>60</v>
      </c>
      <c r="I772" s="56" t="n">
        <v>4.1</v>
      </c>
      <c r="J772" s="53" t="s">
        <v>114</v>
      </c>
      <c r="K772" s="53"/>
      <c r="L772" s="57" t="str">
        <f aca="false">IF(C772="","",IFERROR(INDEX(site_ID,MATCH(C772,site_Name,0)),"Not on SITES"))</f>
        <v>LW-120</v>
      </c>
      <c r="M772" s="58" t="n">
        <f aca="false">IF(E772="","",DATE(YEAR(E772),MONTH(E772),1))</f>
        <v>46143</v>
      </c>
      <c r="N772" s="57" t="str">
        <f aca="false">IF(E772="","","FY"&amp;(YEAR(E772)+IF(AND(FYStart&gt;1,MONTH(E772)&gt;=FYStart),1,0))&amp;" Q"&amp;(INT(MOD(MONTH(E772)-FYStart,12)/3)+1))</f>
        <v>FY2026 Q4</v>
      </c>
      <c r="O772" s="59" t="n">
        <f aca="false">IF(OR(E772="",N(F772)=0),"",G772/F772)</f>
        <v>0.8</v>
      </c>
      <c r="P772" s="60" t="n">
        <f aca="false">IF(E772="","",ROUND(N(G772)*N(H772)/60,1))</f>
        <v>12</v>
      </c>
      <c r="Q772" s="57" t="str">
        <f aca="false">IF(E772="","",IF(COUNTIFS($C$2:C772,C772,$E$2:E772,E772,$B$2:B772,B772)&gt;1,"No","Yes"))</f>
        <v>Yes</v>
      </c>
      <c r="R772" s="61" t="str">
        <f aca="false">IF(E772="","",IF(Q772="No","Duplicate of an earlier response",IF(L772="Not on SITES","Site not on SITES",IF(N(G772)&gt;N(F772),"Present is more than enrolled",IF(OR(I772&lt;1,I772&gt;5),"Score outside 1 to 5","")))))</f>
        <v/>
      </c>
    </row>
    <row r="773" customFormat="false" ht="15" hidden="false" customHeight="false" outlineLevel="0" collapsed="false">
      <c r="A773" s="52" t="n">
        <v>46162.731099537</v>
      </c>
      <c r="B773" s="53" t="s">
        <v>132</v>
      </c>
      <c r="C773" s="53" t="s">
        <v>145</v>
      </c>
      <c r="D773" s="53" t="s">
        <v>119</v>
      </c>
      <c r="E773" s="54" t="n">
        <v>46162</v>
      </c>
      <c r="F773" s="55" t="n">
        <v>19</v>
      </c>
      <c r="G773" s="55" t="n">
        <v>13</v>
      </c>
      <c r="H773" s="55" t="n">
        <v>90</v>
      </c>
      <c r="I773" s="56" t="n">
        <v>4.1</v>
      </c>
      <c r="J773" s="53" t="s">
        <v>157</v>
      </c>
      <c r="K773" s="53"/>
      <c r="L773" s="57" t="str">
        <f aca="false">IF(C773="","",IFERROR(INDEX(site_ID,MATCH(C773,site_Name,0)),"Not on SITES"))</f>
        <v>LW-101</v>
      </c>
      <c r="M773" s="58" t="n">
        <f aca="false">IF(E773="","",DATE(YEAR(E773),MONTH(E773),1))</f>
        <v>46143</v>
      </c>
      <c r="N773" s="57" t="str">
        <f aca="false">IF(E773="","","FY"&amp;(YEAR(E773)+IF(AND(FYStart&gt;1,MONTH(E773)&gt;=FYStart),1,0))&amp;" Q"&amp;(INT(MOD(MONTH(E773)-FYStart,12)/3)+1))</f>
        <v>FY2026 Q4</v>
      </c>
      <c r="O773" s="59" t="n">
        <f aca="false">IF(OR(E773="",N(F773)=0),"",G773/F773)</f>
        <v>0.68421052631579</v>
      </c>
      <c r="P773" s="60" t="n">
        <f aca="false">IF(E773="","",ROUND(N(G773)*N(H773)/60,1))</f>
        <v>19.5</v>
      </c>
      <c r="Q773" s="57" t="str">
        <f aca="false">IF(E773="","",IF(COUNTIFS($C$2:C773,C773,$E$2:E773,E773,$B$2:B773,B773)&gt;1,"No","Yes"))</f>
        <v>Yes</v>
      </c>
      <c r="R773" s="61" t="str">
        <f aca="false">IF(E773="","",IF(Q773="No","Duplicate of an earlier response",IF(L773="Not on SITES","Site not on SITES",IF(N(G773)&gt;N(F773),"Present is more than enrolled",IF(OR(I773&lt;1,I773&gt;5),"Score outside 1 to 5","")))))</f>
        <v/>
      </c>
    </row>
    <row r="774" customFormat="false" ht="15" hidden="false" customHeight="false" outlineLevel="0" collapsed="false">
      <c r="A774" s="52" t="n">
        <v>46163.7374652778</v>
      </c>
      <c r="B774" s="53" t="s">
        <v>109</v>
      </c>
      <c r="C774" s="53" t="s">
        <v>146</v>
      </c>
      <c r="D774" s="53" t="s">
        <v>138</v>
      </c>
      <c r="E774" s="54" t="n">
        <v>46163</v>
      </c>
      <c r="F774" s="55" t="n">
        <v>14</v>
      </c>
      <c r="G774" s="55" t="n">
        <v>12</v>
      </c>
      <c r="H774" s="55" t="n">
        <v>90</v>
      </c>
      <c r="I774" s="56" t="n">
        <v>4.3</v>
      </c>
      <c r="J774" s="53" t="s">
        <v>139</v>
      </c>
      <c r="K774" s="53"/>
      <c r="L774" s="57" t="str">
        <f aca="false">IF(C774="","",IFERROR(INDEX(site_ID,MATCH(C774,site_Name,0)),"Not on SITES"))</f>
        <v>LW-105</v>
      </c>
      <c r="M774" s="58" t="n">
        <f aca="false">IF(E774="","",DATE(YEAR(E774),MONTH(E774),1))</f>
        <v>46143</v>
      </c>
      <c r="N774" s="57" t="str">
        <f aca="false">IF(E774="","","FY"&amp;(YEAR(E774)+IF(AND(FYStart&gt;1,MONTH(E774)&gt;=FYStart),1,0))&amp;" Q"&amp;(INT(MOD(MONTH(E774)-FYStart,12)/3)+1))</f>
        <v>FY2026 Q4</v>
      </c>
      <c r="O774" s="59" t="n">
        <f aca="false">IF(OR(E774="",N(F774)=0),"",G774/F774)</f>
        <v>0.857142857142857</v>
      </c>
      <c r="P774" s="60" t="n">
        <f aca="false">IF(E774="","",ROUND(N(G774)*N(H774)/60,1))</f>
        <v>18</v>
      </c>
      <c r="Q774" s="57" t="str">
        <f aca="false">IF(E774="","",IF(COUNTIFS($C$2:C774,C774,$E$2:E774,E774,$B$2:B774,B774)&gt;1,"No","Yes"))</f>
        <v>Yes</v>
      </c>
      <c r="R774" s="61" t="str">
        <f aca="false">IF(E774="","",IF(Q774="No","Duplicate of an earlier response",IF(L774="Not on SITES","Site not on SITES",IF(N(G774)&gt;N(F774),"Present is more than enrolled",IF(OR(I774&lt;1,I774&gt;5),"Score outside 1 to 5","")))))</f>
        <v/>
      </c>
    </row>
    <row r="775" customFormat="false" ht="15" hidden="false" customHeight="false" outlineLevel="0" collapsed="false">
      <c r="A775" s="52" t="n">
        <v>46163.7781134259</v>
      </c>
      <c r="B775" s="53" t="s">
        <v>111</v>
      </c>
      <c r="C775" s="53" t="s">
        <v>149</v>
      </c>
      <c r="D775" s="53" t="s">
        <v>113</v>
      </c>
      <c r="E775" s="54" t="n">
        <v>46163</v>
      </c>
      <c r="F775" s="55" t="n">
        <v>21</v>
      </c>
      <c r="G775" s="55" t="n">
        <v>18</v>
      </c>
      <c r="H775" s="55" t="n">
        <v>75</v>
      </c>
      <c r="I775" s="56" t="n">
        <v>4</v>
      </c>
      <c r="J775" s="53" t="s">
        <v>114</v>
      </c>
      <c r="K775" s="53"/>
      <c r="L775" s="57" t="str">
        <f aca="false">IF(C775="","",IFERROR(INDEX(site_ID,MATCH(C775,site_Name,0)),"Not on SITES"))</f>
        <v>LW-112</v>
      </c>
      <c r="M775" s="58" t="n">
        <f aca="false">IF(E775="","",DATE(YEAR(E775),MONTH(E775),1))</f>
        <v>46143</v>
      </c>
      <c r="N775" s="57" t="str">
        <f aca="false">IF(E775="","","FY"&amp;(YEAR(E775)+IF(AND(FYStart&gt;1,MONTH(E775)&gt;=FYStart),1,0))&amp;" Q"&amp;(INT(MOD(MONTH(E775)-FYStart,12)/3)+1))</f>
        <v>FY2026 Q4</v>
      </c>
      <c r="O775" s="59" t="n">
        <f aca="false">IF(OR(E775="",N(F775)=0),"",G775/F775)</f>
        <v>0.857142857142857</v>
      </c>
      <c r="P775" s="60" t="n">
        <f aca="false">IF(E775="","",ROUND(N(G775)*N(H775)/60,1))</f>
        <v>22.5</v>
      </c>
      <c r="Q775" s="57" t="str">
        <f aca="false">IF(E775="","",IF(COUNTIFS($C$2:C775,C775,$E$2:E775,E775,$B$2:B775,B775)&gt;1,"No","Yes"))</f>
        <v>Yes</v>
      </c>
      <c r="R775" s="61" t="str">
        <f aca="false">IF(E775="","",IF(Q775="No","Duplicate of an earlier response",IF(L775="Not on SITES","Site not on SITES",IF(N(G775)&gt;N(F775),"Present is more than enrolled",IF(OR(I775&lt;1,I775&gt;5),"Score outside 1 to 5","")))))</f>
        <v/>
      </c>
    </row>
    <row r="776" customFormat="false" ht="15" hidden="false" customHeight="false" outlineLevel="0" collapsed="false">
      <c r="A776" s="52" t="n">
        <v>46163.8191087963</v>
      </c>
      <c r="B776" s="53" t="s">
        <v>121</v>
      </c>
      <c r="C776" s="53" t="s">
        <v>122</v>
      </c>
      <c r="D776" s="53" t="s">
        <v>116</v>
      </c>
      <c r="E776" s="54" t="n">
        <v>46163</v>
      </c>
      <c r="F776" s="55" t="n">
        <v>16</v>
      </c>
      <c r="G776" s="55" t="n">
        <v>13</v>
      </c>
      <c r="H776" s="55" t="n">
        <v>75</v>
      </c>
      <c r="I776" s="56" t="n">
        <v>4.1</v>
      </c>
      <c r="J776" s="53" t="s">
        <v>117</v>
      </c>
      <c r="K776" s="53" t="s">
        <v>135</v>
      </c>
      <c r="L776" s="57" t="str">
        <f aca="false">IF(C776="","",IFERROR(INDEX(site_ID,MATCH(C776,site_Name,0)),"Not on SITES"))</f>
        <v>LW-116</v>
      </c>
      <c r="M776" s="58" t="n">
        <f aca="false">IF(E776="","",DATE(YEAR(E776),MONTH(E776),1))</f>
        <v>46143</v>
      </c>
      <c r="N776" s="57" t="str">
        <f aca="false">IF(E776="","","FY"&amp;(YEAR(E776)+IF(AND(FYStart&gt;1,MONTH(E776)&gt;=FYStart),1,0))&amp;" Q"&amp;(INT(MOD(MONTH(E776)-FYStart,12)/3)+1))</f>
        <v>FY2026 Q4</v>
      </c>
      <c r="O776" s="59" t="n">
        <f aca="false">IF(OR(E776="",N(F776)=0),"",G776/F776)</f>
        <v>0.8125</v>
      </c>
      <c r="P776" s="60" t="n">
        <f aca="false">IF(E776="","",ROUND(N(G776)*N(H776)/60,1))</f>
        <v>16.3</v>
      </c>
      <c r="Q776" s="57" t="str">
        <f aca="false">IF(E776="","",IF(COUNTIFS($C$2:C776,C776,$E$2:E776,E776,$B$2:B776,B776)&gt;1,"No","Yes"))</f>
        <v>Yes</v>
      </c>
      <c r="R776" s="61" t="str">
        <f aca="false">IF(E776="","",IF(Q776="No","Duplicate of an earlier response",IF(L776="Not on SITES","Site not on SITES",IF(N(G776)&gt;N(F776),"Present is more than enrolled",IF(OR(I776&lt;1,I776&gt;5),"Score outside 1 to 5","")))))</f>
        <v/>
      </c>
    </row>
    <row r="777" customFormat="false" ht="15" hidden="false" customHeight="false" outlineLevel="0" collapsed="false">
      <c r="A777" s="52" t="n">
        <v>46163.8369328704</v>
      </c>
      <c r="B777" s="53" t="s">
        <v>140</v>
      </c>
      <c r="C777" s="53" t="s">
        <v>141</v>
      </c>
      <c r="D777" s="53" t="s">
        <v>116</v>
      </c>
      <c r="E777" s="54" t="n">
        <v>46162</v>
      </c>
      <c r="F777" s="55" t="n">
        <v>13</v>
      </c>
      <c r="G777" s="55" t="n">
        <v>10</v>
      </c>
      <c r="H777" s="55" t="n">
        <v>60</v>
      </c>
      <c r="I777" s="56" t="n">
        <v>4</v>
      </c>
      <c r="J777" s="53" t="s">
        <v>160</v>
      </c>
      <c r="K777" s="53"/>
      <c r="L777" s="57" t="str">
        <f aca="false">IF(C777="","",IFERROR(INDEX(site_ID,MATCH(C777,site_Name,0)),"Not on SITES"))</f>
        <v>LW-118</v>
      </c>
      <c r="M777" s="58" t="n">
        <f aca="false">IF(E777="","",DATE(YEAR(E777),MONTH(E777),1))</f>
        <v>46143</v>
      </c>
      <c r="N777" s="57" t="str">
        <f aca="false">IF(E777="","","FY"&amp;(YEAR(E777)+IF(AND(FYStart&gt;1,MONTH(E777)&gt;=FYStart),1,0))&amp;" Q"&amp;(INT(MOD(MONTH(E777)-FYStart,12)/3)+1))</f>
        <v>FY2026 Q4</v>
      </c>
      <c r="O777" s="59" t="n">
        <f aca="false">IF(OR(E777="",N(F777)=0),"",G777/F777)</f>
        <v>0.769230769230769</v>
      </c>
      <c r="P777" s="60" t="n">
        <f aca="false">IF(E777="","",ROUND(N(G777)*N(H777)/60,1))</f>
        <v>10</v>
      </c>
      <c r="Q777" s="57" t="str">
        <f aca="false">IF(E777="","",IF(COUNTIFS($C$2:C777,C777,$E$2:E777,E777,$B$2:B777,B777)&gt;1,"No","Yes"))</f>
        <v>Yes</v>
      </c>
      <c r="R777" s="61" t="str">
        <f aca="false">IF(E777="","",IF(Q777="No","Duplicate of an earlier response",IF(L777="Not on SITES","Site not on SITES",IF(N(G777)&gt;N(F777),"Present is more than enrolled",IF(OR(I777&lt;1,I777&gt;5),"Score outside 1 to 5","")))))</f>
        <v/>
      </c>
    </row>
    <row r="778" customFormat="false" ht="15" hidden="false" customHeight="false" outlineLevel="0" collapsed="false">
      <c r="A778" s="52" t="n">
        <v>46163.8451967593</v>
      </c>
      <c r="B778" s="53" t="s">
        <v>140</v>
      </c>
      <c r="C778" s="53" t="s">
        <v>151</v>
      </c>
      <c r="D778" s="53" t="s">
        <v>138</v>
      </c>
      <c r="E778" s="54" t="n">
        <v>46163</v>
      </c>
      <c r="F778" s="55" t="n">
        <v>13</v>
      </c>
      <c r="G778" s="55" t="n">
        <v>10</v>
      </c>
      <c r="H778" s="55" t="n">
        <v>90</v>
      </c>
      <c r="I778" s="56" t="n">
        <v>3.8</v>
      </c>
      <c r="J778" s="53" t="s">
        <v>147</v>
      </c>
      <c r="K778" s="53"/>
      <c r="L778" s="57" t="str">
        <f aca="false">IF(C778="","",IFERROR(INDEX(site_ID,MATCH(C778,site_Name,0)),"Not on SITES"))</f>
        <v>LW-110</v>
      </c>
      <c r="M778" s="58" t="n">
        <f aca="false">IF(E778="","",DATE(YEAR(E778),MONTH(E778),1))</f>
        <v>46143</v>
      </c>
      <c r="N778" s="57" t="str">
        <f aca="false">IF(E778="","","FY"&amp;(YEAR(E778)+IF(AND(FYStart&gt;1,MONTH(E778)&gt;=FYStart),1,0))&amp;" Q"&amp;(INT(MOD(MONTH(E778)-FYStart,12)/3)+1))</f>
        <v>FY2026 Q4</v>
      </c>
      <c r="O778" s="59" t="n">
        <f aca="false">IF(OR(E778="",N(F778)=0),"",G778/F778)</f>
        <v>0.769230769230769</v>
      </c>
      <c r="P778" s="60" t="n">
        <f aca="false">IF(E778="","",ROUND(N(G778)*N(H778)/60,1))</f>
        <v>15</v>
      </c>
      <c r="Q778" s="57" t="str">
        <f aca="false">IF(E778="","",IF(COUNTIFS($C$2:C778,C778,$E$2:E778,E778,$B$2:B778,B778)&gt;1,"No","Yes"))</f>
        <v>Yes</v>
      </c>
      <c r="R778" s="61" t="str">
        <f aca="false">IF(E778="","",IF(Q778="No","Duplicate of an earlier response",IF(L778="Not on SITES","Site not on SITES",IF(N(G778)&gt;N(F778),"Present is more than enrolled",IF(OR(I778&lt;1,I778&gt;5),"Score outside 1 to 5","")))))</f>
        <v/>
      </c>
    </row>
    <row r="779" customFormat="false" ht="15" hidden="false" customHeight="false" outlineLevel="0" collapsed="false">
      <c r="A779" s="52" t="n">
        <v>46163.8678240741</v>
      </c>
      <c r="B779" s="53" t="s">
        <v>132</v>
      </c>
      <c r="C779" s="53" t="s">
        <v>150</v>
      </c>
      <c r="D779" s="53" t="s">
        <v>138</v>
      </c>
      <c r="E779" s="54" t="n">
        <v>46163</v>
      </c>
      <c r="F779" s="55" t="n">
        <v>21</v>
      </c>
      <c r="G779" s="55" t="n">
        <v>17</v>
      </c>
      <c r="H779" s="55" t="n">
        <v>90</v>
      </c>
      <c r="I779" s="56" t="n">
        <v>4.3</v>
      </c>
      <c r="J779" s="53" t="s">
        <v>147</v>
      </c>
      <c r="K779" s="53"/>
      <c r="L779" s="57" t="str">
        <f aca="false">IF(C779="","",IFERROR(INDEX(site_ID,MATCH(C779,site_Name,0)),"Not on SITES"))</f>
        <v>LW-117</v>
      </c>
      <c r="M779" s="58" t="n">
        <f aca="false">IF(E779="","",DATE(YEAR(E779),MONTH(E779),1))</f>
        <v>46143</v>
      </c>
      <c r="N779" s="57" t="str">
        <f aca="false">IF(E779="","","FY"&amp;(YEAR(E779)+IF(AND(FYStart&gt;1,MONTH(E779)&gt;=FYStart),1,0))&amp;" Q"&amp;(INT(MOD(MONTH(E779)-FYStart,12)/3)+1))</f>
        <v>FY2026 Q4</v>
      </c>
      <c r="O779" s="59" t="n">
        <f aca="false">IF(OR(E779="",N(F779)=0),"",G779/F779)</f>
        <v>0.80952380952381</v>
      </c>
      <c r="P779" s="60" t="n">
        <f aca="false">IF(E779="","",ROUND(N(G779)*N(H779)/60,1))</f>
        <v>25.5</v>
      </c>
      <c r="Q779" s="57" t="str">
        <f aca="false">IF(E779="","",IF(COUNTIFS($C$2:C779,C779,$E$2:E779,E779,$B$2:B779,B779)&gt;1,"No","Yes"))</f>
        <v>Yes</v>
      </c>
      <c r="R779" s="61" t="str">
        <f aca="false">IF(E779="","",IF(Q779="No","Duplicate of an earlier response",IF(L779="Not on SITES","Site not on SITES",IF(N(G779)&gt;N(F779),"Present is more than enrolled",IF(OR(I779&lt;1,I779&gt;5),"Score outside 1 to 5","")))))</f>
        <v/>
      </c>
    </row>
    <row r="780" customFormat="false" ht="15" hidden="false" customHeight="false" outlineLevel="0" collapsed="false">
      <c r="A780" s="52" t="n">
        <v>46164.646724537</v>
      </c>
      <c r="B780" s="53" t="s">
        <v>140</v>
      </c>
      <c r="C780" s="53" t="s">
        <v>141</v>
      </c>
      <c r="D780" s="53" t="s">
        <v>116</v>
      </c>
      <c r="E780" s="54" t="n">
        <v>46164</v>
      </c>
      <c r="F780" s="55" t="n">
        <v>13</v>
      </c>
      <c r="G780" s="55" t="n">
        <v>10</v>
      </c>
      <c r="H780" s="55" t="n">
        <v>75</v>
      </c>
      <c r="I780" s="56" t="n">
        <v>4</v>
      </c>
      <c r="J780" s="53" t="s">
        <v>123</v>
      </c>
      <c r="K780" s="53"/>
      <c r="L780" s="57" t="str">
        <f aca="false">IF(C780="","",IFERROR(INDEX(site_ID,MATCH(C780,site_Name,0)),"Not on SITES"))</f>
        <v>LW-118</v>
      </c>
      <c r="M780" s="58" t="n">
        <f aca="false">IF(E780="","",DATE(YEAR(E780),MONTH(E780),1))</f>
        <v>46143</v>
      </c>
      <c r="N780" s="57" t="str">
        <f aca="false">IF(E780="","","FY"&amp;(YEAR(E780)+IF(AND(FYStart&gt;1,MONTH(E780)&gt;=FYStart),1,0))&amp;" Q"&amp;(INT(MOD(MONTH(E780)-FYStart,12)/3)+1))</f>
        <v>FY2026 Q4</v>
      </c>
      <c r="O780" s="59" t="n">
        <f aca="false">IF(OR(E780="",N(F780)=0),"",G780/F780)</f>
        <v>0.769230769230769</v>
      </c>
      <c r="P780" s="60" t="n">
        <f aca="false">IF(E780="","",ROUND(N(G780)*N(H780)/60,1))</f>
        <v>12.5</v>
      </c>
      <c r="Q780" s="57" t="str">
        <f aca="false">IF(E780="","",IF(COUNTIFS($C$2:C780,C780,$E$2:E780,E780,$B$2:B780,B780)&gt;1,"No","Yes"))</f>
        <v>Yes</v>
      </c>
      <c r="R780" s="61" t="str">
        <f aca="false">IF(E780="","",IF(Q780="No","Duplicate of an earlier response",IF(L780="Not on SITES","Site not on SITES",IF(N(G780)&gt;N(F780),"Present is more than enrolled",IF(OR(I780&lt;1,I780&gt;5),"Score outside 1 to 5","")))))</f>
        <v/>
      </c>
    </row>
    <row r="781" customFormat="false" ht="15" hidden="false" customHeight="false" outlineLevel="0" collapsed="false">
      <c r="A781" s="52" t="n">
        <v>46165.7577777778</v>
      </c>
      <c r="B781" s="53" t="s">
        <v>111</v>
      </c>
      <c r="C781" s="53" t="s">
        <v>148</v>
      </c>
      <c r="D781" s="53" t="s">
        <v>116</v>
      </c>
      <c r="E781" s="54" t="n">
        <v>46163</v>
      </c>
      <c r="F781" s="55" t="n">
        <v>16</v>
      </c>
      <c r="G781" s="55" t="n">
        <v>12</v>
      </c>
      <c r="H781" s="55" t="n">
        <v>90</v>
      </c>
      <c r="I781" s="56" t="n">
        <v>4.4</v>
      </c>
      <c r="J781" s="53" t="s">
        <v>160</v>
      </c>
      <c r="K781" s="53"/>
      <c r="L781" s="57" t="str">
        <f aca="false">IF(C781="","",IFERROR(INDEX(site_ID,MATCH(C781,site_Name,0)),"Not on SITES"))</f>
        <v>LW-104</v>
      </c>
      <c r="M781" s="58" t="n">
        <f aca="false">IF(E781="","",DATE(YEAR(E781),MONTH(E781),1))</f>
        <v>46143</v>
      </c>
      <c r="N781" s="57" t="str">
        <f aca="false">IF(E781="","","FY"&amp;(YEAR(E781)+IF(AND(FYStart&gt;1,MONTH(E781)&gt;=FYStart),1,0))&amp;" Q"&amp;(INT(MOD(MONTH(E781)-FYStart,12)/3)+1))</f>
        <v>FY2026 Q4</v>
      </c>
      <c r="O781" s="59" t="n">
        <f aca="false">IF(OR(E781="",N(F781)=0),"",G781/F781)</f>
        <v>0.75</v>
      </c>
      <c r="P781" s="60" t="n">
        <f aca="false">IF(E781="","",ROUND(N(G781)*N(H781)/60,1))</f>
        <v>18</v>
      </c>
      <c r="Q781" s="57" t="str">
        <f aca="false">IF(E781="","",IF(COUNTIFS($C$2:C781,C781,$E$2:E781,E781,$B$2:B781,B781)&gt;1,"No","Yes"))</f>
        <v>Yes</v>
      </c>
      <c r="R781" s="61" t="str">
        <f aca="false">IF(E781="","",IF(Q781="No","Duplicate of an earlier response",IF(L781="Not on SITES","Site not on SITES",IF(N(G781)&gt;N(F781),"Present is more than enrolled",IF(OR(I781&lt;1,I781&gt;5),"Score outside 1 to 5","")))))</f>
        <v/>
      </c>
    </row>
    <row r="782" customFormat="false" ht="15" hidden="false" customHeight="false" outlineLevel="0" collapsed="false">
      <c r="A782" s="52" t="n">
        <v>46165.7611805556</v>
      </c>
      <c r="B782" s="53" t="s">
        <v>124</v>
      </c>
      <c r="C782" s="53" t="s">
        <v>154</v>
      </c>
      <c r="D782" s="53" t="s">
        <v>116</v>
      </c>
      <c r="E782" s="54" t="n">
        <v>46163</v>
      </c>
      <c r="F782" s="55" t="n">
        <v>18</v>
      </c>
      <c r="G782" s="55" t="n">
        <v>15</v>
      </c>
      <c r="H782" s="55" t="n">
        <v>75</v>
      </c>
      <c r="I782" s="56" t="n">
        <v>4</v>
      </c>
      <c r="J782" s="53" t="s">
        <v>123</v>
      </c>
      <c r="K782" s="53"/>
      <c r="L782" s="57" t="str">
        <f aca="false">IF(C782="","",IFERROR(INDEX(site_ID,MATCH(C782,site_Name,0)),"Not on SITES"))</f>
        <v>LW-114</v>
      </c>
      <c r="M782" s="58" t="n">
        <f aca="false">IF(E782="","",DATE(YEAR(E782),MONTH(E782),1))</f>
        <v>46143</v>
      </c>
      <c r="N782" s="57" t="str">
        <f aca="false">IF(E782="","","FY"&amp;(YEAR(E782)+IF(AND(FYStart&gt;1,MONTH(E782)&gt;=FYStart),1,0))&amp;" Q"&amp;(INT(MOD(MONTH(E782)-FYStart,12)/3)+1))</f>
        <v>FY2026 Q4</v>
      </c>
      <c r="O782" s="59" t="n">
        <f aca="false">IF(OR(E782="",N(F782)=0),"",G782/F782)</f>
        <v>0.833333333333333</v>
      </c>
      <c r="P782" s="60" t="n">
        <f aca="false">IF(E782="","",ROUND(N(G782)*N(H782)/60,1))</f>
        <v>18.8</v>
      </c>
      <c r="Q782" s="57" t="str">
        <f aca="false">IF(E782="","",IF(COUNTIFS($C$2:C782,C782,$E$2:E782,E782,$B$2:B782,B782)&gt;1,"No","Yes"))</f>
        <v>Yes</v>
      </c>
      <c r="R782" s="61" t="str">
        <f aca="false">IF(E782="","",IF(Q782="No","Duplicate of an earlier response",IF(L782="Not on SITES","Site not on SITES",IF(N(G782)&gt;N(F782),"Present is more than enrolled",IF(OR(I782&lt;1,I782&gt;5),"Score outside 1 to 5","")))))</f>
        <v/>
      </c>
    </row>
    <row r="783" customFormat="false" ht="15" hidden="false" customHeight="false" outlineLevel="0" collapsed="false">
      <c r="A783" s="52"/>
      <c r="B783" s="53"/>
      <c r="C783" s="53"/>
      <c r="D783" s="53"/>
      <c r="E783" s="54"/>
      <c r="F783" s="55"/>
      <c r="G783" s="55"/>
      <c r="H783" s="55"/>
      <c r="I783" s="56"/>
      <c r="J783" s="53"/>
      <c r="K783" s="53"/>
      <c r="L783" s="57" t="str">
        <f aca="false">IF(C783="","",IFERROR(INDEX(site_ID,MATCH(C783,site_Name,0)),"Not on SITES"))</f>
        <v/>
      </c>
      <c r="M783" s="58" t="str">
        <f aca="false">IF(E783="","",DATE(YEAR(E783),MONTH(E783),1))</f>
        <v/>
      </c>
      <c r="N783" s="57" t="str">
        <f aca="false">IF(E783="","","FY"&amp;(YEAR(E783)+IF(AND(FYStart&gt;1,MONTH(E783)&gt;=FYStart),1,0))&amp;" Q"&amp;(INT(MOD(MONTH(E783)-FYStart,12)/3)+1))</f>
        <v/>
      </c>
      <c r="O783" s="59" t="str">
        <f aca="false">IF(OR(E783="",N(F783)=0),"",G783/F783)</f>
        <v/>
      </c>
      <c r="P783" s="60" t="str">
        <f aca="false">IF(E783="","",ROUND(N(G783)*N(H783)/60,1))</f>
        <v/>
      </c>
      <c r="Q783" s="57" t="str">
        <f aca="false">IF(E783="","",IF(COUNTIFS($C$2:C783,C783,$E$2:E783,E783,$B$2:B783,B783)&gt;1,"No","Yes"))</f>
        <v/>
      </c>
      <c r="R783" s="61" t="str">
        <f aca="false">IF(E783="","",IF(Q783="No","Duplicate of an earlier response",IF(L783="Not on SITES","Site not on SITES",IF(N(G783)&gt;N(F783),"Present is more than enrolled",IF(OR(I783&lt;1,I783&gt;5),"Score outside 1 to 5","")))))</f>
        <v/>
      </c>
    </row>
    <row r="784" customFormat="false" ht="15" hidden="false" customHeight="false" outlineLevel="0" collapsed="false">
      <c r="A784" s="52"/>
      <c r="B784" s="53"/>
      <c r="C784" s="53"/>
      <c r="D784" s="53"/>
      <c r="E784" s="54"/>
      <c r="F784" s="55"/>
      <c r="G784" s="55"/>
      <c r="H784" s="55"/>
      <c r="I784" s="56"/>
      <c r="J784" s="53"/>
      <c r="K784" s="53"/>
      <c r="L784" s="57" t="str">
        <f aca="false">IF(C784="","",IFERROR(INDEX(site_ID,MATCH(C784,site_Name,0)),"Not on SITES"))</f>
        <v/>
      </c>
      <c r="M784" s="58" t="str">
        <f aca="false">IF(E784="","",DATE(YEAR(E784),MONTH(E784),1))</f>
        <v/>
      </c>
      <c r="N784" s="57" t="str">
        <f aca="false">IF(E784="","","FY"&amp;(YEAR(E784)+IF(AND(FYStart&gt;1,MONTH(E784)&gt;=FYStart),1,0))&amp;" Q"&amp;(INT(MOD(MONTH(E784)-FYStart,12)/3)+1))</f>
        <v/>
      </c>
      <c r="O784" s="59" t="str">
        <f aca="false">IF(OR(E784="",N(F784)=0),"",G784/F784)</f>
        <v/>
      </c>
      <c r="P784" s="60" t="str">
        <f aca="false">IF(E784="","",ROUND(N(G784)*N(H784)/60,1))</f>
        <v/>
      </c>
      <c r="Q784" s="57" t="str">
        <f aca="false">IF(E784="","",IF(COUNTIFS($C$2:C784,C784,$E$2:E784,E784,$B$2:B784,B784)&gt;1,"No","Yes"))</f>
        <v/>
      </c>
      <c r="R784" s="61" t="str">
        <f aca="false">IF(E784="","",IF(Q784="No","Duplicate of an earlier response",IF(L784="Not on SITES","Site not on SITES",IF(N(G784)&gt;N(F784),"Present is more than enrolled",IF(OR(I784&lt;1,I784&gt;5),"Score outside 1 to 5","")))))</f>
        <v/>
      </c>
    </row>
    <row r="785" customFormat="false" ht="15" hidden="false" customHeight="false" outlineLevel="0" collapsed="false">
      <c r="A785" s="52"/>
      <c r="B785" s="53"/>
      <c r="C785" s="53"/>
      <c r="D785" s="53"/>
      <c r="E785" s="54"/>
      <c r="F785" s="55"/>
      <c r="G785" s="55"/>
      <c r="H785" s="55"/>
      <c r="I785" s="56"/>
      <c r="J785" s="53"/>
      <c r="K785" s="53"/>
      <c r="L785" s="57" t="str">
        <f aca="false">IF(C785="","",IFERROR(INDEX(site_ID,MATCH(C785,site_Name,0)),"Not on SITES"))</f>
        <v/>
      </c>
      <c r="M785" s="58" t="str">
        <f aca="false">IF(E785="","",DATE(YEAR(E785),MONTH(E785),1))</f>
        <v/>
      </c>
      <c r="N785" s="57" t="str">
        <f aca="false">IF(E785="","","FY"&amp;(YEAR(E785)+IF(AND(FYStart&gt;1,MONTH(E785)&gt;=FYStart),1,0))&amp;" Q"&amp;(INT(MOD(MONTH(E785)-FYStart,12)/3)+1))</f>
        <v/>
      </c>
      <c r="O785" s="59" t="str">
        <f aca="false">IF(OR(E785="",N(F785)=0),"",G785/F785)</f>
        <v/>
      </c>
      <c r="P785" s="60" t="str">
        <f aca="false">IF(E785="","",ROUND(N(G785)*N(H785)/60,1))</f>
        <v/>
      </c>
      <c r="Q785" s="57" t="str">
        <f aca="false">IF(E785="","",IF(COUNTIFS($C$2:C785,C785,$E$2:E785,E785,$B$2:B785,B785)&gt;1,"No","Yes"))</f>
        <v/>
      </c>
      <c r="R785" s="61" t="str">
        <f aca="false">IF(E785="","",IF(Q785="No","Duplicate of an earlier response",IF(L785="Not on SITES","Site not on SITES",IF(N(G785)&gt;N(F785),"Present is more than enrolled",IF(OR(I785&lt;1,I785&gt;5),"Score outside 1 to 5","")))))</f>
        <v/>
      </c>
    </row>
    <row r="786" customFormat="false" ht="15" hidden="false" customHeight="false" outlineLevel="0" collapsed="false">
      <c r="A786" s="52"/>
      <c r="B786" s="53"/>
      <c r="C786" s="53"/>
      <c r="D786" s="53"/>
      <c r="E786" s="54"/>
      <c r="F786" s="55"/>
      <c r="G786" s="55"/>
      <c r="H786" s="55"/>
      <c r="I786" s="56"/>
      <c r="J786" s="53"/>
      <c r="K786" s="53"/>
      <c r="L786" s="57" t="str">
        <f aca="false">IF(C786="","",IFERROR(INDEX(site_ID,MATCH(C786,site_Name,0)),"Not on SITES"))</f>
        <v/>
      </c>
      <c r="M786" s="58" t="str">
        <f aca="false">IF(E786="","",DATE(YEAR(E786),MONTH(E786),1))</f>
        <v/>
      </c>
      <c r="N786" s="57" t="str">
        <f aca="false">IF(E786="","","FY"&amp;(YEAR(E786)+IF(AND(FYStart&gt;1,MONTH(E786)&gt;=FYStart),1,0))&amp;" Q"&amp;(INT(MOD(MONTH(E786)-FYStart,12)/3)+1))</f>
        <v/>
      </c>
      <c r="O786" s="59" t="str">
        <f aca="false">IF(OR(E786="",N(F786)=0),"",G786/F786)</f>
        <v/>
      </c>
      <c r="P786" s="60" t="str">
        <f aca="false">IF(E786="","",ROUND(N(G786)*N(H786)/60,1))</f>
        <v/>
      </c>
      <c r="Q786" s="57" t="str">
        <f aca="false">IF(E786="","",IF(COUNTIFS($C$2:C786,C786,$E$2:E786,E786,$B$2:B786,B786)&gt;1,"No","Yes"))</f>
        <v/>
      </c>
      <c r="R786" s="61" t="str">
        <f aca="false">IF(E786="","",IF(Q786="No","Duplicate of an earlier response",IF(L786="Not on SITES","Site not on SITES",IF(N(G786)&gt;N(F786),"Present is more than enrolled",IF(OR(I786&lt;1,I786&gt;5),"Score outside 1 to 5","")))))</f>
        <v/>
      </c>
    </row>
    <row r="787" customFormat="false" ht="15" hidden="false" customHeight="false" outlineLevel="0" collapsed="false">
      <c r="A787" s="52"/>
      <c r="B787" s="53"/>
      <c r="C787" s="53"/>
      <c r="D787" s="53"/>
      <c r="E787" s="54"/>
      <c r="F787" s="55"/>
      <c r="G787" s="55"/>
      <c r="H787" s="55"/>
      <c r="I787" s="56"/>
      <c r="J787" s="53"/>
      <c r="K787" s="53"/>
      <c r="L787" s="57" t="str">
        <f aca="false">IF(C787="","",IFERROR(INDEX(site_ID,MATCH(C787,site_Name,0)),"Not on SITES"))</f>
        <v/>
      </c>
      <c r="M787" s="58" t="str">
        <f aca="false">IF(E787="","",DATE(YEAR(E787),MONTH(E787),1))</f>
        <v/>
      </c>
      <c r="N787" s="57" t="str">
        <f aca="false">IF(E787="","","FY"&amp;(YEAR(E787)+IF(AND(FYStart&gt;1,MONTH(E787)&gt;=FYStart),1,0))&amp;" Q"&amp;(INT(MOD(MONTH(E787)-FYStart,12)/3)+1))</f>
        <v/>
      </c>
      <c r="O787" s="59" t="str">
        <f aca="false">IF(OR(E787="",N(F787)=0),"",G787/F787)</f>
        <v/>
      </c>
      <c r="P787" s="60" t="str">
        <f aca="false">IF(E787="","",ROUND(N(G787)*N(H787)/60,1))</f>
        <v/>
      </c>
      <c r="Q787" s="57" t="str">
        <f aca="false">IF(E787="","",IF(COUNTIFS($C$2:C787,C787,$E$2:E787,E787,$B$2:B787,B787)&gt;1,"No","Yes"))</f>
        <v/>
      </c>
      <c r="R787" s="61" t="str">
        <f aca="false">IF(E787="","",IF(Q787="No","Duplicate of an earlier response",IF(L787="Not on SITES","Site not on SITES",IF(N(G787)&gt;N(F787),"Present is more than enrolled",IF(OR(I787&lt;1,I787&gt;5),"Score outside 1 to 5","")))))</f>
        <v/>
      </c>
    </row>
    <row r="788" customFormat="false" ht="15" hidden="false" customHeight="false" outlineLevel="0" collapsed="false">
      <c r="A788" s="52"/>
      <c r="B788" s="53"/>
      <c r="C788" s="53"/>
      <c r="D788" s="53"/>
      <c r="E788" s="54"/>
      <c r="F788" s="55"/>
      <c r="G788" s="55"/>
      <c r="H788" s="55"/>
      <c r="I788" s="56"/>
      <c r="J788" s="53"/>
      <c r="K788" s="53"/>
      <c r="L788" s="57" t="str">
        <f aca="false">IF(C788="","",IFERROR(INDEX(site_ID,MATCH(C788,site_Name,0)),"Not on SITES"))</f>
        <v/>
      </c>
      <c r="M788" s="58" t="str">
        <f aca="false">IF(E788="","",DATE(YEAR(E788),MONTH(E788),1))</f>
        <v/>
      </c>
      <c r="N788" s="57" t="str">
        <f aca="false">IF(E788="","","FY"&amp;(YEAR(E788)+IF(AND(FYStart&gt;1,MONTH(E788)&gt;=FYStart),1,0))&amp;" Q"&amp;(INT(MOD(MONTH(E788)-FYStart,12)/3)+1))</f>
        <v/>
      </c>
      <c r="O788" s="59" t="str">
        <f aca="false">IF(OR(E788="",N(F788)=0),"",G788/F788)</f>
        <v/>
      </c>
      <c r="P788" s="60" t="str">
        <f aca="false">IF(E788="","",ROUND(N(G788)*N(H788)/60,1))</f>
        <v/>
      </c>
      <c r="Q788" s="57" t="str">
        <f aca="false">IF(E788="","",IF(COUNTIFS($C$2:C788,C788,$E$2:E788,E788,$B$2:B788,B788)&gt;1,"No","Yes"))</f>
        <v/>
      </c>
      <c r="R788" s="61" t="str">
        <f aca="false">IF(E788="","",IF(Q788="No","Duplicate of an earlier response",IF(L788="Not on SITES","Site not on SITES",IF(N(G788)&gt;N(F788),"Present is more than enrolled",IF(OR(I788&lt;1,I788&gt;5),"Score outside 1 to 5","")))))</f>
        <v/>
      </c>
    </row>
    <row r="789" customFormat="false" ht="15" hidden="false" customHeight="false" outlineLevel="0" collapsed="false">
      <c r="A789" s="52"/>
      <c r="B789" s="53"/>
      <c r="C789" s="53"/>
      <c r="D789" s="53"/>
      <c r="E789" s="54"/>
      <c r="F789" s="55"/>
      <c r="G789" s="55"/>
      <c r="H789" s="55"/>
      <c r="I789" s="56"/>
      <c r="J789" s="53"/>
      <c r="K789" s="53"/>
      <c r="L789" s="57" t="str">
        <f aca="false">IF(C789="","",IFERROR(INDEX(site_ID,MATCH(C789,site_Name,0)),"Not on SITES"))</f>
        <v/>
      </c>
      <c r="M789" s="58" t="str">
        <f aca="false">IF(E789="","",DATE(YEAR(E789),MONTH(E789),1))</f>
        <v/>
      </c>
      <c r="N789" s="57" t="str">
        <f aca="false">IF(E789="","","FY"&amp;(YEAR(E789)+IF(AND(FYStart&gt;1,MONTH(E789)&gt;=FYStart),1,0))&amp;" Q"&amp;(INT(MOD(MONTH(E789)-FYStart,12)/3)+1))</f>
        <v/>
      </c>
      <c r="O789" s="59" t="str">
        <f aca="false">IF(OR(E789="",N(F789)=0),"",G789/F789)</f>
        <v/>
      </c>
      <c r="P789" s="60" t="str">
        <f aca="false">IF(E789="","",ROUND(N(G789)*N(H789)/60,1))</f>
        <v/>
      </c>
      <c r="Q789" s="57" t="str">
        <f aca="false">IF(E789="","",IF(COUNTIFS($C$2:C789,C789,$E$2:E789,E789,$B$2:B789,B789)&gt;1,"No","Yes"))</f>
        <v/>
      </c>
      <c r="R789" s="61" t="str">
        <f aca="false">IF(E789="","",IF(Q789="No","Duplicate of an earlier response",IF(L789="Not on SITES","Site not on SITES",IF(N(G789)&gt;N(F789),"Present is more than enrolled",IF(OR(I789&lt;1,I789&gt;5),"Score outside 1 to 5","")))))</f>
        <v/>
      </c>
    </row>
    <row r="790" customFormat="false" ht="15" hidden="false" customHeight="false" outlineLevel="0" collapsed="false">
      <c r="A790" s="52"/>
      <c r="B790" s="53"/>
      <c r="C790" s="53"/>
      <c r="D790" s="53"/>
      <c r="E790" s="54"/>
      <c r="F790" s="55"/>
      <c r="G790" s="55"/>
      <c r="H790" s="55"/>
      <c r="I790" s="56"/>
      <c r="J790" s="53"/>
      <c r="K790" s="53"/>
      <c r="L790" s="57" t="str">
        <f aca="false">IF(C790="","",IFERROR(INDEX(site_ID,MATCH(C790,site_Name,0)),"Not on SITES"))</f>
        <v/>
      </c>
      <c r="M790" s="58" t="str">
        <f aca="false">IF(E790="","",DATE(YEAR(E790),MONTH(E790),1))</f>
        <v/>
      </c>
      <c r="N790" s="57" t="str">
        <f aca="false">IF(E790="","","FY"&amp;(YEAR(E790)+IF(AND(FYStart&gt;1,MONTH(E790)&gt;=FYStart),1,0))&amp;" Q"&amp;(INT(MOD(MONTH(E790)-FYStart,12)/3)+1))</f>
        <v/>
      </c>
      <c r="O790" s="59" t="str">
        <f aca="false">IF(OR(E790="",N(F790)=0),"",G790/F790)</f>
        <v/>
      </c>
      <c r="P790" s="60" t="str">
        <f aca="false">IF(E790="","",ROUND(N(G790)*N(H790)/60,1))</f>
        <v/>
      </c>
      <c r="Q790" s="57" t="str">
        <f aca="false">IF(E790="","",IF(COUNTIFS($C$2:C790,C790,$E$2:E790,E790,$B$2:B790,B790)&gt;1,"No","Yes"))</f>
        <v/>
      </c>
      <c r="R790" s="61" t="str">
        <f aca="false">IF(E790="","",IF(Q790="No","Duplicate of an earlier response",IF(L790="Not on SITES","Site not on SITES",IF(N(G790)&gt;N(F790),"Present is more than enrolled",IF(OR(I790&lt;1,I790&gt;5),"Score outside 1 to 5","")))))</f>
        <v/>
      </c>
    </row>
    <row r="791" customFormat="false" ht="15" hidden="false" customHeight="false" outlineLevel="0" collapsed="false">
      <c r="A791" s="52"/>
      <c r="B791" s="53"/>
      <c r="C791" s="53"/>
      <c r="D791" s="53"/>
      <c r="E791" s="54"/>
      <c r="F791" s="55"/>
      <c r="G791" s="55"/>
      <c r="H791" s="55"/>
      <c r="I791" s="56"/>
      <c r="J791" s="53"/>
      <c r="K791" s="53"/>
      <c r="L791" s="57" t="str">
        <f aca="false">IF(C791="","",IFERROR(INDEX(site_ID,MATCH(C791,site_Name,0)),"Not on SITES"))</f>
        <v/>
      </c>
      <c r="M791" s="58" t="str">
        <f aca="false">IF(E791="","",DATE(YEAR(E791),MONTH(E791),1))</f>
        <v/>
      </c>
      <c r="N791" s="57" t="str">
        <f aca="false">IF(E791="","","FY"&amp;(YEAR(E791)+IF(AND(FYStart&gt;1,MONTH(E791)&gt;=FYStart),1,0))&amp;" Q"&amp;(INT(MOD(MONTH(E791)-FYStart,12)/3)+1))</f>
        <v/>
      </c>
      <c r="O791" s="59" t="str">
        <f aca="false">IF(OR(E791="",N(F791)=0),"",G791/F791)</f>
        <v/>
      </c>
      <c r="P791" s="60" t="str">
        <f aca="false">IF(E791="","",ROUND(N(G791)*N(H791)/60,1))</f>
        <v/>
      </c>
      <c r="Q791" s="57" t="str">
        <f aca="false">IF(E791="","",IF(COUNTIFS($C$2:C791,C791,$E$2:E791,E791,$B$2:B791,B791)&gt;1,"No","Yes"))</f>
        <v/>
      </c>
      <c r="R791" s="61" t="str">
        <f aca="false">IF(E791="","",IF(Q791="No","Duplicate of an earlier response",IF(L791="Not on SITES","Site not on SITES",IF(N(G791)&gt;N(F791),"Present is more than enrolled",IF(OR(I791&lt;1,I791&gt;5),"Score outside 1 to 5","")))))</f>
        <v/>
      </c>
    </row>
    <row r="792" customFormat="false" ht="15" hidden="false" customHeight="false" outlineLevel="0" collapsed="false">
      <c r="A792" s="52"/>
      <c r="B792" s="53"/>
      <c r="C792" s="53"/>
      <c r="D792" s="53"/>
      <c r="E792" s="54"/>
      <c r="F792" s="55"/>
      <c r="G792" s="55"/>
      <c r="H792" s="55"/>
      <c r="I792" s="56"/>
      <c r="J792" s="53"/>
      <c r="K792" s="53"/>
      <c r="L792" s="57" t="str">
        <f aca="false">IF(C792="","",IFERROR(INDEX(site_ID,MATCH(C792,site_Name,0)),"Not on SITES"))</f>
        <v/>
      </c>
      <c r="M792" s="58" t="str">
        <f aca="false">IF(E792="","",DATE(YEAR(E792),MONTH(E792),1))</f>
        <v/>
      </c>
      <c r="N792" s="57" t="str">
        <f aca="false">IF(E792="","","FY"&amp;(YEAR(E792)+IF(AND(FYStart&gt;1,MONTH(E792)&gt;=FYStart),1,0))&amp;" Q"&amp;(INT(MOD(MONTH(E792)-FYStart,12)/3)+1))</f>
        <v/>
      </c>
      <c r="O792" s="59" t="str">
        <f aca="false">IF(OR(E792="",N(F792)=0),"",G792/F792)</f>
        <v/>
      </c>
      <c r="P792" s="60" t="str">
        <f aca="false">IF(E792="","",ROUND(N(G792)*N(H792)/60,1))</f>
        <v/>
      </c>
      <c r="Q792" s="57" t="str">
        <f aca="false">IF(E792="","",IF(COUNTIFS($C$2:C792,C792,$E$2:E792,E792,$B$2:B792,B792)&gt;1,"No","Yes"))</f>
        <v/>
      </c>
      <c r="R792" s="61" t="str">
        <f aca="false">IF(E792="","",IF(Q792="No","Duplicate of an earlier response",IF(L792="Not on SITES","Site not on SITES",IF(N(G792)&gt;N(F792),"Present is more than enrolled",IF(OR(I792&lt;1,I792&gt;5),"Score outside 1 to 5","")))))</f>
        <v/>
      </c>
    </row>
    <row r="793" customFormat="false" ht="15" hidden="false" customHeight="false" outlineLevel="0" collapsed="false">
      <c r="A793" s="52"/>
      <c r="B793" s="53"/>
      <c r="C793" s="53"/>
      <c r="D793" s="53"/>
      <c r="E793" s="54"/>
      <c r="F793" s="55"/>
      <c r="G793" s="55"/>
      <c r="H793" s="55"/>
      <c r="I793" s="56"/>
      <c r="J793" s="53"/>
      <c r="K793" s="53"/>
      <c r="L793" s="57" t="str">
        <f aca="false">IF(C793="","",IFERROR(INDEX(site_ID,MATCH(C793,site_Name,0)),"Not on SITES"))</f>
        <v/>
      </c>
      <c r="M793" s="58" t="str">
        <f aca="false">IF(E793="","",DATE(YEAR(E793),MONTH(E793),1))</f>
        <v/>
      </c>
      <c r="N793" s="57" t="str">
        <f aca="false">IF(E793="","","FY"&amp;(YEAR(E793)+IF(AND(FYStart&gt;1,MONTH(E793)&gt;=FYStart),1,0))&amp;" Q"&amp;(INT(MOD(MONTH(E793)-FYStart,12)/3)+1))</f>
        <v/>
      </c>
      <c r="O793" s="59" t="str">
        <f aca="false">IF(OR(E793="",N(F793)=0),"",G793/F793)</f>
        <v/>
      </c>
      <c r="P793" s="60" t="str">
        <f aca="false">IF(E793="","",ROUND(N(G793)*N(H793)/60,1))</f>
        <v/>
      </c>
      <c r="Q793" s="57" t="str">
        <f aca="false">IF(E793="","",IF(COUNTIFS($C$2:C793,C793,$E$2:E793,E793,$B$2:B793,B793)&gt;1,"No","Yes"))</f>
        <v/>
      </c>
      <c r="R793" s="61" t="str">
        <f aca="false">IF(E793="","",IF(Q793="No","Duplicate of an earlier response",IF(L793="Not on SITES","Site not on SITES",IF(N(G793)&gt;N(F793),"Present is more than enrolled",IF(OR(I793&lt;1,I793&gt;5),"Score outside 1 to 5","")))))</f>
        <v/>
      </c>
    </row>
    <row r="794" customFormat="false" ht="15" hidden="false" customHeight="false" outlineLevel="0" collapsed="false">
      <c r="A794" s="52"/>
      <c r="B794" s="53"/>
      <c r="C794" s="53"/>
      <c r="D794" s="53"/>
      <c r="E794" s="54"/>
      <c r="F794" s="55"/>
      <c r="G794" s="55"/>
      <c r="H794" s="55"/>
      <c r="I794" s="56"/>
      <c r="J794" s="53"/>
      <c r="K794" s="53"/>
      <c r="L794" s="57" t="str">
        <f aca="false">IF(C794="","",IFERROR(INDEX(site_ID,MATCH(C794,site_Name,0)),"Not on SITES"))</f>
        <v/>
      </c>
      <c r="M794" s="58" t="str">
        <f aca="false">IF(E794="","",DATE(YEAR(E794),MONTH(E794),1))</f>
        <v/>
      </c>
      <c r="N794" s="57" t="str">
        <f aca="false">IF(E794="","","FY"&amp;(YEAR(E794)+IF(AND(FYStart&gt;1,MONTH(E794)&gt;=FYStart),1,0))&amp;" Q"&amp;(INT(MOD(MONTH(E794)-FYStart,12)/3)+1))</f>
        <v/>
      </c>
      <c r="O794" s="59" t="str">
        <f aca="false">IF(OR(E794="",N(F794)=0),"",G794/F794)</f>
        <v/>
      </c>
      <c r="P794" s="60" t="str">
        <f aca="false">IF(E794="","",ROUND(N(G794)*N(H794)/60,1))</f>
        <v/>
      </c>
      <c r="Q794" s="57" t="str">
        <f aca="false">IF(E794="","",IF(COUNTIFS($C$2:C794,C794,$E$2:E794,E794,$B$2:B794,B794)&gt;1,"No","Yes"))</f>
        <v/>
      </c>
      <c r="R794" s="61" t="str">
        <f aca="false">IF(E794="","",IF(Q794="No","Duplicate of an earlier response",IF(L794="Not on SITES","Site not on SITES",IF(N(G794)&gt;N(F794),"Present is more than enrolled",IF(OR(I794&lt;1,I794&gt;5),"Score outside 1 to 5","")))))</f>
        <v/>
      </c>
    </row>
    <row r="795" customFormat="false" ht="15" hidden="false" customHeight="false" outlineLevel="0" collapsed="false">
      <c r="A795" s="52"/>
      <c r="B795" s="53"/>
      <c r="C795" s="53"/>
      <c r="D795" s="53"/>
      <c r="E795" s="54"/>
      <c r="F795" s="55"/>
      <c r="G795" s="55"/>
      <c r="H795" s="55"/>
      <c r="I795" s="56"/>
      <c r="J795" s="53"/>
      <c r="K795" s="53"/>
      <c r="L795" s="57" t="str">
        <f aca="false">IF(C795="","",IFERROR(INDEX(site_ID,MATCH(C795,site_Name,0)),"Not on SITES"))</f>
        <v/>
      </c>
      <c r="M795" s="58" t="str">
        <f aca="false">IF(E795="","",DATE(YEAR(E795),MONTH(E795),1))</f>
        <v/>
      </c>
      <c r="N795" s="57" t="str">
        <f aca="false">IF(E795="","","FY"&amp;(YEAR(E795)+IF(AND(FYStart&gt;1,MONTH(E795)&gt;=FYStart),1,0))&amp;" Q"&amp;(INT(MOD(MONTH(E795)-FYStart,12)/3)+1))</f>
        <v/>
      </c>
      <c r="O795" s="59" t="str">
        <f aca="false">IF(OR(E795="",N(F795)=0),"",G795/F795)</f>
        <v/>
      </c>
      <c r="P795" s="60" t="str">
        <f aca="false">IF(E795="","",ROUND(N(G795)*N(H795)/60,1))</f>
        <v/>
      </c>
      <c r="Q795" s="57" t="str">
        <f aca="false">IF(E795="","",IF(COUNTIFS($C$2:C795,C795,$E$2:E795,E795,$B$2:B795,B795)&gt;1,"No","Yes"))</f>
        <v/>
      </c>
      <c r="R795" s="61" t="str">
        <f aca="false">IF(E795="","",IF(Q795="No","Duplicate of an earlier response",IF(L795="Not on SITES","Site not on SITES",IF(N(G795)&gt;N(F795),"Present is more than enrolled",IF(OR(I795&lt;1,I795&gt;5),"Score outside 1 to 5","")))))</f>
        <v/>
      </c>
    </row>
    <row r="796" customFormat="false" ht="15" hidden="false" customHeight="false" outlineLevel="0" collapsed="false">
      <c r="A796" s="52"/>
      <c r="B796" s="53"/>
      <c r="C796" s="53"/>
      <c r="D796" s="53"/>
      <c r="E796" s="54"/>
      <c r="F796" s="55"/>
      <c r="G796" s="55"/>
      <c r="H796" s="55"/>
      <c r="I796" s="56"/>
      <c r="J796" s="53"/>
      <c r="K796" s="53"/>
      <c r="L796" s="57" t="str">
        <f aca="false">IF(C796="","",IFERROR(INDEX(site_ID,MATCH(C796,site_Name,0)),"Not on SITES"))</f>
        <v/>
      </c>
      <c r="M796" s="58" t="str">
        <f aca="false">IF(E796="","",DATE(YEAR(E796),MONTH(E796),1))</f>
        <v/>
      </c>
      <c r="N796" s="57" t="str">
        <f aca="false">IF(E796="","","FY"&amp;(YEAR(E796)+IF(AND(FYStart&gt;1,MONTH(E796)&gt;=FYStart),1,0))&amp;" Q"&amp;(INT(MOD(MONTH(E796)-FYStart,12)/3)+1))</f>
        <v/>
      </c>
      <c r="O796" s="59" t="str">
        <f aca="false">IF(OR(E796="",N(F796)=0),"",G796/F796)</f>
        <v/>
      </c>
      <c r="P796" s="60" t="str">
        <f aca="false">IF(E796="","",ROUND(N(G796)*N(H796)/60,1))</f>
        <v/>
      </c>
      <c r="Q796" s="57" t="str">
        <f aca="false">IF(E796="","",IF(COUNTIFS($C$2:C796,C796,$E$2:E796,E796,$B$2:B796,B796)&gt;1,"No","Yes"))</f>
        <v/>
      </c>
      <c r="R796" s="61" t="str">
        <f aca="false">IF(E796="","",IF(Q796="No","Duplicate of an earlier response",IF(L796="Not on SITES","Site not on SITES",IF(N(G796)&gt;N(F796),"Present is more than enrolled",IF(OR(I796&lt;1,I796&gt;5),"Score outside 1 to 5","")))))</f>
        <v/>
      </c>
    </row>
    <row r="797" customFormat="false" ht="15" hidden="false" customHeight="false" outlineLevel="0" collapsed="false">
      <c r="A797" s="52"/>
      <c r="B797" s="53"/>
      <c r="C797" s="53"/>
      <c r="D797" s="53"/>
      <c r="E797" s="54"/>
      <c r="F797" s="55"/>
      <c r="G797" s="55"/>
      <c r="H797" s="55"/>
      <c r="I797" s="56"/>
      <c r="J797" s="53"/>
      <c r="K797" s="53"/>
      <c r="L797" s="57" t="str">
        <f aca="false">IF(C797="","",IFERROR(INDEX(site_ID,MATCH(C797,site_Name,0)),"Not on SITES"))</f>
        <v/>
      </c>
      <c r="M797" s="58" t="str">
        <f aca="false">IF(E797="","",DATE(YEAR(E797),MONTH(E797),1))</f>
        <v/>
      </c>
      <c r="N797" s="57" t="str">
        <f aca="false">IF(E797="","","FY"&amp;(YEAR(E797)+IF(AND(FYStart&gt;1,MONTH(E797)&gt;=FYStart),1,0))&amp;" Q"&amp;(INT(MOD(MONTH(E797)-FYStart,12)/3)+1))</f>
        <v/>
      </c>
      <c r="O797" s="59" t="str">
        <f aca="false">IF(OR(E797="",N(F797)=0),"",G797/F797)</f>
        <v/>
      </c>
      <c r="P797" s="60" t="str">
        <f aca="false">IF(E797="","",ROUND(N(G797)*N(H797)/60,1))</f>
        <v/>
      </c>
      <c r="Q797" s="57" t="str">
        <f aca="false">IF(E797="","",IF(COUNTIFS($C$2:C797,C797,$E$2:E797,E797,$B$2:B797,B797)&gt;1,"No","Yes"))</f>
        <v/>
      </c>
      <c r="R797" s="61" t="str">
        <f aca="false">IF(E797="","",IF(Q797="No","Duplicate of an earlier response",IF(L797="Not on SITES","Site not on SITES",IF(N(G797)&gt;N(F797),"Present is more than enrolled",IF(OR(I797&lt;1,I797&gt;5),"Score outside 1 to 5","")))))</f>
        <v/>
      </c>
    </row>
    <row r="798" customFormat="false" ht="15" hidden="false" customHeight="false" outlineLevel="0" collapsed="false">
      <c r="A798" s="52"/>
      <c r="B798" s="53"/>
      <c r="C798" s="53"/>
      <c r="D798" s="53"/>
      <c r="E798" s="54"/>
      <c r="F798" s="55"/>
      <c r="G798" s="55"/>
      <c r="H798" s="55"/>
      <c r="I798" s="56"/>
      <c r="J798" s="53"/>
      <c r="K798" s="53"/>
      <c r="L798" s="57" t="str">
        <f aca="false">IF(C798="","",IFERROR(INDEX(site_ID,MATCH(C798,site_Name,0)),"Not on SITES"))</f>
        <v/>
      </c>
      <c r="M798" s="58" t="str">
        <f aca="false">IF(E798="","",DATE(YEAR(E798),MONTH(E798),1))</f>
        <v/>
      </c>
      <c r="N798" s="57" t="str">
        <f aca="false">IF(E798="","","FY"&amp;(YEAR(E798)+IF(AND(FYStart&gt;1,MONTH(E798)&gt;=FYStart),1,0))&amp;" Q"&amp;(INT(MOD(MONTH(E798)-FYStart,12)/3)+1))</f>
        <v/>
      </c>
      <c r="O798" s="59" t="str">
        <f aca="false">IF(OR(E798="",N(F798)=0),"",G798/F798)</f>
        <v/>
      </c>
      <c r="P798" s="60" t="str">
        <f aca="false">IF(E798="","",ROUND(N(G798)*N(H798)/60,1))</f>
        <v/>
      </c>
      <c r="Q798" s="57" t="str">
        <f aca="false">IF(E798="","",IF(COUNTIFS($C$2:C798,C798,$E$2:E798,E798,$B$2:B798,B798)&gt;1,"No","Yes"))</f>
        <v/>
      </c>
      <c r="R798" s="61" t="str">
        <f aca="false">IF(E798="","",IF(Q798="No","Duplicate of an earlier response",IF(L798="Not on SITES","Site not on SITES",IF(N(G798)&gt;N(F798),"Present is more than enrolled",IF(OR(I798&lt;1,I798&gt;5),"Score outside 1 to 5","")))))</f>
        <v/>
      </c>
    </row>
    <row r="799" customFormat="false" ht="15" hidden="false" customHeight="false" outlineLevel="0" collapsed="false">
      <c r="A799" s="52"/>
      <c r="B799" s="53"/>
      <c r="C799" s="53"/>
      <c r="D799" s="53"/>
      <c r="E799" s="54"/>
      <c r="F799" s="55"/>
      <c r="G799" s="55"/>
      <c r="H799" s="55"/>
      <c r="I799" s="56"/>
      <c r="J799" s="53"/>
      <c r="K799" s="53"/>
      <c r="L799" s="57" t="str">
        <f aca="false">IF(C799="","",IFERROR(INDEX(site_ID,MATCH(C799,site_Name,0)),"Not on SITES"))</f>
        <v/>
      </c>
      <c r="M799" s="58" t="str">
        <f aca="false">IF(E799="","",DATE(YEAR(E799),MONTH(E799),1))</f>
        <v/>
      </c>
      <c r="N799" s="57" t="str">
        <f aca="false">IF(E799="","","FY"&amp;(YEAR(E799)+IF(AND(FYStart&gt;1,MONTH(E799)&gt;=FYStart),1,0))&amp;" Q"&amp;(INT(MOD(MONTH(E799)-FYStart,12)/3)+1))</f>
        <v/>
      </c>
      <c r="O799" s="59" t="str">
        <f aca="false">IF(OR(E799="",N(F799)=0),"",G799/F799)</f>
        <v/>
      </c>
      <c r="P799" s="60" t="str">
        <f aca="false">IF(E799="","",ROUND(N(G799)*N(H799)/60,1))</f>
        <v/>
      </c>
      <c r="Q799" s="57" t="str">
        <f aca="false">IF(E799="","",IF(COUNTIFS($C$2:C799,C799,$E$2:E799,E799,$B$2:B799,B799)&gt;1,"No","Yes"))</f>
        <v/>
      </c>
      <c r="R799" s="61" t="str">
        <f aca="false">IF(E799="","",IF(Q799="No","Duplicate of an earlier response",IF(L799="Not on SITES","Site not on SITES",IF(N(G799)&gt;N(F799),"Present is more than enrolled",IF(OR(I799&lt;1,I799&gt;5),"Score outside 1 to 5","")))))</f>
        <v/>
      </c>
    </row>
    <row r="800" customFormat="false" ht="15" hidden="false" customHeight="false" outlineLevel="0" collapsed="false">
      <c r="A800" s="52"/>
      <c r="B800" s="53"/>
      <c r="C800" s="53"/>
      <c r="D800" s="53"/>
      <c r="E800" s="54"/>
      <c r="F800" s="55"/>
      <c r="G800" s="55"/>
      <c r="H800" s="55"/>
      <c r="I800" s="56"/>
      <c r="J800" s="53"/>
      <c r="K800" s="53"/>
      <c r="L800" s="57" t="str">
        <f aca="false">IF(C800="","",IFERROR(INDEX(site_ID,MATCH(C800,site_Name,0)),"Not on SITES"))</f>
        <v/>
      </c>
      <c r="M800" s="58" t="str">
        <f aca="false">IF(E800="","",DATE(YEAR(E800),MONTH(E800),1))</f>
        <v/>
      </c>
      <c r="N800" s="57" t="str">
        <f aca="false">IF(E800="","","FY"&amp;(YEAR(E800)+IF(AND(FYStart&gt;1,MONTH(E800)&gt;=FYStart),1,0))&amp;" Q"&amp;(INT(MOD(MONTH(E800)-FYStart,12)/3)+1))</f>
        <v/>
      </c>
      <c r="O800" s="59" t="str">
        <f aca="false">IF(OR(E800="",N(F800)=0),"",G800/F800)</f>
        <v/>
      </c>
      <c r="P800" s="60" t="str">
        <f aca="false">IF(E800="","",ROUND(N(G800)*N(H800)/60,1))</f>
        <v/>
      </c>
      <c r="Q800" s="57" t="str">
        <f aca="false">IF(E800="","",IF(COUNTIFS($C$2:C800,C800,$E$2:E800,E800,$B$2:B800,B800)&gt;1,"No","Yes"))</f>
        <v/>
      </c>
      <c r="R800" s="61" t="str">
        <f aca="false">IF(E800="","",IF(Q800="No","Duplicate of an earlier response",IF(L800="Not on SITES","Site not on SITES",IF(N(G800)&gt;N(F800),"Present is more than enrolled",IF(OR(I800&lt;1,I800&gt;5),"Score outside 1 to 5","")))))</f>
        <v/>
      </c>
    </row>
    <row r="801" customFormat="false" ht="15" hidden="false" customHeight="false" outlineLevel="0" collapsed="false">
      <c r="A801" s="52"/>
      <c r="B801" s="53"/>
      <c r="C801" s="53"/>
      <c r="D801" s="53"/>
      <c r="E801" s="54"/>
      <c r="F801" s="55"/>
      <c r="G801" s="55"/>
      <c r="H801" s="55"/>
      <c r="I801" s="56"/>
      <c r="J801" s="53"/>
      <c r="K801" s="53"/>
      <c r="L801" s="57" t="str">
        <f aca="false">IF(C801="","",IFERROR(INDEX(site_ID,MATCH(C801,site_Name,0)),"Not on SITES"))</f>
        <v/>
      </c>
      <c r="M801" s="58" t="str">
        <f aca="false">IF(E801="","",DATE(YEAR(E801),MONTH(E801),1))</f>
        <v/>
      </c>
      <c r="N801" s="57" t="str">
        <f aca="false">IF(E801="","","FY"&amp;(YEAR(E801)+IF(AND(FYStart&gt;1,MONTH(E801)&gt;=FYStart),1,0))&amp;" Q"&amp;(INT(MOD(MONTH(E801)-FYStart,12)/3)+1))</f>
        <v/>
      </c>
      <c r="O801" s="59" t="str">
        <f aca="false">IF(OR(E801="",N(F801)=0),"",G801/F801)</f>
        <v/>
      </c>
      <c r="P801" s="60" t="str">
        <f aca="false">IF(E801="","",ROUND(N(G801)*N(H801)/60,1))</f>
        <v/>
      </c>
      <c r="Q801" s="57" t="str">
        <f aca="false">IF(E801="","",IF(COUNTIFS($C$2:C801,C801,$E$2:E801,E801,$B$2:B801,B801)&gt;1,"No","Yes"))</f>
        <v/>
      </c>
      <c r="R801" s="61" t="str">
        <f aca="false">IF(E801="","",IF(Q801="No","Duplicate of an earlier response",IF(L801="Not on SITES","Site not on SITES",IF(N(G801)&gt;N(F801),"Present is more than enrolled",IF(OR(I801&lt;1,I801&gt;5),"Score outside 1 to 5","")))))</f>
        <v/>
      </c>
    </row>
    <row r="802" customFormat="false" ht="15" hidden="false" customHeight="false" outlineLevel="0" collapsed="false">
      <c r="A802" s="52"/>
      <c r="B802" s="53"/>
      <c r="C802" s="53"/>
      <c r="D802" s="53"/>
      <c r="E802" s="54"/>
      <c r="F802" s="55"/>
      <c r="G802" s="55"/>
      <c r="H802" s="55"/>
      <c r="I802" s="56"/>
      <c r="J802" s="53"/>
      <c r="K802" s="53"/>
      <c r="L802" s="57" t="str">
        <f aca="false">IF(C802="","",IFERROR(INDEX(site_ID,MATCH(C802,site_Name,0)),"Not on SITES"))</f>
        <v/>
      </c>
      <c r="M802" s="58" t="str">
        <f aca="false">IF(E802="","",DATE(YEAR(E802),MONTH(E802),1))</f>
        <v/>
      </c>
      <c r="N802" s="57" t="str">
        <f aca="false">IF(E802="","","FY"&amp;(YEAR(E802)+IF(AND(FYStart&gt;1,MONTH(E802)&gt;=FYStart),1,0))&amp;" Q"&amp;(INT(MOD(MONTH(E802)-FYStart,12)/3)+1))</f>
        <v/>
      </c>
      <c r="O802" s="59" t="str">
        <f aca="false">IF(OR(E802="",N(F802)=0),"",G802/F802)</f>
        <v/>
      </c>
      <c r="P802" s="60" t="str">
        <f aca="false">IF(E802="","",ROUND(N(G802)*N(H802)/60,1))</f>
        <v/>
      </c>
      <c r="Q802" s="57" t="str">
        <f aca="false">IF(E802="","",IF(COUNTIFS($C$2:C802,C802,$E$2:E802,E802,$B$2:B802,B802)&gt;1,"No","Yes"))</f>
        <v/>
      </c>
      <c r="R802" s="61" t="str">
        <f aca="false">IF(E802="","",IF(Q802="No","Duplicate of an earlier response",IF(L802="Not on SITES","Site not on SITES",IF(N(G802)&gt;N(F802),"Present is more than enrolled",IF(OR(I802&lt;1,I802&gt;5),"Score outside 1 to 5","")))))</f>
        <v/>
      </c>
    </row>
    <row r="803" customFormat="false" ht="15" hidden="false" customHeight="false" outlineLevel="0" collapsed="false">
      <c r="A803" s="52"/>
      <c r="B803" s="53"/>
      <c r="C803" s="53"/>
      <c r="D803" s="53"/>
      <c r="E803" s="54"/>
      <c r="F803" s="55"/>
      <c r="G803" s="55"/>
      <c r="H803" s="55"/>
      <c r="I803" s="56"/>
      <c r="J803" s="53"/>
      <c r="K803" s="53"/>
      <c r="L803" s="57" t="str">
        <f aca="false">IF(C803="","",IFERROR(INDEX(site_ID,MATCH(C803,site_Name,0)),"Not on SITES"))</f>
        <v/>
      </c>
      <c r="M803" s="58" t="str">
        <f aca="false">IF(E803="","",DATE(YEAR(E803),MONTH(E803),1))</f>
        <v/>
      </c>
      <c r="N803" s="57" t="str">
        <f aca="false">IF(E803="","","FY"&amp;(YEAR(E803)+IF(AND(FYStart&gt;1,MONTH(E803)&gt;=FYStart),1,0))&amp;" Q"&amp;(INT(MOD(MONTH(E803)-FYStart,12)/3)+1))</f>
        <v/>
      </c>
      <c r="O803" s="59" t="str">
        <f aca="false">IF(OR(E803="",N(F803)=0),"",G803/F803)</f>
        <v/>
      </c>
      <c r="P803" s="60" t="str">
        <f aca="false">IF(E803="","",ROUND(N(G803)*N(H803)/60,1))</f>
        <v/>
      </c>
      <c r="Q803" s="57" t="str">
        <f aca="false">IF(E803="","",IF(COUNTIFS($C$2:C803,C803,$E$2:E803,E803,$B$2:B803,B803)&gt;1,"No","Yes"))</f>
        <v/>
      </c>
      <c r="R803" s="61" t="str">
        <f aca="false">IF(E803="","",IF(Q803="No","Duplicate of an earlier response",IF(L803="Not on SITES","Site not on SITES",IF(N(G803)&gt;N(F803),"Present is more than enrolled",IF(OR(I803&lt;1,I803&gt;5),"Score outside 1 to 5","")))))</f>
        <v/>
      </c>
    </row>
    <row r="804" customFormat="false" ht="15" hidden="false" customHeight="false" outlineLevel="0" collapsed="false">
      <c r="A804" s="52"/>
      <c r="B804" s="53"/>
      <c r="C804" s="53"/>
      <c r="D804" s="53"/>
      <c r="E804" s="54"/>
      <c r="F804" s="55"/>
      <c r="G804" s="55"/>
      <c r="H804" s="55"/>
      <c r="I804" s="56"/>
      <c r="J804" s="53"/>
      <c r="K804" s="53"/>
      <c r="L804" s="57" t="str">
        <f aca="false">IF(C804="","",IFERROR(INDEX(site_ID,MATCH(C804,site_Name,0)),"Not on SITES"))</f>
        <v/>
      </c>
      <c r="M804" s="58" t="str">
        <f aca="false">IF(E804="","",DATE(YEAR(E804),MONTH(E804),1))</f>
        <v/>
      </c>
      <c r="N804" s="57" t="str">
        <f aca="false">IF(E804="","","FY"&amp;(YEAR(E804)+IF(AND(FYStart&gt;1,MONTH(E804)&gt;=FYStart),1,0))&amp;" Q"&amp;(INT(MOD(MONTH(E804)-FYStart,12)/3)+1))</f>
        <v/>
      </c>
      <c r="O804" s="59" t="str">
        <f aca="false">IF(OR(E804="",N(F804)=0),"",G804/F804)</f>
        <v/>
      </c>
      <c r="P804" s="60" t="str">
        <f aca="false">IF(E804="","",ROUND(N(G804)*N(H804)/60,1))</f>
        <v/>
      </c>
      <c r="Q804" s="57" t="str">
        <f aca="false">IF(E804="","",IF(COUNTIFS($C$2:C804,C804,$E$2:E804,E804,$B$2:B804,B804)&gt;1,"No","Yes"))</f>
        <v/>
      </c>
      <c r="R804" s="61" t="str">
        <f aca="false">IF(E804="","",IF(Q804="No","Duplicate of an earlier response",IF(L804="Not on SITES","Site not on SITES",IF(N(G804)&gt;N(F804),"Present is more than enrolled",IF(OR(I804&lt;1,I804&gt;5),"Score outside 1 to 5","")))))</f>
        <v/>
      </c>
    </row>
    <row r="805" customFormat="false" ht="15" hidden="false" customHeight="false" outlineLevel="0" collapsed="false">
      <c r="A805" s="52"/>
      <c r="B805" s="53"/>
      <c r="C805" s="53"/>
      <c r="D805" s="53"/>
      <c r="E805" s="54"/>
      <c r="F805" s="55"/>
      <c r="G805" s="55"/>
      <c r="H805" s="55"/>
      <c r="I805" s="56"/>
      <c r="J805" s="53"/>
      <c r="K805" s="53"/>
      <c r="L805" s="57" t="str">
        <f aca="false">IF(C805="","",IFERROR(INDEX(site_ID,MATCH(C805,site_Name,0)),"Not on SITES"))</f>
        <v/>
      </c>
      <c r="M805" s="58" t="str">
        <f aca="false">IF(E805="","",DATE(YEAR(E805),MONTH(E805),1))</f>
        <v/>
      </c>
      <c r="N805" s="57" t="str">
        <f aca="false">IF(E805="","","FY"&amp;(YEAR(E805)+IF(AND(FYStart&gt;1,MONTH(E805)&gt;=FYStart),1,0))&amp;" Q"&amp;(INT(MOD(MONTH(E805)-FYStart,12)/3)+1))</f>
        <v/>
      </c>
      <c r="O805" s="59" t="str">
        <f aca="false">IF(OR(E805="",N(F805)=0),"",G805/F805)</f>
        <v/>
      </c>
      <c r="P805" s="60" t="str">
        <f aca="false">IF(E805="","",ROUND(N(G805)*N(H805)/60,1))</f>
        <v/>
      </c>
      <c r="Q805" s="57" t="str">
        <f aca="false">IF(E805="","",IF(COUNTIFS($C$2:C805,C805,$E$2:E805,E805,$B$2:B805,B805)&gt;1,"No","Yes"))</f>
        <v/>
      </c>
      <c r="R805" s="61" t="str">
        <f aca="false">IF(E805="","",IF(Q805="No","Duplicate of an earlier response",IF(L805="Not on SITES","Site not on SITES",IF(N(G805)&gt;N(F805),"Present is more than enrolled",IF(OR(I805&lt;1,I805&gt;5),"Score outside 1 to 5","")))))</f>
        <v/>
      </c>
    </row>
    <row r="806" customFormat="false" ht="15" hidden="false" customHeight="false" outlineLevel="0" collapsed="false">
      <c r="A806" s="52"/>
      <c r="B806" s="53"/>
      <c r="C806" s="53"/>
      <c r="D806" s="53"/>
      <c r="E806" s="54"/>
      <c r="F806" s="55"/>
      <c r="G806" s="55"/>
      <c r="H806" s="55"/>
      <c r="I806" s="56"/>
      <c r="J806" s="53"/>
      <c r="K806" s="53"/>
      <c r="L806" s="57" t="str">
        <f aca="false">IF(C806="","",IFERROR(INDEX(site_ID,MATCH(C806,site_Name,0)),"Not on SITES"))</f>
        <v/>
      </c>
      <c r="M806" s="58" t="str">
        <f aca="false">IF(E806="","",DATE(YEAR(E806),MONTH(E806),1))</f>
        <v/>
      </c>
      <c r="N806" s="57" t="str">
        <f aca="false">IF(E806="","","FY"&amp;(YEAR(E806)+IF(AND(FYStart&gt;1,MONTH(E806)&gt;=FYStart),1,0))&amp;" Q"&amp;(INT(MOD(MONTH(E806)-FYStart,12)/3)+1))</f>
        <v/>
      </c>
      <c r="O806" s="59" t="str">
        <f aca="false">IF(OR(E806="",N(F806)=0),"",G806/F806)</f>
        <v/>
      </c>
      <c r="P806" s="60" t="str">
        <f aca="false">IF(E806="","",ROUND(N(G806)*N(H806)/60,1))</f>
        <v/>
      </c>
      <c r="Q806" s="57" t="str">
        <f aca="false">IF(E806="","",IF(COUNTIFS($C$2:C806,C806,$E$2:E806,E806,$B$2:B806,B806)&gt;1,"No","Yes"))</f>
        <v/>
      </c>
      <c r="R806" s="61" t="str">
        <f aca="false">IF(E806="","",IF(Q806="No","Duplicate of an earlier response",IF(L806="Not on SITES","Site not on SITES",IF(N(G806)&gt;N(F806),"Present is more than enrolled",IF(OR(I806&lt;1,I806&gt;5),"Score outside 1 to 5","")))))</f>
        <v/>
      </c>
    </row>
    <row r="807" customFormat="false" ht="15" hidden="false" customHeight="false" outlineLevel="0" collapsed="false">
      <c r="A807" s="52"/>
      <c r="B807" s="53"/>
      <c r="C807" s="53"/>
      <c r="D807" s="53"/>
      <c r="E807" s="54"/>
      <c r="F807" s="55"/>
      <c r="G807" s="55"/>
      <c r="H807" s="55"/>
      <c r="I807" s="56"/>
      <c r="J807" s="53"/>
      <c r="K807" s="53"/>
      <c r="L807" s="57" t="str">
        <f aca="false">IF(C807="","",IFERROR(INDEX(site_ID,MATCH(C807,site_Name,0)),"Not on SITES"))</f>
        <v/>
      </c>
      <c r="M807" s="58" t="str">
        <f aca="false">IF(E807="","",DATE(YEAR(E807),MONTH(E807),1))</f>
        <v/>
      </c>
      <c r="N807" s="57" t="str">
        <f aca="false">IF(E807="","","FY"&amp;(YEAR(E807)+IF(AND(FYStart&gt;1,MONTH(E807)&gt;=FYStart),1,0))&amp;" Q"&amp;(INT(MOD(MONTH(E807)-FYStart,12)/3)+1))</f>
        <v/>
      </c>
      <c r="O807" s="59" t="str">
        <f aca="false">IF(OR(E807="",N(F807)=0),"",G807/F807)</f>
        <v/>
      </c>
      <c r="P807" s="60" t="str">
        <f aca="false">IF(E807="","",ROUND(N(G807)*N(H807)/60,1))</f>
        <v/>
      </c>
      <c r="Q807" s="57" t="str">
        <f aca="false">IF(E807="","",IF(COUNTIFS($C$2:C807,C807,$E$2:E807,E807,$B$2:B807,B807)&gt;1,"No","Yes"))</f>
        <v/>
      </c>
      <c r="R807" s="61" t="str">
        <f aca="false">IF(E807="","",IF(Q807="No","Duplicate of an earlier response",IF(L807="Not on SITES","Site not on SITES",IF(N(G807)&gt;N(F807),"Present is more than enrolled",IF(OR(I807&lt;1,I807&gt;5),"Score outside 1 to 5","")))))</f>
        <v/>
      </c>
    </row>
    <row r="808" customFormat="false" ht="15" hidden="false" customHeight="false" outlineLevel="0" collapsed="false">
      <c r="A808" s="52"/>
      <c r="B808" s="53"/>
      <c r="C808" s="53"/>
      <c r="D808" s="53"/>
      <c r="E808" s="54"/>
      <c r="F808" s="55"/>
      <c r="G808" s="55"/>
      <c r="H808" s="55"/>
      <c r="I808" s="56"/>
      <c r="J808" s="53"/>
      <c r="K808" s="53"/>
      <c r="L808" s="57" t="str">
        <f aca="false">IF(C808="","",IFERROR(INDEX(site_ID,MATCH(C808,site_Name,0)),"Not on SITES"))</f>
        <v/>
      </c>
      <c r="M808" s="58" t="str">
        <f aca="false">IF(E808="","",DATE(YEAR(E808),MONTH(E808),1))</f>
        <v/>
      </c>
      <c r="N808" s="57" t="str">
        <f aca="false">IF(E808="","","FY"&amp;(YEAR(E808)+IF(AND(FYStart&gt;1,MONTH(E808)&gt;=FYStart),1,0))&amp;" Q"&amp;(INT(MOD(MONTH(E808)-FYStart,12)/3)+1))</f>
        <v/>
      </c>
      <c r="O808" s="59" t="str">
        <f aca="false">IF(OR(E808="",N(F808)=0),"",G808/F808)</f>
        <v/>
      </c>
      <c r="P808" s="60" t="str">
        <f aca="false">IF(E808="","",ROUND(N(G808)*N(H808)/60,1))</f>
        <v/>
      </c>
      <c r="Q808" s="57" t="str">
        <f aca="false">IF(E808="","",IF(COUNTIFS($C$2:C808,C808,$E$2:E808,E808,$B$2:B808,B808)&gt;1,"No","Yes"))</f>
        <v/>
      </c>
      <c r="R808" s="61" t="str">
        <f aca="false">IF(E808="","",IF(Q808="No","Duplicate of an earlier response",IF(L808="Not on SITES","Site not on SITES",IF(N(G808)&gt;N(F808),"Present is more than enrolled",IF(OR(I808&lt;1,I808&gt;5),"Score outside 1 to 5","")))))</f>
        <v/>
      </c>
    </row>
    <row r="809" customFormat="false" ht="15" hidden="false" customHeight="false" outlineLevel="0" collapsed="false">
      <c r="A809" s="52"/>
      <c r="B809" s="53"/>
      <c r="C809" s="53"/>
      <c r="D809" s="53"/>
      <c r="E809" s="54"/>
      <c r="F809" s="55"/>
      <c r="G809" s="55"/>
      <c r="H809" s="55"/>
      <c r="I809" s="56"/>
      <c r="J809" s="53"/>
      <c r="K809" s="53"/>
      <c r="L809" s="57" t="str">
        <f aca="false">IF(C809="","",IFERROR(INDEX(site_ID,MATCH(C809,site_Name,0)),"Not on SITES"))</f>
        <v/>
      </c>
      <c r="M809" s="58" t="str">
        <f aca="false">IF(E809="","",DATE(YEAR(E809),MONTH(E809),1))</f>
        <v/>
      </c>
      <c r="N809" s="57" t="str">
        <f aca="false">IF(E809="","","FY"&amp;(YEAR(E809)+IF(AND(FYStart&gt;1,MONTH(E809)&gt;=FYStart),1,0))&amp;" Q"&amp;(INT(MOD(MONTH(E809)-FYStart,12)/3)+1))</f>
        <v/>
      </c>
      <c r="O809" s="59" t="str">
        <f aca="false">IF(OR(E809="",N(F809)=0),"",G809/F809)</f>
        <v/>
      </c>
      <c r="P809" s="60" t="str">
        <f aca="false">IF(E809="","",ROUND(N(G809)*N(H809)/60,1))</f>
        <v/>
      </c>
      <c r="Q809" s="57" t="str">
        <f aca="false">IF(E809="","",IF(COUNTIFS($C$2:C809,C809,$E$2:E809,E809,$B$2:B809,B809)&gt;1,"No","Yes"))</f>
        <v/>
      </c>
      <c r="R809" s="61" t="str">
        <f aca="false">IF(E809="","",IF(Q809="No","Duplicate of an earlier response",IF(L809="Not on SITES","Site not on SITES",IF(N(G809)&gt;N(F809),"Present is more than enrolled",IF(OR(I809&lt;1,I809&gt;5),"Score outside 1 to 5","")))))</f>
        <v/>
      </c>
    </row>
    <row r="810" customFormat="false" ht="15" hidden="false" customHeight="false" outlineLevel="0" collapsed="false">
      <c r="A810" s="52"/>
      <c r="B810" s="53"/>
      <c r="C810" s="53"/>
      <c r="D810" s="53"/>
      <c r="E810" s="54"/>
      <c r="F810" s="55"/>
      <c r="G810" s="55"/>
      <c r="H810" s="55"/>
      <c r="I810" s="56"/>
      <c r="J810" s="53"/>
      <c r="K810" s="53"/>
      <c r="L810" s="57" t="str">
        <f aca="false">IF(C810="","",IFERROR(INDEX(site_ID,MATCH(C810,site_Name,0)),"Not on SITES"))</f>
        <v/>
      </c>
      <c r="M810" s="58" t="str">
        <f aca="false">IF(E810="","",DATE(YEAR(E810),MONTH(E810),1))</f>
        <v/>
      </c>
      <c r="N810" s="57" t="str">
        <f aca="false">IF(E810="","","FY"&amp;(YEAR(E810)+IF(AND(FYStart&gt;1,MONTH(E810)&gt;=FYStart),1,0))&amp;" Q"&amp;(INT(MOD(MONTH(E810)-FYStart,12)/3)+1))</f>
        <v/>
      </c>
      <c r="O810" s="59" t="str">
        <f aca="false">IF(OR(E810="",N(F810)=0),"",G810/F810)</f>
        <v/>
      </c>
      <c r="P810" s="60" t="str">
        <f aca="false">IF(E810="","",ROUND(N(G810)*N(H810)/60,1))</f>
        <v/>
      </c>
      <c r="Q810" s="57" t="str">
        <f aca="false">IF(E810="","",IF(COUNTIFS($C$2:C810,C810,$E$2:E810,E810,$B$2:B810,B810)&gt;1,"No","Yes"))</f>
        <v/>
      </c>
      <c r="R810" s="61" t="str">
        <f aca="false">IF(E810="","",IF(Q810="No","Duplicate of an earlier response",IF(L810="Not on SITES","Site not on SITES",IF(N(G810)&gt;N(F810),"Present is more than enrolled",IF(OR(I810&lt;1,I810&gt;5),"Score outside 1 to 5","")))))</f>
        <v/>
      </c>
    </row>
    <row r="811" customFormat="false" ht="15" hidden="false" customHeight="false" outlineLevel="0" collapsed="false">
      <c r="A811" s="52"/>
      <c r="B811" s="53"/>
      <c r="C811" s="53"/>
      <c r="D811" s="53"/>
      <c r="E811" s="54"/>
      <c r="F811" s="55"/>
      <c r="G811" s="55"/>
      <c r="H811" s="55"/>
      <c r="I811" s="56"/>
      <c r="J811" s="53"/>
      <c r="K811" s="53"/>
      <c r="L811" s="57" t="str">
        <f aca="false">IF(C811="","",IFERROR(INDEX(site_ID,MATCH(C811,site_Name,0)),"Not on SITES"))</f>
        <v/>
      </c>
      <c r="M811" s="58" t="str">
        <f aca="false">IF(E811="","",DATE(YEAR(E811),MONTH(E811),1))</f>
        <v/>
      </c>
      <c r="N811" s="57" t="str">
        <f aca="false">IF(E811="","","FY"&amp;(YEAR(E811)+IF(AND(FYStart&gt;1,MONTH(E811)&gt;=FYStart),1,0))&amp;" Q"&amp;(INT(MOD(MONTH(E811)-FYStart,12)/3)+1))</f>
        <v/>
      </c>
      <c r="O811" s="59" t="str">
        <f aca="false">IF(OR(E811="",N(F811)=0),"",G811/F811)</f>
        <v/>
      </c>
      <c r="P811" s="60" t="str">
        <f aca="false">IF(E811="","",ROUND(N(G811)*N(H811)/60,1))</f>
        <v/>
      </c>
      <c r="Q811" s="57" t="str">
        <f aca="false">IF(E811="","",IF(COUNTIFS($C$2:C811,C811,$E$2:E811,E811,$B$2:B811,B811)&gt;1,"No","Yes"))</f>
        <v/>
      </c>
      <c r="R811" s="61" t="str">
        <f aca="false">IF(E811="","",IF(Q811="No","Duplicate of an earlier response",IF(L811="Not on SITES","Site not on SITES",IF(N(G811)&gt;N(F811),"Present is more than enrolled",IF(OR(I811&lt;1,I811&gt;5),"Score outside 1 to 5","")))))</f>
        <v/>
      </c>
    </row>
    <row r="812" customFormat="false" ht="15" hidden="false" customHeight="false" outlineLevel="0" collapsed="false">
      <c r="A812" s="52"/>
      <c r="B812" s="53"/>
      <c r="C812" s="53"/>
      <c r="D812" s="53"/>
      <c r="E812" s="54"/>
      <c r="F812" s="55"/>
      <c r="G812" s="55"/>
      <c r="H812" s="55"/>
      <c r="I812" s="56"/>
      <c r="J812" s="53"/>
      <c r="K812" s="53"/>
      <c r="L812" s="57" t="str">
        <f aca="false">IF(C812="","",IFERROR(INDEX(site_ID,MATCH(C812,site_Name,0)),"Not on SITES"))</f>
        <v/>
      </c>
      <c r="M812" s="58" t="str">
        <f aca="false">IF(E812="","",DATE(YEAR(E812),MONTH(E812),1))</f>
        <v/>
      </c>
      <c r="N812" s="57" t="str">
        <f aca="false">IF(E812="","","FY"&amp;(YEAR(E812)+IF(AND(FYStart&gt;1,MONTH(E812)&gt;=FYStart),1,0))&amp;" Q"&amp;(INT(MOD(MONTH(E812)-FYStart,12)/3)+1))</f>
        <v/>
      </c>
      <c r="O812" s="59" t="str">
        <f aca="false">IF(OR(E812="",N(F812)=0),"",G812/F812)</f>
        <v/>
      </c>
      <c r="P812" s="60" t="str">
        <f aca="false">IF(E812="","",ROUND(N(G812)*N(H812)/60,1))</f>
        <v/>
      </c>
      <c r="Q812" s="57" t="str">
        <f aca="false">IF(E812="","",IF(COUNTIFS($C$2:C812,C812,$E$2:E812,E812,$B$2:B812,B812)&gt;1,"No","Yes"))</f>
        <v/>
      </c>
      <c r="R812" s="61" t="str">
        <f aca="false">IF(E812="","",IF(Q812="No","Duplicate of an earlier response",IF(L812="Not on SITES","Site not on SITES",IF(N(G812)&gt;N(F812),"Present is more than enrolled",IF(OR(I812&lt;1,I812&gt;5),"Score outside 1 to 5","")))))</f>
        <v/>
      </c>
    </row>
    <row r="813" customFormat="false" ht="15" hidden="false" customHeight="false" outlineLevel="0" collapsed="false">
      <c r="A813" s="52"/>
      <c r="B813" s="53"/>
      <c r="C813" s="53"/>
      <c r="D813" s="53"/>
      <c r="E813" s="54"/>
      <c r="F813" s="55"/>
      <c r="G813" s="55"/>
      <c r="H813" s="55"/>
      <c r="I813" s="56"/>
      <c r="J813" s="53"/>
      <c r="K813" s="53"/>
      <c r="L813" s="57" t="str">
        <f aca="false">IF(C813="","",IFERROR(INDEX(site_ID,MATCH(C813,site_Name,0)),"Not on SITES"))</f>
        <v/>
      </c>
      <c r="M813" s="58" t="str">
        <f aca="false">IF(E813="","",DATE(YEAR(E813),MONTH(E813),1))</f>
        <v/>
      </c>
      <c r="N813" s="57" t="str">
        <f aca="false">IF(E813="","","FY"&amp;(YEAR(E813)+IF(AND(FYStart&gt;1,MONTH(E813)&gt;=FYStart),1,0))&amp;" Q"&amp;(INT(MOD(MONTH(E813)-FYStart,12)/3)+1))</f>
        <v/>
      </c>
      <c r="O813" s="59" t="str">
        <f aca="false">IF(OR(E813="",N(F813)=0),"",G813/F813)</f>
        <v/>
      </c>
      <c r="P813" s="60" t="str">
        <f aca="false">IF(E813="","",ROUND(N(G813)*N(H813)/60,1))</f>
        <v/>
      </c>
      <c r="Q813" s="57" t="str">
        <f aca="false">IF(E813="","",IF(COUNTIFS($C$2:C813,C813,$E$2:E813,E813,$B$2:B813,B813)&gt;1,"No","Yes"))</f>
        <v/>
      </c>
      <c r="R813" s="61" t="str">
        <f aca="false">IF(E813="","",IF(Q813="No","Duplicate of an earlier response",IF(L813="Not on SITES","Site not on SITES",IF(N(G813)&gt;N(F813),"Present is more than enrolled",IF(OR(I813&lt;1,I813&gt;5),"Score outside 1 to 5","")))))</f>
        <v/>
      </c>
    </row>
    <row r="814" customFormat="false" ht="15" hidden="false" customHeight="false" outlineLevel="0" collapsed="false">
      <c r="A814" s="52"/>
      <c r="B814" s="53"/>
      <c r="C814" s="53"/>
      <c r="D814" s="53"/>
      <c r="E814" s="54"/>
      <c r="F814" s="55"/>
      <c r="G814" s="55"/>
      <c r="H814" s="55"/>
      <c r="I814" s="56"/>
      <c r="J814" s="53"/>
      <c r="K814" s="53"/>
      <c r="L814" s="57" t="str">
        <f aca="false">IF(C814="","",IFERROR(INDEX(site_ID,MATCH(C814,site_Name,0)),"Not on SITES"))</f>
        <v/>
      </c>
      <c r="M814" s="58" t="str">
        <f aca="false">IF(E814="","",DATE(YEAR(E814),MONTH(E814),1))</f>
        <v/>
      </c>
      <c r="N814" s="57" t="str">
        <f aca="false">IF(E814="","","FY"&amp;(YEAR(E814)+IF(AND(FYStart&gt;1,MONTH(E814)&gt;=FYStart),1,0))&amp;" Q"&amp;(INT(MOD(MONTH(E814)-FYStart,12)/3)+1))</f>
        <v/>
      </c>
      <c r="O814" s="59" t="str">
        <f aca="false">IF(OR(E814="",N(F814)=0),"",G814/F814)</f>
        <v/>
      </c>
      <c r="P814" s="60" t="str">
        <f aca="false">IF(E814="","",ROUND(N(G814)*N(H814)/60,1))</f>
        <v/>
      </c>
      <c r="Q814" s="57" t="str">
        <f aca="false">IF(E814="","",IF(COUNTIFS($C$2:C814,C814,$E$2:E814,E814,$B$2:B814,B814)&gt;1,"No","Yes"))</f>
        <v/>
      </c>
      <c r="R814" s="61" t="str">
        <f aca="false">IF(E814="","",IF(Q814="No","Duplicate of an earlier response",IF(L814="Not on SITES","Site not on SITES",IF(N(G814)&gt;N(F814),"Present is more than enrolled",IF(OR(I814&lt;1,I814&gt;5),"Score outside 1 to 5","")))))</f>
        <v/>
      </c>
    </row>
    <row r="815" customFormat="false" ht="15" hidden="false" customHeight="false" outlineLevel="0" collapsed="false">
      <c r="A815" s="52"/>
      <c r="B815" s="53"/>
      <c r="C815" s="53"/>
      <c r="D815" s="53"/>
      <c r="E815" s="54"/>
      <c r="F815" s="55"/>
      <c r="G815" s="55"/>
      <c r="H815" s="55"/>
      <c r="I815" s="56"/>
      <c r="J815" s="53"/>
      <c r="K815" s="53"/>
      <c r="L815" s="57" t="str">
        <f aca="false">IF(C815="","",IFERROR(INDEX(site_ID,MATCH(C815,site_Name,0)),"Not on SITES"))</f>
        <v/>
      </c>
      <c r="M815" s="58" t="str">
        <f aca="false">IF(E815="","",DATE(YEAR(E815),MONTH(E815),1))</f>
        <v/>
      </c>
      <c r="N815" s="57" t="str">
        <f aca="false">IF(E815="","","FY"&amp;(YEAR(E815)+IF(AND(FYStart&gt;1,MONTH(E815)&gt;=FYStart),1,0))&amp;" Q"&amp;(INT(MOD(MONTH(E815)-FYStart,12)/3)+1))</f>
        <v/>
      </c>
      <c r="O815" s="59" t="str">
        <f aca="false">IF(OR(E815="",N(F815)=0),"",G815/F815)</f>
        <v/>
      </c>
      <c r="P815" s="60" t="str">
        <f aca="false">IF(E815="","",ROUND(N(G815)*N(H815)/60,1))</f>
        <v/>
      </c>
      <c r="Q815" s="57" t="str">
        <f aca="false">IF(E815="","",IF(COUNTIFS($C$2:C815,C815,$E$2:E815,E815,$B$2:B815,B815)&gt;1,"No","Yes"))</f>
        <v/>
      </c>
      <c r="R815" s="61" t="str">
        <f aca="false">IF(E815="","",IF(Q815="No","Duplicate of an earlier response",IF(L815="Not on SITES","Site not on SITES",IF(N(G815)&gt;N(F815),"Present is more than enrolled",IF(OR(I815&lt;1,I815&gt;5),"Score outside 1 to 5","")))))</f>
        <v/>
      </c>
    </row>
    <row r="816" customFormat="false" ht="15" hidden="false" customHeight="false" outlineLevel="0" collapsed="false">
      <c r="A816" s="52"/>
      <c r="B816" s="53"/>
      <c r="C816" s="53"/>
      <c r="D816" s="53"/>
      <c r="E816" s="54"/>
      <c r="F816" s="55"/>
      <c r="G816" s="55"/>
      <c r="H816" s="55"/>
      <c r="I816" s="56"/>
      <c r="J816" s="53"/>
      <c r="K816" s="53"/>
      <c r="L816" s="57" t="str">
        <f aca="false">IF(C816="","",IFERROR(INDEX(site_ID,MATCH(C816,site_Name,0)),"Not on SITES"))</f>
        <v/>
      </c>
      <c r="M816" s="58" t="str">
        <f aca="false">IF(E816="","",DATE(YEAR(E816),MONTH(E816),1))</f>
        <v/>
      </c>
      <c r="N816" s="57" t="str">
        <f aca="false">IF(E816="","","FY"&amp;(YEAR(E816)+IF(AND(FYStart&gt;1,MONTH(E816)&gt;=FYStart),1,0))&amp;" Q"&amp;(INT(MOD(MONTH(E816)-FYStart,12)/3)+1))</f>
        <v/>
      </c>
      <c r="O816" s="59" t="str">
        <f aca="false">IF(OR(E816="",N(F816)=0),"",G816/F816)</f>
        <v/>
      </c>
      <c r="P816" s="60" t="str">
        <f aca="false">IF(E816="","",ROUND(N(G816)*N(H816)/60,1))</f>
        <v/>
      </c>
      <c r="Q816" s="57" t="str">
        <f aca="false">IF(E816="","",IF(COUNTIFS($C$2:C816,C816,$E$2:E816,E816,$B$2:B816,B816)&gt;1,"No","Yes"))</f>
        <v/>
      </c>
      <c r="R816" s="61" t="str">
        <f aca="false">IF(E816="","",IF(Q816="No","Duplicate of an earlier response",IF(L816="Not on SITES","Site not on SITES",IF(N(G816)&gt;N(F816),"Present is more than enrolled",IF(OR(I816&lt;1,I816&gt;5),"Score outside 1 to 5","")))))</f>
        <v/>
      </c>
    </row>
    <row r="817" customFormat="false" ht="15" hidden="false" customHeight="false" outlineLevel="0" collapsed="false">
      <c r="A817" s="52"/>
      <c r="B817" s="53"/>
      <c r="C817" s="53"/>
      <c r="D817" s="53"/>
      <c r="E817" s="54"/>
      <c r="F817" s="55"/>
      <c r="G817" s="55"/>
      <c r="H817" s="55"/>
      <c r="I817" s="56"/>
      <c r="J817" s="53"/>
      <c r="K817" s="53"/>
      <c r="L817" s="57" t="str">
        <f aca="false">IF(C817="","",IFERROR(INDEX(site_ID,MATCH(C817,site_Name,0)),"Not on SITES"))</f>
        <v/>
      </c>
      <c r="M817" s="58" t="str">
        <f aca="false">IF(E817="","",DATE(YEAR(E817),MONTH(E817),1))</f>
        <v/>
      </c>
      <c r="N817" s="57" t="str">
        <f aca="false">IF(E817="","","FY"&amp;(YEAR(E817)+IF(AND(FYStart&gt;1,MONTH(E817)&gt;=FYStart),1,0))&amp;" Q"&amp;(INT(MOD(MONTH(E817)-FYStart,12)/3)+1))</f>
        <v/>
      </c>
      <c r="O817" s="59" t="str">
        <f aca="false">IF(OR(E817="",N(F817)=0),"",G817/F817)</f>
        <v/>
      </c>
      <c r="P817" s="60" t="str">
        <f aca="false">IF(E817="","",ROUND(N(G817)*N(H817)/60,1))</f>
        <v/>
      </c>
      <c r="Q817" s="57" t="str">
        <f aca="false">IF(E817="","",IF(COUNTIFS($C$2:C817,C817,$E$2:E817,E817,$B$2:B817,B817)&gt;1,"No","Yes"))</f>
        <v/>
      </c>
      <c r="R817" s="61" t="str">
        <f aca="false">IF(E817="","",IF(Q817="No","Duplicate of an earlier response",IF(L817="Not on SITES","Site not on SITES",IF(N(G817)&gt;N(F817),"Present is more than enrolled",IF(OR(I817&lt;1,I817&gt;5),"Score outside 1 to 5","")))))</f>
        <v/>
      </c>
    </row>
    <row r="818" customFormat="false" ht="15" hidden="false" customHeight="false" outlineLevel="0" collapsed="false">
      <c r="A818" s="52"/>
      <c r="B818" s="53"/>
      <c r="C818" s="53"/>
      <c r="D818" s="53"/>
      <c r="E818" s="54"/>
      <c r="F818" s="55"/>
      <c r="G818" s="55"/>
      <c r="H818" s="55"/>
      <c r="I818" s="56"/>
      <c r="J818" s="53"/>
      <c r="K818" s="53"/>
      <c r="L818" s="57" t="str">
        <f aca="false">IF(C818="","",IFERROR(INDEX(site_ID,MATCH(C818,site_Name,0)),"Not on SITES"))</f>
        <v/>
      </c>
      <c r="M818" s="58" t="str">
        <f aca="false">IF(E818="","",DATE(YEAR(E818),MONTH(E818),1))</f>
        <v/>
      </c>
      <c r="N818" s="57" t="str">
        <f aca="false">IF(E818="","","FY"&amp;(YEAR(E818)+IF(AND(FYStart&gt;1,MONTH(E818)&gt;=FYStart),1,0))&amp;" Q"&amp;(INT(MOD(MONTH(E818)-FYStart,12)/3)+1))</f>
        <v/>
      </c>
      <c r="O818" s="59" t="str">
        <f aca="false">IF(OR(E818="",N(F818)=0),"",G818/F818)</f>
        <v/>
      </c>
      <c r="P818" s="60" t="str">
        <f aca="false">IF(E818="","",ROUND(N(G818)*N(H818)/60,1))</f>
        <v/>
      </c>
      <c r="Q818" s="57" t="str">
        <f aca="false">IF(E818="","",IF(COUNTIFS($C$2:C818,C818,$E$2:E818,E818,$B$2:B818,B818)&gt;1,"No","Yes"))</f>
        <v/>
      </c>
      <c r="R818" s="61" t="str">
        <f aca="false">IF(E818="","",IF(Q818="No","Duplicate of an earlier response",IF(L818="Not on SITES","Site not on SITES",IF(N(G818)&gt;N(F818),"Present is more than enrolled",IF(OR(I818&lt;1,I818&gt;5),"Score outside 1 to 5","")))))</f>
        <v/>
      </c>
    </row>
    <row r="819" customFormat="false" ht="15" hidden="false" customHeight="false" outlineLevel="0" collapsed="false">
      <c r="A819" s="52"/>
      <c r="B819" s="53"/>
      <c r="C819" s="53"/>
      <c r="D819" s="53"/>
      <c r="E819" s="54"/>
      <c r="F819" s="55"/>
      <c r="G819" s="55"/>
      <c r="H819" s="55"/>
      <c r="I819" s="56"/>
      <c r="J819" s="53"/>
      <c r="K819" s="53"/>
      <c r="L819" s="57" t="str">
        <f aca="false">IF(C819="","",IFERROR(INDEX(site_ID,MATCH(C819,site_Name,0)),"Not on SITES"))</f>
        <v/>
      </c>
      <c r="M819" s="58" t="str">
        <f aca="false">IF(E819="","",DATE(YEAR(E819),MONTH(E819),1))</f>
        <v/>
      </c>
      <c r="N819" s="57" t="str">
        <f aca="false">IF(E819="","","FY"&amp;(YEAR(E819)+IF(AND(FYStart&gt;1,MONTH(E819)&gt;=FYStart),1,0))&amp;" Q"&amp;(INT(MOD(MONTH(E819)-FYStart,12)/3)+1))</f>
        <v/>
      </c>
      <c r="O819" s="59" t="str">
        <f aca="false">IF(OR(E819="",N(F819)=0),"",G819/F819)</f>
        <v/>
      </c>
      <c r="P819" s="60" t="str">
        <f aca="false">IF(E819="","",ROUND(N(G819)*N(H819)/60,1))</f>
        <v/>
      </c>
      <c r="Q819" s="57" t="str">
        <f aca="false">IF(E819="","",IF(COUNTIFS($C$2:C819,C819,$E$2:E819,E819,$B$2:B819,B819)&gt;1,"No","Yes"))</f>
        <v/>
      </c>
      <c r="R819" s="61" t="str">
        <f aca="false">IF(E819="","",IF(Q819="No","Duplicate of an earlier response",IF(L819="Not on SITES","Site not on SITES",IF(N(G819)&gt;N(F819),"Present is more than enrolled",IF(OR(I819&lt;1,I819&gt;5),"Score outside 1 to 5","")))))</f>
        <v/>
      </c>
    </row>
    <row r="820" customFormat="false" ht="15" hidden="false" customHeight="false" outlineLevel="0" collapsed="false">
      <c r="A820" s="52"/>
      <c r="B820" s="53"/>
      <c r="C820" s="53"/>
      <c r="D820" s="53"/>
      <c r="E820" s="54"/>
      <c r="F820" s="55"/>
      <c r="G820" s="55"/>
      <c r="H820" s="55"/>
      <c r="I820" s="56"/>
      <c r="J820" s="53"/>
      <c r="K820" s="53"/>
      <c r="L820" s="57" t="str">
        <f aca="false">IF(C820="","",IFERROR(INDEX(site_ID,MATCH(C820,site_Name,0)),"Not on SITES"))</f>
        <v/>
      </c>
      <c r="M820" s="58" t="str">
        <f aca="false">IF(E820="","",DATE(YEAR(E820),MONTH(E820),1))</f>
        <v/>
      </c>
      <c r="N820" s="57" t="str">
        <f aca="false">IF(E820="","","FY"&amp;(YEAR(E820)+IF(AND(FYStart&gt;1,MONTH(E820)&gt;=FYStart),1,0))&amp;" Q"&amp;(INT(MOD(MONTH(E820)-FYStart,12)/3)+1))</f>
        <v/>
      </c>
      <c r="O820" s="59" t="str">
        <f aca="false">IF(OR(E820="",N(F820)=0),"",G820/F820)</f>
        <v/>
      </c>
      <c r="P820" s="60" t="str">
        <f aca="false">IF(E820="","",ROUND(N(G820)*N(H820)/60,1))</f>
        <v/>
      </c>
      <c r="Q820" s="57" t="str">
        <f aca="false">IF(E820="","",IF(COUNTIFS($C$2:C820,C820,$E$2:E820,E820,$B$2:B820,B820)&gt;1,"No","Yes"))</f>
        <v/>
      </c>
      <c r="R820" s="61" t="str">
        <f aca="false">IF(E820="","",IF(Q820="No","Duplicate of an earlier response",IF(L820="Not on SITES","Site not on SITES",IF(N(G820)&gt;N(F820),"Present is more than enrolled",IF(OR(I820&lt;1,I820&gt;5),"Score outside 1 to 5","")))))</f>
        <v/>
      </c>
    </row>
    <row r="821" customFormat="false" ht="15" hidden="false" customHeight="false" outlineLevel="0" collapsed="false">
      <c r="A821" s="52"/>
      <c r="B821" s="53"/>
      <c r="C821" s="53"/>
      <c r="D821" s="53"/>
      <c r="E821" s="54"/>
      <c r="F821" s="55"/>
      <c r="G821" s="55"/>
      <c r="H821" s="55"/>
      <c r="I821" s="56"/>
      <c r="J821" s="53"/>
      <c r="K821" s="53"/>
      <c r="L821" s="57" t="str">
        <f aca="false">IF(C821="","",IFERROR(INDEX(site_ID,MATCH(C821,site_Name,0)),"Not on SITES"))</f>
        <v/>
      </c>
      <c r="M821" s="58" t="str">
        <f aca="false">IF(E821="","",DATE(YEAR(E821),MONTH(E821),1))</f>
        <v/>
      </c>
      <c r="N821" s="57" t="str">
        <f aca="false">IF(E821="","","FY"&amp;(YEAR(E821)+IF(AND(FYStart&gt;1,MONTH(E821)&gt;=FYStart),1,0))&amp;" Q"&amp;(INT(MOD(MONTH(E821)-FYStart,12)/3)+1))</f>
        <v/>
      </c>
      <c r="O821" s="59" t="str">
        <f aca="false">IF(OR(E821="",N(F821)=0),"",G821/F821)</f>
        <v/>
      </c>
      <c r="P821" s="60" t="str">
        <f aca="false">IF(E821="","",ROUND(N(G821)*N(H821)/60,1))</f>
        <v/>
      </c>
      <c r="Q821" s="57" t="str">
        <f aca="false">IF(E821="","",IF(COUNTIFS($C$2:C821,C821,$E$2:E821,E821,$B$2:B821,B821)&gt;1,"No","Yes"))</f>
        <v/>
      </c>
      <c r="R821" s="61" t="str">
        <f aca="false">IF(E821="","",IF(Q821="No","Duplicate of an earlier response",IF(L821="Not on SITES","Site not on SITES",IF(N(G821)&gt;N(F821),"Present is more than enrolled",IF(OR(I821&lt;1,I821&gt;5),"Score outside 1 to 5","")))))</f>
        <v/>
      </c>
    </row>
    <row r="822" customFormat="false" ht="15" hidden="false" customHeight="false" outlineLevel="0" collapsed="false">
      <c r="A822" s="52"/>
      <c r="B822" s="53"/>
      <c r="C822" s="53"/>
      <c r="D822" s="53"/>
      <c r="E822" s="54"/>
      <c r="F822" s="55"/>
      <c r="G822" s="55"/>
      <c r="H822" s="55"/>
      <c r="I822" s="56"/>
      <c r="J822" s="53"/>
      <c r="K822" s="53"/>
      <c r="L822" s="57" t="str">
        <f aca="false">IF(C822="","",IFERROR(INDEX(site_ID,MATCH(C822,site_Name,0)),"Not on SITES"))</f>
        <v/>
      </c>
      <c r="M822" s="58" t="str">
        <f aca="false">IF(E822="","",DATE(YEAR(E822),MONTH(E822),1))</f>
        <v/>
      </c>
      <c r="N822" s="57" t="str">
        <f aca="false">IF(E822="","","FY"&amp;(YEAR(E822)+IF(AND(FYStart&gt;1,MONTH(E822)&gt;=FYStart),1,0))&amp;" Q"&amp;(INT(MOD(MONTH(E822)-FYStart,12)/3)+1))</f>
        <v/>
      </c>
      <c r="O822" s="59" t="str">
        <f aca="false">IF(OR(E822="",N(F822)=0),"",G822/F822)</f>
        <v/>
      </c>
      <c r="P822" s="60" t="str">
        <f aca="false">IF(E822="","",ROUND(N(G822)*N(H822)/60,1))</f>
        <v/>
      </c>
      <c r="Q822" s="57" t="str">
        <f aca="false">IF(E822="","",IF(COUNTIFS($C$2:C822,C822,$E$2:E822,E822,$B$2:B822,B822)&gt;1,"No","Yes"))</f>
        <v/>
      </c>
      <c r="R822" s="61" t="str">
        <f aca="false">IF(E822="","",IF(Q822="No","Duplicate of an earlier response",IF(L822="Not on SITES","Site not on SITES",IF(N(G822)&gt;N(F822),"Present is more than enrolled",IF(OR(I822&lt;1,I822&gt;5),"Score outside 1 to 5","")))))</f>
        <v/>
      </c>
    </row>
    <row r="823" customFormat="false" ht="15" hidden="false" customHeight="false" outlineLevel="0" collapsed="false">
      <c r="A823" s="52"/>
      <c r="B823" s="53"/>
      <c r="C823" s="53"/>
      <c r="D823" s="53"/>
      <c r="E823" s="54"/>
      <c r="F823" s="55"/>
      <c r="G823" s="55"/>
      <c r="H823" s="55"/>
      <c r="I823" s="56"/>
      <c r="J823" s="53"/>
      <c r="K823" s="53"/>
      <c r="L823" s="57" t="str">
        <f aca="false">IF(C823="","",IFERROR(INDEX(site_ID,MATCH(C823,site_Name,0)),"Not on SITES"))</f>
        <v/>
      </c>
      <c r="M823" s="58" t="str">
        <f aca="false">IF(E823="","",DATE(YEAR(E823),MONTH(E823),1))</f>
        <v/>
      </c>
      <c r="N823" s="57" t="str">
        <f aca="false">IF(E823="","","FY"&amp;(YEAR(E823)+IF(AND(FYStart&gt;1,MONTH(E823)&gt;=FYStart),1,0))&amp;" Q"&amp;(INT(MOD(MONTH(E823)-FYStart,12)/3)+1))</f>
        <v/>
      </c>
      <c r="O823" s="59" t="str">
        <f aca="false">IF(OR(E823="",N(F823)=0),"",G823/F823)</f>
        <v/>
      </c>
      <c r="P823" s="60" t="str">
        <f aca="false">IF(E823="","",ROUND(N(G823)*N(H823)/60,1))</f>
        <v/>
      </c>
      <c r="Q823" s="57" t="str">
        <f aca="false">IF(E823="","",IF(COUNTIFS($C$2:C823,C823,$E$2:E823,E823,$B$2:B823,B823)&gt;1,"No","Yes"))</f>
        <v/>
      </c>
      <c r="R823" s="61" t="str">
        <f aca="false">IF(E823="","",IF(Q823="No","Duplicate of an earlier response",IF(L823="Not on SITES","Site not on SITES",IF(N(G823)&gt;N(F823),"Present is more than enrolled",IF(OR(I823&lt;1,I823&gt;5),"Score outside 1 to 5","")))))</f>
        <v/>
      </c>
    </row>
    <row r="824" customFormat="false" ht="15" hidden="false" customHeight="false" outlineLevel="0" collapsed="false">
      <c r="A824" s="52"/>
      <c r="B824" s="53"/>
      <c r="C824" s="53"/>
      <c r="D824" s="53"/>
      <c r="E824" s="54"/>
      <c r="F824" s="55"/>
      <c r="G824" s="55"/>
      <c r="H824" s="55"/>
      <c r="I824" s="56"/>
      <c r="J824" s="53"/>
      <c r="K824" s="53"/>
      <c r="L824" s="57" t="str">
        <f aca="false">IF(C824="","",IFERROR(INDEX(site_ID,MATCH(C824,site_Name,0)),"Not on SITES"))</f>
        <v/>
      </c>
      <c r="M824" s="58" t="str">
        <f aca="false">IF(E824="","",DATE(YEAR(E824),MONTH(E824),1))</f>
        <v/>
      </c>
      <c r="N824" s="57" t="str">
        <f aca="false">IF(E824="","","FY"&amp;(YEAR(E824)+IF(AND(FYStart&gt;1,MONTH(E824)&gt;=FYStart),1,0))&amp;" Q"&amp;(INT(MOD(MONTH(E824)-FYStart,12)/3)+1))</f>
        <v/>
      </c>
      <c r="O824" s="59" t="str">
        <f aca="false">IF(OR(E824="",N(F824)=0),"",G824/F824)</f>
        <v/>
      </c>
      <c r="P824" s="60" t="str">
        <f aca="false">IF(E824="","",ROUND(N(G824)*N(H824)/60,1))</f>
        <v/>
      </c>
      <c r="Q824" s="57" t="str">
        <f aca="false">IF(E824="","",IF(COUNTIFS($C$2:C824,C824,$E$2:E824,E824,$B$2:B824,B824)&gt;1,"No","Yes"))</f>
        <v/>
      </c>
      <c r="R824" s="61" t="str">
        <f aca="false">IF(E824="","",IF(Q824="No","Duplicate of an earlier response",IF(L824="Not on SITES","Site not on SITES",IF(N(G824)&gt;N(F824),"Present is more than enrolled",IF(OR(I824&lt;1,I824&gt;5),"Score outside 1 to 5","")))))</f>
        <v/>
      </c>
    </row>
    <row r="825" customFormat="false" ht="15" hidden="false" customHeight="false" outlineLevel="0" collapsed="false">
      <c r="A825" s="52"/>
      <c r="B825" s="53"/>
      <c r="C825" s="53"/>
      <c r="D825" s="53"/>
      <c r="E825" s="54"/>
      <c r="F825" s="55"/>
      <c r="G825" s="55"/>
      <c r="H825" s="55"/>
      <c r="I825" s="56"/>
      <c r="J825" s="53"/>
      <c r="K825" s="53"/>
      <c r="L825" s="57" t="str">
        <f aca="false">IF(C825="","",IFERROR(INDEX(site_ID,MATCH(C825,site_Name,0)),"Not on SITES"))</f>
        <v/>
      </c>
      <c r="M825" s="58" t="str">
        <f aca="false">IF(E825="","",DATE(YEAR(E825),MONTH(E825),1))</f>
        <v/>
      </c>
      <c r="N825" s="57" t="str">
        <f aca="false">IF(E825="","","FY"&amp;(YEAR(E825)+IF(AND(FYStart&gt;1,MONTH(E825)&gt;=FYStart),1,0))&amp;" Q"&amp;(INT(MOD(MONTH(E825)-FYStart,12)/3)+1))</f>
        <v/>
      </c>
      <c r="O825" s="59" t="str">
        <f aca="false">IF(OR(E825="",N(F825)=0),"",G825/F825)</f>
        <v/>
      </c>
      <c r="P825" s="60" t="str">
        <f aca="false">IF(E825="","",ROUND(N(G825)*N(H825)/60,1))</f>
        <v/>
      </c>
      <c r="Q825" s="57" t="str">
        <f aca="false">IF(E825="","",IF(COUNTIFS($C$2:C825,C825,$E$2:E825,E825,$B$2:B825,B825)&gt;1,"No","Yes"))</f>
        <v/>
      </c>
      <c r="R825" s="61" t="str">
        <f aca="false">IF(E825="","",IF(Q825="No","Duplicate of an earlier response",IF(L825="Not on SITES","Site not on SITES",IF(N(G825)&gt;N(F825),"Present is more than enrolled",IF(OR(I825&lt;1,I825&gt;5),"Score outside 1 to 5","")))))</f>
        <v/>
      </c>
    </row>
    <row r="826" customFormat="false" ht="15" hidden="false" customHeight="false" outlineLevel="0" collapsed="false">
      <c r="A826" s="52"/>
      <c r="B826" s="53"/>
      <c r="C826" s="53"/>
      <c r="D826" s="53"/>
      <c r="E826" s="54"/>
      <c r="F826" s="55"/>
      <c r="G826" s="55"/>
      <c r="H826" s="55"/>
      <c r="I826" s="56"/>
      <c r="J826" s="53"/>
      <c r="K826" s="53"/>
      <c r="L826" s="57" t="str">
        <f aca="false">IF(C826="","",IFERROR(INDEX(site_ID,MATCH(C826,site_Name,0)),"Not on SITES"))</f>
        <v/>
      </c>
      <c r="M826" s="58" t="str">
        <f aca="false">IF(E826="","",DATE(YEAR(E826),MONTH(E826),1))</f>
        <v/>
      </c>
      <c r="N826" s="57" t="str">
        <f aca="false">IF(E826="","","FY"&amp;(YEAR(E826)+IF(AND(FYStart&gt;1,MONTH(E826)&gt;=FYStart),1,0))&amp;" Q"&amp;(INT(MOD(MONTH(E826)-FYStart,12)/3)+1))</f>
        <v/>
      </c>
      <c r="O826" s="59" t="str">
        <f aca="false">IF(OR(E826="",N(F826)=0),"",G826/F826)</f>
        <v/>
      </c>
      <c r="P826" s="60" t="str">
        <f aca="false">IF(E826="","",ROUND(N(G826)*N(H826)/60,1))</f>
        <v/>
      </c>
      <c r="Q826" s="57" t="str">
        <f aca="false">IF(E826="","",IF(COUNTIFS($C$2:C826,C826,$E$2:E826,E826,$B$2:B826,B826)&gt;1,"No","Yes"))</f>
        <v/>
      </c>
      <c r="R826" s="61" t="str">
        <f aca="false">IF(E826="","",IF(Q826="No","Duplicate of an earlier response",IF(L826="Not on SITES","Site not on SITES",IF(N(G826)&gt;N(F826),"Present is more than enrolled",IF(OR(I826&lt;1,I826&gt;5),"Score outside 1 to 5","")))))</f>
        <v/>
      </c>
    </row>
    <row r="827" customFormat="false" ht="15" hidden="false" customHeight="false" outlineLevel="0" collapsed="false">
      <c r="A827" s="52"/>
      <c r="B827" s="53"/>
      <c r="C827" s="53"/>
      <c r="D827" s="53"/>
      <c r="E827" s="54"/>
      <c r="F827" s="55"/>
      <c r="G827" s="55"/>
      <c r="H827" s="55"/>
      <c r="I827" s="56"/>
      <c r="J827" s="53"/>
      <c r="K827" s="53"/>
      <c r="L827" s="57" t="str">
        <f aca="false">IF(C827="","",IFERROR(INDEX(site_ID,MATCH(C827,site_Name,0)),"Not on SITES"))</f>
        <v/>
      </c>
      <c r="M827" s="58" t="str">
        <f aca="false">IF(E827="","",DATE(YEAR(E827),MONTH(E827),1))</f>
        <v/>
      </c>
      <c r="N827" s="57" t="str">
        <f aca="false">IF(E827="","","FY"&amp;(YEAR(E827)+IF(AND(FYStart&gt;1,MONTH(E827)&gt;=FYStart),1,0))&amp;" Q"&amp;(INT(MOD(MONTH(E827)-FYStart,12)/3)+1))</f>
        <v/>
      </c>
      <c r="O827" s="59" t="str">
        <f aca="false">IF(OR(E827="",N(F827)=0),"",G827/F827)</f>
        <v/>
      </c>
      <c r="P827" s="60" t="str">
        <f aca="false">IF(E827="","",ROUND(N(G827)*N(H827)/60,1))</f>
        <v/>
      </c>
      <c r="Q827" s="57" t="str">
        <f aca="false">IF(E827="","",IF(COUNTIFS($C$2:C827,C827,$E$2:E827,E827,$B$2:B827,B827)&gt;1,"No","Yes"))</f>
        <v/>
      </c>
      <c r="R827" s="61" t="str">
        <f aca="false">IF(E827="","",IF(Q827="No","Duplicate of an earlier response",IF(L827="Not on SITES","Site not on SITES",IF(N(G827)&gt;N(F827),"Present is more than enrolled",IF(OR(I827&lt;1,I827&gt;5),"Score outside 1 to 5","")))))</f>
        <v/>
      </c>
    </row>
    <row r="828" customFormat="false" ht="15" hidden="false" customHeight="false" outlineLevel="0" collapsed="false">
      <c r="A828" s="52"/>
      <c r="B828" s="53"/>
      <c r="C828" s="53"/>
      <c r="D828" s="53"/>
      <c r="E828" s="54"/>
      <c r="F828" s="55"/>
      <c r="G828" s="55"/>
      <c r="H828" s="55"/>
      <c r="I828" s="56"/>
      <c r="J828" s="53"/>
      <c r="K828" s="53"/>
      <c r="L828" s="57" t="str">
        <f aca="false">IF(C828="","",IFERROR(INDEX(site_ID,MATCH(C828,site_Name,0)),"Not on SITES"))</f>
        <v/>
      </c>
      <c r="M828" s="58" t="str">
        <f aca="false">IF(E828="","",DATE(YEAR(E828),MONTH(E828),1))</f>
        <v/>
      </c>
      <c r="N828" s="57" t="str">
        <f aca="false">IF(E828="","","FY"&amp;(YEAR(E828)+IF(AND(FYStart&gt;1,MONTH(E828)&gt;=FYStart),1,0))&amp;" Q"&amp;(INT(MOD(MONTH(E828)-FYStart,12)/3)+1))</f>
        <v/>
      </c>
      <c r="O828" s="59" t="str">
        <f aca="false">IF(OR(E828="",N(F828)=0),"",G828/F828)</f>
        <v/>
      </c>
      <c r="P828" s="60" t="str">
        <f aca="false">IF(E828="","",ROUND(N(G828)*N(H828)/60,1))</f>
        <v/>
      </c>
      <c r="Q828" s="57" t="str">
        <f aca="false">IF(E828="","",IF(COUNTIFS($C$2:C828,C828,$E$2:E828,E828,$B$2:B828,B828)&gt;1,"No","Yes"))</f>
        <v/>
      </c>
      <c r="R828" s="61" t="str">
        <f aca="false">IF(E828="","",IF(Q828="No","Duplicate of an earlier response",IF(L828="Not on SITES","Site not on SITES",IF(N(G828)&gt;N(F828),"Present is more than enrolled",IF(OR(I828&lt;1,I828&gt;5),"Score outside 1 to 5","")))))</f>
        <v/>
      </c>
    </row>
    <row r="829" customFormat="false" ht="15" hidden="false" customHeight="false" outlineLevel="0" collapsed="false">
      <c r="A829" s="52"/>
      <c r="B829" s="53"/>
      <c r="C829" s="53"/>
      <c r="D829" s="53"/>
      <c r="E829" s="54"/>
      <c r="F829" s="55"/>
      <c r="G829" s="55"/>
      <c r="H829" s="55"/>
      <c r="I829" s="56"/>
      <c r="J829" s="53"/>
      <c r="K829" s="53"/>
      <c r="L829" s="57" t="str">
        <f aca="false">IF(C829="","",IFERROR(INDEX(site_ID,MATCH(C829,site_Name,0)),"Not on SITES"))</f>
        <v/>
      </c>
      <c r="M829" s="58" t="str">
        <f aca="false">IF(E829="","",DATE(YEAR(E829),MONTH(E829),1))</f>
        <v/>
      </c>
      <c r="N829" s="57" t="str">
        <f aca="false">IF(E829="","","FY"&amp;(YEAR(E829)+IF(AND(FYStart&gt;1,MONTH(E829)&gt;=FYStart),1,0))&amp;" Q"&amp;(INT(MOD(MONTH(E829)-FYStart,12)/3)+1))</f>
        <v/>
      </c>
      <c r="O829" s="59" t="str">
        <f aca="false">IF(OR(E829="",N(F829)=0),"",G829/F829)</f>
        <v/>
      </c>
      <c r="P829" s="60" t="str">
        <f aca="false">IF(E829="","",ROUND(N(G829)*N(H829)/60,1))</f>
        <v/>
      </c>
      <c r="Q829" s="57" t="str">
        <f aca="false">IF(E829="","",IF(COUNTIFS($C$2:C829,C829,$E$2:E829,E829,$B$2:B829,B829)&gt;1,"No","Yes"))</f>
        <v/>
      </c>
      <c r="R829" s="61" t="str">
        <f aca="false">IF(E829="","",IF(Q829="No","Duplicate of an earlier response",IF(L829="Not on SITES","Site not on SITES",IF(N(G829)&gt;N(F829),"Present is more than enrolled",IF(OR(I829&lt;1,I829&gt;5),"Score outside 1 to 5","")))))</f>
        <v/>
      </c>
    </row>
    <row r="830" customFormat="false" ht="15" hidden="false" customHeight="false" outlineLevel="0" collapsed="false">
      <c r="A830" s="52"/>
      <c r="B830" s="53"/>
      <c r="C830" s="53"/>
      <c r="D830" s="53"/>
      <c r="E830" s="54"/>
      <c r="F830" s="55"/>
      <c r="G830" s="55"/>
      <c r="H830" s="55"/>
      <c r="I830" s="56"/>
      <c r="J830" s="53"/>
      <c r="K830" s="53"/>
      <c r="L830" s="57" t="str">
        <f aca="false">IF(C830="","",IFERROR(INDEX(site_ID,MATCH(C830,site_Name,0)),"Not on SITES"))</f>
        <v/>
      </c>
      <c r="M830" s="58" t="str">
        <f aca="false">IF(E830="","",DATE(YEAR(E830),MONTH(E830),1))</f>
        <v/>
      </c>
      <c r="N830" s="57" t="str">
        <f aca="false">IF(E830="","","FY"&amp;(YEAR(E830)+IF(AND(FYStart&gt;1,MONTH(E830)&gt;=FYStart),1,0))&amp;" Q"&amp;(INT(MOD(MONTH(E830)-FYStart,12)/3)+1))</f>
        <v/>
      </c>
      <c r="O830" s="59" t="str">
        <f aca="false">IF(OR(E830="",N(F830)=0),"",G830/F830)</f>
        <v/>
      </c>
      <c r="P830" s="60" t="str">
        <f aca="false">IF(E830="","",ROUND(N(G830)*N(H830)/60,1))</f>
        <v/>
      </c>
      <c r="Q830" s="57" t="str">
        <f aca="false">IF(E830="","",IF(COUNTIFS($C$2:C830,C830,$E$2:E830,E830,$B$2:B830,B830)&gt;1,"No","Yes"))</f>
        <v/>
      </c>
      <c r="R830" s="61" t="str">
        <f aca="false">IF(E830="","",IF(Q830="No","Duplicate of an earlier response",IF(L830="Not on SITES","Site not on SITES",IF(N(G830)&gt;N(F830),"Present is more than enrolled",IF(OR(I830&lt;1,I830&gt;5),"Score outside 1 to 5","")))))</f>
        <v/>
      </c>
    </row>
    <row r="831" customFormat="false" ht="15" hidden="false" customHeight="false" outlineLevel="0" collapsed="false">
      <c r="A831" s="52"/>
      <c r="B831" s="53"/>
      <c r="C831" s="53"/>
      <c r="D831" s="53"/>
      <c r="E831" s="54"/>
      <c r="F831" s="55"/>
      <c r="G831" s="55"/>
      <c r="H831" s="55"/>
      <c r="I831" s="56"/>
      <c r="J831" s="53"/>
      <c r="K831" s="53"/>
      <c r="L831" s="57" t="str">
        <f aca="false">IF(C831="","",IFERROR(INDEX(site_ID,MATCH(C831,site_Name,0)),"Not on SITES"))</f>
        <v/>
      </c>
      <c r="M831" s="58" t="str">
        <f aca="false">IF(E831="","",DATE(YEAR(E831),MONTH(E831),1))</f>
        <v/>
      </c>
      <c r="N831" s="57" t="str">
        <f aca="false">IF(E831="","","FY"&amp;(YEAR(E831)+IF(AND(FYStart&gt;1,MONTH(E831)&gt;=FYStart),1,0))&amp;" Q"&amp;(INT(MOD(MONTH(E831)-FYStart,12)/3)+1))</f>
        <v/>
      </c>
      <c r="O831" s="59" t="str">
        <f aca="false">IF(OR(E831="",N(F831)=0),"",G831/F831)</f>
        <v/>
      </c>
      <c r="P831" s="60" t="str">
        <f aca="false">IF(E831="","",ROUND(N(G831)*N(H831)/60,1))</f>
        <v/>
      </c>
      <c r="Q831" s="57" t="str">
        <f aca="false">IF(E831="","",IF(COUNTIFS($C$2:C831,C831,$E$2:E831,E831,$B$2:B831,B831)&gt;1,"No","Yes"))</f>
        <v/>
      </c>
      <c r="R831" s="61" t="str">
        <f aca="false">IF(E831="","",IF(Q831="No","Duplicate of an earlier response",IF(L831="Not on SITES","Site not on SITES",IF(N(G831)&gt;N(F831),"Present is more than enrolled",IF(OR(I831&lt;1,I831&gt;5),"Score outside 1 to 5","")))))</f>
        <v/>
      </c>
    </row>
    <row r="832" customFormat="false" ht="15" hidden="false" customHeight="false" outlineLevel="0" collapsed="false">
      <c r="A832" s="52"/>
      <c r="B832" s="53"/>
      <c r="C832" s="53"/>
      <c r="D832" s="53"/>
      <c r="E832" s="54"/>
      <c r="F832" s="55"/>
      <c r="G832" s="55"/>
      <c r="H832" s="55"/>
      <c r="I832" s="56"/>
      <c r="J832" s="53"/>
      <c r="K832" s="53"/>
      <c r="L832" s="57" t="str">
        <f aca="false">IF(C832="","",IFERROR(INDEX(site_ID,MATCH(C832,site_Name,0)),"Not on SITES"))</f>
        <v/>
      </c>
      <c r="M832" s="58" t="str">
        <f aca="false">IF(E832="","",DATE(YEAR(E832),MONTH(E832),1))</f>
        <v/>
      </c>
      <c r="N832" s="57" t="str">
        <f aca="false">IF(E832="","","FY"&amp;(YEAR(E832)+IF(AND(FYStart&gt;1,MONTH(E832)&gt;=FYStart),1,0))&amp;" Q"&amp;(INT(MOD(MONTH(E832)-FYStart,12)/3)+1))</f>
        <v/>
      </c>
      <c r="O832" s="59" t="str">
        <f aca="false">IF(OR(E832="",N(F832)=0),"",G832/F832)</f>
        <v/>
      </c>
      <c r="P832" s="60" t="str">
        <f aca="false">IF(E832="","",ROUND(N(G832)*N(H832)/60,1))</f>
        <v/>
      </c>
      <c r="Q832" s="57" t="str">
        <f aca="false">IF(E832="","",IF(COUNTIFS($C$2:C832,C832,$E$2:E832,E832,$B$2:B832,B832)&gt;1,"No","Yes"))</f>
        <v/>
      </c>
      <c r="R832" s="61" t="str">
        <f aca="false">IF(E832="","",IF(Q832="No","Duplicate of an earlier response",IF(L832="Not on SITES","Site not on SITES",IF(N(G832)&gt;N(F832),"Present is more than enrolled",IF(OR(I832&lt;1,I832&gt;5),"Score outside 1 to 5","")))))</f>
        <v/>
      </c>
    </row>
    <row r="833" customFormat="false" ht="15" hidden="false" customHeight="false" outlineLevel="0" collapsed="false">
      <c r="A833" s="52"/>
      <c r="B833" s="53"/>
      <c r="C833" s="53"/>
      <c r="D833" s="53"/>
      <c r="E833" s="54"/>
      <c r="F833" s="55"/>
      <c r="G833" s="55"/>
      <c r="H833" s="55"/>
      <c r="I833" s="56"/>
      <c r="J833" s="53"/>
      <c r="K833" s="53"/>
      <c r="L833" s="57" t="str">
        <f aca="false">IF(C833="","",IFERROR(INDEX(site_ID,MATCH(C833,site_Name,0)),"Not on SITES"))</f>
        <v/>
      </c>
      <c r="M833" s="58" t="str">
        <f aca="false">IF(E833="","",DATE(YEAR(E833),MONTH(E833),1))</f>
        <v/>
      </c>
      <c r="N833" s="57" t="str">
        <f aca="false">IF(E833="","","FY"&amp;(YEAR(E833)+IF(AND(FYStart&gt;1,MONTH(E833)&gt;=FYStart),1,0))&amp;" Q"&amp;(INT(MOD(MONTH(E833)-FYStart,12)/3)+1))</f>
        <v/>
      </c>
      <c r="O833" s="59" t="str">
        <f aca="false">IF(OR(E833="",N(F833)=0),"",G833/F833)</f>
        <v/>
      </c>
      <c r="P833" s="60" t="str">
        <f aca="false">IF(E833="","",ROUND(N(G833)*N(H833)/60,1))</f>
        <v/>
      </c>
      <c r="Q833" s="57" t="str">
        <f aca="false">IF(E833="","",IF(COUNTIFS($C$2:C833,C833,$E$2:E833,E833,$B$2:B833,B833)&gt;1,"No","Yes"))</f>
        <v/>
      </c>
      <c r="R833" s="61" t="str">
        <f aca="false">IF(E833="","",IF(Q833="No","Duplicate of an earlier response",IF(L833="Not on SITES","Site not on SITES",IF(N(G833)&gt;N(F833),"Present is more than enrolled",IF(OR(I833&lt;1,I833&gt;5),"Score outside 1 to 5","")))))</f>
        <v/>
      </c>
    </row>
    <row r="834" customFormat="false" ht="15" hidden="false" customHeight="false" outlineLevel="0" collapsed="false">
      <c r="A834" s="52"/>
      <c r="B834" s="53"/>
      <c r="C834" s="53"/>
      <c r="D834" s="53"/>
      <c r="E834" s="54"/>
      <c r="F834" s="55"/>
      <c r="G834" s="55"/>
      <c r="H834" s="55"/>
      <c r="I834" s="56"/>
      <c r="J834" s="53"/>
      <c r="K834" s="53"/>
      <c r="L834" s="57" t="str">
        <f aca="false">IF(C834="","",IFERROR(INDEX(site_ID,MATCH(C834,site_Name,0)),"Not on SITES"))</f>
        <v/>
      </c>
      <c r="M834" s="58" t="str">
        <f aca="false">IF(E834="","",DATE(YEAR(E834),MONTH(E834),1))</f>
        <v/>
      </c>
      <c r="N834" s="57" t="str">
        <f aca="false">IF(E834="","","FY"&amp;(YEAR(E834)+IF(AND(FYStart&gt;1,MONTH(E834)&gt;=FYStart),1,0))&amp;" Q"&amp;(INT(MOD(MONTH(E834)-FYStart,12)/3)+1))</f>
        <v/>
      </c>
      <c r="O834" s="59" t="str">
        <f aca="false">IF(OR(E834="",N(F834)=0),"",G834/F834)</f>
        <v/>
      </c>
      <c r="P834" s="60" t="str">
        <f aca="false">IF(E834="","",ROUND(N(G834)*N(H834)/60,1))</f>
        <v/>
      </c>
      <c r="Q834" s="57" t="str">
        <f aca="false">IF(E834="","",IF(COUNTIFS($C$2:C834,C834,$E$2:E834,E834,$B$2:B834,B834)&gt;1,"No","Yes"))</f>
        <v/>
      </c>
      <c r="R834" s="61" t="str">
        <f aca="false">IF(E834="","",IF(Q834="No","Duplicate of an earlier response",IF(L834="Not on SITES","Site not on SITES",IF(N(G834)&gt;N(F834),"Present is more than enrolled",IF(OR(I834&lt;1,I834&gt;5),"Score outside 1 to 5","")))))</f>
        <v/>
      </c>
    </row>
    <row r="835" customFormat="false" ht="15" hidden="false" customHeight="false" outlineLevel="0" collapsed="false">
      <c r="A835" s="52"/>
      <c r="B835" s="53"/>
      <c r="C835" s="53"/>
      <c r="D835" s="53"/>
      <c r="E835" s="54"/>
      <c r="F835" s="55"/>
      <c r="G835" s="55"/>
      <c r="H835" s="55"/>
      <c r="I835" s="56"/>
      <c r="J835" s="53"/>
      <c r="K835" s="53"/>
      <c r="L835" s="57" t="str">
        <f aca="false">IF(C835="","",IFERROR(INDEX(site_ID,MATCH(C835,site_Name,0)),"Not on SITES"))</f>
        <v/>
      </c>
      <c r="M835" s="58" t="str">
        <f aca="false">IF(E835="","",DATE(YEAR(E835),MONTH(E835),1))</f>
        <v/>
      </c>
      <c r="N835" s="57" t="str">
        <f aca="false">IF(E835="","","FY"&amp;(YEAR(E835)+IF(AND(FYStart&gt;1,MONTH(E835)&gt;=FYStart),1,0))&amp;" Q"&amp;(INT(MOD(MONTH(E835)-FYStart,12)/3)+1))</f>
        <v/>
      </c>
      <c r="O835" s="59" t="str">
        <f aca="false">IF(OR(E835="",N(F835)=0),"",G835/F835)</f>
        <v/>
      </c>
      <c r="P835" s="60" t="str">
        <f aca="false">IF(E835="","",ROUND(N(G835)*N(H835)/60,1))</f>
        <v/>
      </c>
      <c r="Q835" s="57" t="str">
        <f aca="false">IF(E835="","",IF(COUNTIFS($C$2:C835,C835,$E$2:E835,E835,$B$2:B835,B835)&gt;1,"No","Yes"))</f>
        <v/>
      </c>
      <c r="R835" s="61" t="str">
        <f aca="false">IF(E835="","",IF(Q835="No","Duplicate of an earlier response",IF(L835="Not on SITES","Site not on SITES",IF(N(G835)&gt;N(F835),"Present is more than enrolled",IF(OR(I835&lt;1,I835&gt;5),"Score outside 1 to 5","")))))</f>
        <v/>
      </c>
    </row>
    <row r="836" customFormat="false" ht="15" hidden="false" customHeight="false" outlineLevel="0" collapsed="false">
      <c r="A836" s="52"/>
      <c r="B836" s="53"/>
      <c r="C836" s="53"/>
      <c r="D836" s="53"/>
      <c r="E836" s="54"/>
      <c r="F836" s="55"/>
      <c r="G836" s="55"/>
      <c r="H836" s="55"/>
      <c r="I836" s="56"/>
      <c r="J836" s="53"/>
      <c r="K836" s="53"/>
      <c r="L836" s="57" t="str">
        <f aca="false">IF(C836="","",IFERROR(INDEX(site_ID,MATCH(C836,site_Name,0)),"Not on SITES"))</f>
        <v/>
      </c>
      <c r="M836" s="58" t="str">
        <f aca="false">IF(E836="","",DATE(YEAR(E836),MONTH(E836),1))</f>
        <v/>
      </c>
      <c r="N836" s="57" t="str">
        <f aca="false">IF(E836="","","FY"&amp;(YEAR(E836)+IF(AND(FYStart&gt;1,MONTH(E836)&gt;=FYStart),1,0))&amp;" Q"&amp;(INT(MOD(MONTH(E836)-FYStart,12)/3)+1))</f>
        <v/>
      </c>
      <c r="O836" s="59" t="str">
        <f aca="false">IF(OR(E836="",N(F836)=0),"",G836/F836)</f>
        <v/>
      </c>
      <c r="P836" s="60" t="str">
        <f aca="false">IF(E836="","",ROUND(N(G836)*N(H836)/60,1))</f>
        <v/>
      </c>
      <c r="Q836" s="57" t="str">
        <f aca="false">IF(E836="","",IF(COUNTIFS($C$2:C836,C836,$E$2:E836,E836,$B$2:B836,B836)&gt;1,"No","Yes"))</f>
        <v/>
      </c>
      <c r="R836" s="61" t="str">
        <f aca="false">IF(E836="","",IF(Q836="No","Duplicate of an earlier response",IF(L836="Not on SITES","Site not on SITES",IF(N(G836)&gt;N(F836),"Present is more than enrolled",IF(OR(I836&lt;1,I836&gt;5),"Score outside 1 to 5","")))))</f>
        <v/>
      </c>
    </row>
    <row r="837" customFormat="false" ht="15" hidden="false" customHeight="false" outlineLevel="0" collapsed="false">
      <c r="A837" s="52"/>
      <c r="B837" s="53"/>
      <c r="C837" s="53"/>
      <c r="D837" s="53"/>
      <c r="E837" s="54"/>
      <c r="F837" s="55"/>
      <c r="G837" s="55"/>
      <c r="H837" s="55"/>
      <c r="I837" s="56"/>
      <c r="J837" s="53"/>
      <c r="K837" s="53"/>
      <c r="L837" s="57" t="str">
        <f aca="false">IF(C837="","",IFERROR(INDEX(site_ID,MATCH(C837,site_Name,0)),"Not on SITES"))</f>
        <v/>
      </c>
      <c r="M837" s="58" t="str">
        <f aca="false">IF(E837="","",DATE(YEAR(E837),MONTH(E837),1))</f>
        <v/>
      </c>
      <c r="N837" s="57" t="str">
        <f aca="false">IF(E837="","","FY"&amp;(YEAR(E837)+IF(AND(FYStart&gt;1,MONTH(E837)&gt;=FYStart),1,0))&amp;" Q"&amp;(INT(MOD(MONTH(E837)-FYStart,12)/3)+1))</f>
        <v/>
      </c>
      <c r="O837" s="59" t="str">
        <f aca="false">IF(OR(E837="",N(F837)=0),"",G837/F837)</f>
        <v/>
      </c>
      <c r="P837" s="60" t="str">
        <f aca="false">IF(E837="","",ROUND(N(G837)*N(H837)/60,1))</f>
        <v/>
      </c>
      <c r="Q837" s="57" t="str">
        <f aca="false">IF(E837="","",IF(COUNTIFS($C$2:C837,C837,$E$2:E837,E837,$B$2:B837,B837)&gt;1,"No","Yes"))</f>
        <v/>
      </c>
      <c r="R837" s="61" t="str">
        <f aca="false">IF(E837="","",IF(Q837="No","Duplicate of an earlier response",IF(L837="Not on SITES","Site not on SITES",IF(N(G837)&gt;N(F837),"Present is more than enrolled",IF(OR(I837&lt;1,I837&gt;5),"Score outside 1 to 5","")))))</f>
        <v/>
      </c>
    </row>
    <row r="838" customFormat="false" ht="15" hidden="false" customHeight="false" outlineLevel="0" collapsed="false">
      <c r="A838" s="52"/>
      <c r="B838" s="53"/>
      <c r="C838" s="53"/>
      <c r="D838" s="53"/>
      <c r="E838" s="54"/>
      <c r="F838" s="55"/>
      <c r="G838" s="55"/>
      <c r="H838" s="55"/>
      <c r="I838" s="56"/>
      <c r="J838" s="53"/>
      <c r="K838" s="53"/>
      <c r="L838" s="57" t="str">
        <f aca="false">IF(C838="","",IFERROR(INDEX(site_ID,MATCH(C838,site_Name,0)),"Not on SITES"))</f>
        <v/>
      </c>
      <c r="M838" s="58" t="str">
        <f aca="false">IF(E838="","",DATE(YEAR(E838),MONTH(E838),1))</f>
        <v/>
      </c>
      <c r="N838" s="57" t="str">
        <f aca="false">IF(E838="","","FY"&amp;(YEAR(E838)+IF(AND(FYStart&gt;1,MONTH(E838)&gt;=FYStart),1,0))&amp;" Q"&amp;(INT(MOD(MONTH(E838)-FYStart,12)/3)+1))</f>
        <v/>
      </c>
      <c r="O838" s="59" t="str">
        <f aca="false">IF(OR(E838="",N(F838)=0),"",G838/F838)</f>
        <v/>
      </c>
      <c r="P838" s="60" t="str">
        <f aca="false">IF(E838="","",ROUND(N(G838)*N(H838)/60,1))</f>
        <v/>
      </c>
      <c r="Q838" s="57" t="str">
        <f aca="false">IF(E838="","",IF(COUNTIFS($C$2:C838,C838,$E$2:E838,E838,$B$2:B838,B838)&gt;1,"No","Yes"))</f>
        <v/>
      </c>
      <c r="R838" s="61" t="str">
        <f aca="false">IF(E838="","",IF(Q838="No","Duplicate of an earlier response",IF(L838="Not on SITES","Site not on SITES",IF(N(G838)&gt;N(F838),"Present is more than enrolled",IF(OR(I838&lt;1,I838&gt;5),"Score outside 1 to 5","")))))</f>
        <v/>
      </c>
    </row>
    <row r="839" customFormat="false" ht="15" hidden="false" customHeight="false" outlineLevel="0" collapsed="false">
      <c r="A839" s="52"/>
      <c r="B839" s="53"/>
      <c r="C839" s="53"/>
      <c r="D839" s="53"/>
      <c r="E839" s="54"/>
      <c r="F839" s="55"/>
      <c r="G839" s="55"/>
      <c r="H839" s="55"/>
      <c r="I839" s="56"/>
      <c r="J839" s="53"/>
      <c r="K839" s="53"/>
      <c r="L839" s="57" t="str">
        <f aca="false">IF(C839="","",IFERROR(INDEX(site_ID,MATCH(C839,site_Name,0)),"Not on SITES"))</f>
        <v/>
      </c>
      <c r="M839" s="58" t="str">
        <f aca="false">IF(E839="","",DATE(YEAR(E839),MONTH(E839),1))</f>
        <v/>
      </c>
      <c r="N839" s="57" t="str">
        <f aca="false">IF(E839="","","FY"&amp;(YEAR(E839)+IF(AND(FYStart&gt;1,MONTH(E839)&gt;=FYStart),1,0))&amp;" Q"&amp;(INT(MOD(MONTH(E839)-FYStart,12)/3)+1))</f>
        <v/>
      </c>
      <c r="O839" s="59" t="str">
        <f aca="false">IF(OR(E839="",N(F839)=0),"",G839/F839)</f>
        <v/>
      </c>
      <c r="P839" s="60" t="str">
        <f aca="false">IF(E839="","",ROUND(N(G839)*N(H839)/60,1))</f>
        <v/>
      </c>
      <c r="Q839" s="57" t="str">
        <f aca="false">IF(E839="","",IF(COUNTIFS($C$2:C839,C839,$E$2:E839,E839,$B$2:B839,B839)&gt;1,"No","Yes"))</f>
        <v/>
      </c>
      <c r="R839" s="61" t="str">
        <f aca="false">IF(E839="","",IF(Q839="No","Duplicate of an earlier response",IF(L839="Not on SITES","Site not on SITES",IF(N(G839)&gt;N(F839),"Present is more than enrolled",IF(OR(I839&lt;1,I839&gt;5),"Score outside 1 to 5","")))))</f>
        <v/>
      </c>
    </row>
    <row r="840" customFormat="false" ht="15" hidden="false" customHeight="false" outlineLevel="0" collapsed="false">
      <c r="A840" s="52"/>
      <c r="B840" s="53"/>
      <c r="C840" s="53"/>
      <c r="D840" s="53"/>
      <c r="E840" s="54"/>
      <c r="F840" s="55"/>
      <c r="G840" s="55"/>
      <c r="H840" s="55"/>
      <c r="I840" s="56"/>
      <c r="J840" s="53"/>
      <c r="K840" s="53"/>
      <c r="L840" s="57" t="str">
        <f aca="false">IF(C840="","",IFERROR(INDEX(site_ID,MATCH(C840,site_Name,0)),"Not on SITES"))</f>
        <v/>
      </c>
      <c r="M840" s="58" t="str">
        <f aca="false">IF(E840="","",DATE(YEAR(E840),MONTH(E840),1))</f>
        <v/>
      </c>
      <c r="N840" s="57" t="str">
        <f aca="false">IF(E840="","","FY"&amp;(YEAR(E840)+IF(AND(FYStart&gt;1,MONTH(E840)&gt;=FYStart),1,0))&amp;" Q"&amp;(INT(MOD(MONTH(E840)-FYStart,12)/3)+1))</f>
        <v/>
      </c>
      <c r="O840" s="59" t="str">
        <f aca="false">IF(OR(E840="",N(F840)=0),"",G840/F840)</f>
        <v/>
      </c>
      <c r="P840" s="60" t="str">
        <f aca="false">IF(E840="","",ROUND(N(G840)*N(H840)/60,1))</f>
        <v/>
      </c>
      <c r="Q840" s="57" t="str">
        <f aca="false">IF(E840="","",IF(COUNTIFS($C$2:C840,C840,$E$2:E840,E840,$B$2:B840,B840)&gt;1,"No","Yes"))</f>
        <v/>
      </c>
      <c r="R840" s="61" t="str">
        <f aca="false">IF(E840="","",IF(Q840="No","Duplicate of an earlier response",IF(L840="Not on SITES","Site not on SITES",IF(N(G840)&gt;N(F840),"Present is more than enrolled",IF(OR(I840&lt;1,I840&gt;5),"Score outside 1 to 5","")))))</f>
        <v/>
      </c>
    </row>
    <row r="841" customFormat="false" ht="15" hidden="false" customHeight="false" outlineLevel="0" collapsed="false">
      <c r="A841" s="52"/>
      <c r="B841" s="53"/>
      <c r="C841" s="53"/>
      <c r="D841" s="53"/>
      <c r="E841" s="54"/>
      <c r="F841" s="55"/>
      <c r="G841" s="55"/>
      <c r="H841" s="55"/>
      <c r="I841" s="56"/>
      <c r="J841" s="53"/>
      <c r="K841" s="53"/>
      <c r="L841" s="57" t="str">
        <f aca="false">IF(C841="","",IFERROR(INDEX(site_ID,MATCH(C841,site_Name,0)),"Not on SITES"))</f>
        <v/>
      </c>
      <c r="M841" s="58" t="str">
        <f aca="false">IF(E841="","",DATE(YEAR(E841),MONTH(E841),1))</f>
        <v/>
      </c>
      <c r="N841" s="57" t="str">
        <f aca="false">IF(E841="","","FY"&amp;(YEAR(E841)+IF(AND(FYStart&gt;1,MONTH(E841)&gt;=FYStart),1,0))&amp;" Q"&amp;(INT(MOD(MONTH(E841)-FYStart,12)/3)+1))</f>
        <v/>
      </c>
      <c r="O841" s="59" t="str">
        <f aca="false">IF(OR(E841="",N(F841)=0),"",G841/F841)</f>
        <v/>
      </c>
      <c r="P841" s="60" t="str">
        <f aca="false">IF(E841="","",ROUND(N(G841)*N(H841)/60,1))</f>
        <v/>
      </c>
      <c r="Q841" s="57" t="str">
        <f aca="false">IF(E841="","",IF(COUNTIFS($C$2:C841,C841,$E$2:E841,E841,$B$2:B841,B841)&gt;1,"No","Yes"))</f>
        <v/>
      </c>
      <c r="R841" s="61" t="str">
        <f aca="false">IF(E841="","",IF(Q841="No","Duplicate of an earlier response",IF(L841="Not on SITES","Site not on SITES",IF(N(G841)&gt;N(F841),"Present is more than enrolled",IF(OR(I841&lt;1,I841&gt;5),"Score outside 1 to 5","")))))</f>
        <v/>
      </c>
    </row>
    <row r="842" customFormat="false" ht="15" hidden="false" customHeight="false" outlineLevel="0" collapsed="false">
      <c r="A842" s="52"/>
      <c r="B842" s="53"/>
      <c r="C842" s="53"/>
      <c r="D842" s="53"/>
      <c r="E842" s="54"/>
      <c r="F842" s="55"/>
      <c r="G842" s="55"/>
      <c r="H842" s="55"/>
      <c r="I842" s="56"/>
      <c r="J842" s="53"/>
      <c r="K842" s="53"/>
      <c r="L842" s="57" t="str">
        <f aca="false">IF(C842="","",IFERROR(INDEX(site_ID,MATCH(C842,site_Name,0)),"Not on SITES"))</f>
        <v/>
      </c>
      <c r="M842" s="58" t="str">
        <f aca="false">IF(E842="","",DATE(YEAR(E842),MONTH(E842),1))</f>
        <v/>
      </c>
      <c r="N842" s="57" t="str">
        <f aca="false">IF(E842="","","FY"&amp;(YEAR(E842)+IF(AND(FYStart&gt;1,MONTH(E842)&gt;=FYStart),1,0))&amp;" Q"&amp;(INT(MOD(MONTH(E842)-FYStart,12)/3)+1))</f>
        <v/>
      </c>
      <c r="O842" s="59" t="str">
        <f aca="false">IF(OR(E842="",N(F842)=0),"",G842/F842)</f>
        <v/>
      </c>
      <c r="P842" s="60" t="str">
        <f aca="false">IF(E842="","",ROUND(N(G842)*N(H842)/60,1))</f>
        <v/>
      </c>
      <c r="Q842" s="57" t="str">
        <f aca="false">IF(E842="","",IF(COUNTIFS($C$2:C842,C842,$E$2:E842,E842,$B$2:B842,B842)&gt;1,"No","Yes"))</f>
        <v/>
      </c>
      <c r="R842" s="61" t="str">
        <f aca="false">IF(E842="","",IF(Q842="No","Duplicate of an earlier response",IF(L842="Not on SITES","Site not on SITES",IF(N(G842)&gt;N(F842),"Present is more than enrolled",IF(OR(I842&lt;1,I842&gt;5),"Score outside 1 to 5","")))))</f>
        <v/>
      </c>
    </row>
    <row r="843" customFormat="false" ht="15" hidden="false" customHeight="false" outlineLevel="0" collapsed="false">
      <c r="A843" s="52"/>
      <c r="B843" s="53"/>
      <c r="C843" s="53"/>
      <c r="D843" s="53"/>
      <c r="E843" s="54"/>
      <c r="F843" s="55"/>
      <c r="G843" s="55"/>
      <c r="H843" s="55"/>
      <c r="I843" s="56"/>
      <c r="J843" s="53"/>
      <c r="K843" s="53"/>
      <c r="L843" s="57" t="str">
        <f aca="false">IF(C843="","",IFERROR(INDEX(site_ID,MATCH(C843,site_Name,0)),"Not on SITES"))</f>
        <v/>
      </c>
      <c r="M843" s="58" t="str">
        <f aca="false">IF(E843="","",DATE(YEAR(E843),MONTH(E843),1))</f>
        <v/>
      </c>
      <c r="N843" s="57" t="str">
        <f aca="false">IF(E843="","","FY"&amp;(YEAR(E843)+IF(AND(FYStart&gt;1,MONTH(E843)&gt;=FYStart),1,0))&amp;" Q"&amp;(INT(MOD(MONTH(E843)-FYStart,12)/3)+1))</f>
        <v/>
      </c>
      <c r="O843" s="59" t="str">
        <f aca="false">IF(OR(E843="",N(F843)=0),"",G843/F843)</f>
        <v/>
      </c>
      <c r="P843" s="60" t="str">
        <f aca="false">IF(E843="","",ROUND(N(G843)*N(H843)/60,1))</f>
        <v/>
      </c>
      <c r="Q843" s="57" t="str">
        <f aca="false">IF(E843="","",IF(COUNTIFS($C$2:C843,C843,$E$2:E843,E843,$B$2:B843,B843)&gt;1,"No","Yes"))</f>
        <v/>
      </c>
      <c r="R843" s="61" t="str">
        <f aca="false">IF(E843="","",IF(Q843="No","Duplicate of an earlier response",IF(L843="Not on SITES","Site not on SITES",IF(N(G843)&gt;N(F843),"Present is more than enrolled",IF(OR(I843&lt;1,I843&gt;5),"Score outside 1 to 5","")))))</f>
        <v/>
      </c>
    </row>
    <row r="844" customFormat="false" ht="15" hidden="false" customHeight="false" outlineLevel="0" collapsed="false">
      <c r="A844" s="52"/>
      <c r="B844" s="53"/>
      <c r="C844" s="53"/>
      <c r="D844" s="53"/>
      <c r="E844" s="54"/>
      <c r="F844" s="55"/>
      <c r="G844" s="55"/>
      <c r="H844" s="55"/>
      <c r="I844" s="56"/>
      <c r="J844" s="53"/>
      <c r="K844" s="53"/>
      <c r="L844" s="57" t="str">
        <f aca="false">IF(C844="","",IFERROR(INDEX(site_ID,MATCH(C844,site_Name,0)),"Not on SITES"))</f>
        <v/>
      </c>
      <c r="M844" s="58" t="str">
        <f aca="false">IF(E844="","",DATE(YEAR(E844),MONTH(E844),1))</f>
        <v/>
      </c>
      <c r="N844" s="57" t="str">
        <f aca="false">IF(E844="","","FY"&amp;(YEAR(E844)+IF(AND(FYStart&gt;1,MONTH(E844)&gt;=FYStart),1,0))&amp;" Q"&amp;(INT(MOD(MONTH(E844)-FYStart,12)/3)+1))</f>
        <v/>
      </c>
      <c r="O844" s="59" t="str">
        <f aca="false">IF(OR(E844="",N(F844)=0),"",G844/F844)</f>
        <v/>
      </c>
      <c r="P844" s="60" t="str">
        <f aca="false">IF(E844="","",ROUND(N(G844)*N(H844)/60,1))</f>
        <v/>
      </c>
      <c r="Q844" s="57" t="str">
        <f aca="false">IF(E844="","",IF(COUNTIFS($C$2:C844,C844,$E$2:E844,E844,$B$2:B844,B844)&gt;1,"No","Yes"))</f>
        <v/>
      </c>
      <c r="R844" s="61" t="str">
        <f aca="false">IF(E844="","",IF(Q844="No","Duplicate of an earlier response",IF(L844="Not on SITES","Site not on SITES",IF(N(G844)&gt;N(F844),"Present is more than enrolled",IF(OR(I844&lt;1,I844&gt;5),"Score outside 1 to 5","")))))</f>
        <v/>
      </c>
    </row>
    <row r="845" customFormat="false" ht="15" hidden="false" customHeight="false" outlineLevel="0" collapsed="false">
      <c r="A845" s="52"/>
      <c r="B845" s="53"/>
      <c r="C845" s="53"/>
      <c r="D845" s="53"/>
      <c r="E845" s="54"/>
      <c r="F845" s="55"/>
      <c r="G845" s="55"/>
      <c r="H845" s="55"/>
      <c r="I845" s="56"/>
      <c r="J845" s="53"/>
      <c r="K845" s="53"/>
      <c r="L845" s="57" t="str">
        <f aca="false">IF(C845="","",IFERROR(INDEX(site_ID,MATCH(C845,site_Name,0)),"Not on SITES"))</f>
        <v/>
      </c>
      <c r="M845" s="58" t="str">
        <f aca="false">IF(E845="","",DATE(YEAR(E845),MONTH(E845),1))</f>
        <v/>
      </c>
      <c r="N845" s="57" t="str">
        <f aca="false">IF(E845="","","FY"&amp;(YEAR(E845)+IF(AND(FYStart&gt;1,MONTH(E845)&gt;=FYStart),1,0))&amp;" Q"&amp;(INT(MOD(MONTH(E845)-FYStart,12)/3)+1))</f>
        <v/>
      </c>
      <c r="O845" s="59" t="str">
        <f aca="false">IF(OR(E845="",N(F845)=0),"",G845/F845)</f>
        <v/>
      </c>
      <c r="P845" s="60" t="str">
        <f aca="false">IF(E845="","",ROUND(N(G845)*N(H845)/60,1))</f>
        <v/>
      </c>
      <c r="Q845" s="57" t="str">
        <f aca="false">IF(E845="","",IF(COUNTIFS($C$2:C845,C845,$E$2:E845,E845,$B$2:B845,B845)&gt;1,"No","Yes"))</f>
        <v/>
      </c>
      <c r="R845" s="61" t="str">
        <f aca="false">IF(E845="","",IF(Q845="No","Duplicate of an earlier response",IF(L845="Not on SITES","Site not on SITES",IF(N(G845)&gt;N(F845),"Present is more than enrolled",IF(OR(I845&lt;1,I845&gt;5),"Score outside 1 to 5","")))))</f>
        <v/>
      </c>
    </row>
    <row r="846" customFormat="false" ht="15" hidden="false" customHeight="false" outlineLevel="0" collapsed="false">
      <c r="A846" s="52"/>
      <c r="B846" s="53"/>
      <c r="C846" s="53"/>
      <c r="D846" s="53"/>
      <c r="E846" s="54"/>
      <c r="F846" s="55"/>
      <c r="G846" s="55"/>
      <c r="H846" s="55"/>
      <c r="I846" s="56"/>
      <c r="J846" s="53"/>
      <c r="K846" s="53"/>
      <c r="L846" s="57" t="str">
        <f aca="false">IF(C846="","",IFERROR(INDEX(site_ID,MATCH(C846,site_Name,0)),"Not on SITES"))</f>
        <v/>
      </c>
      <c r="M846" s="58" t="str">
        <f aca="false">IF(E846="","",DATE(YEAR(E846),MONTH(E846),1))</f>
        <v/>
      </c>
      <c r="N846" s="57" t="str">
        <f aca="false">IF(E846="","","FY"&amp;(YEAR(E846)+IF(AND(FYStart&gt;1,MONTH(E846)&gt;=FYStart),1,0))&amp;" Q"&amp;(INT(MOD(MONTH(E846)-FYStart,12)/3)+1))</f>
        <v/>
      </c>
      <c r="O846" s="59" t="str">
        <f aca="false">IF(OR(E846="",N(F846)=0),"",G846/F846)</f>
        <v/>
      </c>
      <c r="P846" s="60" t="str">
        <f aca="false">IF(E846="","",ROUND(N(G846)*N(H846)/60,1))</f>
        <v/>
      </c>
      <c r="Q846" s="57" t="str">
        <f aca="false">IF(E846="","",IF(COUNTIFS($C$2:C846,C846,$E$2:E846,E846,$B$2:B846,B846)&gt;1,"No","Yes"))</f>
        <v/>
      </c>
      <c r="R846" s="61" t="str">
        <f aca="false">IF(E846="","",IF(Q846="No","Duplicate of an earlier response",IF(L846="Not on SITES","Site not on SITES",IF(N(G846)&gt;N(F846),"Present is more than enrolled",IF(OR(I846&lt;1,I846&gt;5),"Score outside 1 to 5","")))))</f>
        <v/>
      </c>
    </row>
    <row r="847" customFormat="false" ht="15" hidden="false" customHeight="false" outlineLevel="0" collapsed="false">
      <c r="A847" s="52"/>
      <c r="B847" s="53"/>
      <c r="C847" s="53"/>
      <c r="D847" s="53"/>
      <c r="E847" s="54"/>
      <c r="F847" s="55"/>
      <c r="G847" s="55"/>
      <c r="H847" s="55"/>
      <c r="I847" s="56"/>
      <c r="J847" s="53"/>
      <c r="K847" s="53"/>
      <c r="L847" s="57" t="str">
        <f aca="false">IF(C847="","",IFERROR(INDEX(site_ID,MATCH(C847,site_Name,0)),"Not on SITES"))</f>
        <v/>
      </c>
      <c r="M847" s="58" t="str">
        <f aca="false">IF(E847="","",DATE(YEAR(E847),MONTH(E847),1))</f>
        <v/>
      </c>
      <c r="N847" s="57" t="str">
        <f aca="false">IF(E847="","","FY"&amp;(YEAR(E847)+IF(AND(FYStart&gt;1,MONTH(E847)&gt;=FYStart),1,0))&amp;" Q"&amp;(INT(MOD(MONTH(E847)-FYStart,12)/3)+1))</f>
        <v/>
      </c>
      <c r="O847" s="59" t="str">
        <f aca="false">IF(OR(E847="",N(F847)=0),"",G847/F847)</f>
        <v/>
      </c>
      <c r="P847" s="60" t="str">
        <f aca="false">IF(E847="","",ROUND(N(G847)*N(H847)/60,1))</f>
        <v/>
      </c>
      <c r="Q847" s="57" t="str">
        <f aca="false">IF(E847="","",IF(COUNTIFS($C$2:C847,C847,$E$2:E847,E847,$B$2:B847,B847)&gt;1,"No","Yes"))</f>
        <v/>
      </c>
      <c r="R847" s="61" t="str">
        <f aca="false">IF(E847="","",IF(Q847="No","Duplicate of an earlier response",IF(L847="Not on SITES","Site not on SITES",IF(N(G847)&gt;N(F847),"Present is more than enrolled",IF(OR(I847&lt;1,I847&gt;5),"Score outside 1 to 5","")))))</f>
        <v/>
      </c>
    </row>
    <row r="848" customFormat="false" ht="15" hidden="false" customHeight="false" outlineLevel="0" collapsed="false">
      <c r="A848" s="52"/>
      <c r="B848" s="53"/>
      <c r="C848" s="53"/>
      <c r="D848" s="53"/>
      <c r="E848" s="54"/>
      <c r="F848" s="55"/>
      <c r="G848" s="55"/>
      <c r="H848" s="55"/>
      <c r="I848" s="56"/>
      <c r="J848" s="53"/>
      <c r="K848" s="53"/>
      <c r="L848" s="57" t="str">
        <f aca="false">IF(C848="","",IFERROR(INDEX(site_ID,MATCH(C848,site_Name,0)),"Not on SITES"))</f>
        <v/>
      </c>
      <c r="M848" s="58" t="str">
        <f aca="false">IF(E848="","",DATE(YEAR(E848),MONTH(E848),1))</f>
        <v/>
      </c>
      <c r="N848" s="57" t="str">
        <f aca="false">IF(E848="","","FY"&amp;(YEAR(E848)+IF(AND(FYStart&gt;1,MONTH(E848)&gt;=FYStart),1,0))&amp;" Q"&amp;(INT(MOD(MONTH(E848)-FYStart,12)/3)+1))</f>
        <v/>
      </c>
      <c r="O848" s="59" t="str">
        <f aca="false">IF(OR(E848="",N(F848)=0),"",G848/F848)</f>
        <v/>
      </c>
      <c r="P848" s="60" t="str">
        <f aca="false">IF(E848="","",ROUND(N(G848)*N(H848)/60,1))</f>
        <v/>
      </c>
      <c r="Q848" s="57" t="str">
        <f aca="false">IF(E848="","",IF(COUNTIFS($C$2:C848,C848,$E$2:E848,E848,$B$2:B848,B848)&gt;1,"No","Yes"))</f>
        <v/>
      </c>
      <c r="R848" s="61" t="str">
        <f aca="false">IF(E848="","",IF(Q848="No","Duplicate of an earlier response",IF(L848="Not on SITES","Site not on SITES",IF(N(G848)&gt;N(F848),"Present is more than enrolled",IF(OR(I848&lt;1,I848&gt;5),"Score outside 1 to 5","")))))</f>
        <v/>
      </c>
    </row>
    <row r="849" customFormat="false" ht="15" hidden="false" customHeight="false" outlineLevel="0" collapsed="false">
      <c r="A849" s="52"/>
      <c r="B849" s="53"/>
      <c r="C849" s="53"/>
      <c r="D849" s="53"/>
      <c r="E849" s="54"/>
      <c r="F849" s="55"/>
      <c r="G849" s="55"/>
      <c r="H849" s="55"/>
      <c r="I849" s="56"/>
      <c r="J849" s="53"/>
      <c r="K849" s="53"/>
      <c r="L849" s="57" t="str">
        <f aca="false">IF(C849="","",IFERROR(INDEX(site_ID,MATCH(C849,site_Name,0)),"Not on SITES"))</f>
        <v/>
      </c>
      <c r="M849" s="58" t="str">
        <f aca="false">IF(E849="","",DATE(YEAR(E849),MONTH(E849),1))</f>
        <v/>
      </c>
      <c r="N849" s="57" t="str">
        <f aca="false">IF(E849="","","FY"&amp;(YEAR(E849)+IF(AND(FYStart&gt;1,MONTH(E849)&gt;=FYStart),1,0))&amp;" Q"&amp;(INT(MOD(MONTH(E849)-FYStart,12)/3)+1))</f>
        <v/>
      </c>
      <c r="O849" s="59" t="str">
        <f aca="false">IF(OR(E849="",N(F849)=0),"",G849/F849)</f>
        <v/>
      </c>
      <c r="P849" s="60" t="str">
        <f aca="false">IF(E849="","",ROUND(N(G849)*N(H849)/60,1))</f>
        <v/>
      </c>
      <c r="Q849" s="57" t="str">
        <f aca="false">IF(E849="","",IF(COUNTIFS($C$2:C849,C849,$E$2:E849,E849,$B$2:B849,B849)&gt;1,"No","Yes"))</f>
        <v/>
      </c>
      <c r="R849" s="61" t="str">
        <f aca="false">IF(E849="","",IF(Q849="No","Duplicate of an earlier response",IF(L849="Not on SITES","Site not on SITES",IF(N(G849)&gt;N(F849),"Present is more than enrolled",IF(OR(I849&lt;1,I849&gt;5),"Score outside 1 to 5","")))))</f>
        <v/>
      </c>
    </row>
    <row r="850" customFormat="false" ht="15" hidden="false" customHeight="false" outlineLevel="0" collapsed="false">
      <c r="A850" s="52"/>
      <c r="B850" s="53"/>
      <c r="C850" s="53"/>
      <c r="D850" s="53"/>
      <c r="E850" s="54"/>
      <c r="F850" s="55"/>
      <c r="G850" s="55"/>
      <c r="H850" s="55"/>
      <c r="I850" s="56"/>
      <c r="J850" s="53"/>
      <c r="K850" s="53"/>
      <c r="L850" s="57" t="str">
        <f aca="false">IF(C850="","",IFERROR(INDEX(site_ID,MATCH(C850,site_Name,0)),"Not on SITES"))</f>
        <v/>
      </c>
      <c r="M850" s="58" t="str">
        <f aca="false">IF(E850="","",DATE(YEAR(E850),MONTH(E850),1))</f>
        <v/>
      </c>
      <c r="N850" s="57" t="str">
        <f aca="false">IF(E850="","","FY"&amp;(YEAR(E850)+IF(AND(FYStart&gt;1,MONTH(E850)&gt;=FYStart),1,0))&amp;" Q"&amp;(INT(MOD(MONTH(E850)-FYStart,12)/3)+1))</f>
        <v/>
      </c>
      <c r="O850" s="59" t="str">
        <f aca="false">IF(OR(E850="",N(F850)=0),"",G850/F850)</f>
        <v/>
      </c>
      <c r="P850" s="60" t="str">
        <f aca="false">IF(E850="","",ROUND(N(G850)*N(H850)/60,1))</f>
        <v/>
      </c>
      <c r="Q850" s="57" t="str">
        <f aca="false">IF(E850="","",IF(COUNTIFS($C$2:C850,C850,$E$2:E850,E850,$B$2:B850,B850)&gt;1,"No","Yes"))</f>
        <v/>
      </c>
      <c r="R850" s="61" t="str">
        <f aca="false">IF(E850="","",IF(Q850="No","Duplicate of an earlier response",IF(L850="Not on SITES","Site not on SITES",IF(N(G850)&gt;N(F850),"Present is more than enrolled",IF(OR(I850&lt;1,I850&gt;5),"Score outside 1 to 5","")))))</f>
        <v/>
      </c>
    </row>
    <row r="851" customFormat="false" ht="15" hidden="false" customHeight="false" outlineLevel="0" collapsed="false">
      <c r="A851" s="52"/>
      <c r="B851" s="53"/>
      <c r="C851" s="53"/>
      <c r="D851" s="53"/>
      <c r="E851" s="54"/>
      <c r="F851" s="55"/>
      <c r="G851" s="55"/>
      <c r="H851" s="55"/>
      <c r="I851" s="56"/>
      <c r="J851" s="53"/>
      <c r="K851" s="53"/>
      <c r="L851" s="57" t="str">
        <f aca="false">IF(C851="","",IFERROR(INDEX(site_ID,MATCH(C851,site_Name,0)),"Not on SITES"))</f>
        <v/>
      </c>
      <c r="M851" s="58" t="str">
        <f aca="false">IF(E851="","",DATE(YEAR(E851),MONTH(E851),1))</f>
        <v/>
      </c>
      <c r="N851" s="57" t="str">
        <f aca="false">IF(E851="","","FY"&amp;(YEAR(E851)+IF(AND(FYStart&gt;1,MONTH(E851)&gt;=FYStart),1,0))&amp;" Q"&amp;(INT(MOD(MONTH(E851)-FYStart,12)/3)+1))</f>
        <v/>
      </c>
      <c r="O851" s="59" t="str">
        <f aca="false">IF(OR(E851="",N(F851)=0),"",G851/F851)</f>
        <v/>
      </c>
      <c r="P851" s="60" t="str">
        <f aca="false">IF(E851="","",ROUND(N(G851)*N(H851)/60,1))</f>
        <v/>
      </c>
      <c r="Q851" s="57" t="str">
        <f aca="false">IF(E851="","",IF(COUNTIFS($C$2:C851,C851,$E$2:E851,E851,$B$2:B851,B851)&gt;1,"No","Yes"))</f>
        <v/>
      </c>
      <c r="R851" s="61" t="str">
        <f aca="false">IF(E851="","",IF(Q851="No","Duplicate of an earlier response",IF(L851="Not on SITES","Site not on SITES",IF(N(G851)&gt;N(F851),"Present is more than enrolled",IF(OR(I851&lt;1,I851&gt;5),"Score outside 1 to 5","")))))</f>
        <v/>
      </c>
    </row>
    <row r="852" customFormat="false" ht="15" hidden="false" customHeight="false" outlineLevel="0" collapsed="false">
      <c r="A852" s="52"/>
      <c r="B852" s="53"/>
      <c r="C852" s="53"/>
      <c r="D852" s="53"/>
      <c r="E852" s="54"/>
      <c r="F852" s="55"/>
      <c r="G852" s="55"/>
      <c r="H852" s="55"/>
      <c r="I852" s="56"/>
      <c r="J852" s="53"/>
      <c r="K852" s="53"/>
      <c r="L852" s="57" t="str">
        <f aca="false">IF(C852="","",IFERROR(INDEX(site_ID,MATCH(C852,site_Name,0)),"Not on SITES"))</f>
        <v/>
      </c>
      <c r="M852" s="58" t="str">
        <f aca="false">IF(E852="","",DATE(YEAR(E852),MONTH(E852),1))</f>
        <v/>
      </c>
      <c r="N852" s="57" t="str">
        <f aca="false">IF(E852="","","FY"&amp;(YEAR(E852)+IF(AND(FYStart&gt;1,MONTH(E852)&gt;=FYStart),1,0))&amp;" Q"&amp;(INT(MOD(MONTH(E852)-FYStart,12)/3)+1))</f>
        <v/>
      </c>
      <c r="O852" s="59" t="str">
        <f aca="false">IF(OR(E852="",N(F852)=0),"",G852/F852)</f>
        <v/>
      </c>
      <c r="P852" s="60" t="str">
        <f aca="false">IF(E852="","",ROUND(N(G852)*N(H852)/60,1))</f>
        <v/>
      </c>
      <c r="Q852" s="57" t="str">
        <f aca="false">IF(E852="","",IF(COUNTIFS($C$2:C852,C852,$E$2:E852,E852,$B$2:B852,B852)&gt;1,"No","Yes"))</f>
        <v/>
      </c>
      <c r="R852" s="61" t="str">
        <f aca="false">IF(E852="","",IF(Q852="No","Duplicate of an earlier response",IF(L852="Not on SITES","Site not on SITES",IF(N(G852)&gt;N(F852),"Present is more than enrolled",IF(OR(I852&lt;1,I852&gt;5),"Score outside 1 to 5","")))))</f>
        <v/>
      </c>
    </row>
    <row r="853" customFormat="false" ht="15" hidden="false" customHeight="false" outlineLevel="0" collapsed="false">
      <c r="A853" s="52"/>
      <c r="B853" s="53"/>
      <c r="C853" s="53"/>
      <c r="D853" s="53"/>
      <c r="E853" s="54"/>
      <c r="F853" s="55"/>
      <c r="G853" s="55"/>
      <c r="H853" s="55"/>
      <c r="I853" s="56"/>
      <c r="J853" s="53"/>
      <c r="K853" s="53"/>
      <c r="L853" s="57" t="str">
        <f aca="false">IF(C853="","",IFERROR(INDEX(site_ID,MATCH(C853,site_Name,0)),"Not on SITES"))</f>
        <v/>
      </c>
      <c r="M853" s="58" t="str">
        <f aca="false">IF(E853="","",DATE(YEAR(E853),MONTH(E853),1))</f>
        <v/>
      </c>
      <c r="N853" s="57" t="str">
        <f aca="false">IF(E853="","","FY"&amp;(YEAR(E853)+IF(AND(FYStart&gt;1,MONTH(E853)&gt;=FYStart),1,0))&amp;" Q"&amp;(INT(MOD(MONTH(E853)-FYStart,12)/3)+1))</f>
        <v/>
      </c>
      <c r="O853" s="59" t="str">
        <f aca="false">IF(OR(E853="",N(F853)=0),"",G853/F853)</f>
        <v/>
      </c>
      <c r="P853" s="60" t="str">
        <f aca="false">IF(E853="","",ROUND(N(G853)*N(H853)/60,1))</f>
        <v/>
      </c>
      <c r="Q853" s="57" t="str">
        <f aca="false">IF(E853="","",IF(COUNTIFS($C$2:C853,C853,$E$2:E853,E853,$B$2:B853,B853)&gt;1,"No","Yes"))</f>
        <v/>
      </c>
      <c r="R853" s="61" t="str">
        <f aca="false">IF(E853="","",IF(Q853="No","Duplicate of an earlier response",IF(L853="Not on SITES","Site not on SITES",IF(N(G853)&gt;N(F853),"Present is more than enrolled",IF(OR(I853&lt;1,I853&gt;5),"Score outside 1 to 5","")))))</f>
        <v/>
      </c>
    </row>
    <row r="854" customFormat="false" ht="15" hidden="false" customHeight="false" outlineLevel="0" collapsed="false">
      <c r="A854" s="52"/>
      <c r="B854" s="53"/>
      <c r="C854" s="53"/>
      <c r="D854" s="53"/>
      <c r="E854" s="54"/>
      <c r="F854" s="55"/>
      <c r="G854" s="55"/>
      <c r="H854" s="55"/>
      <c r="I854" s="56"/>
      <c r="J854" s="53"/>
      <c r="K854" s="53"/>
      <c r="L854" s="57" t="str">
        <f aca="false">IF(C854="","",IFERROR(INDEX(site_ID,MATCH(C854,site_Name,0)),"Not on SITES"))</f>
        <v/>
      </c>
      <c r="M854" s="58" t="str">
        <f aca="false">IF(E854="","",DATE(YEAR(E854),MONTH(E854),1))</f>
        <v/>
      </c>
      <c r="N854" s="57" t="str">
        <f aca="false">IF(E854="","","FY"&amp;(YEAR(E854)+IF(AND(FYStart&gt;1,MONTH(E854)&gt;=FYStart),1,0))&amp;" Q"&amp;(INT(MOD(MONTH(E854)-FYStart,12)/3)+1))</f>
        <v/>
      </c>
      <c r="O854" s="59" t="str">
        <f aca="false">IF(OR(E854="",N(F854)=0),"",G854/F854)</f>
        <v/>
      </c>
      <c r="P854" s="60" t="str">
        <f aca="false">IF(E854="","",ROUND(N(G854)*N(H854)/60,1))</f>
        <v/>
      </c>
      <c r="Q854" s="57" t="str">
        <f aca="false">IF(E854="","",IF(COUNTIFS($C$2:C854,C854,$E$2:E854,E854,$B$2:B854,B854)&gt;1,"No","Yes"))</f>
        <v/>
      </c>
      <c r="R854" s="61" t="str">
        <f aca="false">IF(E854="","",IF(Q854="No","Duplicate of an earlier response",IF(L854="Not on SITES","Site not on SITES",IF(N(G854)&gt;N(F854),"Present is more than enrolled",IF(OR(I854&lt;1,I854&gt;5),"Score outside 1 to 5","")))))</f>
        <v/>
      </c>
    </row>
    <row r="855" customFormat="false" ht="15" hidden="false" customHeight="false" outlineLevel="0" collapsed="false">
      <c r="A855" s="52"/>
      <c r="B855" s="53"/>
      <c r="C855" s="53"/>
      <c r="D855" s="53"/>
      <c r="E855" s="54"/>
      <c r="F855" s="55"/>
      <c r="G855" s="55"/>
      <c r="H855" s="55"/>
      <c r="I855" s="56"/>
      <c r="J855" s="53"/>
      <c r="K855" s="53"/>
      <c r="L855" s="57" t="str">
        <f aca="false">IF(C855="","",IFERROR(INDEX(site_ID,MATCH(C855,site_Name,0)),"Not on SITES"))</f>
        <v/>
      </c>
      <c r="M855" s="58" t="str">
        <f aca="false">IF(E855="","",DATE(YEAR(E855),MONTH(E855),1))</f>
        <v/>
      </c>
      <c r="N855" s="57" t="str">
        <f aca="false">IF(E855="","","FY"&amp;(YEAR(E855)+IF(AND(FYStart&gt;1,MONTH(E855)&gt;=FYStart),1,0))&amp;" Q"&amp;(INT(MOD(MONTH(E855)-FYStart,12)/3)+1))</f>
        <v/>
      </c>
      <c r="O855" s="59" t="str">
        <f aca="false">IF(OR(E855="",N(F855)=0),"",G855/F855)</f>
        <v/>
      </c>
      <c r="P855" s="60" t="str">
        <f aca="false">IF(E855="","",ROUND(N(G855)*N(H855)/60,1))</f>
        <v/>
      </c>
      <c r="Q855" s="57" t="str">
        <f aca="false">IF(E855="","",IF(COUNTIFS($C$2:C855,C855,$E$2:E855,E855,$B$2:B855,B855)&gt;1,"No","Yes"))</f>
        <v/>
      </c>
      <c r="R855" s="61" t="str">
        <f aca="false">IF(E855="","",IF(Q855="No","Duplicate of an earlier response",IF(L855="Not on SITES","Site not on SITES",IF(N(G855)&gt;N(F855),"Present is more than enrolled",IF(OR(I855&lt;1,I855&gt;5),"Score outside 1 to 5","")))))</f>
        <v/>
      </c>
    </row>
    <row r="856" customFormat="false" ht="15" hidden="false" customHeight="false" outlineLevel="0" collapsed="false">
      <c r="A856" s="52"/>
      <c r="B856" s="53"/>
      <c r="C856" s="53"/>
      <c r="D856" s="53"/>
      <c r="E856" s="54"/>
      <c r="F856" s="55"/>
      <c r="G856" s="55"/>
      <c r="H856" s="55"/>
      <c r="I856" s="56"/>
      <c r="J856" s="53"/>
      <c r="K856" s="53"/>
      <c r="L856" s="57" t="str">
        <f aca="false">IF(C856="","",IFERROR(INDEX(site_ID,MATCH(C856,site_Name,0)),"Not on SITES"))</f>
        <v/>
      </c>
      <c r="M856" s="58" t="str">
        <f aca="false">IF(E856="","",DATE(YEAR(E856),MONTH(E856),1))</f>
        <v/>
      </c>
      <c r="N856" s="57" t="str">
        <f aca="false">IF(E856="","","FY"&amp;(YEAR(E856)+IF(AND(FYStart&gt;1,MONTH(E856)&gt;=FYStart),1,0))&amp;" Q"&amp;(INT(MOD(MONTH(E856)-FYStart,12)/3)+1))</f>
        <v/>
      </c>
      <c r="O856" s="59" t="str">
        <f aca="false">IF(OR(E856="",N(F856)=0),"",G856/F856)</f>
        <v/>
      </c>
      <c r="P856" s="60" t="str">
        <f aca="false">IF(E856="","",ROUND(N(G856)*N(H856)/60,1))</f>
        <v/>
      </c>
      <c r="Q856" s="57" t="str">
        <f aca="false">IF(E856="","",IF(COUNTIFS($C$2:C856,C856,$E$2:E856,E856,$B$2:B856,B856)&gt;1,"No","Yes"))</f>
        <v/>
      </c>
      <c r="R856" s="61" t="str">
        <f aca="false">IF(E856="","",IF(Q856="No","Duplicate of an earlier response",IF(L856="Not on SITES","Site not on SITES",IF(N(G856)&gt;N(F856),"Present is more than enrolled",IF(OR(I856&lt;1,I856&gt;5),"Score outside 1 to 5","")))))</f>
        <v/>
      </c>
    </row>
    <row r="857" customFormat="false" ht="15" hidden="false" customHeight="false" outlineLevel="0" collapsed="false">
      <c r="A857" s="52"/>
      <c r="B857" s="53"/>
      <c r="C857" s="53"/>
      <c r="D857" s="53"/>
      <c r="E857" s="54"/>
      <c r="F857" s="55"/>
      <c r="G857" s="55"/>
      <c r="H857" s="55"/>
      <c r="I857" s="56"/>
      <c r="J857" s="53"/>
      <c r="K857" s="53"/>
      <c r="L857" s="57" t="str">
        <f aca="false">IF(C857="","",IFERROR(INDEX(site_ID,MATCH(C857,site_Name,0)),"Not on SITES"))</f>
        <v/>
      </c>
      <c r="M857" s="58" t="str">
        <f aca="false">IF(E857="","",DATE(YEAR(E857),MONTH(E857),1))</f>
        <v/>
      </c>
      <c r="N857" s="57" t="str">
        <f aca="false">IF(E857="","","FY"&amp;(YEAR(E857)+IF(AND(FYStart&gt;1,MONTH(E857)&gt;=FYStart),1,0))&amp;" Q"&amp;(INT(MOD(MONTH(E857)-FYStart,12)/3)+1))</f>
        <v/>
      </c>
      <c r="O857" s="59" t="str">
        <f aca="false">IF(OR(E857="",N(F857)=0),"",G857/F857)</f>
        <v/>
      </c>
      <c r="P857" s="60" t="str">
        <f aca="false">IF(E857="","",ROUND(N(G857)*N(H857)/60,1))</f>
        <v/>
      </c>
      <c r="Q857" s="57" t="str">
        <f aca="false">IF(E857="","",IF(COUNTIFS($C$2:C857,C857,$E$2:E857,E857,$B$2:B857,B857)&gt;1,"No","Yes"))</f>
        <v/>
      </c>
      <c r="R857" s="61" t="str">
        <f aca="false">IF(E857="","",IF(Q857="No","Duplicate of an earlier response",IF(L857="Not on SITES","Site not on SITES",IF(N(G857)&gt;N(F857),"Present is more than enrolled",IF(OR(I857&lt;1,I857&gt;5),"Score outside 1 to 5","")))))</f>
        <v/>
      </c>
    </row>
    <row r="858" customFormat="false" ht="15" hidden="false" customHeight="false" outlineLevel="0" collapsed="false">
      <c r="A858" s="52"/>
      <c r="B858" s="53"/>
      <c r="C858" s="53"/>
      <c r="D858" s="53"/>
      <c r="E858" s="54"/>
      <c r="F858" s="55"/>
      <c r="G858" s="55"/>
      <c r="H858" s="55"/>
      <c r="I858" s="56"/>
      <c r="J858" s="53"/>
      <c r="K858" s="53"/>
      <c r="L858" s="57" t="str">
        <f aca="false">IF(C858="","",IFERROR(INDEX(site_ID,MATCH(C858,site_Name,0)),"Not on SITES"))</f>
        <v/>
      </c>
      <c r="M858" s="58" t="str">
        <f aca="false">IF(E858="","",DATE(YEAR(E858),MONTH(E858),1))</f>
        <v/>
      </c>
      <c r="N858" s="57" t="str">
        <f aca="false">IF(E858="","","FY"&amp;(YEAR(E858)+IF(AND(FYStart&gt;1,MONTH(E858)&gt;=FYStart),1,0))&amp;" Q"&amp;(INT(MOD(MONTH(E858)-FYStart,12)/3)+1))</f>
        <v/>
      </c>
      <c r="O858" s="59" t="str">
        <f aca="false">IF(OR(E858="",N(F858)=0),"",G858/F858)</f>
        <v/>
      </c>
      <c r="P858" s="60" t="str">
        <f aca="false">IF(E858="","",ROUND(N(G858)*N(H858)/60,1))</f>
        <v/>
      </c>
      <c r="Q858" s="57" t="str">
        <f aca="false">IF(E858="","",IF(COUNTIFS($C$2:C858,C858,$E$2:E858,E858,$B$2:B858,B858)&gt;1,"No","Yes"))</f>
        <v/>
      </c>
      <c r="R858" s="61" t="str">
        <f aca="false">IF(E858="","",IF(Q858="No","Duplicate of an earlier response",IF(L858="Not on SITES","Site not on SITES",IF(N(G858)&gt;N(F858),"Present is more than enrolled",IF(OR(I858&lt;1,I858&gt;5),"Score outside 1 to 5","")))))</f>
        <v/>
      </c>
    </row>
    <row r="859" customFormat="false" ht="15" hidden="false" customHeight="false" outlineLevel="0" collapsed="false">
      <c r="A859" s="52"/>
      <c r="B859" s="53"/>
      <c r="C859" s="53"/>
      <c r="D859" s="53"/>
      <c r="E859" s="54"/>
      <c r="F859" s="55"/>
      <c r="G859" s="55"/>
      <c r="H859" s="55"/>
      <c r="I859" s="56"/>
      <c r="J859" s="53"/>
      <c r="K859" s="53"/>
      <c r="L859" s="57" t="str">
        <f aca="false">IF(C859="","",IFERROR(INDEX(site_ID,MATCH(C859,site_Name,0)),"Not on SITES"))</f>
        <v/>
      </c>
      <c r="M859" s="58" t="str">
        <f aca="false">IF(E859="","",DATE(YEAR(E859),MONTH(E859),1))</f>
        <v/>
      </c>
      <c r="N859" s="57" t="str">
        <f aca="false">IF(E859="","","FY"&amp;(YEAR(E859)+IF(AND(FYStart&gt;1,MONTH(E859)&gt;=FYStart),1,0))&amp;" Q"&amp;(INT(MOD(MONTH(E859)-FYStart,12)/3)+1))</f>
        <v/>
      </c>
      <c r="O859" s="59" t="str">
        <f aca="false">IF(OR(E859="",N(F859)=0),"",G859/F859)</f>
        <v/>
      </c>
      <c r="P859" s="60" t="str">
        <f aca="false">IF(E859="","",ROUND(N(G859)*N(H859)/60,1))</f>
        <v/>
      </c>
      <c r="Q859" s="57" t="str">
        <f aca="false">IF(E859="","",IF(COUNTIFS($C$2:C859,C859,$E$2:E859,E859,$B$2:B859,B859)&gt;1,"No","Yes"))</f>
        <v/>
      </c>
      <c r="R859" s="61" t="str">
        <f aca="false">IF(E859="","",IF(Q859="No","Duplicate of an earlier response",IF(L859="Not on SITES","Site not on SITES",IF(N(G859)&gt;N(F859),"Present is more than enrolled",IF(OR(I859&lt;1,I859&gt;5),"Score outside 1 to 5","")))))</f>
        <v/>
      </c>
    </row>
    <row r="860" customFormat="false" ht="15" hidden="false" customHeight="false" outlineLevel="0" collapsed="false">
      <c r="A860" s="52"/>
      <c r="B860" s="53"/>
      <c r="C860" s="53"/>
      <c r="D860" s="53"/>
      <c r="E860" s="54"/>
      <c r="F860" s="55"/>
      <c r="G860" s="55"/>
      <c r="H860" s="55"/>
      <c r="I860" s="56"/>
      <c r="J860" s="53"/>
      <c r="K860" s="53"/>
      <c r="L860" s="57" t="str">
        <f aca="false">IF(C860="","",IFERROR(INDEX(site_ID,MATCH(C860,site_Name,0)),"Not on SITES"))</f>
        <v/>
      </c>
      <c r="M860" s="58" t="str">
        <f aca="false">IF(E860="","",DATE(YEAR(E860),MONTH(E860),1))</f>
        <v/>
      </c>
      <c r="N860" s="57" t="str">
        <f aca="false">IF(E860="","","FY"&amp;(YEAR(E860)+IF(AND(FYStart&gt;1,MONTH(E860)&gt;=FYStart),1,0))&amp;" Q"&amp;(INT(MOD(MONTH(E860)-FYStart,12)/3)+1))</f>
        <v/>
      </c>
      <c r="O860" s="59" t="str">
        <f aca="false">IF(OR(E860="",N(F860)=0),"",G860/F860)</f>
        <v/>
      </c>
      <c r="P860" s="60" t="str">
        <f aca="false">IF(E860="","",ROUND(N(G860)*N(H860)/60,1))</f>
        <v/>
      </c>
      <c r="Q860" s="57" t="str">
        <f aca="false">IF(E860="","",IF(COUNTIFS($C$2:C860,C860,$E$2:E860,E860,$B$2:B860,B860)&gt;1,"No","Yes"))</f>
        <v/>
      </c>
      <c r="R860" s="61" t="str">
        <f aca="false">IF(E860="","",IF(Q860="No","Duplicate of an earlier response",IF(L860="Not on SITES","Site not on SITES",IF(N(G860)&gt;N(F860),"Present is more than enrolled",IF(OR(I860&lt;1,I860&gt;5),"Score outside 1 to 5","")))))</f>
        <v/>
      </c>
    </row>
    <row r="861" customFormat="false" ht="15" hidden="false" customHeight="false" outlineLevel="0" collapsed="false">
      <c r="A861" s="52"/>
      <c r="B861" s="53"/>
      <c r="C861" s="53"/>
      <c r="D861" s="53"/>
      <c r="E861" s="54"/>
      <c r="F861" s="55"/>
      <c r="G861" s="55"/>
      <c r="H861" s="55"/>
      <c r="I861" s="56"/>
      <c r="J861" s="53"/>
      <c r="K861" s="53"/>
      <c r="L861" s="57" t="str">
        <f aca="false">IF(C861="","",IFERROR(INDEX(site_ID,MATCH(C861,site_Name,0)),"Not on SITES"))</f>
        <v/>
      </c>
      <c r="M861" s="58" t="str">
        <f aca="false">IF(E861="","",DATE(YEAR(E861),MONTH(E861),1))</f>
        <v/>
      </c>
      <c r="N861" s="57" t="str">
        <f aca="false">IF(E861="","","FY"&amp;(YEAR(E861)+IF(AND(FYStart&gt;1,MONTH(E861)&gt;=FYStart),1,0))&amp;" Q"&amp;(INT(MOD(MONTH(E861)-FYStart,12)/3)+1))</f>
        <v/>
      </c>
      <c r="O861" s="59" t="str">
        <f aca="false">IF(OR(E861="",N(F861)=0),"",G861/F861)</f>
        <v/>
      </c>
      <c r="P861" s="60" t="str">
        <f aca="false">IF(E861="","",ROUND(N(G861)*N(H861)/60,1))</f>
        <v/>
      </c>
      <c r="Q861" s="57" t="str">
        <f aca="false">IF(E861="","",IF(COUNTIFS($C$2:C861,C861,$E$2:E861,E861,$B$2:B861,B861)&gt;1,"No","Yes"))</f>
        <v/>
      </c>
      <c r="R861" s="61" t="str">
        <f aca="false">IF(E861="","",IF(Q861="No","Duplicate of an earlier response",IF(L861="Not on SITES","Site not on SITES",IF(N(G861)&gt;N(F861),"Present is more than enrolled",IF(OR(I861&lt;1,I861&gt;5),"Score outside 1 to 5","")))))</f>
        <v/>
      </c>
    </row>
    <row r="862" customFormat="false" ht="15" hidden="false" customHeight="false" outlineLevel="0" collapsed="false">
      <c r="A862" s="52"/>
      <c r="B862" s="53"/>
      <c r="C862" s="53"/>
      <c r="D862" s="53"/>
      <c r="E862" s="54"/>
      <c r="F862" s="55"/>
      <c r="G862" s="55"/>
      <c r="H862" s="55"/>
      <c r="I862" s="56"/>
      <c r="J862" s="53"/>
      <c r="K862" s="53"/>
      <c r="L862" s="57" t="str">
        <f aca="false">IF(C862="","",IFERROR(INDEX(site_ID,MATCH(C862,site_Name,0)),"Not on SITES"))</f>
        <v/>
      </c>
      <c r="M862" s="58" t="str">
        <f aca="false">IF(E862="","",DATE(YEAR(E862),MONTH(E862),1))</f>
        <v/>
      </c>
      <c r="N862" s="57" t="str">
        <f aca="false">IF(E862="","","FY"&amp;(YEAR(E862)+IF(AND(FYStart&gt;1,MONTH(E862)&gt;=FYStart),1,0))&amp;" Q"&amp;(INT(MOD(MONTH(E862)-FYStart,12)/3)+1))</f>
        <v/>
      </c>
      <c r="O862" s="59" t="str">
        <f aca="false">IF(OR(E862="",N(F862)=0),"",G862/F862)</f>
        <v/>
      </c>
      <c r="P862" s="60" t="str">
        <f aca="false">IF(E862="","",ROUND(N(G862)*N(H862)/60,1))</f>
        <v/>
      </c>
      <c r="Q862" s="57" t="str">
        <f aca="false">IF(E862="","",IF(COUNTIFS($C$2:C862,C862,$E$2:E862,E862,$B$2:B862,B862)&gt;1,"No","Yes"))</f>
        <v/>
      </c>
      <c r="R862" s="61" t="str">
        <f aca="false">IF(E862="","",IF(Q862="No","Duplicate of an earlier response",IF(L862="Not on SITES","Site not on SITES",IF(N(G862)&gt;N(F862),"Present is more than enrolled",IF(OR(I862&lt;1,I862&gt;5),"Score outside 1 to 5","")))))</f>
        <v/>
      </c>
    </row>
    <row r="863" customFormat="false" ht="15" hidden="false" customHeight="false" outlineLevel="0" collapsed="false">
      <c r="A863" s="52"/>
      <c r="B863" s="53"/>
      <c r="C863" s="53"/>
      <c r="D863" s="53"/>
      <c r="E863" s="54"/>
      <c r="F863" s="55"/>
      <c r="G863" s="55"/>
      <c r="H863" s="55"/>
      <c r="I863" s="56"/>
      <c r="J863" s="53"/>
      <c r="K863" s="53"/>
      <c r="L863" s="57" t="str">
        <f aca="false">IF(C863="","",IFERROR(INDEX(site_ID,MATCH(C863,site_Name,0)),"Not on SITES"))</f>
        <v/>
      </c>
      <c r="M863" s="58" t="str">
        <f aca="false">IF(E863="","",DATE(YEAR(E863),MONTH(E863),1))</f>
        <v/>
      </c>
      <c r="N863" s="57" t="str">
        <f aca="false">IF(E863="","","FY"&amp;(YEAR(E863)+IF(AND(FYStart&gt;1,MONTH(E863)&gt;=FYStart),1,0))&amp;" Q"&amp;(INT(MOD(MONTH(E863)-FYStart,12)/3)+1))</f>
        <v/>
      </c>
      <c r="O863" s="59" t="str">
        <f aca="false">IF(OR(E863="",N(F863)=0),"",G863/F863)</f>
        <v/>
      </c>
      <c r="P863" s="60" t="str">
        <f aca="false">IF(E863="","",ROUND(N(G863)*N(H863)/60,1))</f>
        <v/>
      </c>
      <c r="Q863" s="57" t="str">
        <f aca="false">IF(E863="","",IF(COUNTIFS($C$2:C863,C863,$E$2:E863,E863,$B$2:B863,B863)&gt;1,"No","Yes"))</f>
        <v/>
      </c>
      <c r="R863" s="61" t="str">
        <f aca="false">IF(E863="","",IF(Q863="No","Duplicate of an earlier response",IF(L863="Not on SITES","Site not on SITES",IF(N(G863)&gt;N(F863),"Present is more than enrolled",IF(OR(I863&lt;1,I863&gt;5),"Score outside 1 to 5","")))))</f>
        <v/>
      </c>
    </row>
    <row r="864" customFormat="false" ht="15" hidden="false" customHeight="false" outlineLevel="0" collapsed="false">
      <c r="A864" s="52"/>
      <c r="B864" s="53"/>
      <c r="C864" s="53"/>
      <c r="D864" s="53"/>
      <c r="E864" s="54"/>
      <c r="F864" s="55"/>
      <c r="G864" s="55"/>
      <c r="H864" s="55"/>
      <c r="I864" s="56"/>
      <c r="J864" s="53"/>
      <c r="K864" s="53"/>
      <c r="L864" s="57" t="str">
        <f aca="false">IF(C864="","",IFERROR(INDEX(site_ID,MATCH(C864,site_Name,0)),"Not on SITES"))</f>
        <v/>
      </c>
      <c r="M864" s="58" t="str">
        <f aca="false">IF(E864="","",DATE(YEAR(E864),MONTH(E864),1))</f>
        <v/>
      </c>
      <c r="N864" s="57" t="str">
        <f aca="false">IF(E864="","","FY"&amp;(YEAR(E864)+IF(AND(FYStart&gt;1,MONTH(E864)&gt;=FYStart),1,0))&amp;" Q"&amp;(INT(MOD(MONTH(E864)-FYStart,12)/3)+1))</f>
        <v/>
      </c>
      <c r="O864" s="59" t="str">
        <f aca="false">IF(OR(E864="",N(F864)=0),"",G864/F864)</f>
        <v/>
      </c>
      <c r="P864" s="60" t="str">
        <f aca="false">IF(E864="","",ROUND(N(G864)*N(H864)/60,1))</f>
        <v/>
      </c>
      <c r="Q864" s="57" t="str">
        <f aca="false">IF(E864="","",IF(COUNTIFS($C$2:C864,C864,$E$2:E864,E864,$B$2:B864,B864)&gt;1,"No","Yes"))</f>
        <v/>
      </c>
      <c r="R864" s="61" t="str">
        <f aca="false">IF(E864="","",IF(Q864="No","Duplicate of an earlier response",IF(L864="Not on SITES","Site not on SITES",IF(N(G864)&gt;N(F864),"Present is more than enrolled",IF(OR(I864&lt;1,I864&gt;5),"Score outside 1 to 5","")))))</f>
        <v/>
      </c>
    </row>
    <row r="865" customFormat="false" ht="15" hidden="false" customHeight="false" outlineLevel="0" collapsed="false">
      <c r="A865" s="52"/>
      <c r="B865" s="53"/>
      <c r="C865" s="53"/>
      <c r="D865" s="53"/>
      <c r="E865" s="54"/>
      <c r="F865" s="55"/>
      <c r="G865" s="55"/>
      <c r="H865" s="55"/>
      <c r="I865" s="56"/>
      <c r="J865" s="53"/>
      <c r="K865" s="53"/>
      <c r="L865" s="57" t="str">
        <f aca="false">IF(C865="","",IFERROR(INDEX(site_ID,MATCH(C865,site_Name,0)),"Not on SITES"))</f>
        <v/>
      </c>
      <c r="M865" s="58" t="str">
        <f aca="false">IF(E865="","",DATE(YEAR(E865),MONTH(E865),1))</f>
        <v/>
      </c>
      <c r="N865" s="57" t="str">
        <f aca="false">IF(E865="","","FY"&amp;(YEAR(E865)+IF(AND(FYStart&gt;1,MONTH(E865)&gt;=FYStart),1,0))&amp;" Q"&amp;(INT(MOD(MONTH(E865)-FYStart,12)/3)+1))</f>
        <v/>
      </c>
      <c r="O865" s="59" t="str">
        <f aca="false">IF(OR(E865="",N(F865)=0),"",G865/F865)</f>
        <v/>
      </c>
      <c r="P865" s="60" t="str">
        <f aca="false">IF(E865="","",ROUND(N(G865)*N(H865)/60,1))</f>
        <v/>
      </c>
      <c r="Q865" s="57" t="str">
        <f aca="false">IF(E865="","",IF(COUNTIFS($C$2:C865,C865,$E$2:E865,E865,$B$2:B865,B865)&gt;1,"No","Yes"))</f>
        <v/>
      </c>
      <c r="R865" s="61" t="str">
        <f aca="false">IF(E865="","",IF(Q865="No","Duplicate of an earlier response",IF(L865="Not on SITES","Site not on SITES",IF(N(G865)&gt;N(F865),"Present is more than enrolled",IF(OR(I865&lt;1,I865&gt;5),"Score outside 1 to 5","")))))</f>
        <v/>
      </c>
    </row>
    <row r="866" customFormat="false" ht="15" hidden="false" customHeight="false" outlineLevel="0" collapsed="false">
      <c r="A866" s="52"/>
      <c r="B866" s="53"/>
      <c r="C866" s="53"/>
      <c r="D866" s="53"/>
      <c r="E866" s="54"/>
      <c r="F866" s="55"/>
      <c r="G866" s="55"/>
      <c r="H866" s="55"/>
      <c r="I866" s="56"/>
      <c r="J866" s="53"/>
      <c r="K866" s="53"/>
      <c r="L866" s="57" t="str">
        <f aca="false">IF(C866="","",IFERROR(INDEX(site_ID,MATCH(C866,site_Name,0)),"Not on SITES"))</f>
        <v/>
      </c>
      <c r="M866" s="58" t="str">
        <f aca="false">IF(E866="","",DATE(YEAR(E866),MONTH(E866),1))</f>
        <v/>
      </c>
      <c r="N866" s="57" t="str">
        <f aca="false">IF(E866="","","FY"&amp;(YEAR(E866)+IF(AND(FYStart&gt;1,MONTH(E866)&gt;=FYStart),1,0))&amp;" Q"&amp;(INT(MOD(MONTH(E866)-FYStart,12)/3)+1))</f>
        <v/>
      </c>
      <c r="O866" s="59" t="str">
        <f aca="false">IF(OR(E866="",N(F866)=0),"",G866/F866)</f>
        <v/>
      </c>
      <c r="P866" s="60" t="str">
        <f aca="false">IF(E866="","",ROUND(N(G866)*N(H866)/60,1))</f>
        <v/>
      </c>
      <c r="Q866" s="57" t="str">
        <f aca="false">IF(E866="","",IF(COUNTIFS($C$2:C866,C866,$E$2:E866,E866,$B$2:B866,B866)&gt;1,"No","Yes"))</f>
        <v/>
      </c>
      <c r="R866" s="61" t="str">
        <f aca="false">IF(E866="","",IF(Q866="No","Duplicate of an earlier response",IF(L866="Not on SITES","Site not on SITES",IF(N(G866)&gt;N(F866),"Present is more than enrolled",IF(OR(I866&lt;1,I866&gt;5),"Score outside 1 to 5","")))))</f>
        <v/>
      </c>
    </row>
    <row r="867" customFormat="false" ht="15" hidden="false" customHeight="false" outlineLevel="0" collapsed="false">
      <c r="A867" s="52"/>
      <c r="B867" s="53"/>
      <c r="C867" s="53"/>
      <c r="D867" s="53"/>
      <c r="E867" s="54"/>
      <c r="F867" s="55"/>
      <c r="G867" s="55"/>
      <c r="H867" s="55"/>
      <c r="I867" s="56"/>
      <c r="J867" s="53"/>
      <c r="K867" s="53"/>
      <c r="L867" s="57" t="str">
        <f aca="false">IF(C867="","",IFERROR(INDEX(site_ID,MATCH(C867,site_Name,0)),"Not on SITES"))</f>
        <v/>
      </c>
      <c r="M867" s="58" t="str">
        <f aca="false">IF(E867="","",DATE(YEAR(E867),MONTH(E867),1))</f>
        <v/>
      </c>
      <c r="N867" s="57" t="str">
        <f aca="false">IF(E867="","","FY"&amp;(YEAR(E867)+IF(AND(FYStart&gt;1,MONTH(E867)&gt;=FYStart),1,0))&amp;" Q"&amp;(INT(MOD(MONTH(E867)-FYStart,12)/3)+1))</f>
        <v/>
      </c>
      <c r="O867" s="59" t="str">
        <f aca="false">IF(OR(E867="",N(F867)=0),"",G867/F867)</f>
        <v/>
      </c>
      <c r="P867" s="60" t="str">
        <f aca="false">IF(E867="","",ROUND(N(G867)*N(H867)/60,1))</f>
        <v/>
      </c>
      <c r="Q867" s="57" t="str">
        <f aca="false">IF(E867="","",IF(COUNTIFS($C$2:C867,C867,$E$2:E867,E867,$B$2:B867,B867)&gt;1,"No","Yes"))</f>
        <v/>
      </c>
      <c r="R867" s="61" t="str">
        <f aca="false">IF(E867="","",IF(Q867="No","Duplicate of an earlier response",IF(L867="Not on SITES","Site not on SITES",IF(N(G867)&gt;N(F867),"Present is more than enrolled",IF(OR(I867&lt;1,I867&gt;5),"Score outside 1 to 5","")))))</f>
        <v/>
      </c>
    </row>
    <row r="868" customFormat="false" ht="15" hidden="false" customHeight="false" outlineLevel="0" collapsed="false">
      <c r="A868" s="52"/>
      <c r="B868" s="53"/>
      <c r="C868" s="53"/>
      <c r="D868" s="53"/>
      <c r="E868" s="54"/>
      <c r="F868" s="55"/>
      <c r="G868" s="55"/>
      <c r="H868" s="55"/>
      <c r="I868" s="56"/>
      <c r="J868" s="53"/>
      <c r="K868" s="53"/>
      <c r="L868" s="57" t="str">
        <f aca="false">IF(C868="","",IFERROR(INDEX(site_ID,MATCH(C868,site_Name,0)),"Not on SITES"))</f>
        <v/>
      </c>
      <c r="M868" s="58" t="str">
        <f aca="false">IF(E868="","",DATE(YEAR(E868),MONTH(E868),1))</f>
        <v/>
      </c>
      <c r="N868" s="57" t="str">
        <f aca="false">IF(E868="","","FY"&amp;(YEAR(E868)+IF(AND(FYStart&gt;1,MONTH(E868)&gt;=FYStart),1,0))&amp;" Q"&amp;(INT(MOD(MONTH(E868)-FYStart,12)/3)+1))</f>
        <v/>
      </c>
      <c r="O868" s="59" t="str">
        <f aca="false">IF(OR(E868="",N(F868)=0),"",G868/F868)</f>
        <v/>
      </c>
      <c r="P868" s="60" t="str">
        <f aca="false">IF(E868="","",ROUND(N(G868)*N(H868)/60,1))</f>
        <v/>
      </c>
      <c r="Q868" s="57" t="str">
        <f aca="false">IF(E868="","",IF(COUNTIFS($C$2:C868,C868,$E$2:E868,E868,$B$2:B868,B868)&gt;1,"No","Yes"))</f>
        <v/>
      </c>
      <c r="R868" s="61" t="str">
        <f aca="false">IF(E868="","",IF(Q868="No","Duplicate of an earlier response",IF(L868="Not on SITES","Site not on SITES",IF(N(G868)&gt;N(F868),"Present is more than enrolled",IF(OR(I868&lt;1,I868&gt;5),"Score outside 1 to 5","")))))</f>
        <v/>
      </c>
    </row>
    <row r="869" customFormat="false" ht="15" hidden="false" customHeight="false" outlineLevel="0" collapsed="false">
      <c r="A869" s="52"/>
      <c r="B869" s="53"/>
      <c r="C869" s="53"/>
      <c r="D869" s="53"/>
      <c r="E869" s="54"/>
      <c r="F869" s="55"/>
      <c r="G869" s="55"/>
      <c r="H869" s="55"/>
      <c r="I869" s="56"/>
      <c r="J869" s="53"/>
      <c r="K869" s="53"/>
      <c r="L869" s="57" t="str">
        <f aca="false">IF(C869="","",IFERROR(INDEX(site_ID,MATCH(C869,site_Name,0)),"Not on SITES"))</f>
        <v/>
      </c>
      <c r="M869" s="58" t="str">
        <f aca="false">IF(E869="","",DATE(YEAR(E869),MONTH(E869),1))</f>
        <v/>
      </c>
      <c r="N869" s="57" t="str">
        <f aca="false">IF(E869="","","FY"&amp;(YEAR(E869)+IF(AND(FYStart&gt;1,MONTH(E869)&gt;=FYStart),1,0))&amp;" Q"&amp;(INT(MOD(MONTH(E869)-FYStart,12)/3)+1))</f>
        <v/>
      </c>
      <c r="O869" s="59" t="str">
        <f aca="false">IF(OR(E869="",N(F869)=0),"",G869/F869)</f>
        <v/>
      </c>
      <c r="P869" s="60" t="str">
        <f aca="false">IF(E869="","",ROUND(N(G869)*N(H869)/60,1))</f>
        <v/>
      </c>
      <c r="Q869" s="57" t="str">
        <f aca="false">IF(E869="","",IF(COUNTIFS($C$2:C869,C869,$E$2:E869,E869,$B$2:B869,B869)&gt;1,"No","Yes"))</f>
        <v/>
      </c>
      <c r="R869" s="61" t="str">
        <f aca="false">IF(E869="","",IF(Q869="No","Duplicate of an earlier response",IF(L869="Not on SITES","Site not on SITES",IF(N(G869)&gt;N(F869),"Present is more than enrolled",IF(OR(I869&lt;1,I869&gt;5),"Score outside 1 to 5","")))))</f>
        <v/>
      </c>
    </row>
    <row r="870" customFormat="false" ht="15" hidden="false" customHeight="false" outlineLevel="0" collapsed="false">
      <c r="A870" s="52"/>
      <c r="B870" s="53"/>
      <c r="C870" s="53"/>
      <c r="D870" s="53"/>
      <c r="E870" s="54"/>
      <c r="F870" s="55"/>
      <c r="G870" s="55"/>
      <c r="H870" s="55"/>
      <c r="I870" s="56"/>
      <c r="J870" s="53"/>
      <c r="K870" s="53"/>
      <c r="L870" s="57" t="str">
        <f aca="false">IF(C870="","",IFERROR(INDEX(site_ID,MATCH(C870,site_Name,0)),"Not on SITES"))</f>
        <v/>
      </c>
      <c r="M870" s="58" t="str">
        <f aca="false">IF(E870="","",DATE(YEAR(E870),MONTH(E870),1))</f>
        <v/>
      </c>
      <c r="N870" s="57" t="str">
        <f aca="false">IF(E870="","","FY"&amp;(YEAR(E870)+IF(AND(FYStart&gt;1,MONTH(E870)&gt;=FYStart),1,0))&amp;" Q"&amp;(INT(MOD(MONTH(E870)-FYStart,12)/3)+1))</f>
        <v/>
      </c>
      <c r="O870" s="59" t="str">
        <f aca="false">IF(OR(E870="",N(F870)=0),"",G870/F870)</f>
        <v/>
      </c>
      <c r="P870" s="60" t="str">
        <f aca="false">IF(E870="","",ROUND(N(G870)*N(H870)/60,1))</f>
        <v/>
      </c>
      <c r="Q870" s="57" t="str">
        <f aca="false">IF(E870="","",IF(COUNTIFS($C$2:C870,C870,$E$2:E870,E870,$B$2:B870,B870)&gt;1,"No","Yes"))</f>
        <v/>
      </c>
      <c r="R870" s="61" t="str">
        <f aca="false">IF(E870="","",IF(Q870="No","Duplicate of an earlier response",IF(L870="Not on SITES","Site not on SITES",IF(N(G870)&gt;N(F870),"Present is more than enrolled",IF(OR(I870&lt;1,I870&gt;5),"Score outside 1 to 5","")))))</f>
        <v/>
      </c>
    </row>
    <row r="871" customFormat="false" ht="15" hidden="false" customHeight="false" outlineLevel="0" collapsed="false">
      <c r="A871" s="52"/>
      <c r="B871" s="53"/>
      <c r="C871" s="53"/>
      <c r="D871" s="53"/>
      <c r="E871" s="54"/>
      <c r="F871" s="55"/>
      <c r="G871" s="55"/>
      <c r="H871" s="55"/>
      <c r="I871" s="56"/>
      <c r="J871" s="53"/>
      <c r="K871" s="53"/>
      <c r="L871" s="57" t="str">
        <f aca="false">IF(C871="","",IFERROR(INDEX(site_ID,MATCH(C871,site_Name,0)),"Not on SITES"))</f>
        <v/>
      </c>
      <c r="M871" s="58" t="str">
        <f aca="false">IF(E871="","",DATE(YEAR(E871),MONTH(E871),1))</f>
        <v/>
      </c>
      <c r="N871" s="57" t="str">
        <f aca="false">IF(E871="","","FY"&amp;(YEAR(E871)+IF(AND(FYStart&gt;1,MONTH(E871)&gt;=FYStart),1,0))&amp;" Q"&amp;(INT(MOD(MONTH(E871)-FYStart,12)/3)+1))</f>
        <v/>
      </c>
      <c r="O871" s="59" t="str">
        <f aca="false">IF(OR(E871="",N(F871)=0),"",G871/F871)</f>
        <v/>
      </c>
      <c r="P871" s="60" t="str">
        <f aca="false">IF(E871="","",ROUND(N(G871)*N(H871)/60,1))</f>
        <v/>
      </c>
      <c r="Q871" s="57" t="str">
        <f aca="false">IF(E871="","",IF(COUNTIFS($C$2:C871,C871,$E$2:E871,E871,$B$2:B871,B871)&gt;1,"No","Yes"))</f>
        <v/>
      </c>
      <c r="R871" s="61" t="str">
        <f aca="false">IF(E871="","",IF(Q871="No","Duplicate of an earlier response",IF(L871="Not on SITES","Site not on SITES",IF(N(G871)&gt;N(F871),"Present is more than enrolled",IF(OR(I871&lt;1,I871&gt;5),"Score outside 1 to 5","")))))</f>
        <v/>
      </c>
    </row>
    <row r="872" customFormat="false" ht="15" hidden="false" customHeight="false" outlineLevel="0" collapsed="false">
      <c r="A872" s="52"/>
      <c r="B872" s="53"/>
      <c r="C872" s="53"/>
      <c r="D872" s="53"/>
      <c r="E872" s="54"/>
      <c r="F872" s="55"/>
      <c r="G872" s="55"/>
      <c r="H872" s="55"/>
      <c r="I872" s="56"/>
      <c r="J872" s="53"/>
      <c r="K872" s="53"/>
      <c r="L872" s="57" t="str">
        <f aca="false">IF(C872="","",IFERROR(INDEX(site_ID,MATCH(C872,site_Name,0)),"Not on SITES"))</f>
        <v/>
      </c>
      <c r="M872" s="58" t="str">
        <f aca="false">IF(E872="","",DATE(YEAR(E872),MONTH(E872),1))</f>
        <v/>
      </c>
      <c r="N872" s="57" t="str">
        <f aca="false">IF(E872="","","FY"&amp;(YEAR(E872)+IF(AND(FYStart&gt;1,MONTH(E872)&gt;=FYStart),1,0))&amp;" Q"&amp;(INT(MOD(MONTH(E872)-FYStart,12)/3)+1))</f>
        <v/>
      </c>
      <c r="O872" s="59" t="str">
        <f aca="false">IF(OR(E872="",N(F872)=0),"",G872/F872)</f>
        <v/>
      </c>
      <c r="P872" s="60" t="str">
        <f aca="false">IF(E872="","",ROUND(N(G872)*N(H872)/60,1))</f>
        <v/>
      </c>
      <c r="Q872" s="57" t="str">
        <f aca="false">IF(E872="","",IF(COUNTIFS($C$2:C872,C872,$E$2:E872,E872,$B$2:B872,B872)&gt;1,"No","Yes"))</f>
        <v/>
      </c>
      <c r="R872" s="61" t="str">
        <f aca="false">IF(E872="","",IF(Q872="No","Duplicate of an earlier response",IF(L872="Not on SITES","Site not on SITES",IF(N(G872)&gt;N(F872),"Present is more than enrolled",IF(OR(I872&lt;1,I872&gt;5),"Score outside 1 to 5","")))))</f>
        <v/>
      </c>
    </row>
    <row r="873" customFormat="false" ht="15" hidden="false" customHeight="false" outlineLevel="0" collapsed="false">
      <c r="A873" s="52"/>
      <c r="B873" s="53"/>
      <c r="C873" s="53"/>
      <c r="D873" s="53"/>
      <c r="E873" s="54"/>
      <c r="F873" s="55"/>
      <c r="G873" s="55"/>
      <c r="H873" s="55"/>
      <c r="I873" s="56"/>
      <c r="J873" s="53"/>
      <c r="K873" s="53"/>
      <c r="L873" s="57" t="str">
        <f aca="false">IF(C873="","",IFERROR(INDEX(site_ID,MATCH(C873,site_Name,0)),"Not on SITES"))</f>
        <v/>
      </c>
      <c r="M873" s="58" t="str">
        <f aca="false">IF(E873="","",DATE(YEAR(E873),MONTH(E873),1))</f>
        <v/>
      </c>
      <c r="N873" s="57" t="str">
        <f aca="false">IF(E873="","","FY"&amp;(YEAR(E873)+IF(AND(FYStart&gt;1,MONTH(E873)&gt;=FYStart),1,0))&amp;" Q"&amp;(INT(MOD(MONTH(E873)-FYStart,12)/3)+1))</f>
        <v/>
      </c>
      <c r="O873" s="59" t="str">
        <f aca="false">IF(OR(E873="",N(F873)=0),"",G873/F873)</f>
        <v/>
      </c>
      <c r="P873" s="60" t="str">
        <f aca="false">IF(E873="","",ROUND(N(G873)*N(H873)/60,1))</f>
        <v/>
      </c>
      <c r="Q873" s="57" t="str">
        <f aca="false">IF(E873="","",IF(COUNTIFS($C$2:C873,C873,$E$2:E873,E873,$B$2:B873,B873)&gt;1,"No","Yes"))</f>
        <v/>
      </c>
      <c r="R873" s="61" t="str">
        <f aca="false">IF(E873="","",IF(Q873="No","Duplicate of an earlier response",IF(L873="Not on SITES","Site not on SITES",IF(N(G873)&gt;N(F873),"Present is more than enrolled",IF(OR(I873&lt;1,I873&gt;5),"Score outside 1 to 5","")))))</f>
        <v/>
      </c>
    </row>
    <row r="874" customFormat="false" ht="15" hidden="false" customHeight="false" outlineLevel="0" collapsed="false">
      <c r="A874" s="52"/>
      <c r="B874" s="53"/>
      <c r="C874" s="53"/>
      <c r="D874" s="53"/>
      <c r="E874" s="54"/>
      <c r="F874" s="55"/>
      <c r="G874" s="55"/>
      <c r="H874" s="55"/>
      <c r="I874" s="56"/>
      <c r="J874" s="53"/>
      <c r="K874" s="53"/>
      <c r="L874" s="57" t="str">
        <f aca="false">IF(C874="","",IFERROR(INDEX(site_ID,MATCH(C874,site_Name,0)),"Not on SITES"))</f>
        <v/>
      </c>
      <c r="M874" s="58" t="str">
        <f aca="false">IF(E874="","",DATE(YEAR(E874),MONTH(E874),1))</f>
        <v/>
      </c>
      <c r="N874" s="57" t="str">
        <f aca="false">IF(E874="","","FY"&amp;(YEAR(E874)+IF(AND(FYStart&gt;1,MONTH(E874)&gt;=FYStart),1,0))&amp;" Q"&amp;(INT(MOD(MONTH(E874)-FYStart,12)/3)+1))</f>
        <v/>
      </c>
      <c r="O874" s="59" t="str">
        <f aca="false">IF(OR(E874="",N(F874)=0),"",G874/F874)</f>
        <v/>
      </c>
      <c r="P874" s="60" t="str">
        <f aca="false">IF(E874="","",ROUND(N(G874)*N(H874)/60,1))</f>
        <v/>
      </c>
      <c r="Q874" s="57" t="str">
        <f aca="false">IF(E874="","",IF(COUNTIFS($C$2:C874,C874,$E$2:E874,E874,$B$2:B874,B874)&gt;1,"No","Yes"))</f>
        <v/>
      </c>
      <c r="R874" s="61" t="str">
        <f aca="false">IF(E874="","",IF(Q874="No","Duplicate of an earlier response",IF(L874="Not on SITES","Site not on SITES",IF(N(G874)&gt;N(F874),"Present is more than enrolled",IF(OR(I874&lt;1,I874&gt;5),"Score outside 1 to 5","")))))</f>
        <v/>
      </c>
    </row>
    <row r="875" customFormat="false" ht="15" hidden="false" customHeight="false" outlineLevel="0" collapsed="false">
      <c r="A875" s="52"/>
      <c r="B875" s="53"/>
      <c r="C875" s="53"/>
      <c r="D875" s="53"/>
      <c r="E875" s="54"/>
      <c r="F875" s="55"/>
      <c r="G875" s="55"/>
      <c r="H875" s="55"/>
      <c r="I875" s="56"/>
      <c r="J875" s="53"/>
      <c r="K875" s="53"/>
      <c r="L875" s="57" t="str">
        <f aca="false">IF(C875="","",IFERROR(INDEX(site_ID,MATCH(C875,site_Name,0)),"Not on SITES"))</f>
        <v/>
      </c>
      <c r="M875" s="58" t="str">
        <f aca="false">IF(E875="","",DATE(YEAR(E875),MONTH(E875),1))</f>
        <v/>
      </c>
      <c r="N875" s="57" t="str">
        <f aca="false">IF(E875="","","FY"&amp;(YEAR(E875)+IF(AND(FYStart&gt;1,MONTH(E875)&gt;=FYStart),1,0))&amp;" Q"&amp;(INT(MOD(MONTH(E875)-FYStart,12)/3)+1))</f>
        <v/>
      </c>
      <c r="O875" s="59" t="str">
        <f aca="false">IF(OR(E875="",N(F875)=0),"",G875/F875)</f>
        <v/>
      </c>
      <c r="P875" s="60" t="str">
        <f aca="false">IF(E875="","",ROUND(N(G875)*N(H875)/60,1))</f>
        <v/>
      </c>
      <c r="Q875" s="57" t="str">
        <f aca="false">IF(E875="","",IF(COUNTIFS($C$2:C875,C875,$E$2:E875,E875,$B$2:B875,B875)&gt;1,"No","Yes"))</f>
        <v/>
      </c>
      <c r="R875" s="61" t="str">
        <f aca="false">IF(E875="","",IF(Q875="No","Duplicate of an earlier response",IF(L875="Not on SITES","Site not on SITES",IF(N(G875)&gt;N(F875),"Present is more than enrolled",IF(OR(I875&lt;1,I875&gt;5),"Score outside 1 to 5","")))))</f>
        <v/>
      </c>
    </row>
    <row r="876" customFormat="false" ht="15" hidden="false" customHeight="false" outlineLevel="0" collapsed="false">
      <c r="A876" s="52"/>
      <c r="B876" s="53"/>
      <c r="C876" s="53"/>
      <c r="D876" s="53"/>
      <c r="E876" s="54"/>
      <c r="F876" s="55"/>
      <c r="G876" s="55"/>
      <c r="H876" s="55"/>
      <c r="I876" s="56"/>
      <c r="J876" s="53"/>
      <c r="K876" s="53"/>
      <c r="L876" s="57" t="str">
        <f aca="false">IF(C876="","",IFERROR(INDEX(site_ID,MATCH(C876,site_Name,0)),"Not on SITES"))</f>
        <v/>
      </c>
      <c r="M876" s="58" t="str">
        <f aca="false">IF(E876="","",DATE(YEAR(E876),MONTH(E876),1))</f>
        <v/>
      </c>
      <c r="N876" s="57" t="str">
        <f aca="false">IF(E876="","","FY"&amp;(YEAR(E876)+IF(AND(FYStart&gt;1,MONTH(E876)&gt;=FYStart),1,0))&amp;" Q"&amp;(INT(MOD(MONTH(E876)-FYStart,12)/3)+1))</f>
        <v/>
      </c>
      <c r="O876" s="59" t="str">
        <f aca="false">IF(OR(E876="",N(F876)=0),"",G876/F876)</f>
        <v/>
      </c>
      <c r="P876" s="60" t="str">
        <f aca="false">IF(E876="","",ROUND(N(G876)*N(H876)/60,1))</f>
        <v/>
      </c>
      <c r="Q876" s="57" t="str">
        <f aca="false">IF(E876="","",IF(COUNTIFS($C$2:C876,C876,$E$2:E876,E876,$B$2:B876,B876)&gt;1,"No","Yes"))</f>
        <v/>
      </c>
      <c r="R876" s="61" t="str">
        <f aca="false">IF(E876="","",IF(Q876="No","Duplicate of an earlier response",IF(L876="Not on SITES","Site not on SITES",IF(N(G876)&gt;N(F876),"Present is more than enrolled",IF(OR(I876&lt;1,I876&gt;5),"Score outside 1 to 5","")))))</f>
        <v/>
      </c>
    </row>
    <row r="877" customFormat="false" ht="15" hidden="false" customHeight="false" outlineLevel="0" collapsed="false">
      <c r="A877" s="52"/>
      <c r="B877" s="53"/>
      <c r="C877" s="53"/>
      <c r="D877" s="53"/>
      <c r="E877" s="54"/>
      <c r="F877" s="55"/>
      <c r="G877" s="55"/>
      <c r="H877" s="55"/>
      <c r="I877" s="56"/>
      <c r="J877" s="53"/>
      <c r="K877" s="53"/>
      <c r="L877" s="57" t="str">
        <f aca="false">IF(C877="","",IFERROR(INDEX(site_ID,MATCH(C877,site_Name,0)),"Not on SITES"))</f>
        <v/>
      </c>
      <c r="M877" s="58" t="str">
        <f aca="false">IF(E877="","",DATE(YEAR(E877),MONTH(E877),1))</f>
        <v/>
      </c>
      <c r="N877" s="57" t="str">
        <f aca="false">IF(E877="","","FY"&amp;(YEAR(E877)+IF(AND(FYStart&gt;1,MONTH(E877)&gt;=FYStart),1,0))&amp;" Q"&amp;(INT(MOD(MONTH(E877)-FYStart,12)/3)+1))</f>
        <v/>
      </c>
      <c r="O877" s="59" t="str">
        <f aca="false">IF(OR(E877="",N(F877)=0),"",G877/F877)</f>
        <v/>
      </c>
      <c r="P877" s="60" t="str">
        <f aca="false">IF(E877="","",ROUND(N(G877)*N(H877)/60,1))</f>
        <v/>
      </c>
      <c r="Q877" s="57" t="str">
        <f aca="false">IF(E877="","",IF(COUNTIFS($C$2:C877,C877,$E$2:E877,E877,$B$2:B877,B877)&gt;1,"No","Yes"))</f>
        <v/>
      </c>
      <c r="R877" s="61" t="str">
        <f aca="false">IF(E877="","",IF(Q877="No","Duplicate of an earlier response",IF(L877="Not on SITES","Site not on SITES",IF(N(G877)&gt;N(F877),"Present is more than enrolled",IF(OR(I877&lt;1,I877&gt;5),"Score outside 1 to 5","")))))</f>
        <v/>
      </c>
    </row>
    <row r="878" customFormat="false" ht="15" hidden="false" customHeight="false" outlineLevel="0" collapsed="false">
      <c r="A878" s="52"/>
      <c r="B878" s="53"/>
      <c r="C878" s="53"/>
      <c r="D878" s="53"/>
      <c r="E878" s="54"/>
      <c r="F878" s="55"/>
      <c r="G878" s="55"/>
      <c r="H878" s="55"/>
      <c r="I878" s="56"/>
      <c r="J878" s="53"/>
      <c r="K878" s="53"/>
      <c r="L878" s="57" t="str">
        <f aca="false">IF(C878="","",IFERROR(INDEX(site_ID,MATCH(C878,site_Name,0)),"Not on SITES"))</f>
        <v/>
      </c>
      <c r="M878" s="58" t="str">
        <f aca="false">IF(E878="","",DATE(YEAR(E878),MONTH(E878),1))</f>
        <v/>
      </c>
      <c r="N878" s="57" t="str">
        <f aca="false">IF(E878="","","FY"&amp;(YEAR(E878)+IF(AND(FYStart&gt;1,MONTH(E878)&gt;=FYStart),1,0))&amp;" Q"&amp;(INT(MOD(MONTH(E878)-FYStart,12)/3)+1))</f>
        <v/>
      </c>
      <c r="O878" s="59" t="str">
        <f aca="false">IF(OR(E878="",N(F878)=0),"",G878/F878)</f>
        <v/>
      </c>
      <c r="P878" s="60" t="str">
        <f aca="false">IF(E878="","",ROUND(N(G878)*N(H878)/60,1))</f>
        <v/>
      </c>
      <c r="Q878" s="57" t="str">
        <f aca="false">IF(E878="","",IF(COUNTIFS($C$2:C878,C878,$E$2:E878,E878,$B$2:B878,B878)&gt;1,"No","Yes"))</f>
        <v/>
      </c>
      <c r="R878" s="61" t="str">
        <f aca="false">IF(E878="","",IF(Q878="No","Duplicate of an earlier response",IF(L878="Not on SITES","Site not on SITES",IF(N(G878)&gt;N(F878),"Present is more than enrolled",IF(OR(I878&lt;1,I878&gt;5),"Score outside 1 to 5","")))))</f>
        <v/>
      </c>
    </row>
    <row r="879" customFormat="false" ht="15" hidden="false" customHeight="false" outlineLevel="0" collapsed="false">
      <c r="A879" s="52"/>
      <c r="B879" s="53"/>
      <c r="C879" s="53"/>
      <c r="D879" s="53"/>
      <c r="E879" s="54"/>
      <c r="F879" s="55"/>
      <c r="G879" s="55"/>
      <c r="H879" s="55"/>
      <c r="I879" s="56"/>
      <c r="J879" s="53"/>
      <c r="K879" s="53"/>
      <c r="L879" s="57" t="str">
        <f aca="false">IF(C879="","",IFERROR(INDEX(site_ID,MATCH(C879,site_Name,0)),"Not on SITES"))</f>
        <v/>
      </c>
      <c r="M879" s="58" t="str">
        <f aca="false">IF(E879="","",DATE(YEAR(E879),MONTH(E879),1))</f>
        <v/>
      </c>
      <c r="N879" s="57" t="str">
        <f aca="false">IF(E879="","","FY"&amp;(YEAR(E879)+IF(AND(FYStart&gt;1,MONTH(E879)&gt;=FYStart),1,0))&amp;" Q"&amp;(INT(MOD(MONTH(E879)-FYStart,12)/3)+1))</f>
        <v/>
      </c>
      <c r="O879" s="59" t="str">
        <f aca="false">IF(OR(E879="",N(F879)=0),"",G879/F879)</f>
        <v/>
      </c>
      <c r="P879" s="60" t="str">
        <f aca="false">IF(E879="","",ROUND(N(G879)*N(H879)/60,1))</f>
        <v/>
      </c>
      <c r="Q879" s="57" t="str">
        <f aca="false">IF(E879="","",IF(COUNTIFS($C$2:C879,C879,$E$2:E879,E879,$B$2:B879,B879)&gt;1,"No","Yes"))</f>
        <v/>
      </c>
      <c r="R879" s="61" t="str">
        <f aca="false">IF(E879="","",IF(Q879="No","Duplicate of an earlier response",IF(L879="Not on SITES","Site not on SITES",IF(N(G879)&gt;N(F879),"Present is more than enrolled",IF(OR(I879&lt;1,I879&gt;5),"Score outside 1 to 5","")))))</f>
        <v/>
      </c>
    </row>
    <row r="880" customFormat="false" ht="15" hidden="false" customHeight="false" outlineLevel="0" collapsed="false">
      <c r="A880" s="52"/>
      <c r="B880" s="53"/>
      <c r="C880" s="53"/>
      <c r="D880" s="53"/>
      <c r="E880" s="54"/>
      <c r="F880" s="55"/>
      <c r="G880" s="55"/>
      <c r="H880" s="55"/>
      <c r="I880" s="56"/>
      <c r="J880" s="53"/>
      <c r="K880" s="53"/>
      <c r="L880" s="57" t="str">
        <f aca="false">IF(C880="","",IFERROR(INDEX(site_ID,MATCH(C880,site_Name,0)),"Not on SITES"))</f>
        <v/>
      </c>
      <c r="M880" s="58" t="str">
        <f aca="false">IF(E880="","",DATE(YEAR(E880),MONTH(E880),1))</f>
        <v/>
      </c>
      <c r="N880" s="57" t="str">
        <f aca="false">IF(E880="","","FY"&amp;(YEAR(E880)+IF(AND(FYStart&gt;1,MONTH(E880)&gt;=FYStart),1,0))&amp;" Q"&amp;(INT(MOD(MONTH(E880)-FYStart,12)/3)+1))</f>
        <v/>
      </c>
      <c r="O880" s="59" t="str">
        <f aca="false">IF(OR(E880="",N(F880)=0),"",G880/F880)</f>
        <v/>
      </c>
      <c r="P880" s="60" t="str">
        <f aca="false">IF(E880="","",ROUND(N(G880)*N(H880)/60,1))</f>
        <v/>
      </c>
      <c r="Q880" s="57" t="str">
        <f aca="false">IF(E880="","",IF(COUNTIFS($C$2:C880,C880,$E$2:E880,E880,$B$2:B880,B880)&gt;1,"No","Yes"))</f>
        <v/>
      </c>
      <c r="R880" s="61" t="str">
        <f aca="false">IF(E880="","",IF(Q880="No","Duplicate of an earlier response",IF(L880="Not on SITES","Site not on SITES",IF(N(G880)&gt;N(F880),"Present is more than enrolled",IF(OR(I880&lt;1,I880&gt;5),"Score outside 1 to 5","")))))</f>
        <v/>
      </c>
    </row>
    <row r="881" customFormat="false" ht="15" hidden="false" customHeight="false" outlineLevel="0" collapsed="false">
      <c r="A881" s="52"/>
      <c r="B881" s="53"/>
      <c r="C881" s="53"/>
      <c r="D881" s="53"/>
      <c r="E881" s="54"/>
      <c r="F881" s="55"/>
      <c r="G881" s="55"/>
      <c r="H881" s="55"/>
      <c r="I881" s="56"/>
      <c r="J881" s="53"/>
      <c r="K881" s="53"/>
      <c r="L881" s="57" t="str">
        <f aca="false">IF(C881="","",IFERROR(INDEX(site_ID,MATCH(C881,site_Name,0)),"Not on SITES"))</f>
        <v/>
      </c>
      <c r="M881" s="58" t="str">
        <f aca="false">IF(E881="","",DATE(YEAR(E881),MONTH(E881),1))</f>
        <v/>
      </c>
      <c r="N881" s="57" t="str">
        <f aca="false">IF(E881="","","FY"&amp;(YEAR(E881)+IF(AND(FYStart&gt;1,MONTH(E881)&gt;=FYStart),1,0))&amp;" Q"&amp;(INT(MOD(MONTH(E881)-FYStart,12)/3)+1))</f>
        <v/>
      </c>
      <c r="O881" s="59" t="str">
        <f aca="false">IF(OR(E881="",N(F881)=0),"",G881/F881)</f>
        <v/>
      </c>
      <c r="P881" s="60" t="str">
        <f aca="false">IF(E881="","",ROUND(N(G881)*N(H881)/60,1))</f>
        <v/>
      </c>
      <c r="Q881" s="57" t="str">
        <f aca="false">IF(E881="","",IF(COUNTIFS($C$2:C881,C881,$E$2:E881,E881,$B$2:B881,B881)&gt;1,"No","Yes"))</f>
        <v/>
      </c>
      <c r="R881" s="61" t="str">
        <f aca="false">IF(E881="","",IF(Q881="No","Duplicate of an earlier response",IF(L881="Not on SITES","Site not on SITES",IF(N(G881)&gt;N(F881),"Present is more than enrolled",IF(OR(I881&lt;1,I881&gt;5),"Score outside 1 to 5","")))))</f>
        <v/>
      </c>
    </row>
    <row r="882" customFormat="false" ht="15" hidden="false" customHeight="false" outlineLevel="0" collapsed="false">
      <c r="A882" s="52"/>
      <c r="B882" s="53"/>
      <c r="C882" s="53"/>
      <c r="D882" s="53"/>
      <c r="E882" s="54"/>
      <c r="F882" s="55"/>
      <c r="G882" s="55"/>
      <c r="H882" s="55"/>
      <c r="I882" s="56"/>
      <c r="J882" s="53"/>
      <c r="K882" s="53"/>
      <c r="L882" s="57" t="str">
        <f aca="false">IF(C882="","",IFERROR(INDEX(site_ID,MATCH(C882,site_Name,0)),"Not on SITES"))</f>
        <v/>
      </c>
      <c r="M882" s="58" t="str">
        <f aca="false">IF(E882="","",DATE(YEAR(E882),MONTH(E882),1))</f>
        <v/>
      </c>
      <c r="N882" s="57" t="str">
        <f aca="false">IF(E882="","","FY"&amp;(YEAR(E882)+IF(AND(FYStart&gt;1,MONTH(E882)&gt;=FYStart),1,0))&amp;" Q"&amp;(INT(MOD(MONTH(E882)-FYStart,12)/3)+1))</f>
        <v/>
      </c>
      <c r="O882" s="59" t="str">
        <f aca="false">IF(OR(E882="",N(F882)=0),"",G882/F882)</f>
        <v/>
      </c>
      <c r="P882" s="60" t="str">
        <f aca="false">IF(E882="","",ROUND(N(G882)*N(H882)/60,1))</f>
        <v/>
      </c>
      <c r="Q882" s="57" t="str">
        <f aca="false">IF(E882="","",IF(COUNTIFS($C$2:C882,C882,$E$2:E882,E882,$B$2:B882,B882)&gt;1,"No","Yes"))</f>
        <v/>
      </c>
      <c r="R882" s="61" t="str">
        <f aca="false">IF(E882="","",IF(Q882="No","Duplicate of an earlier response",IF(L882="Not on SITES","Site not on SITES",IF(N(G882)&gt;N(F882),"Present is more than enrolled",IF(OR(I882&lt;1,I882&gt;5),"Score outside 1 to 5","")))))</f>
        <v/>
      </c>
    </row>
    <row r="883" customFormat="false" ht="15" hidden="false" customHeight="false" outlineLevel="0" collapsed="false">
      <c r="A883" s="52"/>
      <c r="B883" s="53"/>
      <c r="C883" s="53"/>
      <c r="D883" s="53"/>
      <c r="E883" s="54"/>
      <c r="F883" s="55"/>
      <c r="G883" s="55"/>
      <c r="H883" s="55"/>
      <c r="I883" s="56"/>
      <c r="J883" s="53"/>
      <c r="K883" s="53"/>
      <c r="L883" s="57" t="str">
        <f aca="false">IF(C883="","",IFERROR(INDEX(site_ID,MATCH(C883,site_Name,0)),"Not on SITES"))</f>
        <v/>
      </c>
      <c r="M883" s="58" t="str">
        <f aca="false">IF(E883="","",DATE(YEAR(E883),MONTH(E883),1))</f>
        <v/>
      </c>
      <c r="N883" s="57" t="str">
        <f aca="false">IF(E883="","","FY"&amp;(YEAR(E883)+IF(AND(FYStart&gt;1,MONTH(E883)&gt;=FYStart),1,0))&amp;" Q"&amp;(INT(MOD(MONTH(E883)-FYStart,12)/3)+1))</f>
        <v/>
      </c>
      <c r="O883" s="59" t="str">
        <f aca="false">IF(OR(E883="",N(F883)=0),"",G883/F883)</f>
        <v/>
      </c>
      <c r="P883" s="60" t="str">
        <f aca="false">IF(E883="","",ROUND(N(G883)*N(H883)/60,1))</f>
        <v/>
      </c>
      <c r="Q883" s="57" t="str">
        <f aca="false">IF(E883="","",IF(COUNTIFS($C$2:C883,C883,$E$2:E883,E883,$B$2:B883,B883)&gt;1,"No","Yes"))</f>
        <v/>
      </c>
      <c r="R883" s="61" t="str">
        <f aca="false">IF(E883="","",IF(Q883="No","Duplicate of an earlier response",IF(L883="Not on SITES","Site not on SITES",IF(N(G883)&gt;N(F883),"Present is more than enrolled",IF(OR(I883&lt;1,I883&gt;5),"Score outside 1 to 5","")))))</f>
        <v/>
      </c>
    </row>
    <row r="884" customFormat="false" ht="15" hidden="false" customHeight="false" outlineLevel="0" collapsed="false">
      <c r="A884" s="52"/>
      <c r="B884" s="53"/>
      <c r="C884" s="53"/>
      <c r="D884" s="53"/>
      <c r="E884" s="54"/>
      <c r="F884" s="55"/>
      <c r="G884" s="55"/>
      <c r="H884" s="55"/>
      <c r="I884" s="56"/>
      <c r="J884" s="53"/>
      <c r="K884" s="53"/>
      <c r="L884" s="57" t="str">
        <f aca="false">IF(C884="","",IFERROR(INDEX(site_ID,MATCH(C884,site_Name,0)),"Not on SITES"))</f>
        <v/>
      </c>
      <c r="M884" s="58" t="str">
        <f aca="false">IF(E884="","",DATE(YEAR(E884),MONTH(E884),1))</f>
        <v/>
      </c>
      <c r="N884" s="57" t="str">
        <f aca="false">IF(E884="","","FY"&amp;(YEAR(E884)+IF(AND(FYStart&gt;1,MONTH(E884)&gt;=FYStart),1,0))&amp;" Q"&amp;(INT(MOD(MONTH(E884)-FYStart,12)/3)+1))</f>
        <v/>
      </c>
      <c r="O884" s="59" t="str">
        <f aca="false">IF(OR(E884="",N(F884)=0),"",G884/F884)</f>
        <v/>
      </c>
      <c r="P884" s="60" t="str">
        <f aca="false">IF(E884="","",ROUND(N(G884)*N(H884)/60,1))</f>
        <v/>
      </c>
      <c r="Q884" s="57" t="str">
        <f aca="false">IF(E884="","",IF(COUNTIFS($C$2:C884,C884,$E$2:E884,E884,$B$2:B884,B884)&gt;1,"No","Yes"))</f>
        <v/>
      </c>
      <c r="R884" s="61" t="str">
        <f aca="false">IF(E884="","",IF(Q884="No","Duplicate of an earlier response",IF(L884="Not on SITES","Site not on SITES",IF(N(G884)&gt;N(F884),"Present is more than enrolled",IF(OR(I884&lt;1,I884&gt;5),"Score outside 1 to 5","")))))</f>
        <v/>
      </c>
    </row>
    <row r="885" customFormat="false" ht="15" hidden="false" customHeight="false" outlineLevel="0" collapsed="false">
      <c r="A885" s="52"/>
      <c r="B885" s="53"/>
      <c r="C885" s="53"/>
      <c r="D885" s="53"/>
      <c r="E885" s="54"/>
      <c r="F885" s="55"/>
      <c r="G885" s="55"/>
      <c r="H885" s="55"/>
      <c r="I885" s="56"/>
      <c r="J885" s="53"/>
      <c r="K885" s="53"/>
      <c r="L885" s="57" t="str">
        <f aca="false">IF(C885="","",IFERROR(INDEX(site_ID,MATCH(C885,site_Name,0)),"Not on SITES"))</f>
        <v/>
      </c>
      <c r="M885" s="58" t="str">
        <f aca="false">IF(E885="","",DATE(YEAR(E885),MONTH(E885),1))</f>
        <v/>
      </c>
      <c r="N885" s="57" t="str">
        <f aca="false">IF(E885="","","FY"&amp;(YEAR(E885)+IF(AND(FYStart&gt;1,MONTH(E885)&gt;=FYStart),1,0))&amp;" Q"&amp;(INT(MOD(MONTH(E885)-FYStart,12)/3)+1))</f>
        <v/>
      </c>
      <c r="O885" s="59" t="str">
        <f aca="false">IF(OR(E885="",N(F885)=0),"",G885/F885)</f>
        <v/>
      </c>
      <c r="P885" s="60" t="str">
        <f aca="false">IF(E885="","",ROUND(N(G885)*N(H885)/60,1))</f>
        <v/>
      </c>
      <c r="Q885" s="57" t="str">
        <f aca="false">IF(E885="","",IF(COUNTIFS($C$2:C885,C885,$E$2:E885,E885,$B$2:B885,B885)&gt;1,"No","Yes"))</f>
        <v/>
      </c>
      <c r="R885" s="61" t="str">
        <f aca="false">IF(E885="","",IF(Q885="No","Duplicate of an earlier response",IF(L885="Not on SITES","Site not on SITES",IF(N(G885)&gt;N(F885),"Present is more than enrolled",IF(OR(I885&lt;1,I885&gt;5),"Score outside 1 to 5","")))))</f>
        <v/>
      </c>
    </row>
    <row r="886" customFormat="false" ht="15" hidden="false" customHeight="false" outlineLevel="0" collapsed="false">
      <c r="A886" s="52"/>
      <c r="B886" s="53"/>
      <c r="C886" s="53"/>
      <c r="D886" s="53"/>
      <c r="E886" s="54"/>
      <c r="F886" s="55"/>
      <c r="G886" s="55"/>
      <c r="H886" s="55"/>
      <c r="I886" s="56"/>
      <c r="J886" s="53"/>
      <c r="K886" s="53"/>
      <c r="L886" s="57" t="str">
        <f aca="false">IF(C886="","",IFERROR(INDEX(site_ID,MATCH(C886,site_Name,0)),"Not on SITES"))</f>
        <v/>
      </c>
      <c r="M886" s="58" t="str">
        <f aca="false">IF(E886="","",DATE(YEAR(E886),MONTH(E886),1))</f>
        <v/>
      </c>
      <c r="N886" s="57" t="str">
        <f aca="false">IF(E886="","","FY"&amp;(YEAR(E886)+IF(AND(FYStart&gt;1,MONTH(E886)&gt;=FYStart),1,0))&amp;" Q"&amp;(INT(MOD(MONTH(E886)-FYStart,12)/3)+1))</f>
        <v/>
      </c>
      <c r="O886" s="59" t="str">
        <f aca="false">IF(OR(E886="",N(F886)=0),"",G886/F886)</f>
        <v/>
      </c>
      <c r="P886" s="60" t="str">
        <f aca="false">IF(E886="","",ROUND(N(G886)*N(H886)/60,1))</f>
        <v/>
      </c>
      <c r="Q886" s="57" t="str">
        <f aca="false">IF(E886="","",IF(COUNTIFS($C$2:C886,C886,$E$2:E886,E886,$B$2:B886,B886)&gt;1,"No","Yes"))</f>
        <v/>
      </c>
      <c r="R886" s="61" t="str">
        <f aca="false">IF(E886="","",IF(Q886="No","Duplicate of an earlier response",IF(L886="Not on SITES","Site not on SITES",IF(N(G886)&gt;N(F886),"Present is more than enrolled",IF(OR(I886&lt;1,I886&gt;5),"Score outside 1 to 5","")))))</f>
        <v/>
      </c>
    </row>
    <row r="887" customFormat="false" ht="15" hidden="false" customHeight="false" outlineLevel="0" collapsed="false">
      <c r="A887" s="52"/>
      <c r="B887" s="53"/>
      <c r="C887" s="53"/>
      <c r="D887" s="53"/>
      <c r="E887" s="54"/>
      <c r="F887" s="55"/>
      <c r="G887" s="55"/>
      <c r="H887" s="55"/>
      <c r="I887" s="56"/>
      <c r="J887" s="53"/>
      <c r="K887" s="53"/>
      <c r="L887" s="57" t="str">
        <f aca="false">IF(C887="","",IFERROR(INDEX(site_ID,MATCH(C887,site_Name,0)),"Not on SITES"))</f>
        <v/>
      </c>
      <c r="M887" s="58" t="str">
        <f aca="false">IF(E887="","",DATE(YEAR(E887),MONTH(E887),1))</f>
        <v/>
      </c>
      <c r="N887" s="57" t="str">
        <f aca="false">IF(E887="","","FY"&amp;(YEAR(E887)+IF(AND(FYStart&gt;1,MONTH(E887)&gt;=FYStart),1,0))&amp;" Q"&amp;(INT(MOD(MONTH(E887)-FYStart,12)/3)+1))</f>
        <v/>
      </c>
      <c r="O887" s="59" t="str">
        <f aca="false">IF(OR(E887="",N(F887)=0),"",G887/F887)</f>
        <v/>
      </c>
      <c r="P887" s="60" t="str">
        <f aca="false">IF(E887="","",ROUND(N(G887)*N(H887)/60,1))</f>
        <v/>
      </c>
      <c r="Q887" s="57" t="str">
        <f aca="false">IF(E887="","",IF(COUNTIFS($C$2:C887,C887,$E$2:E887,E887,$B$2:B887,B887)&gt;1,"No","Yes"))</f>
        <v/>
      </c>
      <c r="R887" s="61" t="str">
        <f aca="false">IF(E887="","",IF(Q887="No","Duplicate of an earlier response",IF(L887="Not on SITES","Site not on SITES",IF(N(G887)&gt;N(F887),"Present is more than enrolled",IF(OR(I887&lt;1,I887&gt;5),"Score outside 1 to 5","")))))</f>
        <v/>
      </c>
    </row>
    <row r="888" customFormat="false" ht="15" hidden="false" customHeight="false" outlineLevel="0" collapsed="false">
      <c r="A888" s="52"/>
      <c r="B888" s="53"/>
      <c r="C888" s="53"/>
      <c r="D888" s="53"/>
      <c r="E888" s="54"/>
      <c r="F888" s="55"/>
      <c r="G888" s="55"/>
      <c r="H888" s="55"/>
      <c r="I888" s="56"/>
      <c r="J888" s="53"/>
      <c r="K888" s="53"/>
      <c r="L888" s="57" t="str">
        <f aca="false">IF(C888="","",IFERROR(INDEX(site_ID,MATCH(C888,site_Name,0)),"Not on SITES"))</f>
        <v/>
      </c>
      <c r="M888" s="58" t="str">
        <f aca="false">IF(E888="","",DATE(YEAR(E888),MONTH(E888),1))</f>
        <v/>
      </c>
      <c r="N888" s="57" t="str">
        <f aca="false">IF(E888="","","FY"&amp;(YEAR(E888)+IF(AND(FYStart&gt;1,MONTH(E888)&gt;=FYStart),1,0))&amp;" Q"&amp;(INT(MOD(MONTH(E888)-FYStart,12)/3)+1))</f>
        <v/>
      </c>
      <c r="O888" s="59" t="str">
        <f aca="false">IF(OR(E888="",N(F888)=0),"",G888/F888)</f>
        <v/>
      </c>
      <c r="P888" s="60" t="str">
        <f aca="false">IF(E888="","",ROUND(N(G888)*N(H888)/60,1))</f>
        <v/>
      </c>
      <c r="Q888" s="57" t="str">
        <f aca="false">IF(E888="","",IF(COUNTIFS($C$2:C888,C888,$E$2:E888,E888,$B$2:B888,B888)&gt;1,"No","Yes"))</f>
        <v/>
      </c>
      <c r="R888" s="61" t="str">
        <f aca="false">IF(E888="","",IF(Q888="No","Duplicate of an earlier response",IF(L888="Not on SITES","Site not on SITES",IF(N(G888)&gt;N(F888),"Present is more than enrolled",IF(OR(I888&lt;1,I888&gt;5),"Score outside 1 to 5","")))))</f>
        <v/>
      </c>
    </row>
    <row r="889" customFormat="false" ht="15" hidden="false" customHeight="false" outlineLevel="0" collapsed="false">
      <c r="A889" s="52"/>
      <c r="B889" s="53"/>
      <c r="C889" s="53"/>
      <c r="D889" s="53"/>
      <c r="E889" s="54"/>
      <c r="F889" s="55"/>
      <c r="G889" s="55"/>
      <c r="H889" s="55"/>
      <c r="I889" s="56"/>
      <c r="J889" s="53"/>
      <c r="K889" s="53"/>
      <c r="L889" s="57" t="str">
        <f aca="false">IF(C889="","",IFERROR(INDEX(site_ID,MATCH(C889,site_Name,0)),"Not on SITES"))</f>
        <v/>
      </c>
      <c r="M889" s="58" t="str">
        <f aca="false">IF(E889="","",DATE(YEAR(E889),MONTH(E889),1))</f>
        <v/>
      </c>
      <c r="N889" s="57" t="str">
        <f aca="false">IF(E889="","","FY"&amp;(YEAR(E889)+IF(AND(FYStart&gt;1,MONTH(E889)&gt;=FYStart),1,0))&amp;" Q"&amp;(INT(MOD(MONTH(E889)-FYStart,12)/3)+1))</f>
        <v/>
      </c>
      <c r="O889" s="59" t="str">
        <f aca="false">IF(OR(E889="",N(F889)=0),"",G889/F889)</f>
        <v/>
      </c>
      <c r="P889" s="60" t="str">
        <f aca="false">IF(E889="","",ROUND(N(G889)*N(H889)/60,1))</f>
        <v/>
      </c>
      <c r="Q889" s="57" t="str">
        <f aca="false">IF(E889="","",IF(COUNTIFS($C$2:C889,C889,$E$2:E889,E889,$B$2:B889,B889)&gt;1,"No","Yes"))</f>
        <v/>
      </c>
      <c r="R889" s="61" t="str">
        <f aca="false">IF(E889="","",IF(Q889="No","Duplicate of an earlier response",IF(L889="Not on SITES","Site not on SITES",IF(N(G889)&gt;N(F889),"Present is more than enrolled",IF(OR(I889&lt;1,I889&gt;5),"Score outside 1 to 5","")))))</f>
        <v/>
      </c>
    </row>
    <row r="890" customFormat="false" ht="15" hidden="false" customHeight="false" outlineLevel="0" collapsed="false">
      <c r="A890" s="52"/>
      <c r="B890" s="53"/>
      <c r="C890" s="53"/>
      <c r="D890" s="53"/>
      <c r="E890" s="54"/>
      <c r="F890" s="55"/>
      <c r="G890" s="55"/>
      <c r="H890" s="55"/>
      <c r="I890" s="56"/>
      <c r="J890" s="53"/>
      <c r="K890" s="53"/>
      <c r="L890" s="57" t="str">
        <f aca="false">IF(C890="","",IFERROR(INDEX(site_ID,MATCH(C890,site_Name,0)),"Not on SITES"))</f>
        <v/>
      </c>
      <c r="M890" s="58" t="str">
        <f aca="false">IF(E890="","",DATE(YEAR(E890),MONTH(E890),1))</f>
        <v/>
      </c>
      <c r="N890" s="57" t="str">
        <f aca="false">IF(E890="","","FY"&amp;(YEAR(E890)+IF(AND(FYStart&gt;1,MONTH(E890)&gt;=FYStart),1,0))&amp;" Q"&amp;(INT(MOD(MONTH(E890)-FYStart,12)/3)+1))</f>
        <v/>
      </c>
      <c r="O890" s="59" t="str">
        <f aca="false">IF(OR(E890="",N(F890)=0),"",G890/F890)</f>
        <v/>
      </c>
      <c r="P890" s="60" t="str">
        <f aca="false">IF(E890="","",ROUND(N(G890)*N(H890)/60,1))</f>
        <v/>
      </c>
      <c r="Q890" s="57" t="str">
        <f aca="false">IF(E890="","",IF(COUNTIFS($C$2:C890,C890,$E$2:E890,E890,$B$2:B890,B890)&gt;1,"No","Yes"))</f>
        <v/>
      </c>
      <c r="R890" s="61" t="str">
        <f aca="false">IF(E890="","",IF(Q890="No","Duplicate of an earlier response",IF(L890="Not on SITES","Site not on SITES",IF(N(G890)&gt;N(F890),"Present is more than enrolled",IF(OR(I890&lt;1,I890&gt;5),"Score outside 1 to 5","")))))</f>
        <v/>
      </c>
    </row>
    <row r="891" customFormat="false" ht="15" hidden="false" customHeight="false" outlineLevel="0" collapsed="false">
      <c r="A891" s="52"/>
      <c r="B891" s="53"/>
      <c r="C891" s="53"/>
      <c r="D891" s="53"/>
      <c r="E891" s="54"/>
      <c r="F891" s="55"/>
      <c r="G891" s="55"/>
      <c r="H891" s="55"/>
      <c r="I891" s="56"/>
      <c r="J891" s="53"/>
      <c r="K891" s="53"/>
      <c r="L891" s="57" t="str">
        <f aca="false">IF(C891="","",IFERROR(INDEX(site_ID,MATCH(C891,site_Name,0)),"Not on SITES"))</f>
        <v/>
      </c>
      <c r="M891" s="58" t="str">
        <f aca="false">IF(E891="","",DATE(YEAR(E891),MONTH(E891),1))</f>
        <v/>
      </c>
      <c r="N891" s="57" t="str">
        <f aca="false">IF(E891="","","FY"&amp;(YEAR(E891)+IF(AND(FYStart&gt;1,MONTH(E891)&gt;=FYStart),1,0))&amp;" Q"&amp;(INT(MOD(MONTH(E891)-FYStart,12)/3)+1))</f>
        <v/>
      </c>
      <c r="O891" s="59" t="str">
        <f aca="false">IF(OR(E891="",N(F891)=0),"",G891/F891)</f>
        <v/>
      </c>
      <c r="P891" s="60" t="str">
        <f aca="false">IF(E891="","",ROUND(N(G891)*N(H891)/60,1))</f>
        <v/>
      </c>
      <c r="Q891" s="57" t="str">
        <f aca="false">IF(E891="","",IF(COUNTIFS($C$2:C891,C891,$E$2:E891,E891,$B$2:B891,B891)&gt;1,"No","Yes"))</f>
        <v/>
      </c>
      <c r="R891" s="61" t="str">
        <f aca="false">IF(E891="","",IF(Q891="No","Duplicate of an earlier response",IF(L891="Not on SITES","Site not on SITES",IF(N(G891)&gt;N(F891),"Present is more than enrolled",IF(OR(I891&lt;1,I891&gt;5),"Score outside 1 to 5","")))))</f>
        <v/>
      </c>
    </row>
    <row r="892" customFormat="false" ht="15" hidden="false" customHeight="false" outlineLevel="0" collapsed="false">
      <c r="A892" s="52"/>
      <c r="B892" s="53"/>
      <c r="C892" s="53"/>
      <c r="D892" s="53"/>
      <c r="E892" s="54"/>
      <c r="F892" s="55"/>
      <c r="G892" s="55"/>
      <c r="H892" s="55"/>
      <c r="I892" s="56"/>
      <c r="J892" s="53"/>
      <c r="K892" s="53"/>
      <c r="L892" s="57" t="str">
        <f aca="false">IF(C892="","",IFERROR(INDEX(site_ID,MATCH(C892,site_Name,0)),"Not on SITES"))</f>
        <v/>
      </c>
      <c r="M892" s="58" t="str">
        <f aca="false">IF(E892="","",DATE(YEAR(E892),MONTH(E892),1))</f>
        <v/>
      </c>
      <c r="N892" s="57" t="str">
        <f aca="false">IF(E892="","","FY"&amp;(YEAR(E892)+IF(AND(FYStart&gt;1,MONTH(E892)&gt;=FYStart),1,0))&amp;" Q"&amp;(INT(MOD(MONTH(E892)-FYStart,12)/3)+1))</f>
        <v/>
      </c>
      <c r="O892" s="59" t="str">
        <f aca="false">IF(OR(E892="",N(F892)=0),"",G892/F892)</f>
        <v/>
      </c>
      <c r="P892" s="60" t="str">
        <f aca="false">IF(E892="","",ROUND(N(G892)*N(H892)/60,1))</f>
        <v/>
      </c>
      <c r="Q892" s="57" t="str">
        <f aca="false">IF(E892="","",IF(COUNTIFS($C$2:C892,C892,$E$2:E892,E892,$B$2:B892,B892)&gt;1,"No","Yes"))</f>
        <v/>
      </c>
      <c r="R892" s="61" t="str">
        <f aca="false">IF(E892="","",IF(Q892="No","Duplicate of an earlier response",IF(L892="Not on SITES","Site not on SITES",IF(N(G892)&gt;N(F892),"Present is more than enrolled",IF(OR(I892&lt;1,I892&gt;5),"Score outside 1 to 5","")))))</f>
        <v/>
      </c>
    </row>
    <row r="893" customFormat="false" ht="15" hidden="false" customHeight="false" outlineLevel="0" collapsed="false">
      <c r="A893" s="52"/>
      <c r="B893" s="53"/>
      <c r="C893" s="53"/>
      <c r="D893" s="53"/>
      <c r="E893" s="54"/>
      <c r="F893" s="55"/>
      <c r="G893" s="55"/>
      <c r="H893" s="55"/>
      <c r="I893" s="56"/>
      <c r="J893" s="53"/>
      <c r="K893" s="53"/>
      <c r="L893" s="57" t="str">
        <f aca="false">IF(C893="","",IFERROR(INDEX(site_ID,MATCH(C893,site_Name,0)),"Not on SITES"))</f>
        <v/>
      </c>
      <c r="M893" s="58" t="str">
        <f aca="false">IF(E893="","",DATE(YEAR(E893),MONTH(E893),1))</f>
        <v/>
      </c>
      <c r="N893" s="57" t="str">
        <f aca="false">IF(E893="","","FY"&amp;(YEAR(E893)+IF(AND(FYStart&gt;1,MONTH(E893)&gt;=FYStart),1,0))&amp;" Q"&amp;(INT(MOD(MONTH(E893)-FYStart,12)/3)+1))</f>
        <v/>
      </c>
      <c r="O893" s="59" t="str">
        <f aca="false">IF(OR(E893="",N(F893)=0),"",G893/F893)</f>
        <v/>
      </c>
      <c r="P893" s="60" t="str">
        <f aca="false">IF(E893="","",ROUND(N(G893)*N(H893)/60,1))</f>
        <v/>
      </c>
      <c r="Q893" s="57" t="str">
        <f aca="false">IF(E893="","",IF(COUNTIFS($C$2:C893,C893,$E$2:E893,E893,$B$2:B893,B893)&gt;1,"No","Yes"))</f>
        <v/>
      </c>
      <c r="R893" s="61" t="str">
        <f aca="false">IF(E893="","",IF(Q893="No","Duplicate of an earlier response",IF(L893="Not on SITES","Site not on SITES",IF(N(G893)&gt;N(F893),"Present is more than enrolled",IF(OR(I893&lt;1,I893&gt;5),"Score outside 1 to 5","")))))</f>
        <v/>
      </c>
    </row>
    <row r="894" customFormat="false" ht="15" hidden="false" customHeight="false" outlineLevel="0" collapsed="false">
      <c r="A894" s="52"/>
      <c r="B894" s="53"/>
      <c r="C894" s="53"/>
      <c r="D894" s="53"/>
      <c r="E894" s="54"/>
      <c r="F894" s="55"/>
      <c r="G894" s="55"/>
      <c r="H894" s="55"/>
      <c r="I894" s="56"/>
      <c r="J894" s="53"/>
      <c r="K894" s="53"/>
      <c r="L894" s="57" t="str">
        <f aca="false">IF(C894="","",IFERROR(INDEX(site_ID,MATCH(C894,site_Name,0)),"Not on SITES"))</f>
        <v/>
      </c>
      <c r="M894" s="58" t="str">
        <f aca="false">IF(E894="","",DATE(YEAR(E894),MONTH(E894),1))</f>
        <v/>
      </c>
      <c r="N894" s="57" t="str">
        <f aca="false">IF(E894="","","FY"&amp;(YEAR(E894)+IF(AND(FYStart&gt;1,MONTH(E894)&gt;=FYStart),1,0))&amp;" Q"&amp;(INT(MOD(MONTH(E894)-FYStart,12)/3)+1))</f>
        <v/>
      </c>
      <c r="O894" s="59" t="str">
        <f aca="false">IF(OR(E894="",N(F894)=0),"",G894/F894)</f>
        <v/>
      </c>
      <c r="P894" s="60" t="str">
        <f aca="false">IF(E894="","",ROUND(N(G894)*N(H894)/60,1))</f>
        <v/>
      </c>
      <c r="Q894" s="57" t="str">
        <f aca="false">IF(E894="","",IF(COUNTIFS($C$2:C894,C894,$E$2:E894,E894,$B$2:B894,B894)&gt;1,"No","Yes"))</f>
        <v/>
      </c>
      <c r="R894" s="61" t="str">
        <f aca="false">IF(E894="","",IF(Q894="No","Duplicate of an earlier response",IF(L894="Not on SITES","Site not on SITES",IF(N(G894)&gt;N(F894),"Present is more than enrolled",IF(OR(I894&lt;1,I894&gt;5),"Score outside 1 to 5","")))))</f>
        <v/>
      </c>
    </row>
    <row r="895" customFormat="false" ht="15" hidden="false" customHeight="false" outlineLevel="0" collapsed="false">
      <c r="A895" s="52"/>
      <c r="B895" s="53"/>
      <c r="C895" s="53"/>
      <c r="D895" s="53"/>
      <c r="E895" s="54"/>
      <c r="F895" s="55"/>
      <c r="G895" s="55"/>
      <c r="H895" s="55"/>
      <c r="I895" s="56"/>
      <c r="J895" s="53"/>
      <c r="K895" s="53"/>
      <c r="L895" s="57" t="str">
        <f aca="false">IF(C895="","",IFERROR(INDEX(site_ID,MATCH(C895,site_Name,0)),"Not on SITES"))</f>
        <v/>
      </c>
      <c r="M895" s="58" t="str">
        <f aca="false">IF(E895="","",DATE(YEAR(E895),MONTH(E895),1))</f>
        <v/>
      </c>
      <c r="N895" s="57" t="str">
        <f aca="false">IF(E895="","","FY"&amp;(YEAR(E895)+IF(AND(FYStart&gt;1,MONTH(E895)&gt;=FYStart),1,0))&amp;" Q"&amp;(INT(MOD(MONTH(E895)-FYStart,12)/3)+1))</f>
        <v/>
      </c>
      <c r="O895" s="59" t="str">
        <f aca="false">IF(OR(E895="",N(F895)=0),"",G895/F895)</f>
        <v/>
      </c>
      <c r="P895" s="60" t="str">
        <f aca="false">IF(E895="","",ROUND(N(G895)*N(H895)/60,1))</f>
        <v/>
      </c>
      <c r="Q895" s="57" t="str">
        <f aca="false">IF(E895="","",IF(COUNTIFS($C$2:C895,C895,$E$2:E895,E895,$B$2:B895,B895)&gt;1,"No","Yes"))</f>
        <v/>
      </c>
      <c r="R895" s="61" t="str">
        <f aca="false">IF(E895="","",IF(Q895="No","Duplicate of an earlier response",IF(L895="Not on SITES","Site not on SITES",IF(N(G895)&gt;N(F895),"Present is more than enrolled",IF(OR(I895&lt;1,I895&gt;5),"Score outside 1 to 5","")))))</f>
        <v/>
      </c>
    </row>
    <row r="896" customFormat="false" ht="15" hidden="false" customHeight="false" outlineLevel="0" collapsed="false">
      <c r="A896" s="52"/>
      <c r="B896" s="53"/>
      <c r="C896" s="53"/>
      <c r="D896" s="53"/>
      <c r="E896" s="54"/>
      <c r="F896" s="55"/>
      <c r="G896" s="55"/>
      <c r="H896" s="55"/>
      <c r="I896" s="56"/>
      <c r="J896" s="53"/>
      <c r="K896" s="53"/>
      <c r="L896" s="57" t="str">
        <f aca="false">IF(C896="","",IFERROR(INDEX(site_ID,MATCH(C896,site_Name,0)),"Not on SITES"))</f>
        <v/>
      </c>
      <c r="M896" s="58" t="str">
        <f aca="false">IF(E896="","",DATE(YEAR(E896),MONTH(E896),1))</f>
        <v/>
      </c>
      <c r="N896" s="57" t="str">
        <f aca="false">IF(E896="","","FY"&amp;(YEAR(E896)+IF(AND(FYStart&gt;1,MONTH(E896)&gt;=FYStart),1,0))&amp;" Q"&amp;(INT(MOD(MONTH(E896)-FYStart,12)/3)+1))</f>
        <v/>
      </c>
      <c r="O896" s="59" t="str">
        <f aca="false">IF(OR(E896="",N(F896)=0),"",G896/F896)</f>
        <v/>
      </c>
      <c r="P896" s="60" t="str">
        <f aca="false">IF(E896="","",ROUND(N(G896)*N(H896)/60,1))</f>
        <v/>
      </c>
      <c r="Q896" s="57" t="str">
        <f aca="false">IF(E896="","",IF(COUNTIFS($C$2:C896,C896,$E$2:E896,E896,$B$2:B896,B896)&gt;1,"No","Yes"))</f>
        <v/>
      </c>
      <c r="R896" s="61" t="str">
        <f aca="false">IF(E896="","",IF(Q896="No","Duplicate of an earlier response",IF(L896="Not on SITES","Site not on SITES",IF(N(G896)&gt;N(F896),"Present is more than enrolled",IF(OR(I896&lt;1,I896&gt;5),"Score outside 1 to 5","")))))</f>
        <v/>
      </c>
    </row>
    <row r="897" customFormat="false" ht="15" hidden="false" customHeight="false" outlineLevel="0" collapsed="false">
      <c r="A897" s="52"/>
      <c r="B897" s="53"/>
      <c r="C897" s="53"/>
      <c r="D897" s="53"/>
      <c r="E897" s="54"/>
      <c r="F897" s="55"/>
      <c r="G897" s="55"/>
      <c r="H897" s="55"/>
      <c r="I897" s="56"/>
      <c r="J897" s="53"/>
      <c r="K897" s="53"/>
      <c r="L897" s="57" t="str">
        <f aca="false">IF(C897="","",IFERROR(INDEX(site_ID,MATCH(C897,site_Name,0)),"Not on SITES"))</f>
        <v/>
      </c>
      <c r="M897" s="58" t="str">
        <f aca="false">IF(E897="","",DATE(YEAR(E897),MONTH(E897),1))</f>
        <v/>
      </c>
      <c r="N897" s="57" t="str">
        <f aca="false">IF(E897="","","FY"&amp;(YEAR(E897)+IF(AND(FYStart&gt;1,MONTH(E897)&gt;=FYStart),1,0))&amp;" Q"&amp;(INT(MOD(MONTH(E897)-FYStart,12)/3)+1))</f>
        <v/>
      </c>
      <c r="O897" s="59" t="str">
        <f aca="false">IF(OR(E897="",N(F897)=0),"",G897/F897)</f>
        <v/>
      </c>
      <c r="P897" s="60" t="str">
        <f aca="false">IF(E897="","",ROUND(N(G897)*N(H897)/60,1))</f>
        <v/>
      </c>
      <c r="Q897" s="57" t="str">
        <f aca="false">IF(E897="","",IF(COUNTIFS($C$2:C897,C897,$E$2:E897,E897,$B$2:B897,B897)&gt;1,"No","Yes"))</f>
        <v/>
      </c>
      <c r="R897" s="61" t="str">
        <f aca="false">IF(E897="","",IF(Q897="No","Duplicate of an earlier response",IF(L897="Not on SITES","Site not on SITES",IF(N(G897)&gt;N(F897),"Present is more than enrolled",IF(OR(I897&lt;1,I897&gt;5),"Score outside 1 to 5","")))))</f>
        <v/>
      </c>
    </row>
    <row r="898" customFormat="false" ht="15" hidden="false" customHeight="false" outlineLevel="0" collapsed="false">
      <c r="A898" s="52"/>
      <c r="B898" s="53"/>
      <c r="C898" s="53"/>
      <c r="D898" s="53"/>
      <c r="E898" s="54"/>
      <c r="F898" s="55"/>
      <c r="G898" s="55"/>
      <c r="H898" s="55"/>
      <c r="I898" s="56"/>
      <c r="J898" s="53"/>
      <c r="K898" s="53"/>
      <c r="L898" s="57" t="str">
        <f aca="false">IF(C898="","",IFERROR(INDEX(site_ID,MATCH(C898,site_Name,0)),"Not on SITES"))</f>
        <v/>
      </c>
      <c r="M898" s="58" t="str">
        <f aca="false">IF(E898="","",DATE(YEAR(E898),MONTH(E898),1))</f>
        <v/>
      </c>
      <c r="N898" s="57" t="str">
        <f aca="false">IF(E898="","","FY"&amp;(YEAR(E898)+IF(AND(FYStart&gt;1,MONTH(E898)&gt;=FYStart),1,0))&amp;" Q"&amp;(INT(MOD(MONTH(E898)-FYStart,12)/3)+1))</f>
        <v/>
      </c>
      <c r="O898" s="59" t="str">
        <f aca="false">IF(OR(E898="",N(F898)=0),"",G898/F898)</f>
        <v/>
      </c>
      <c r="P898" s="60" t="str">
        <f aca="false">IF(E898="","",ROUND(N(G898)*N(H898)/60,1))</f>
        <v/>
      </c>
      <c r="Q898" s="57" t="str">
        <f aca="false">IF(E898="","",IF(COUNTIFS($C$2:C898,C898,$E$2:E898,E898,$B$2:B898,B898)&gt;1,"No","Yes"))</f>
        <v/>
      </c>
      <c r="R898" s="61" t="str">
        <f aca="false">IF(E898="","",IF(Q898="No","Duplicate of an earlier response",IF(L898="Not on SITES","Site not on SITES",IF(N(G898)&gt;N(F898),"Present is more than enrolled",IF(OR(I898&lt;1,I898&gt;5),"Score outside 1 to 5","")))))</f>
        <v/>
      </c>
    </row>
    <row r="899" customFormat="false" ht="15" hidden="false" customHeight="false" outlineLevel="0" collapsed="false">
      <c r="A899" s="52"/>
      <c r="B899" s="53"/>
      <c r="C899" s="53"/>
      <c r="D899" s="53"/>
      <c r="E899" s="54"/>
      <c r="F899" s="55"/>
      <c r="G899" s="55"/>
      <c r="H899" s="55"/>
      <c r="I899" s="56"/>
      <c r="J899" s="53"/>
      <c r="K899" s="53"/>
      <c r="L899" s="57" t="str">
        <f aca="false">IF(C899="","",IFERROR(INDEX(site_ID,MATCH(C899,site_Name,0)),"Not on SITES"))</f>
        <v/>
      </c>
      <c r="M899" s="58" t="str">
        <f aca="false">IF(E899="","",DATE(YEAR(E899),MONTH(E899),1))</f>
        <v/>
      </c>
      <c r="N899" s="57" t="str">
        <f aca="false">IF(E899="","","FY"&amp;(YEAR(E899)+IF(AND(FYStart&gt;1,MONTH(E899)&gt;=FYStart),1,0))&amp;" Q"&amp;(INT(MOD(MONTH(E899)-FYStart,12)/3)+1))</f>
        <v/>
      </c>
      <c r="O899" s="59" t="str">
        <f aca="false">IF(OR(E899="",N(F899)=0),"",G899/F899)</f>
        <v/>
      </c>
      <c r="P899" s="60" t="str">
        <f aca="false">IF(E899="","",ROUND(N(G899)*N(H899)/60,1))</f>
        <v/>
      </c>
      <c r="Q899" s="57" t="str">
        <f aca="false">IF(E899="","",IF(COUNTIFS($C$2:C899,C899,$E$2:E899,E899,$B$2:B899,B899)&gt;1,"No","Yes"))</f>
        <v/>
      </c>
      <c r="R899" s="61" t="str">
        <f aca="false">IF(E899="","",IF(Q899="No","Duplicate of an earlier response",IF(L899="Not on SITES","Site not on SITES",IF(N(G899)&gt;N(F899),"Present is more than enrolled",IF(OR(I899&lt;1,I899&gt;5),"Score outside 1 to 5","")))))</f>
        <v/>
      </c>
    </row>
    <row r="900" customFormat="false" ht="15" hidden="false" customHeight="false" outlineLevel="0" collapsed="false">
      <c r="A900" s="52"/>
      <c r="B900" s="53"/>
      <c r="C900" s="53"/>
      <c r="D900" s="53"/>
      <c r="E900" s="54"/>
      <c r="F900" s="55"/>
      <c r="G900" s="55"/>
      <c r="H900" s="55"/>
      <c r="I900" s="56"/>
      <c r="J900" s="53"/>
      <c r="K900" s="53"/>
      <c r="L900" s="57" t="str">
        <f aca="false">IF(C900="","",IFERROR(INDEX(site_ID,MATCH(C900,site_Name,0)),"Not on SITES"))</f>
        <v/>
      </c>
      <c r="M900" s="58" t="str">
        <f aca="false">IF(E900="","",DATE(YEAR(E900),MONTH(E900),1))</f>
        <v/>
      </c>
      <c r="N900" s="57" t="str">
        <f aca="false">IF(E900="","","FY"&amp;(YEAR(E900)+IF(AND(FYStart&gt;1,MONTH(E900)&gt;=FYStart),1,0))&amp;" Q"&amp;(INT(MOD(MONTH(E900)-FYStart,12)/3)+1))</f>
        <v/>
      </c>
      <c r="O900" s="59" t="str">
        <f aca="false">IF(OR(E900="",N(F900)=0),"",G900/F900)</f>
        <v/>
      </c>
      <c r="P900" s="60" t="str">
        <f aca="false">IF(E900="","",ROUND(N(G900)*N(H900)/60,1))</f>
        <v/>
      </c>
      <c r="Q900" s="57" t="str">
        <f aca="false">IF(E900="","",IF(COUNTIFS($C$2:C900,C900,$E$2:E900,E900,$B$2:B900,B900)&gt;1,"No","Yes"))</f>
        <v/>
      </c>
      <c r="R900" s="61" t="str">
        <f aca="false">IF(E900="","",IF(Q900="No","Duplicate of an earlier response",IF(L900="Not on SITES","Site not on SITES",IF(N(G900)&gt;N(F900),"Present is more than enrolled",IF(OR(I900&lt;1,I900&gt;5),"Score outside 1 to 5","")))))</f>
        <v/>
      </c>
    </row>
    <row r="901" customFormat="false" ht="15" hidden="false" customHeight="false" outlineLevel="0" collapsed="false">
      <c r="A901" s="52"/>
      <c r="B901" s="53"/>
      <c r="C901" s="53"/>
      <c r="D901" s="53"/>
      <c r="E901" s="54"/>
      <c r="F901" s="55"/>
      <c r="G901" s="55"/>
      <c r="H901" s="55"/>
      <c r="I901" s="56"/>
      <c r="J901" s="53"/>
      <c r="K901" s="53"/>
      <c r="L901" s="57" t="str">
        <f aca="false">IF(C901="","",IFERROR(INDEX(site_ID,MATCH(C901,site_Name,0)),"Not on SITES"))</f>
        <v/>
      </c>
      <c r="M901" s="58" t="str">
        <f aca="false">IF(E901="","",DATE(YEAR(E901),MONTH(E901),1))</f>
        <v/>
      </c>
      <c r="N901" s="57" t="str">
        <f aca="false">IF(E901="","","FY"&amp;(YEAR(E901)+IF(AND(FYStart&gt;1,MONTH(E901)&gt;=FYStart),1,0))&amp;" Q"&amp;(INT(MOD(MONTH(E901)-FYStart,12)/3)+1))</f>
        <v/>
      </c>
      <c r="O901" s="59" t="str">
        <f aca="false">IF(OR(E901="",N(F901)=0),"",G901/F901)</f>
        <v/>
      </c>
      <c r="P901" s="60" t="str">
        <f aca="false">IF(E901="","",ROUND(N(G901)*N(H901)/60,1))</f>
        <v/>
      </c>
      <c r="Q901" s="57" t="str">
        <f aca="false">IF(E901="","",IF(COUNTIFS($C$2:C901,C901,$E$2:E901,E901,$B$2:B901,B901)&gt;1,"No","Yes"))</f>
        <v/>
      </c>
      <c r="R901" s="61" t="str">
        <f aca="false">IF(E901="","",IF(Q901="No","Duplicate of an earlier response",IF(L901="Not on SITES","Site not on SITES",IF(N(G901)&gt;N(F901),"Present is more than enrolled",IF(OR(I901&lt;1,I901&gt;5),"Score outside 1 to 5","")))))</f>
        <v/>
      </c>
    </row>
    <row r="902" customFormat="false" ht="15" hidden="false" customHeight="false" outlineLevel="0" collapsed="false">
      <c r="A902" s="52"/>
      <c r="B902" s="53"/>
      <c r="C902" s="53"/>
      <c r="D902" s="53"/>
      <c r="E902" s="54"/>
      <c r="F902" s="55"/>
      <c r="G902" s="55"/>
      <c r="H902" s="55"/>
      <c r="I902" s="56"/>
      <c r="J902" s="53"/>
      <c r="K902" s="53"/>
      <c r="L902" s="57" t="str">
        <f aca="false">IF(C902="","",IFERROR(INDEX(site_ID,MATCH(C902,site_Name,0)),"Not on SITES"))</f>
        <v/>
      </c>
      <c r="M902" s="58" t="str">
        <f aca="false">IF(E902="","",DATE(YEAR(E902),MONTH(E902),1))</f>
        <v/>
      </c>
      <c r="N902" s="57" t="str">
        <f aca="false">IF(E902="","","FY"&amp;(YEAR(E902)+IF(AND(FYStart&gt;1,MONTH(E902)&gt;=FYStart),1,0))&amp;" Q"&amp;(INT(MOD(MONTH(E902)-FYStart,12)/3)+1))</f>
        <v/>
      </c>
      <c r="O902" s="59" t="str">
        <f aca="false">IF(OR(E902="",N(F902)=0),"",G902/F902)</f>
        <v/>
      </c>
      <c r="P902" s="60" t="str">
        <f aca="false">IF(E902="","",ROUND(N(G902)*N(H902)/60,1))</f>
        <v/>
      </c>
      <c r="Q902" s="57" t="str">
        <f aca="false">IF(E902="","",IF(COUNTIFS($C$2:C902,C902,$E$2:E902,E902,$B$2:B902,B902)&gt;1,"No","Yes"))</f>
        <v/>
      </c>
      <c r="R902" s="61" t="str">
        <f aca="false">IF(E902="","",IF(Q902="No","Duplicate of an earlier response",IF(L902="Not on SITES","Site not on SITES",IF(N(G902)&gt;N(F902),"Present is more than enrolled",IF(OR(I902&lt;1,I902&gt;5),"Score outside 1 to 5","")))))</f>
        <v/>
      </c>
    </row>
    <row r="903" customFormat="false" ht="15" hidden="false" customHeight="false" outlineLevel="0" collapsed="false">
      <c r="A903" s="52"/>
      <c r="B903" s="53"/>
      <c r="C903" s="53"/>
      <c r="D903" s="53"/>
      <c r="E903" s="54"/>
      <c r="F903" s="55"/>
      <c r="G903" s="55"/>
      <c r="H903" s="55"/>
      <c r="I903" s="56"/>
      <c r="J903" s="53"/>
      <c r="K903" s="53"/>
      <c r="L903" s="57" t="str">
        <f aca="false">IF(C903="","",IFERROR(INDEX(site_ID,MATCH(C903,site_Name,0)),"Not on SITES"))</f>
        <v/>
      </c>
      <c r="M903" s="58" t="str">
        <f aca="false">IF(E903="","",DATE(YEAR(E903),MONTH(E903),1))</f>
        <v/>
      </c>
      <c r="N903" s="57" t="str">
        <f aca="false">IF(E903="","","FY"&amp;(YEAR(E903)+IF(AND(FYStart&gt;1,MONTH(E903)&gt;=FYStart),1,0))&amp;" Q"&amp;(INT(MOD(MONTH(E903)-FYStart,12)/3)+1))</f>
        <v/>
      </c>
      <c r="O903" s="59" t="str">
        <f aca="false">IF(OR(E903="",N(F903)=0),"",G903/F903)</f>
        <v/>
      </c>
      <c r="P903" s="60" t="str">
        <f aca="false">IF(E903="","",ROUND(N(G903)*N(H903)/60,1))</f>
        <v/>
      </c>
      <c r="Q903" s="57" t="str">
        <f aca="false">IF(E903="","",IF(COUNTIFS($C$2:C903,C903,$E$2:E903,E903,$B$2:B903,B903)&gt;1,"No","Yes"))</f>
        <v/>
      </c>
      <c r="R903" s="61" t="str">
        <f aca="false">IF(E903="","",IF(Q903="No","Duplicate of an earlier response",IF(L903="Not on SITES","Site not on SITES",IF(N(G903)&gt;N(F903),"Present is more than enrolled",IF(OR(I903&lt;1,I903&gt;5),"Score outside 1 to 5","")))))</f>
        <v/>
      </c>
    </row>
    <row r="904" customFormat="false" ht="15" hidden="false" customHeight="false" outlineLevel="0" collapsed="false">
      <c r="A904" s="52"/>
      <c r="B904" s="53"/>
      <c r="C904" s="53"/>
      <c r="D904" s="53"/>
      <c r="E904" s="54"/>
      <c r="F904" s="55"/>
      <c r="G904" s="55"/>
      <c r="H904" s="55"/>
      <c r="I904" s="56"/>
      <c r="J904" s="53"/>
      <c r="K904" s="53"/>
      <c r="L904" s="57" t="str">
        <f aca="false">IF(C904="","",IFERROR(INDEX(site_ID,MATCH(C904,site_Name,0)),"Not on SITES"))</f>
        <v/>
      </c>
      <c r="M904" s="58" t="str">
        <f aca="false">IF(E904="","",DATE(YEAR(E904),MONTH(E904),1))</f>
        <v/>
      </c>
      <c r="N904" s="57" t="str">
        <f aca="false">IF(E904="","","FY"&amp;(YEAR(E904)+IF(AND(FYStart&gt;1,MONTH(E904)&gt;=FYStart),1,0))&amp;" Q"&amp;(INT(MOD(MONTH(E904)-FYStart,12)/3)+1))</f>
        <v/>
      </c>
      <c r="O904" s="59" t="str">
        <f aca="false">IF(OR(E904="",N(F904)=0),"",G904/F904)</f>
        <v/>
      </c>
      <c r="P904" s="60" t="str">
        <f aca="false">IF(E904="","",ROUND(N(G904)*N(H904)/60,1))</f>
        <v/>
      </c>
      <c r="Q904" s="57" t="str">
        <f aca="false">IF(E904="","",IF(COUNTIFS($C$2:C904,C904,$E$2:E904,E904,$B$2:B904,B904)&gt;1,"No","Yes"))</f>
        <v/>
      </c>
      <c r="R904" s="61" t="str">
        <f aca="false">IF(E904="","",IF(Q904="No","Duplicate of an earlier response",IF(L904="Not on SITES","Site not on SITES",IF(N(G904)&gt;N(F904),"Present is more than enrolled",IF(OR(I904&lt;1,I904&gt;5),"Score outside 1 to 5","")))))</f>
        <v/>
      </c>
    </row>
    <row r="905" customFormat="false" ht="15" hidden="false" customHeight="false" outlineLevel="0" collapsed="false">
      <c r="A905" s="52"/>
      <c r="B905" s="53"/>
      <c r="C905" s="53"/>
      <c r="D905" s="53"/>
      <c r="E905" s="54"/>
      <c r="F905" s="55"/>
      <c r="G905" s="55"/>
      <c r="H905" s="55"/>
      <c r="I905" s="56"/>
      <c r="J905" s="53"/>
      <c r="K905" s="53"/>
      <c r="L905" s="57" t="str">
        <f aca="false">IF(C905="","",IFERROR(INDEX(site_ID,MATCH(C905,site_Name,0)),"Not on SITES"))</f>
        <v/>
      </c>
      <c r="M905" s="58" t="str">
        <f aca="false">IF(E905="","",DATE(YEAR(E905),MONTH(E905),1))</f>
        <v/>
      </c>
      <c r="N905" s="57" t="str">
        <f aca="false">IF(E905="","","FY"&amp;(YEAR(E905)+IF(AND(FYStart&gt;1,MONTH(E905)&gt;=FYStart),1,0))&amp;" Q"&amp;(INT(MOD(MONTH(E905)-FYStart,12)/3)+1))</f>
        <v/>
      </c>
      <c r="O905" s="59" t="str">
        <f aca="false">IF(OR(E905="",N(F905)=0),"",G905/F905)</f>
        <v/>
      </c>
      <c r="P905" s="60" t="str">
        <f aca="false">IF(E905="","",ROUND(N(G905)*N(H905)/60,1))</f>
        <v/>
      </c>
      <c r="Q905" s="57" t="str">
        <f aca="false">IF(E905="","",IF(COUNTIFS($C$2:C905,C905,$E$2:E905,E905,$B$2:B905,B905)&gt;1,"No","Yes"))</f>
        <v/>
      </c>
      <c r="R905" s="61" t="str">
        <f aca="false">IF(E905="","",IF(Q905="No","Duplicate of an earlier response",IF(L905="Not on SITES","Site not on SITES",IF(N(G905)&gt;N(F905),"Present is more than enrolled",IF(OR(I905&lt;1,I905&gt;5),"Score outside 1 to 5","")))))</f>
        <v/>
      </c>
    </row>
    <row r="906" customFormat="false" ht="15" hidden="false" customHeight="false" outlineLevel="0" collapsed="false">
      <c r="A906" s="52"/>
      <c r="B906" s="53"/>
      <c r="C906" s="53"/>
      <c r="D906" s="53"/>
      <c r="E906" s="54"/>
      <c r="F906" s="55"/>
      <c r="G906" s="55"/>
      <c r="H906" s="55"/>
      <c r="I906" s="56"/>
      <c r="J906" s="53"/>
      <c r="K906" s="53"/>
      <c r="L906" s="57" t="str">
        <f aca="false">IF(C906="","",IFERROR(INDEX(site_ID,MATCH(C906,site_Name,0)),"Not on SITES"))</f>
        <v/>
      </c>
      <c r="M906" s="58" t="str">
        <f aca="false">IF(E906="","",DATE(YEAR(E906),MONTH(E906),1))</f>
        <v/>
      </c>
      <c r="N906" s="57" t="str">
        <f aca="false">IF(E906="","","FY"&amp;(YEAR(E906)+IF(AND(FYStart&gt;1,MONTH(E906)&gt;=FYStart),1,0))&amp;" Q"&amp;(INT(MOD(MONTH(E906)-FYStart,12)/3)+1))</f>
        <v/>
      </c>
      <c r="O906" s="59" t="str">
        <f aca="false">IF(OR(E906="",N(F906)=0),"",G906/F906)</f>
        <v/>
      </c>
      <c r="P906" s="60" t="str">
        <f aca="false">IF(E906="","",ROUND(N(G906)*N(H906)/60,1))</f>
        <v/>
      </c>
      <c r="Q906" s="57" t="str">
        <f aca="false">IF(E906="","",IF(COUNTIFS($C$2:C906,C906,$E$2:E906,E906,$B$2:B906,B906)&gt;1,"No","Yes"))</f>
        <v/>
      </c>
      <c r="R906" s="61" t="str">
        <f aca="false">IF(E906="","",IF(Q906="No","Duplicate of an earlier response",IF(L906="Not on SITES","Site not on SITES",IF(N(G906)&gt;N(F906),"Present is more than enrolled",IF(OR(I906&lt;1,I906&gt;5),"Score outside 1 to 5","")))))</f>
        <v/>
      </c>
    </row>
    <row r="907" customFormat="false" ht="15" hidden="false" customHeight="false" outlineLevel="0" collapsed="false">
      <c r="A907" s="52"/>
      <c r="B907" s="53"/>
      <c r="C907" s="53"/>
      <c r="D907" s="53"/>
      <c r="E907" s="54"/>
      <c r="F907" s="55"/>
      <c r="G907" s="55"/>
      <c r="H907" s="55"/>
      <c r="I907" s="56"/>
      <c r="J907" s="53"/>
      <c r="K907" s="53"/>
      <c r="L907" s="57" t="str">
        <f aca="false">IF(C907="","",IFERROR(INDEX(site_ID,MATCH(C907,site_Name,0)),"Not on SITES"))</f>
        <v/>
      </c>
      <c r="M907" s="58" t="str">
        <f aca="false">IF(E907="","",DATE(YEAR(E907),MONTH(E907),1))</f>
        <v/>
      </c>
      <c r="N907" s="57" t="str">
        <f aca="false">IF(E907="","","FY"&amp;(YEAR(E907)+IF(AND(FYStart&gt;1,MONTH(E907)&gt;=FYStart),1,0))&amp;" Q"&amp;(INT(MOD(MONTH(E907)-FYStart,12)/3)+1))</f>
        <v/>
      </c>
      <c r="O907" s="59" t="str">
        <f aca="false">IF(OR(E907="",N(F907)=0),"",G907/F907)</f>
        <v/>
      </c>
      <c r="P907" s="60" t="str">
        <f aca="false">IF(E907="","",ROUND(N(G907)*N(H907)/60,1))</f>
        <v/>
      </c>
      <c r="Q907" s="57" t="str">
        <f aca="false">IF(E907="","",IF(COUNTIFS($C$2:C907,C907,$E$2:E907,E907,$B$2:B907,B907)&gt;1,"No","Yes"))</f>
        <v/>
      </c>
      <c r="R907" s="61" t="str">
        <f aca="false">IF(E907="","",IF(Q907="No","Duplicate of an earlier response",IF(L907="Not on SITES","Site not on SITES",IF(N(G907)&gt;N(F907),"Present is more than enrolled",IF(OR(I907&lt;1,I907&gt;5),"Score outside 1 to 5","")))))</f>
        <v/>
      </c>
    </row>
    <row r="908" customFormat="false" ht="15" hidden="false" customHeight="false" outlineLevel="0" collapsed="false">
      <c r="A908" s="52"/>
      <c r="B908" s="53"/>
      <c r="C908" s="53"/>
      <c r="D908" s="53"/>
      <c r="E908" s="54"/>
      <c r="F908" s="55"/>
      <c r="G908" s="55"/>
      <c r="H908" s="55"/>
      <c r="I908" s="56"/>
      <c r="J908" s="53"/>
      <c r="K908" s="53"/>
      <c r="L908" s="57" t="str">
        <f aca="false">IF(C908="","",IFERROR(INDEX(site_ID,MATCH(C908,site_Name,0)),"Not on SITES"))</f>
        <v/>
      </c>
      <c r="M908" s="58" t="str">
        <f aca="false">IF(E908="","",DATE(YEAR(E908),MONTH(E908),1))</f>
        <v/>
      </c>
      <c r="N908" s="57" t="str">
        <f aca="false">IF(E908="","","FY"&amp;(YEAR(E908)+IF(AND(FYStart&gt;1,MONTH(E908)&gt;=FYStart),1,0))&amp;" Q"&amp;(INT(MOD(MONTH(E908)-FYStart,12)/3)+1))</f>
        <v/>
      </c>
      <c r="O908" s="59" t="str">
        <f aca="false">IF(OR(E908="",N(F908)=0),"",G908/F908)</f>
        <v/>
      </c>
      <c r="P908" s="60" t="str">
        <f aca="false">IF(E908="","",ROUND(N(G908)*N(H908)/60,1))</f>
        <v/>
      </c>
      <c r="Q908" s="57" t="str">
        <f aca="false">IF(E908="","",IF(COUNTIFS($C$2:C908,C908,$E$2:E908,E908,$B$2:B908,B908)&gt;1,"No","Yes"))</f>
        <v/>
      </c>
      <c r="R908" s="61" t="str">
        <f aca="false">IF(E908="","",IF(Q908="No","Duplicate of an earlier response",IF(L908="Not on SITES","Site not on SITES",IF(N(G908)&gt;N(F908),"Present is more than enrolled",IF(OR(I908&lt;1,I908&gt;5),"Score outside 1 to 5","")))))</f>
        <v/>
      </c>
    </row>
    <row r="909" customFormat="false" ht="15" hidden="false" customHeight="false" outlineLevel="0" collapsed="false">
      <c r="A909" s="52"/>
      <c r="B909" s="53"/>
      <c r="C909" s="53"/>
      <c r="D909" s="53"/>
      <c r="E909" s="54"/>
      <c r="F909" s="55"/>
      <c r="G909" s="55"/>
      <c r="H909" s="55"/>
      <c r="I909" s="56"/>
      <c r="J909" s="53"/>
      <c r="K909" s="53"/>
      <c r="L909" s="57" t="str">
        <f aca="false">IF(C909="","",IFERROR(INDEX(site_ID,MATCH(C909,site_Name,0)),"Not on SITES"))</f>
        <v/>
      </c>
      <c r="M909" s="58" t="str">
        <f aca="false">IF(E909="","",DATE(YEAR(E909),MONTH(E909),1))</f>
        <v/>
      </c>
      <c r="N909" s="57" t="str">
        <f aca="false">IF(E909="","","FY"&amp;(YEAR(E909)+IF(AND(FYStart&gt;1,MONTH(E909)&gt;=FYStart),1,0))&amp;" Q"&amp;(INT(MOD(MONTH(E909)-FYStart,12)/3)+1))</f>
        <v/>
      </c>
      <c r="O909" s="59" t="str">
        <f aca="false">IF(OR(E909="",N(F909)=0),"",G909/F909)</f>
        <v/>
      </c>
      <c r="P909" s="60" t="str">
        <f aca="false">IF(E909="","",ROUND(N(G909)*N(H909)/60,1))</f>
        <v/>
      </c>
      <c r="Q909" s="57" t="str">
        <f aca="false">IF(E909="","",IF(COUNTIFS($C$2:C909,C909,$E$2:E909,E909,$B$2:B909,B909)&gt;1,"No","Yes"))</f>
        <v/>
      </c>
      <c r="R909" s="61" t="str">
        <f aca="false">IF(E909="","",IF(Q909="No","Duplicate of an earlier response",IF(L909="Not on SITES","Site not on SITES",IF(N(G909)&gt;N(F909),"Present is more than enrolled",IF(OR(I909&lt;1,I909&gt;5),"Score outside 1 to 5","")))))</f>
        <v/>
      </c>
    </row>
    <row r="910" customFormat="false" ht="15" hidden="false" customHeight="false" outlineLevel="0" collapsed="false">
      <c r="A910" s="52"/>
      <c r="B910" s="53"/>
      <c r="C910" s="53"/>
      <c r="D910" s="53"/>
      <c r="E910" s="54"/>
      <c r="F910" s="55"/>
      <c r="G910" s="55"/>
      <c r="H910" s="55"/>
      <c r="I910" s="56"/>
      <c r="J910" s="53"/>
      <c r="K910" s="53"/>
      <c r="L910" s="57" t="str">
        <f aca="false">IF(C910="","",IFERROR(INDEX(site_ID,MATCH(C910,site_Name,0)),"Not on SITES"))</f>
        <v/>
      </c>
      <c r="M910" s="58" t="str">
        <f aca="false">IF(E910="","",DATE(YEAR(E910),MONTH(E910),1))</f>
        <v/>
      </c>
      <c r="N910" s="57" t="str">
        <f aca="false">IF(E910="","","FY"&amp;(YEAR(E910)+IF(AND(FYStart&gt;1,MONTH(E910)&gt;=FYStart),1,0))&amp;" Q"&amp;(INT(MOD(MONTH(E910)-FYStart,12)/3)+1))</f>
        <v/>
      </c>
      <c r="O910" s="59" t="str">
        <f aca="false">IF(OR(E910="",N(F910)=0),"",G910/F910)</f>
        <v/>
      </c>
      <c r="P910" s="60" t="str">
        <f aca="false">IF(E910="","",ROUND(N(G910)*N(H910)/60,1))</f>
        <v/>
      </c>
      <c r="Q910" s="57" t="str">
        <f aca="false">IF(E910="","",IF(COUNTIFS($C$2:C910,C910,$E$2:E910,E910,$B$2:B910,B910)&gt;1,"No","Yes"))</f>
        <v/>
      </c>
      <c r="R910" s="61" t="str">
        <f aca="false">IF(E910="","",IF(Q910="No","Duplicate of an earlier response",IF(L910="Not on SITES","Site not on SITES",IF(N(G910)&gt;N(F910),"Present is more than enrolled",IF(OR(I910&lt;1,I910&gt;5),"Score outside 1 to 5","")))))</f>
        <v/>
      </c>
    </row>
    <row r="911" customFormat="false" ht="15" hidden="false" customHeight="false" outlineLevel="0" collapsed="false">
      <c r="A911" s="52"/>
      <c r="B911" s="53"/>
      <c r="C911" s="53"/>
      <c r="D911" s="53"/>
      <c r="E911" s="54"/>
      <c r="F911" s="55"/>
      <c r="G911" s="55"/>
      <c r="H911" s="55"/>
      <c r="I911" s="56"/>
      <c r="J911" s="53"/>
      <c r="K911" s="53"/>
      <c r="L911" s="57" t="str">
        <f aca="false">IF(C911="","",IFERROR(INDEX(site_ID,MATCH(C911,site_Name,0)),"Not on SITES"))</f>
        <v/>
      </c>
      <c r="M911" s="58" t="str">
        <f aca="false">IF(E911="","",DATE(YEAR(E911),MONTH(E911),1))</f>
        <v/>
      </c>
      <c r="N911" s="57" t="str">
        <f aca="false">IF(E911="","","FY"&amp;(YEAR(E911)+IF(AND(FYStart&gt;1,MONTH(E911)&gt;=FYStart),1,0))&amp;" Q"&amp;(INT(MOD(MONTH(E911)-FYStart,12)/3)+1))</f>
        <v/>
      </c>
      <c r="O911" s="59" t="str">
        <f aca="false">IF(OR(E911="",N(F911)=0),"",G911/F911)</f>
        <v/>
      </c>
      <c r="P911" s="60" t="str">
        <f aca="false">IF(E911="","",ROUND(N(G911)*N(H911)/60,1))</f>
        <v/>
      </c>
      <c r="Q911" s="57" t="str">
        <f aca="false">IF(E911="","",IF(COUNTIFS($C$2:C911,C911,$E$2:E911,E911,$B$2:B911,B911)&gt;1,"No","Yes"))</f>
        <v/>
      </c>
      <c r="R911" s="61" t="str">
        <f aca="false">IF(E911="","",IF(Q911="No","Duplicate of an earlier response",IF(L911="Not on SITES","Site not on SITES",IF(N(G911)&gt;N(F911),"Present is more than enrolled",IF(OR(I911&lt;1,I911&gt;5),"Score outside 1 to 5","")))))</f>
        <v/>
      </c>
    </row>
    <row r="912" customFormat="false" ht="15" hidden="false" customHeight="false" outlineLevel="0" collapsed="false">
      <c r="A912" s="52"/>
      <c r="B912" s="53"/>
      <c r="C912" s="53"/>
      <c r="D912" s="53"/>
      <c r="E912" s="54"/>
      <c r="F912" s="55"/>
      <c r="G912" s="55"/>
      <c r="H912" s="55"/>
      <c r="I912" s="56"/>
      <c r="J912" s="53"/>
      <c r="K912" s="53"/>
      <c r="L912" s="57" t="str">
        <f aca="false">IF(C912="","",IFERROR(INDEX(site_ID,MATCH(C912,site_Name,0)),"Not on SITES"))</f>
        <v/>
      </c>
      <c r="M912" s="58" t="str">
        <f aca="false">IF(E912="","",DATE(YEAR(E912),MONTH(E912),1))</f>
        <v/>
      </c>
      <c r="N912" s="57" t="str">
        <f aca="false">IF(E912="","","FY"&amp;(YEAR(E912)+IF(AND(FYStart&gt;1,MONTH(E912)&gt;=FYStart),1,0))&amp;" Q"&amp;(INT(MOD(MONTH(E912)-FYStart,12)/3)+1))</f>
        <v/>
      </c>
      <c r="O912" s="59" t="str">
        <f aca="false">IF(OR(E912="",N(F912)=0),"",G912/F912)</f>
        <v/>
      </c>
      <c r="P912" s="60" t="str">
        <f aca="false">IF(E912="","",ROUND(N(G912)*N(H912)/60,1))</f>
        <v/>
      </c>
      <c r="Q912" s="57" t="str">
        <f aca="false">IF(E912="","",IF(COUNTIFS($C$2:C912,C912,$E$2:E912,E912,$B$2:B912,B912)&gt;1,"No","Yes"))</f>
        <v/>
      </c>
      <c r="R912" s="61" t="str">
        <f aca="false">IF(E912="","",IF(Q912="No","Duplicate of an earlier response",IF(L912="Not on SITES","Site not on SITES",IF(N(G912)&gt;N(F912),"Present is more than enrolled",IF(OR(I912&lt;1,I912&gt;5),"Score outside 1 to 5","")))))</f>
        <v/>
      </c>
    </row>
    <row r="913" customFormat="false" ht="15" hidden="false" customHeight="false" outlineLevel="0" collapsed="false">
      <c r="A913" s="52"/>
      <c r="B913" s="53"/>
      <c r="C913" s="53"/>
      <c r="D913" s="53"/>
      <c r="E913" s="54"/>
      <c r="F913" s="55"/>
      <c r="G913" s="55"/>
      <c r="H913" s="55"/>
      <c r="I913" s="56"/>
      <c r="J913" s="53"/>
      <c r="K913" s="53"/>
      <c r="L913" s="57" t="str">
        <f aca="false">IF(C913="","",IFERROR(INDEX(site_ID,MATCH(C913,site_Name,0)),"Not on SITES"))</f>
        <v/>
      </c>
      <c r="M913" s="58" t="str">
        <f aca="false">IF(E913="","",DATE(YEAR(E913),MONTH(E913),1))</f>
        <v/>
      </c>
      <c r="N913" s="57" t="str">
        <f aca="false">IF(E913="","","FY"&amp;(YEAR(E913)+IF(AND(FYStart&gt;1,MONTH(E913)&gt;=FYStart),1,0))&amp;" Q"&amp;(INT(MOD(MONTH(E913)-FYStart,12)/3)+1))</f>
        <v/>
      </c>
      <c r="O913" s="59" t="str">
        <f aca="false">IF(OR(E913="",N(F913)=0),"",G913/F913)</f>
        <v/>
      </c>
      <c r="P913" s="60" t="str">
        <f aca="false">IF(E913="","",ROUND(N(G913)*N(H913)/60,1))</f>
        <v/>
      </c>
      <c r="Q913" s="57" t="str">
        <f aca="false">IF(E913="","",IF(COUNTIFS($C$2:C913,C913,$E$2:E913,E913,$B$2:B913,B913)&gt;1,"No","Yes"))</f>
        <v/>
      </c>
      <c r="R913" s="61" t="str">
        <f aca="false">IF(E913="","",IF(Q913="No","Duplicate of an earlier response",IF(L913="Not on SITES","Site not on SITES",IF(N(G913)&gt;N(F913),"Present is more than enrolled",IF(OR(I913&lt;1,I913&gt;5),"Score outside 1 to 5","")))))</f>
        <v/>
      </c>
    </row>
    <row r="914" customFormat="false" ht="15" hidden="false" customHeight="false" outlineLevel="0" collapsed="false">
      <c r="A914" s="52"/>
      <c r="B914" s="53"/>
      <c r="C914" s="53"/>
      <c r="D914" s="53"/>
      <c r="E914" s="54"/>
      <c r="F914" s="55"/>
      <c r="G914" s="55"/>
      <c r="H914" s="55"/>
      <c r="I914" s="56"/>
      <c r="J914" s="53"/>
      <c r="K914" s="53"/>
      <c r="L914" s="57" t="str">
        <f aca="false">IF(C914="","",IFERROR(INDEX(site_ID,MATCH(C914,site_Name,0)),"Not on SITES"))</f>
        <v/>
      </c>
      <c r="M914" s="58" t="str">
        <f aca="false">IF(E914="","",DATE(YEAR(E914),MONTH(E914),1))</f>
        <v/>
      </c>
      <c r="N914" s="57" t="str">
        <f aca="false">IF(E914="","","FY"&amp;(YEAR(E914)+IF(AND(FYStart&gt;1,MONTH(E914)&gt;=FYStart),1,0))&amp;" Q"&amp;(INT(MOD(MONTH(E914)-FYStart,12)/3)+1))</f>
        <v/>
      </c>
      <c r="O914" s="59" t="str">
        <f aca="false">IF(OR(E914="",N(F914)=0),"",G914/F914)</f>
        <v/>
      </c>
      <c r="P914" s="60" t="str">
        <f aca="false">IF(E914="","",ROUND(N(G914)*N(H914)/60,1))</f>
        <v/>
      </c>
      <c r="Q914" s="57" t="str">
        <f aca="false">IF(E914="","",IF(COUNTIFS($C$2:C914,C914,$E$2:E914,E914,$B$2:B914,B914)&gt;1,"No","Yes"))</f>
        <v/>
      </c>
      <c r="R914" s="61" t="str">
        <f aca="false">IF(E914="","",IF(Q914="No","Duplicate of an earlier response",IF(L914="Not on SITES","Site not on SITES",IF(N(G914)&gt;N(F914),"Present is more than enrolled",IF(OR(I914&lt;1,I914&gt;5),"Score outside 1 to 5","")))))</f>
        <v/>
      </c>
    </row>
    <row r="915" customFormat="false" ht="15" hidden="false" customHeight="false" outlineLevel="0" collapsed="false">
      <c r="A915" s="52"/>
      <c r="B915" s="53"/>
      <c r="C915" s="53"/>
      <c r="D915" s="53"/>
      <c r="E915" s="54"/>
      <c r="F915" s="55"/>
      <c r="G915" s="55"/>
      <c r="H915" s="55"/>
      <c r="I915" s="56"/>
      <c r="J915" s="53"/>
      <c r="K915" s="53"/>
      <c r="L915" s="57" t="str">
        <f aca="false">IF(C915="","",IFERROR(INDEX(site_ID,MATCH(C915,site_Name,0)),"Not on SITES"))</f>
        <v/>
      </c>
      <c r="M915" s="58" t="str">
        <f aca="false">IF(E915="","",DATE(YEAR(E915),MONTH(E915),1))</f>
        <v/>
      </c>
      <c r="N915" s="57" t="str">
        <f aca="false">IF(E915="","","FY"&amp;(YEAR(E915)+IF(AND(FYStart&gt;1,MONTH(E915)&gt;=FYStart),1,0))&amp;" Q"&amp;(INT(MOD(MONTH(E915)-FYStart,12)/3)+1))</f>
        <v/>
      </c>
      <c r="O915" s="59" t="str">
        <f aca="false">IF(OR(E915="",N(F915)=0),"",G915/F915)</f>
        <v/>
      </c>
      <c r="P915" s="60" t="str">
        <f aca="false">IF(E915="","",ROUND(N(G915)*N(H915)/60,1))</f>
        <v/>
      </c>
      <c r="Q915" s="57" t="str">
        <f aca="false">IF(E915="","",IF(COUNTIFS($C$2:C915,C915,$E$2:E915,E915,$B$2:B915,B915)&gt;1,"No","Yes"))</f>
        <v/>
      </c>
      <c r="R915" s="61" t="str">
        <f aca="false">IF(E915="","",IF(Q915="No","Duplicate of an earlier response",IF(L915="Not on SITES","Site not on SITES",IF(N(G915)&gt;N(F915),"Present is more than enrolled",IF(OR(I915&lt;1,I915&gt;5),"Score outside 1 to 5","")))))</f>
        <v/>
      </c>
    </row>
    <row r="916" customFormat="false" ht="15" hidden="false" customHeight="false" outlineLevel="0" collapsed="false">
      <c r="A916" s="52"/>
      <c r="B916" s="53"/>
      <c r="C916" s="53"/>
      <c r="D916" s="53"/>
      <c r="E916" s="54"/>
      <c r="F916" s="55"/>
      <c r="G916" s="55"/>
      <c r="H916" s="55"/>
      <c r="I916" s="56"/>
      <c r="J916" s="53"/>
      <c r="K916" s="53"/>
      <c r="L916" s="57" t="str">
        <f aca="false">IF(C916="","",IFERROR(INDEX(site_ID,MATCH(C916,site_Name,0)),"Not on SITES"))</f>
        <v/>
      </c>
      <c r="M916" s="58" t="str">
        <f aca="false">IF(E916="","",DATE(YEAR(E916),MONTH(E916),1))</f>
        <v/>
      </c>
      <c r="N916" s="57" t="str">
        <f aca="false">IF(E916="","","FY"&amp;(YEAR(E916)+IF(AND(FYStart&gt;1,MONTH(E916)&gt;=FYStart),1,0))&amp;" Q"&amp;(INT(MOD(MONTH(E916)-FYStart,12)/3)+1))</f>
        <v/>
      </c>
      <c r="O916" s="59" t="str">
        <f aca="false">IF(OR(E916="",N(F916)=0),"",G916/F916)</f>
        <v/>
      </c>
      <c r="P916" s="60" t="str">
        <f aca="false">IF(E916="","",ROUND(N(G916)*N(H916)/60,1))</f>
        <v/>
      </c>
      <c r="Q916" s="57" t="str">
        <f aca="false">IF(E916="","",IF(COUNTIFS($C$2:C916,C916,$E$2:E916,E916,$B$2:B916,B916)&gt;1,"No","Yes"))</f>
        <v/>
      </c>
      <c r="R916" s="61" t="str">
        <f aca="false">IF(E916="","",IF(Q916="No","Duplicate of an earlier response",IF(L916="Not on SITES","Site not on SITES",IF(N(G916)&gt;N(F916),"Present is more than enrolled",IF(OR(I916&lt;1,I916&gt;5),"Score outside 1 to 5","")))))</f>
        <v/>
      </c>
    </row>
    <row r="917" customFormat="false" ht="15" hidden="false" customHeight="false" outlineLevel="0" collapsed="false">
      <c r="A917" s="52"/>
      <c r="B917" s="53"/>
      <c r="C917" s="53"/>
      <c r="D917" s="53"/>
      <c r="E917" s="54"/>
      <c r="F917" s="55"/>
      <c r="G917" s="55"/>
      <c r="H917" s="55"/>
      <c r="I917" s="56"/>
      <c r="J917" s="53"/>
      <c r="K917" s="53"/>
      <c r="L917" s="57" t="str">
        <f aca="false">IF(C917="","",IFERROR(INDEX(site_ID,MATCH(C917,site_Name,0)),"Not on SITES"))</f>
        <v/>
      </c>
      <c r="M917" s="58" t="str">
        <f aca="false">IF(E917="","",DATE(YEAR(E917),MONTH(E917),1))</f>
        <v/>
      </c>
      <c r="N917" s="57" t="str">
        <f aca="false">IF(E917="","","FY"&amp;(YEAR(E917)+IF(AND(FYStart&gt;1,MONTH(E917)&gt;=FYStart),1,0))&amp;" Q"&amp;(INT(MOD(MONTH(E917)-FYStart,12)/3)+1))</f>
        <v/>
      </c>
      <c r="O917" s="59" t="str">
        <f aca="false">IF(OR(E917="",N(F917)=0),"",G917/F917)</f>
        <v/>
      </c>
      <c r="P917" s="60" t="str">
        <f aca="false">IF(E917="","",ROUND(N(G917)*N(H917)/60,1))</f>
        <v/>
      </c>
      <c r="Q917" s="57" t="str">
        <f aca="false">IF(E917="","",IF(COUNTIFS($C$2:C917,C917,$E$2:E917,E917,$B$2:B917,B917)&gt;1,"No","Yes"))</f>
        <v/>
      </c>
      <c r="R917" s="61" t="str">
        <f aca="false">IF(E917="","",IF(Q917="No","Duplicate of an earlier response",IF(L917="Not on SITES","Site not on SITES",IF(N(G917)&gt;N(F917),"Present is more than enrolled",IF(OR(I917&lt;1,I917&gt;5),"Score outside 1 to 5","")))))</f>
        <v/>
      </c>
    </row>
    <row r="918" customFormat="false" ht="15" hidden="false" customHeight="false" outlineLevel="0" collapsed="false">
      <c r="A918" s="52"/>
      <c r="B918" s="53"/>
      <c r="C918" s="53"/>
      <c r="D918" s="53"/>
      <c r="E918" s="54"/>
      <c r="F918" s="55"/>
      <c r="G918" s="55"/>
      <c r="H918" s="55"/>
      <c r="I918" s="56"/>
      <c r="J918" s="53"/>
      <c r="K918" s="53"/>
      <c r="L918" s="57" t="str">
        <f aca="false">IF(C918="","",IFERROR(INDEX(site_ID,MATCH(C918,site_Name,0)),"Not on SITES"))</f>
        <v/>
      </c>
      <c r="M918" s="58" t="str">
        <f aca="false">IF(E918="","",DATE(YEAR(E918),MONTH(E918),1))</f>
        <v/>
      </c>
      <c r="N918" s="57" t="str">
        <f aca="false">IF(E918="","","FY"&amp;(YEAR(E918)+IF(AND(FYStart&gt;1,MONTH(E918)&gt;=FYStart),1,0))&amp;" Q"&amp;(INT(MOD(MONTH(E918)-FYStart,12)/3)+1))</f>
        <v/>
      </c>
      <c r="O918" s="59" t="str">
        <f aca="false">IF(OR(E918="",N(F918)=0),"",G918/F918)</f>
        <v/>
      </c>
      <c r="P918" s="60" t="str">
        <f aca="false">IF(E918="","",ROUND(N(G918)*N(H918)/60,1))</f>
        <v/>
      </c>
      <c r="Q918" s="57" t="str">
        <f aca="false">IF(E918="","",IF(COUNTIFS($C$2:C918,C918,$E$2:E918,E918,$B$2:B918,B918)&gt;1,"No","Yes"))</f>
        <v/>
      </c>
      <c r="R918" s="61" t="str">
        <f aca="false">IF(E918="","",IF(Q918="No","Duplicate of an earlier response",IF(L918="Not on SITES","Site not on SITES",IF(N(G918)&gt;N(F918),"Present is more than enrolled",IF(OR(I918&lt;1,I918&gt;5),"Score outside 1 to 5","")))))</f>
        <v/>
      </c>
    </row>
    <row r="919" customFormat="false" ht="15" hidden="false" customHeight="false" outlineLevel="0" collapsed="false">
      <c r="A919" s="52"/>
      <c r="B919" s="53"/>
      <c r="C919" s="53"/>
      <c r="D919" s="53"/>
      <c r="E919" s="54"/>
      <c r="F919" s="55"/>
      <c r="G919" s="55"/>
      <c r="H919" s="55"/>
      <c r="I919" s="56"/>
      <c r="J919" s="53"/>
      <c r="K919" s="53"/>
      <c r="L919" s="57" t="str">
        <f aca="false">IF(C919="","",IFERROR(INDEX(site_ID,MATCH(C919,site_Name,0)),"Not on SITES"))</f>
        <v/>
      </c>
      <c r="M919" s="58" t="str">
        <f aca="false">IF(E919="","",DATE(YEAR(E919),MONTH(E919),1))</f>
        <v/>
      </c>
      <c r="N919" s="57" t="str">
        <f aca="false">IF(E919="","","FY"&amp;(YEAR(E919)+IF(AND(FYStart&gt;1,MONTH(E919)&gt;=FYStart),1,0))&amp;" Q"&amp;(INT(MOD(MONTH(E919)-FYStart,12)/3)+1))</f>
        <v/>
      </c>
      <c r="O919" s="59" t="str">
        <f aca="false">IF(OR(E919="",N(F919)=0),"",G919/F919)</f>
        <v/>
      </c>
      <c r="P919" s="60" t="str">
        <f aca="false">IF(E919="","",ROUND(N(G919)*N(H919)/60,1))</f>
        <v/>
      </c>
      <c r="Q919" s="57" t="str">
        <f aca="false">IF(E919="","",IF(COUNTIFS($C$2:C919,C919,$E$2:E919,E919,$B$2:B919,B919)&gt;1,"No","Yes"))</f>
        <v/>
      </c>
      <c r="R919" s="61" t="str">
        <f aca="false">IF(E919="","",IF(Q919="No","Duplicate of an earlier response",IF(L919="Not on SITES","Site not on SITES",IF(N(G919)&gt;N(F919),"Present is more than enrolled",IF(OR(I919&lt;1,I919&gt;5),"Score outside 1 to 5","")))))</f>
        <v/>
      </c>
    </row>
    <row r="920" customFormat="false" ht="15" hidden="false" customHeight="false" outlineLevel="0" collapsed="false">
      <c r="A920" s="52"/>
      <c r="B920" s="53"/>
      <c r="C920" s="53"/>
      <c r="D920" s="53"/>
      <c r="E920" s="54"/>
      <c r="F920" s="55"/>
      <c r="G920" s="55"/>
      <c r="H920" s="55"/>
      <c r="I920" s="56"/>
      <c r="J920" s="53"/>
      <c r="K920" s="53"/>
      <c r="L920" s="57" t="str">
        <f aca="false">IF(C920="","",IFERROR(INDEX(site_ID,MATCH(C920,site_Name,0)),"Not on SITES"))</f>
        <v/>
      </c>
      <c r="M920" s="58" t="str">
        <f aca="false">IF(E920="","",DATE(YEAR(E920),MONTH(E920),1))</f>
        <v/>
      </c>
      <c r="N920" s="57" t="str">
        <f aca="false">IF(E920="","","FY"&amp;(YEAR(E920)+IF(AND(FYStart&gt;1,MONTH(E920)&gt;=FYStart),1,0))&amp;" Q"&amp;(INT(MOD(MONTH(E920)-FYStart,12)/3)+1))</f>
        <v/>
      </c>
      <c r="O920" s="59" t="str">
        <f aca="false">IF(OR(E920="",N(F920)=0),"",G920/F920)</f>
        <v/>
      </c>
      <c r="P920" s="60" t="str">
        <f aca="false">IF(E920="","",ROUND(N(G920)*N(H920)/60,1))</f>
        <v/>
      </c>
      <c r="Q920" s="57" t="str">
        <f aca="false">IF(E920="","",IF(COUNTIFS($C$2:C920,C920,$E$2:E920,E920,$B$2:B920,B920)&gt;1,"No","Yes"))</f>
        <v/>
      </c>
      <c r="R920" s="61" t="str">
        <f aca="false">IF(E920="","",IF(Q920="No","Duplicate of an earlier response",IF(L920="Not on SITES","Site not on SITES",IF(N(G920)&gt;N(F920),"Present is more than enrolled",IF(OR(I920&lt;1,I920&gt;5),"Score outside 1 to 5","")))))</f>
        <v/>
      </c>
    </row>
    <row r="921" customFormat="false" ht="15" hidden="false" customHeight="false" outlineLevel="0" collapsed="false">
      <c r="A921" s="52"/>
      <c r="B921" s="53"/>
      <c r="C921" s="53"/>
      <c r="D921" s="53"/>
      <c r="E921" s="54"/>
      <c r="F921" s="55"/>
      <c r="G921" s="55"/>
      <c r="H921" s="55"/>
      <c r="I921" s="56"/>
      <c r="J921" s="53"/>
      <c r="K921" s="53"/>
      <c r="L921" s="57" t="str">
        <f aca="false">IF(C921="","",IFERROR(INDEX(site_ID,MATCH(C921,site_Name,0)),"Not on SITES"))</f>
        <v/>
      </c>
      <c r="M921" s="58" t="str">
        <f aca="false">IF(E921="","",DATE(YEAR(E921),MONTH(E921),1))</f>
        <v/>
      </c>
      <c r="N921" s="57" t="str">
        <f aca="false">IF(E921="","","FY"&amp;(YEAR(E921)+IF(AND(FYStart&gt;1,MONTH(E921)&gt;=FYStart),1,0))&amp;" Q"&amp;(INT(MOD(MONTH(E921)-FYStart,12)/3)+1))</f>
        <v/>
      </c>
      <c r="O921" s="59" t="str">
        <f aca="false">IF(OR(E921="",N(F921)=0),"",G921/F921)</f>
        <v/>
      </c>
      <c r="P921" s="60" t="str">
        <f aca="false">IF(E921="","",ROUND(N(G921)*N(H921)/60,1))</f>
        <v/>
      </c>
      <c r="Q921" s="57" t="str">
        <f aca="false">IF(E921="","",IF(COUNTIFS($C$2:C921,C921,$E$2:E921,E921,$B$2:B921,B921)&gt;1,"No","Yes"))</f>
        <v/>
      </c>
      <c r="R921" s="61" t="str">
        <f aca="false">IF(E921="","",IF(Q921="No","Duplicate of an earlier response",IF(L921="Not on SITES","Site not on SITES",IF(N(G921)&gt;N(F921),"Present is more than enrolled",IF(OR(I921&lt;1,I921&gt;5),"Score outside 1 to 5","")))))</f>
        <v/>
      </c>
    </row>
    <row r="922" customFormat="false" ht="15" hidden="false" customHeight="false" outlineLevel="0" collapsed="false">
      <c r="A922" s="52"/>
      <c r="B922" s="53"/>
      <c r="C922" s="53"/>
      <c r="D922" s="53"/>
      <c r="E922" s="54"/>
      <c r="F922" s="55"/>
      <c r="G922" s="55"/>
      <c r="H922" s="55"/>
      <c r="I922" s="56"/>
      <c r="J922" s="53"/>
      <c r="K922" s="53"/>
      <c r="L922" s="57" t="str">
        <f aca="false">IF(C922="","",IFERROR(INDEX(site_ID,MATCH(C922,site_Name,0)),"Not on SITES"))</f>
        <v/>
      </c>
      <c r="M922" s="58" t="str">
        <f aca="false">IF(E922="","",DATE(YEAR(E922),MONTH(E922),1))</f>
        <v/>
      </c>
      <c r="N922" s="57" t="str">
        <f aca="false">IF(E922="","","FY"&amp;(YEAR(E922)+IF(AND(FYStart&gt;1,MONTH(E922)&gt;=FYStart),1,0))&amp;" Q"&amp;(INT(MOD(MONTH(E922)-FYStart,12)/3)+1))</f>
        <v/>
      </c>
      <c r="O922" s="59" t="str">
        <f aca="false">IF(OR(E922="",N(F922)=0),"",G922/F922)</f>
        <v/>
      </c>
      <c r="P922" s="60" t="str">
        <f aca="false">IF(E922="","",ROUND(N(G922)*N(H922)/60,1))</f>
        <v/>
      </c>
      <c r="Q922" s="57" t="str">
        <f aca="false">IF(E922="","",IF(COUNTIFS($C$2:C922,C922,$E$2:E922,E922,$B$2:B922,B922)&gt;1,"No","Yes"))</f>
        <v/>
      </c>
      <c r="R922" s="61" t="str">
        <f aca="false">IF(E922="","",IF(Q922="No","Duplicate of an earlier response",IF(L922="Not on SITES","Site not on SITES",IF(N(G922)&gt;N(F922),"Present is more than enrolled",IF(OR(I922&lt;1,I922&gt;5),"Score outside 1 to 5","")))))</f>
        <v/>
      </c>
    </row>
    <row r="923" customFormat="false" ht="15" hidden="false" customHeight="false" outlineLevel="0" collapsed="false">
      <c r="A923" s="52"/>
      <c r="B923" s="53"/>
      <c r="C923" s="53"/>
      <c r="D923" s="53"/>
      <c r="E923" s="54"/>
      <c r="F923" s="55"/>
      <c r="G923" s="55"/>
      <c r="H923" s="55"/>
      <c r="I923" s="56"/>
      <c r="J923" s="53"/>
      <c r="K923" s="53"/>
      <c r="L923" s="57" t="str">
        <f aca="false">IF(C923="","",IFERROR(INDEX(site_ID,MATCH(C923,site_Name,0)),"Not on SITES"))</f>
        <v/>
      </c>
      <c r="M923" s="58" t="str">
        <f aca="false">IF(E923="","",DATE(YEAR(E923),MONTH(E923),1))</f>
        <v/>
      </c>
      <c r="N923" s="57" t="str">
        <f aca="false">IF(E923="","","FY"&amp;(YEAR(E923)+IF(AND(FYStart&gt;1,MONTH(E923)&gt;=FYStart),1,0))&amp;" Q"&amp;(INT(MOD(MONTH(E923)-FYStart,12)/3)+1))</f>
        <v/>
      </c>
      <c r="O923" s="59" t="str">
        <f aca="false">IF(OR(E923="",N(F923)=0),"",G923/F923)</f>
        <v/>
      </c>
      <c r="P923" s="60" t="str">
        <f aca="false">IF(E923="","",ROUND(N(G923)*N(H923)/60,1))</f>
        <v/>
      </c>
      <c r="Q923" s="57" t="str">
        <f aca="false">IF(E923="","",IF(COUNTIFS($C$2:C923,C923,$E$2:E923,E923,$B$2:B923,B923)&gt;1,"No","Yes"))</f>
        <v/>
      </c>
      <c r="R923" s="61" t="str">
        <f aca="false">IF(E923="","",IF(Q923="No","Duplicate of an earlier response",IF(L923="Not on SITES","Site not on SITES",IF(N(G923)&gt;N(F923),"Present is more than enrolled",IF(OR(I923&lt;1,I923&gt;5),"Score outside 1 to 5","")))))</f>
        <v/>
      </c>
    </row>
    <row r="924" customFormat="false" ht="15" hidden="false" customHeight="false" outlineLevel="0" collapsed="false">
      <c r="A924" s="52"/>
      <c r="B924" s="53"/>
      <c r="C924" s="53"/>
      <c r="D924" s="53"/>
      <c r="E924" s="54"/>
      <c r="F924" s="55"/>
      <c r="G924" s="55"/>
      <c r="H924" s="55"/>
      <c r="I924" s="56"/>
      <c r="J924" s="53"/>
      <c r="K924" s="53"/>
      <c r="L924" s="57" t="str">
        <f aca="false">IF(C924="","",IFERROR(INDEX(site_ID,MATCH(C924,site_Name,0)),"Not on SITES"))</f>
        <v/>
      </c>
      <c r="M924" s="58" t="str">
        <f aca="false">IF(E924="","",DATE(YEAR(E924),MONTH(E924),1))</f>
        <v/>
      </c>
      <c r="N924" s="57" t="str">
        <f aca="false">IF(E924="","","FY"&amp;(YEAR(E924)+IF(AND(FYStart&gt;1,MONTH(E924)&gt;=FYStart),1,0))&amp;" Q"&amp;(INT(MOD(MONTH(E924)-FYStart,12)/3)+1))</f>
        <v/>
      </c>
      <c r="O924" s="59" t="str">
        <f aca="false">IF(OR(E924="",N(F924)=0),"",G924/F924)</f>
        <v/>
      </c>
      <c r="P924" s="60" t="str">
        <f aca="false">IF(E924="","",ROUND(N(G924)*N(H924)/60,1))</f>
        <v/>
      </c>
      <c r="Q924" s="57" t="str">
        <f aca="false">IF(E924="","",IF(COUNTIFS($C$2:C924,C924,$E$2:E924,E924,$B$2:B924,B924)&gt;1,"No","Yes"))</f>
        <v/>
      </c>
      <c r="R924" s="61" t="str">
        <f aca="false">IF(E924="","",IF(Q924="No","Duplicate of an earlier response",IF(L924="Not on SITES","Site not on SITES",IF(N(G924)&gt;N(F924),"Present is more than enrolled",IF(OR(I924&lt;1,I924&gt;5),"Score outside 1 to 5","")))))</f>
        <v/>
      </c>
    </row>
    <row r="925" customFormat="false" ht="15" hidden="false" customHeight="false" outlineLevel="0" collapsed="false">
      <c r="A925" s="52"/>
      <c r="B925" s="53"/>
      <c r="C925" s="53"/>
      <c r="D925" s="53"/>
      <c r="E925" s="54"/>
      <c r="F925" s="55"/>
      <c r="G925" s="55"/>
      <c r="H925" s="55"/>
      <c r="I925" s="56"/>
      <c r="J925" s="53"/>
      <c r="K925" s="53"/>
      <c r="L925" s="57" t="str">
        <f aca="false">IF(C925="","",IFERROR(INDEX(site_ID,MATCH(C925,site_Name,0)),"Not on SITES"))</f>
        <v/>
      </c>
      <c r="M925" s="58" t="str">
        <f aca="false">IF(E925="","",DATE(YEAR(E925),MONTH(E925),1))</f>
        <v/>
      </c>
      <c r="N925" s="57" t="str">
        <f aca="false">IF(E925="","","FY"&amp;(YEAR(E925)+IF(AND(FYStart&gt;1,MONTH(E925)&gt;=FYStart),1,0))&amp;" Q"&amp;(INT(MOD(MONTH(E925)-FYStart,12)/3)+1))</f>
        <v/>
      </c>
      <c r="O925" s="59" t="str">
        <f aca="false">IF(OR(E925="",N(F925)=0),"",G925/F925)</f>
        <v/>
      </c>
      <c r="P925" s="60" t="str">
        <f aca="false">IF(E925="","",ROUND(N(G925)*N(H925)/60,1))</f>
        <v/>
      </c>
      <c r="Q925" s="57" t="str">
        <f aca="false">IF(E925="","",IF(COUNTIFS($C$2:C925,C925,$E$2:E925,E925,$B$2:B925,B925)&gt;1,"No","Yes"))</f>
        <v/>
      </c>
      <c r="R925" s="61" t="str">
        <f aca="false">IF(E925="","",IF(Q925="No","Duplicate of an earlier response",IF(L925="Not on SITES","Site not on SITES",IF(N(G925)&gt;N(F925),"Present is more than enrolled",IF(OR(I925&lt;1,I925&gt;5),"Score outside 1 to 5","")))))</f>
        <v/>
      </c>
    </row>
    <row r="926" customFormat="false" ht="15" hidden="false" customHeight="false" outlineLevel="0" collapsed="false">
      <c r="A926" s="52"/>
      <c r="B926" s="53"/>
      <c r="C926" s="53"/>
      <c r="D926" s="53"/>
      <c r="E926" s="54"/>
      <c r="F926" s="55"/>
      <c r="G926" s="55"/>
      <c r="H926" s="55"/>
      <c r="I926" s="56"/>
      <c r="J926" s="53"/>
      <c r="K926" s="53"/>
      <c r="L926" s="57" t="str">
        <f aca="false">IF(C926="","",IFERROR(INDEX(site_ID,MATCH(C926,site_Name,0)),"Not on SITES"))</f>
        <v/>
      </c>
      <c r="M926" s="58" t="str">
        <f aca="false">IF(E926="","",DATE(YEAR(E926),MONTH(E926),1))</f>
        <v/>
      </c>
      <c r="N926" s="57" t="str">
        <f aca="false">IF(E926="","","FY"&amp;(YEAR(E926)+IF(AND(FYStart&gt;1,MONTH(E926)&gt;=FYStart),1,0))&amp;" Q"&amp;(INT(MOD(MONTH(E926)-FYStart,12)/3)+1))</f>
        <v/>
      </c>
      <c r="O926" s="59" t="str">
        <f aca="false">IF(OR(E926="",N(F926)=0),"",G926/F926)</f>
        <v/>
      </c>
      <c r="P926" s="60" t="str">
        <f aca="false">IF(E926="","",ROUND(N(G926)*N(H926)/60,1))</f>
        <v/>
      </c>
      <c r="Q926" s="57" t="str">
        <f aca="false">IF(E926="","",IF(COUNTIFS($C$2:C926,C926,$E$2:E926,E926,$B$2:B926,B926)&gt;1,"No","Yes"))</f>
        <v/>
      </c>
      <c r="R926" s="61" t="str">
        <f aca="false">IF(E926="","",IF(Q926="No","Duplicate of an earlier response",IF(L926="Not on SITES","Site not on SITES",IF(N(G926)&gt;N(F926),"Present is more than enrolled",IF(OR(I926&lt;1,I926&gt;5),"Score outside 1 to 5","")))))</f>
        <v/>
      </c>
    </row>
    <row r="927" customFormat="false" ht="15" hidden="false" customHeight="false" outlineLevel="0" collapsed="false">
      <c r="A927" s="52"/>
      <c r="B927" s="53"/>
      <c r="C927" s="53"/>
      <c r="D927" s="53"/>
      <c r="E927" s="54"/>
      <c r="F927" s="55"/>
      <c r="G927" s="55"/>
      <c r="H927" s="55"/>
      <c r="I927" s="56"/>
      <c r="J927" s="53"/>
      <c r="K927" s="53"/>
      <c r="L927" s="57" t="str">
        <f aca="false">IF(C927="","",IFERROR(INDEX(site_ID,MATCH(C927,site_Name,0)),"Not on SITES"))</f>
        <v/>
      </c>
      <c r="M927" s="58" t="str">
        <f aca="false">IF(E927="","",DATE(YEAR(E927),MONTH(E927),1))</f>
        <v/>
      </c>
      <c r="N927" s="57" t="str">
        <f aca="false">IF(E927="","","FY"&amp;(YEAR(E927)+IF(AND(FYStart&gt;1,MONTH(E927)&gt;=FYStart),1,0))&amp;" Q"&amp;(INT(MOD(MONTH(E927)-FYStart,12)/3)+1))</f>
        <v/>
      </c>
      <c r="O927" s="59" t="str">
        <f aca="false">IF(OR(E927="",N(F927)=0),"",G927/F927)</f>
        <v/>
      </c>
      <c r="P927" s="60" t="str">
        <f aca="false">IF(E927="","",ROUND(N(G927)*N(H927)/60,1))</f>
        <v/>
      </c>
      <c r="Q927" s="57" t="str">
        <f aca="false">IF(E927="","",IF(COUNTIFS($C$2:C927,C927,$E$2:E927,E927,$B$2:B927,B927)&gt;1,"No","Yes"))</f>
        <v/>
      </c>
      <c r="R927" s="61" t="str">
        <f aca="false">IF(E927="","",IF(Q927="No","Duplicate of an earlier response",IF(L927="Not on SITES","Site not on SITES",IF(N(G927)&gt;N(F927),"Present is more than enrolled",IF(OR(I927&lt;1,I927&gt;5),"Score outside 1 to 5","")))))</f>
        <v/>
      </c>
    </row>
    <row r="928" customFormat="false" ht="15" hidden="false" customHeight="false" outlineLevel="0" collapsed="false">
      <c r="A928" s="52"/>
      <c r="B928" s="53"/>
      <c r="C928" s="53"/>
      <c r="D928" s="53"/>
      <c r="E928" s="54"/>
      <c r="F928" s="55"/>
      <c r="G928" s="55"/>
      <c r="H928" s="55"/>
      <c r="I928" s="56"/>
      <c r="J928" s="53"/>
      <c r="K928" s="53"/>
      <c r="L928" s="57" t="str">
        <f aca="false">IF(C928="","",IFERROR(INDEX(site_ID,MATCH(C928,site_Name,0)),"Not on SITES"))</f>
        <v/>
      </c>
      <c r="M928" s="58" t="str">
        <f aca="false">IF(E928="","",DATE(YEAR(E928),MONTH(E928),1))</f>
        <v/>
      </c>
      <c r="N928" s="57" t="str">
        <f aca="false">IF(E928="","","FY"&amp;(YEAR(E928)+IF(AND(FYStart&gt;1,MONTH(E928)&gt;=FYStart),1,0))&amp;" Q"&amp;(INT(MOD(MONTH(E928)-FYStart,12)/3)+1))</f>
        <v/>
      </c>
      <c r="O928" s="59" t="str">
        <f aca="false">IF(OR(E928="",N(F928)=0),"",G928/F928)</f>
        <v/>
      </c>
      <c r="P928" s="60" t="str">
        <f aca="false">IF(E928="","",ROUND(N(G928)*N(H928)/60,1))</f>
        <v/>
      </c>
      <c r="Q928" s="57" t="str">
        <f aca="false">IF(E928="","",IF(COUNTIFS($C$2:C928,C928,$E$2:E928,E928,$B$2:B928,B928)&gt;1,"No","Yes"))</f>
        <v/>
      </c>
      <c r="R928" s="61" t="str">
        <f aca="false">IF(E928="","",IF(Q928="No","Duplicate of an earlier response",IF(L928="Not on SITES","Site not on SITES",IF(N(G928)&gt;N(F928),"Present is more than enrolled",IF(OR(I928&lt;1,I928&gt;5),"Score outside 1 to 5","")))))</f>
        <v/>
      </c>
    </row>
    <row r="929" customFormat="false" ht="15" hidden="false" customHeight="false" outlineLevel="0" collapsed="false">
      <c r="A929" s="52"/>
      <c r="B929" s="53"/>
      <c r="C929" s="53"/>
      <c r="D929" s="53"/>
      <c r="E929" s="54"/>
      <c r="F929" s="55"/>
      <c r="G929" s="55"/>
      <c r="H929" s="55"/>
      <c r="I929" s="56"/>
      <c r="J929" s="53"/>
      <c r="K929" s="53"/>
      <c r="L929" s="57" t="str">
        <f aca="false">IF(C929="","",IFERROR(INDEX(site_ID,MATCH(C929,site_Name,0)),"Not on SITES"))</f>
        <v/>
      </c>
      <c r="M929" s="58" t="str">
        <f aca="false">IF(E929="","",DATE(YEAR(E929),MONTH(E929),1))</f>
        <v/>
      </c>
      <c r="N929" s="57" t="str">
        <f aca="false">IF(E929="","","FY"&amp;(YEAR(E929)+IF(AND(FYStart&gt;1,MONTH(E929)&gt;=FYStart),1,0))&amp;" Q"&amp;(INT(MOD(MONTH(E929)-FYStart,12)/3)+1))</f>
        <v/>
      </c>
      <c r="O929" s="59" t="str">
        <f aca="false">IF(OR(E929="",N(F929)=0),"",G929/F929)</f>
        <v/>
      </c>
      <c r="P929" s="60" t="str">
        <f aca="false">IF(E929="","",ROUND(N(G929)*N(H929)/60,1))</f>
        <v/>
      </c>
      <c r="Q929" s="57" t="str">
        <f aca="false">IF(E929="","",IF(COUNTIFS($C$2:C929,C929,$E$2:E929,E929,$B$2:B929,B929)&gt;1,"No","Yes"))</f>
        <v/>
      </c>
      <c r="R929" s="61" t="str">
        <f aca="false">IF(E929="","",IF(Q929="No","Duplicate of an earlier response",IF(L929="Not on SITES","Site not on SITES",IF(N(G929)&gt;N(F929),"Present is more than enrolled",IF(OR(I929&lt;1,I929&gt;5),"Score outside 1 to 5","")))))</f>
        <v/>
      </c>
    </row>
    <row r="930" customFormat="false" ht="15" hidden="false" customHeight="false" outlineLevel="0" collapsed="false">
      <c r="A930" s="52"/>
      <c r="B930" s="53"/>
      <c r="C930" s="53"/>
      <c r="D930" s="53"/>
      <c r="E930" s="54"/>
      <c r="F930" s="55"/>
      <c r="G930" s="55"/>
      <c r="H930" s="55"/>
      <c r="I930" s="56"/>
      <c r="J930" s="53"/>
      <c r="K930" s="53"/>
      <c r="L930" s="57" t="str">
        <f aca="false">IF(C930="","",IFERROR(INDEX(site_ID,MATCH(C930,site_Name,0)),"Not on SITES"))</f>
        <v/>
      </c>
      <c r="M930" s="58" t="str">
        <f aca="false">IF(E930="","",DATE(YEAR(E930),MONTH(E930),1))</f>
        <v/>
      </c>
      <c r="N930" s="57" t="str">
        <f aca="false">IF(E930="","","FY"&amp;(YEAR(E930)+IF(AND(FYStart&gt;1,MONTH(E930)&gt;=FYStart),1,0))&amp;" Q"&amp;(INT(MOD(MONTH(E930)-FYStart,12)/3)+1))</f>
        <v/>
      </c>
      <c r="O930" s="59" t="str">
        <f aca="false">IF(OR(E930="",N(F930)=0),"",G930/F930)</f>
        <v/>
      </c>
      <c r="P930" s="60" t="str">
        <f aca="false">IF(E930="","",ROUND(N(G930)*N(H930)/60,1))</f>
        <v/>
      </c>
      <c r="Q930" s="57" t="str">
        <f aca="false">IF(E930="","",IF(COUNTIFS($C$2:C930,C930,$E$2:E930,E930,$B$2:B930,B930)&gt;1,"No","Yes"))</f>
        <v/>
      </c>
      <c r="R930" s="61" t="str">
        <f aca="false">IF(E930="","",IF(Q930="No","Duplicate of an earlier response",IF(L930="Not on SITES","Site not on SITES",IF(N(G930)&gt;N(F930),"Present is more than enrolled",IF(OR(I930&lt;1,I930&gt;5),"Score outside 1 to 5","")))))</f>
        <v/>
      </c>
    </row>
    <row r="931" customFormat="false" ht="15" hidden="false" customHeight="false" outlineLevel="0" collapsed="false">
      <c r="A931" s="52"/>
      <c r="B931" s="53"/>
      <c r="C931" s="53"/>
      <c r="D931" s="53"/>
      <c r="E931" s="54"/>
      <c r="F931" s="55"/>
      <c r="G931" s="55"/>
      <c r="H931" s="55"/>
      <c r="I931" s="56"/>
      <c r="J931" s="53"/>
      <c r="K931" s="53"/>
      <c r="L931" s="57" t="str">
        <f aca="false">IF(C931="","",IFERROR(INDEX(site_ID,MATCH(C931,site_Name,0)),"Not on SITES"))</f>
        <v/>
      </c>
      <c r="M931" s="58" t="str">
        <f aca="false">IF(E931="","",DATE(YEAR(E931),MONTH(E931),1))</f>
        <v/>
      </c>
      <c r="N931" s="57" t="str">
        <f aca="false">IF(E931="","","FY"&amp;(YEAR(E931)+IF(AND(FYStart&gt;1,MONTH(E931)&gt;=FYStart),1,0))&amp;" Q"&amp;(INT(MOD(MONTH(E931)-FYStart,12)/3)+1))</f>
        <v/>
      </c>
      <c r="O931" s="59" t="str">
        <f aca="false">IF(OR(E931="",N(F931)=0),"",G931/F931)</f>
        <v/>
      </c>
      <c r="P931" s="60" t="str">
        <f aca="false">IF(E931="","",ROUND(N(G931)*N(H931)/60,1))</f>
        <v/>
      </c>
      <c r="Q931" s="57" t="str">
        <f aca="false">IF(E931="","",IF(COUNTIFS($C$2:C931,C931,$E$2:E931,E931,$B$2:B931,B931)&gt;1,"No","Yes"))</f>
        <v/>
      </c>
      <c r="R931" s="61" t="str">
        <f aca="false">IF(E931="","",IF(Q931="No","Duplicate of an earlier response",IF(L931="Not on SITES","Site not on SITES",IF(N(G931)&gt;N(F931),"Present is more than enrolled",IF(OR(I931&lt;1,I931&gt;5),"Score outside 1 to 5","")))))</f>
        <v/>
      </c>
    </row>
    <row r="932" customFormat="false" ht="15" hidden="false" customHeight="false" outlineLevel="0" collapsed="false">
      <c r="A932" s="52"/>
      <c r="B932" s="53"/>
      <c r="C932" s="53"/>
      <c r="D932" s="53"/>
      <c r="E932" s="54"/>
      <c r="F932" s="55"/>
      <c r="G932" s="55"/>
      <c r="H932" s="55"/>
      <c r="I932" s="56"/>
      <c r="J932" s="53"/>
      <c r="K932" s="53"/>
      <c r="L932" s="57" t="str">
        <f aca="false">IF(C932="","",IFERROR(INDEX(site_ID,MATCH(C932,site_Name,0)),"Not on SITES"))</f>
        <v/>
      </c>
      <c r="M932" s="58" t="str">
        <f aca="false">IF(E932="","",DATE(YEAR(E932),MONTH(E932),1))</f>
        <v/>
      </c>
      <c r="N932" s="57" t="str">
        <f aca="false">IF(E932="","","FY"&amp;(YEAR(E932)+IF(AND(FYStart&gt;1,MONTH(E932)&gt;=FYStart),1,0))&amp;" Q"&amp;(INT(MOD(MONTH(E932)-FYStart,12)/3)+1))</f>
        <v/>
      </c>
      <c r="O932" s="59" t="str">
        <f aca="false">IF(OR(E932="",N(F932)=0),"",G932/F932)</f>
        <v/>
      </c>
      <c r="P932" s="60" t="str">
        <f aca="false">IF(E932="","",ROUND(N(G932)*N(H932)/60,1))</f>
        <v/>
      </c>
      <c r="Q932" s="57" t="str">
        <f aca="false">IF(E932="","",IF(COUNTIFS($C$2:C932,C932,$E$2:E932,E932,$B$2:B932,B932)&gt;1,"No","Yes"))</f>
        <v/>
      </c>
      <c r="R932" s="61" t="str">
        <f aca="false">IF(E932="","",IF(Q932="No","Duplicate of an earlier response",IF(L932="Not on SITES","Site not on SITES",IF(N(G932)&gt;N(F932),"Present is more than enrolled",IF(OR(I932&lt;1,I932&gt;5),"Score outside 1 to 5","")))))</f>
        <v/>
      </c>
    </row>
    <row r="933" customFormat="false" ht="15" hidden="false" customHeight="false" outlineLevel="0" collapsed="false">
      <c r="A933" s="52"/>
      <c r="B933" s="53"/>
      <c r="C933" s="53"/>
      <c r="D933" s="53"/>
      <c r="E933" s="54"/>
      <c r="F933" s="55"/>
      <c r="G933" s="55"/>
      <c r="H933" s="55"/>
      <c r="I933" s="56"/>
      <c r="J933" s="53"/>
      <c r="K933" s="53"/>
      <c r="L933" s="57" t="str">
        <f aca="false">IF(C933="","",IFERROR(INDEX(site_ID,MATCH(C933,site_Name,0)),"Not on SITES"))</f>
        <v/>
      </c>
      <c r="M933" s="58" t="str">
        <f aca="false">IF(E933="","",DATE(YEAR(E933),MONTH(E933),1))</f>
        <v/>
      </c>
      <c r="N933" s="57" t="str">
        <f aca="false">IF(E933="","","FY"&amp;(YEAR(E933)+IF(AND(FYStart&gt;1,MONTH(E933)&gt;=FYStart),1,0))&amp;" Q"&amp;(INT(MOD(MONTH(E933)-FYStart,12)/3)+1))</f>
        <v/>
      </c>
      <c r="O933" s="59" t="str">
        <f aca="false">IF(OR(E933="",N(F933)=0),"",G933/F933)</f>
        <v/>
      </c>
      <c r="P933" s="60" t="str">
        <f aca="false">IF(E933="","",ROUND(N(G933)*N(H933)/60,1))</f>
        <v/>
      </c>
      <c r="Q933" s="57" t="str">
        <f aca="false">IF(E933="","",IF(COUNTIFS($C$2:C933,C933,$E$2:E933,E933,$B$2:B933,B933)&gt;1,"No","Yes"))</f>
        <v/>
      </c>
      <c r="R933" s="61" t="str">
        <f aca="false">IF(E933="","",IF(Q933="No","Duplicate of an earlier response",IF(L933="Not on SITES","Site not on SITES",IF(N(G933)&gt;N(F933),"Present is more than enrolled",IF(OR(I933&lt;1,I933&gt;5),"Score outside 1 to 5","")))))</f>
        <v/>
      </c>
    </row>
    <row r="934" customFormat="false" ht="15" hidden="false" customHeight="false" outlineLevel="0" collapsed="false">
      <c r="A934" s="52"/>
      <c r="B934" s="53"/>
      <c r="C934" s="53"/>
      <c r="D934" s="53"/>
      <c r="E934" s="54"/>
      <c r="F934" s="55"/>
      <c r="G934" s="55"/>
      <c r="H934" s="55"/>
      <c r="I934" s="56"/>
      <c r="J934" s="53"/>
      <c r="K934" s="53"/>
      <c r="L934" s="57" t="str">
        <f aca="false">IF(C934="","",IFERROR(INDEX(site_ID,MATCH(C934,site_Name,0)),"Not on SITES"))</f>
        <v/>
      </c>
      <c r="M934" s="58" t="str">
        <f aca="false">IF(E934="","",DATE(YEAR(E934),MONTH(E934),1))</f>
        <v/>
      </c>
      <c r="N934" s="57" t="str">
        <f aca="false">IF(E934="","","FY"&amp;(YEAR(E934)+IF(AND(FYStart&gt;1,MONTH(E934)&gt;=FYStart),1,0))&amp;" Q"&amp;(INT(MOD(MONTH(E934)-FYStart,12)/3)+1))</f>
        <v/>
      </c>
      <c r="O934" s="59" t="str">
        <f aca="false">IF(OR(E934="",N(F934)=0),"",G934/F934)</f>
        <v/>
      </c>
      <c r="P934" s="60" t="str">
        <f aca="false">IF(E934="","",ROUND(N(G934)*N(H934)/60,1))</f>
        <v/>
      </c>
      <c r="Q934" s="57" t="str">
        <f aca="false">IF(E934="","",IF(COUNTIFS($C$2:C934,C934,$E$2:E934,E934,$B$2:B934,B934)&gt;1,"No","Yes"))</f>
        <v/>
      </c>
      <c r="R934" s="61" t="str">
        <f aca="false">IF(E934="","",IF(Q934="No","Duplicate of an earlier response",IF(L934="Not on SITES","Site not on SITES",IF(N(G934)&gt;N(F934),"Present is more than enrolled",IF(OR(I934&lt;1,I934&gt;5),"Score outside 1 to 5","")))))</f>
        <v/>
      </c>
    </row>
    <row r="935" customFormat="false" ht="15" hidden="false" customHeight="false" outlineLevel="0" collapsed="false">
      <c r="A935" s="52"/>
      <c r="B935" s="53"/>
      <c r="C935" s="53"/>
      <c r="D935" s="53"/>
      <c r="E935" s="54"/>
      <c r="F935" s="55"/>
      <c r="G935" s="55"/>
      <c r="H935" s="55"/>
      <c r="I935" s="56"/>
      <c r="J935" s="53"/>
      <c r="K935" s="53"/>
      <c r="L935" s="57" t="str">
        <f aca="false">IF(C935="","",IFERROR(INDEX(site_ID,MATCH(C935,site_Name,0)),"Not on SITES"))</f>
        <v/>
      </c>
      <c r="M935" s="58" t="str">
        <f aca="false">IF(E935="","",DATE(YEAR(E935),MONTH(E935),1))</f>
        <v/>
      </c>
      <c r="N935" s="57" t="str">
        <f aca="false">IF(E935="","","FY"&amp;(YEAR(E935)+IF(AND(FYStart&gt;1,MONTH(E935)&gt;=FYStart),1,0))&amp;" Q"&amp;(INT(MOD(MONTH(E935)-FYStart,12)/3)+1))</f>
        <v/>
      </c>
      <c r="O935" s="59" t="str">
        <f aca="false">IF(OR(E935="",N(F935)=0),"",G935/F935)</f>
        <v/>
      </c>
      <c r="P935" s="60" t="str">
        <f aca="false">IF(E935="","",ROUND(N(G935)*N(H935)/60,1))</f>
        <v/>
      </c>
      <c r="Q935" s="57" t="str">
        <f aca="false">IF(E935="","",IF(COUNTIFS($C$2:C935,C935,$E$2:E935,E935,$B$2:B935,B935)&gt;1,"No","Yes"))</f>
        <v/>
      </c>
      <c r="R935" s="61" t="str">
        <f aca="false">IF(E935="","",IF(Q935="No","Duplicate of an earlier response",IF(L935="Not on SITES","Site not on SITES",IF(N(G935)&gt;N(F935),"Present is more than enrolled",IF(OR(I935&lt;1,I935&gt;5),"Score outside 1 to 5","")))))</f>
        <v/>
      </c>
    </row>
    <row r="936" customFormat="false" ht="15" hidden="false" customHeight="false" outlineLevel="0" collapsed="false">
      <c r="A936" s="52"/>
      <c r="B936" s="53"/>
      <c r="C936" s="53"/>
      <c r="D936" s="53"/>
      <c r="E936" s="54"/>
      <c r="F936" s="55"/>
      <c r="G936" s="55"/>
      <c r="H936" s="55"/>
      <c r="I936" s="56"/>
      <c r="J936" s="53"/>
      <c r="K936" s="53"/>
      <c r="L936" s="57" t="str">
        <f aca="false">IF(C936="","",IFERROR(INDEX(site_ID,MATCH(C936,site_Name,0)),"Not on SITES"))</f>
        <v/>
      </c>
      <c r="M936" s="58" t="str">
        <f aca="false">IF(E936="","",DATE(YEAR(E936),MONTH(E936),1))</f>
        <v/>
      </c>
      <c r="N936" s="57" t="str">
        <f aca="false">IF(E936="","","FY"&amp;(YEAR(E936)+IF(AND(FYStart&gt;1,MONTH(E936)&gt;=FYStart),1,0))&amp;" Q"&amp;(INT(MOD(MONTH(E936)-FYStart,12)/3)+1))</f>
        <v/>
      </c>
      <c r="O936" s="59" t="str">
        <f aca="false">IF(OR(E936="",N(F936)=0),"",G936/F936)</f>
        <v/>
      </c>
      <c r="P936" s="60" t="str">
        <f aca="false">IF(E936="","",ROUND(N(G936)*N(H936)/60,1))</f>
        <v/>
      </c>
      <c r="Q936" s="57" t="str">
        <f aca="false">IF(E936="","",IF(COUNTIFS($C$2:C936,C936,$E$2:E936,E936,$B$2:B936,B936)&gt;1,"No","Yes"))</f>
        <v/>
      </c>
      <c r="R936" s="61" t="str">
        <f aca="false">IF(E936="","",IF(Q936="No","Duplicate of an earlier response",IF(L936="Not on SITES","Site not on SITES",IF(N(G936)&gt;N(F936),"Present is more than enrolled",IF(OR(I936&lt;1,I936&gt;5),"Score outside 1 to 5","")))))</f>
        <v/>
      </c>
    </row>
    <row r="937" customFormat="false" ht="15" hidden="false" customHeight="false" outlineLevel="0" collapsed="false">
      <c r="A937" s="52"/>
      <c r="B937" s="53"/>
      <c r="C937" s="53"/>
      <c r="D937" s="53"/>
      <c r="E937" s="54"/>
      <c r="F937" s="55"/>
      <c r="G937" s="55"/>
      <c r="H937" s="55"/>
      <c r="I937" s="56"/>
      <c r="J937" s="53"/>
      <c r="K937" s="53"/>
      <c r="L937" s="57" t="str">
        <f aca="false">IF(C937="","",IFERROR(INDEX(site_ID,MATCH(C937,site_Name,0)),"Not on SITES"))</f>
        <v/>
      </c>
      <c r="M937" s="58" t="str">
        <f aca="false">IF(E937="","",DATE(YEAR(E937),MONTH(E937),1))</f>
        <v/>
      </c>
      <c r="N937" s="57" t="str">
        <f aca="false">IF(E937="","","FY"&amp;(YEAR(E937)+IF(AND(FYStart&gt;1,MONTH(E937)&gt;=FYStart),1,0))&amp;" Q"&amp;(INT(MOD(MONTH(E937)-FYStart,12)/3)+1))</f>
        <v/>
      </c>
      <c r="O937" s="59" t="str">
        <f aca="false">IF(OR(E937="",N(F937)=0),"",G937/F937)</f>
        <v/>
      </c>
      <c r="P937" s="60" t="str">
        <f aca="false">IF(E937="","",ROUND(N(G937)*N(H937)/60,1))</f>
        <v/>
      </c>
      <c r="Q937" s="57" t="str">
        <f aca="false">IF(E937="","",IF(COUNTIFS($C$2:C937,C937,$E$2:E937,E937,$B$2:B937,B937)&gt;1,"No","Yes"))</f>
        <v/>
      </c>
      <c r="R937" s="61" t="str">
        <f aca="false">IF(E937="","",IF(Q937="No","Duplicate of an earlier response",IF(L937="Not on SITES","Site not on SITES",IF(N(G937)&gt;N(F937),"Present is more than enrolled",IF(OR(I937&lt;1,I937&gt;5),"Score outside 1 to 5","")))))</f>
        <v/>
      </c>
    </row>
    <row r="938" customFormat="false" ht="15" hidden="false" customHeight="false" outlineLevel="0" collapsed="false">
      <c r="A938" s="52"/>
      <c r="B938" s="53"/>
      <c r="C938" s="53"/>
      <c r="D938" s="53"/>
      <c r="E938" s="54"/>
      <c r="F938" s="55"/>
      <c r="G938" s="55"/>
      <c r="H938" s="55"/>
      <c r="I938" s="56"/>
      <c r="J938" s="53"/>
      <c r="K938" s="53"/>
      <c r="L938" s="57" t="str">
        <f aca="false">IF(C938="","",IFERROR(INDEX(site_ID,MATCH(C938,site_Name,0)),"Not on SITES"))</f>
        <v/>
      </c>
      <c r="M938" s="58" t="str">
        <f aca="false">IF(E938="","",DATE(YEAR(E938),MONTH(E938),1))</f>
        <v/>
      </c>
      <c r="N938" s="57" t="str">
        <f aca="false">IF(E938="","","FY"&amp;(YEAR(E938)+IF(AND(FYStart&gt;1,MONTH(E938)&gt;=FYStart),1,0))&amp;" Q"&amp;(INT(MOD(MONTH(E938)-FYStart,12)/3)+1))</f>
        <v/>
      </c>
      <c r="O938" s="59" t="str">
        <f aca="false">IF(OR(E938="",N(F938)=0),"",G938/F938)</f>
        <v/>
      </c>
      <c r="P938" s="60" t="str">
        <f aca="false">IF(E938="","",ROUND(N(G938)*N(H938)/60,1))</f>
        <v/>
      </c>
      <c r="Q938" s="57" t="str">
        <f aca="false">IF(E938="","",IF(COUNTIFS($C$2:C938,C938,$E$2:E938,E938,$B$2:B938,B938)&gt;1,"No","Yes"))</f>
        <v/>
      </c>
      <c r="R938" s="61" t="str">
        <f aca="false">IF(E938="","",IF(Q938="No","Duplicate of an earlier response",IF(L938="Not on SITES","Site not on SITES",IF(N(G938)&gt;N(F938),"Present is more than enrolled",IF(OR(I938&lt;1,I938&gt;5),"Score outside 1 to 5","")))))</f>
        <v/>
      </c>
    </row>
    <row r="939" customFormat="false" ht="15" hidden="false" customHeight="false" outlineLevel="0" collapsed="false">
      <c r="A939" s="52"/>
      <c r="B939" s="53"/>
      <c r="C939" s="53"/>
      <c r="D939" s="53"/>
      <c r="E939" s="54"/>
      <c r="F939" s="55"/>
      <c r="G939" s="55"/>
      <c r="H939" s="55"/>
      <c r="I939" s="56"/>
      <c r="J939" s="53"/>
      <c r="K939" s="53"/>
      <c r="L939" s="57" t="str">
        <f aca="false">IF(C939="","",IFERROR(INDEX(site_ID,MATCH(C939,site_Name,0)),"Not on SITES"))</f>
        <v/>
      </c>
      <c r="M939" s="58" t="str">
        <f aca="false">IF(E939="","",DATE(YEAR(E939),MONTH(E939),1))</f>
        <v/>
      </c>
      <c r="N939" s="57" t="str">
        <f aca="false">IF(E939="","","FY"&amp;(YEAR(E939)+IF(AND(FYStart&gt;1,MONTH(E939)&gt;=FYStart),1,0))&amp;" Q"&amp;(INT(MOD(MONTH(E939)-FYStart,12)/3)+1))</f>
        <v/>
      </c>
      <c r="O939" s="59" t="str">
        <f aca="false">IF(OR(E939="",N(F939)=0),"",G939/F939)</f>
        <v/>
      </c>
      <c r="P939" s="60" t="str">
        <f aca="false">IF(E939="","",ROUND(N(G939)*N(H939)/60,1))</f>
        <v/>
      </c>
      <c r="Q939" s="57" t="str">
        <f aca="false">IF(E939="","",IF(COUNTIFS($C$2:C939,C939,$E$2:E939,E939,$B$2:B939,B939)&gt;1,"No","Yes"))</f>
        <v/>
      </c>
      <c r="R939" s="61" t="str">
        <f aca="false">IF(E939="","",IF(Q939="No","Duplicate of an earlier response",IF(L939="Not on SITES","Site not on SITES",IF(N(G939)&gt;N(F939),"Present is more than enrolled",IF(OR(I939&lt;1,I939&gt;5),"Score outside 1 to 5","")))))</f>
        <v/>
      </c>
    </row>
    <row r="940" customFormat="false" ht="15" hidden="false" customHeight="false" outlineLevel="0" collapsed="false">
      <c r="A940" s="52"/>
      <c r="B940" s="53"/>
      <c r="C940" s="53"/>
      <c r="D940" s="53"/>
      <c r="E940" s="54"/>
      <c r="F940" s="55"/>
      <c r="G940" s="55"/>
      <c r="H940" s="55"/>
      <c r="I940" s="56"/>
      <c r="J940" s="53"/>
      <c r="K940" s="53"/>
      <c r="L940" s="57" t="str">
        <f aca="false">IF(C940="","",IFERROR(INDEX(site_ID,MATCH(C940,site_Name,0)),"Not on SITES"))</f>
        <v/>
      </c>
      <c r="M940" s="58" t="str">
        <f aca="false">IF(E940="","",DATE(YEAR(E940),MONTH(E940),1))</f>
        <v/>
      </c>
      <c r="N940" s="57" t="str">
        <f aca="false">IF(E940="","","FY"&amp;(YEAR(E940)+IF(AND(FYStart&gt;1,MONTH(E940)&gt;=FYStart),1,0))&amp;" Q"&amp;(INT(MOD(MONTH(E940)-FYStart,12)/3)+1))</f>
        <v/>
      </c>
      <c r="O940" s="59" t="str">
        <f aca="false">IF(OR(E940="",N(F940)=0),"",G940/F940)</f>
        <v/>
      </c>
      <c r="P940" s="60" t="str">
        <f aca="false">IF(E940="","",ROUND(N(G940)*N(H940)/60,1))</f>
        <v/>
      </c>
      <c r="Q940" s="57" t="str">
        <f aca="false">IF(E940="","",IF(COUNTIFS($C$2:C940,C940,$E$2:E940,E940,$B$2:B940,B940)&gt;1,"No","Yes"))</f>
        <v/>
      </c>
      <c r="R940" s="61" t="str">
        <f aca="false">IF(E940="","",IF(Q940="No","Duplicate of an earlier response",IF(L940="Not on SITES","Site not on SITES",IF(N(G940)&gt;N(F940),"Present is more than enrolled",IF(OR(I940&lt;1,I940&gt;5),"Score outside 1 to 5","")))))</f>
        <v/>
      </c>
    </row>
    <row r="941" customFormat="false" ht="15" hidden="false" customHeight="false" outlineLevel="0" collapsed="false">
      <c r="A941" s="52"/>
      <c r="B941" s="53"/>
      <c r="C941" s="53"/>
      <c r="D941" s="53"/>
      <c r="E941" s="54"/>
      <c r="F941" s="55"/>
      <c r="G941" s="55"/>
      <c r="H941" s="55"/>
      <c r="I941" s="56"/>
      <c r="J941" s="53"/>
      <c r="K941" s="53"/>
      <c r="L941" s="57" t="str">
        <f aca="false">IF(C941="","",IFERROR(INDEX(site_ID,MATCH(C941,site_Name,0)),"Not on SITES"))</f>
        <v/>
      </c>
      <c r="M941" s="58" t="str">
        <f aca="false">IF(E941="","",DATE(YEAR(E941),MONTH(E941),1))</f>
        <v/>
      </c>
      <c r="N941" s="57" t="str">
        <f aca="false">IF(E941="","","FY"&amp;(YEAR(E941)+IF(AND(FYStart&gt;1,MONTH(E941)&gt;=FYStart),1,0))&amp;" Q"&amp;(INT(MOD(MONTH(E941)-FYStart,12)/3)+1))</f>
        <v/>
      </c>
      <c r="O941" s="59" t="str">
        <f aca="false">IF(OR(E941="",N(F941)=0),"",G941/F941)</f>
        <v/>
      </c>
      <c r="P941" s="60" t="str">
        <f aca="false">IF(E941="","",ROUND(N(G941)*N(H941)/60,1))</f>
        <v/>
      </c>
      <c r="Q941" s="57" t="str">
        <f aca="false">IF(E941="","",IF(COUNTIFS($C$2:C941,C941,$E$2:E941,E941,$B$2:B941,B941)&gt;1,"No","Yes"))</f>
        <v/>
      </c>
      <c r="R941" s="61" t="str">
        <f aca="false">IF(E941="","",IF(Q941="No","Duplicate of an earlier response",IF(L941="Not on SITES","Site not on SITES",IF(N(G941)&gt;N(F941),"Present is more than enrolled",IF(OR(I941&lt;1,I941&gt;5),"Score outside 1 to 5","")))))</f>
        <v/>
      </c>
    </row>
    <row r="942" customFormat="false" ht="15" hidden="false" customHeight="false" outlineLevel="0" collapsed="false">
      <c r="A942" s="52"/>
      <c r="B942" s="53"/>
      <c r="C942" s="53"/>
      <c r="D942" s="53"/>
      <c r="E942" s="54"/>
      <c r="F942" s="55"/>
      <c r="G942" s="55"/>
      <c r="H942" s="55"/>
      <c r="I942" s="56"/>
      <c r="J942" s="53"/>
      <c r="K942" s="53"/>
      <c r="L942" s="57" t="str">
        <f aca="false">IF(C942="","",IFERROR(INDEX(site_ID,MATCH(C942,site_Name,0)),"Not on SITES"))</f>
        <v/>
      </c>
      <c r="M942" s="58" t="str">
        <f aca="false">IF(E942="","",DATE(YEAR(E942),MONTH(E942),1))</f>
        <v/>
      </c>
      <c r="N942" s="57" t="str">
        <f aca="false">IF(E942="","","FY"&amp;(YEAR(E942)+IF(AND(FYStart&gt;1,MONTH(E942)&gt;=FYStart),1,0))&amp;" Q"&amp;(INT(MOD(MONTH(E942)-FYStart,12)/3)+1))</f>
        <v/>
      </c>
      <c r="O942" s="59" t="str">
        <f aca="false">IF(OR(E942="",N(F942)=0),"",G942/F942)</f>
        <v/>
      </c>
      <c r="P942" s="60" t="str">
        <f aca="false">IF(E942="","",ROUND(N(G942)*N(H942)/60,1))</f>
        <v/>
      </c>
      <c r="Q942" s="57" t="str">
        <f aca="false">IF(E942="","",IF(COUNTIFS($C$2:C942,C942,$E$2:E942,E942,$B$2:B942,B942)&gt;1,"No","Yes"))</f>
        <v/>
      </c>
      <c r="R942" s="61" t="str">
        <f aca="false">IF(E942="","",IF(Q942="No","Duplicate of an earlier response",IF(L942="Not on SITES","Site not on SITES",IF(N(G942)&gt;N(F942),"Present is more than enrolled",IF(OR(I942&lt;1,I942&gt;5),"Score outside 1 to 5","")))))</f>
        <v/>
      </c>
    </row>
    <row r="943" customFormat="false" ht="15" hidden="false" customHeight="false" outlineLevel="0" collapsed="false">
      <c r="A943" s="52"/>
      <c r="B943" s="53"/>
      <c r="C943" s="53"/>
      <c r="D943" s="53"/>
      <c r="E943" s="54"/>
      <c r="F943" s="55"/>
      <c r="G943" s="55"/>
      <c r="H943" s="55"/>
      <c r="I943" s="56"/>
      <c r="J943" s="53"/>
      <c r="K943" s="53"/>
      <c r="L943" s="57" t="str">
        <f aca="false">IF(C943="","",IFERROR(INDEX(site_ID,MATCH(C943,site_Name,0)),"Not on SITES"))</f>
        <v/>
      </c>
      <c r="M943" s="58" t="str">
        <f aca="false">IF(E943="","",DATE(YEAR(E943),MONTH(E943),1))</f>
        <v/>
      </c>
      <c r="N943" s="57" t="str">
        <f aca="false">IF(E943="","","FY"&amp;(YEAR(E943)+IF(AND(FYStart&gt;1,MONTH(E943)&gt;=FYStart),1,0))&amp;" Q"&amp;(INT(MOD(MONTH(E943)-FYStart,12)/3)+1))</f>
        <v/>
      </c>
      <c r="O943" s="59" t="str">
        <f aca="false">IF(OR(E943="",N(F943)=0),"",G943/F943)</f>
        <v/>
      </c>
      <c r="P943" s="60" t="str">
        <f aca="false">IF(E943="","",ROUND(N(G943)*N(H943)/60,1))</f>
        <v/>
      </c>
      <c r="Q943" s="57" t="str">
        <f aca="false">IF(E943="","",IF(COUNTIFS($C$2:C943,C943,$E$2:E943,E943,$B$2:B943,B943)&gt;1,"No","Yes"))</f>
        <v/>
      </c>
      <c r="R943" s="61" t="str">
        <f aca="false">IF(E943="","",IF(Q943="No","Duplicate of an earlier response",IF(L943="Not on SITES","Site not on SITES",IF(N(G943)&gt;N(F943),"Present is more than enrolled",IF(OR(I943&lt;1,I943&gt;5),"Score outside 1 to 5","")))))</f>
        <v/>
      </c>
    </row>
    <row r="944" customFormat="false" ht="15" hidden="false" customHeight="false" outlineLevel="0" collapsed="false">
      <c r="A944" s="52"/>
      <c r="B944" s="53"/>
      <c r="C944" s="53"/>
      <c r="D944" s="53"/>
      <c r="E944" s="54"/>
      <c r="F944" s="55"/>
      <c r="G944" s="55"/>
      <c r="H944" s="55"/>
      <c r="I944" s="56"/>
      <c r="J944" s="53"/>
      <c r="K944" s="53"/>
      <c r="L944" s="57" t="str">
        <f aca="false">IF(C944="","",IFERROR(INDEX(site_ID,MATCH(C944,site_Name,0)),"Not on SITES"))</f>
        <v/>
      </c>
      <c r="M944" s="58" t="str">
        <f aca="false">IF(E944="","",DATE(YEAR(E944),MONTH(E944),1))</f>
        <v/>
      </c>
      <c r="N944" s="57" t="str">
        <f aca="false">IF(E944="","","FY"&amp;(YEAR(E944)+IF(AND(FYStart&gt;1,MONTH(E944)&gt;=FYStart),1,0))&amp;" Q"&amp;(INT(MOD(MONTH(E944)-FYStart,12)/3)+1))</f>
        <v/>
      </c>
      <c r="O944" s="59" t="str">
        <f aca="false">IF(OR(E944="",N(F944)=0),"",G944/F944)</f>
        <v/>
      </c>
      <c r="P944" s="60" t="str">
        <f aca="false">IF(E944="","",ROUND(N(G944)*N(H944)/60,1))</f>
        <v/>
      </c>
      <c r="Q944" s="57" t="str">
        <f aca="false">IF(E944="","",IF(COUNTIFS($C$2:C944,C944,$E$2:E944,E944,$B$2:B944,B944)&gt;1,"No","Yes"))</f>
        <v/>
      </c>
      <c r="R944" s="61" t="str">
        <f aca="false">IF(E944="","",IF(Q944="No","Duplicate of an earlier response",IF(L944="Not on SITES","Site not on SITES",IF(N(G944)&gt;N(F944),"Present is more than enrolled",IF(OR(I944&lt;1,I944&gt;5),"Score outside 1 to 5","")))))</f>
        <v/>
      </c>
    </row>
    <row r="945" customFormat="false" ht="15" hidden="false" customHeight="false" outlineLevel="0" collapsed="false">
      <c r="A945" s="52"/>
      <c r="B945" s="53"/>
      <c r="C945" s="53"/>
      <c r="D945" s="53"/>
      <c r="E945" s="54"/>
      <c r="F945" s="55"/>
      <c r="G945" s="55"/>
      <c r="H945" s="55"/>
      <c r="I945" s="56"/>
      <c r="J945" s="53"/>
      <c r="K945" s="53"/>
      <c r="L945" s="57" t="str">
        <f aca="false">IF(C945="","",IFERROR(INDEX(site_ID,MATCH(C945,site_Name,0)),"Not on SITES"))</f>
        <v/>
      </c>
      <c r="M945" s="58" t="str">
        <f aca="false">IF(E945="","",DATE(YEAR(E945),MONTH(E945),1))</f>
        <v/>
      </c>
      <c r="N945" s="57" t="str">
        <f aca="false">IF(E945="","","FY"&amp;(YEAR(E945)+IF(AND(FYStart&gt;1,MONTH(E945)&gt;=FYStart),1,0))&amp;" Q"&amp;(INT(MOD(MONTH(E945)-FYStart,12)/3)+1))</f>
        <v/>
      </c>
      <c r="O945" s="59" t="str">
        <f aca="false">IF(OR(E945="",N(F945)=0),"",G945/F945)</f>
        <v/>
      </c>
      <c r="P945" s="60" t="str">
        <f aca="false">IF(E945="","",ROUND(N(G945)*N(H945)/60,1))</f>
        <v/>
      </c>
      <c r="Q945" s="57" t="str">
        <f aca="false">IF(E945="","",IF(COUNTIFS($C$2:C945,C945,$E$2:E945,E945,$B$2:B945,B945)&gt;1,"No","Yes"))</f>
        <v/>
      </c>
      <c r="R945" s="61" t="str">
        <f aca="false">IF(E945="","",IF(Q945="No","Duplicate of an earlier response",IF(L945="Not on SITES","Site not on SITES",IF(N(G945)&gt;N(F945),"Present is more than enrolled",IF(OR(I945&lt;1,I945&gt;5),"Score outside 1 to 5","")))))</f>
        <v/>
      </c>
    </row>
    <row r="946" customFormat="false" ht="15" hidden="false" customHeight="false" outlineLevel="0" collapsed="false">
      <c r="A946" s="52"/>
      <c r="B946" s="53"/>
      <c r="C946" s="53"/>
      <c r="D946" s="53"/>
      <c r="E946" s="54"/>
      <c r="F946" s="55"/>
      <c r="G946" s="55"/>
      <c r="H946" s="55"/>
      <c r="I946" s="56"/>
      <c r="J946" s="53"/>
      <c r="K946" s="53"/>
      <c r="L946" s="57" t="str">
        <f aca="false">IF(C946="","",IFERROR(INDEX(site_ID,MATCH(C946,site_Name,0)),"Not on SITES"))</f>
        <v/>
      </c>
      <c r="M946" s="58" t="str">
        <f aca="false">IF(E946="","",DATE(YEAR(E946),MONTH(E946),1))</f>
        <v/>
      </c>
      <c r="N946" s="57" t="str">
        <f aca="false">IF(E946="","","FY"&amp;(YEAR(E946)+IF(AND(FYStart&gt;1,MONTH(E946)&gt;=FYStart),1,0))&amp;" Q"&amp;(INT(MOD(MONTH(E946)-FYStart,12)/3)+1))</f>
        <v/>
      </c>
      <c r="O946" s="59" t="str">
        <f aca="false">IF(OR(E946="",N(F946)=0),"",G946/F946)</f>
        <v/>
      </c>
      <c r="P946" s="60" t="str">
        <f aca="false">IF(E946="","",ROUND(N(G946)*N(H946)/60,1))</f>
        <v/>
      </c>
      <c r="Q946" s="57" t="str">
        <f aca="false">IF(E946="","",IF(COUNTIFS($C$2:C946,C946,$E$2:E946,E946,$B$2:B946,B946)&gt;1,"No","Yes"))</f>
        <v/>
      </c>
      <c r="R946" s="61" t="str">
        <f aca="false">IF(E946="","",IF(Q946="No","Duplicate of an earlier response",IF(L946="Not on SITES","Site not on SITES",IF(N(G946)&gt;N(F946),"Present is more than enrolled",IF(OR(I946&lt;1,I946&gt;5),"Score outside 1 to 5","")))))</f>
        <v/>
      </c>
    </row>
    <row r="947" customFormat="false" ht="15" hidden="false" customHeight="false" outlineLevel="0" collapsed="false">
      <c r="A947" s="52"/>
      <c r="B947" s="53"/>
      <c r="C947" s="53"/>
      <c r="D947" s="53"/>
      <c r="E947" s="54"/>
      <c r="F947" s="55"/>
      <c r="G947" s="55"/>
      <c r="H947" s="55"/>
      <c r="I947" s="56"/>
      <c r="J947" s="53"/>
      <c r="K947" s="53"/>
      <c r="L947" s="57" t="str">
        <f aca="false">IF(C947="","",IFERROR(INDEX(site_ID,MATCH(C947,site_Name,0)),"Not on SITES"))</f>
        <v/>
      </c>
      <c r="M947" s="58" t="str">
        <f aca="false">IF(E947="","",DATE(YEAR(E947),MONTH(E947),1))</f>
        <v/>
      </c>
      <c r="N947" s="57" t="str">
        <f aca="false">IF(E947="","","FY"&amp;(YEAR(E947)+IF(AND(FYStart&gt;1,MONTH(E947)&gt;=FYStart),1,0))&amp;" Q"&amp;(INT(MOD(MONTH(E947)-FYStart,12)/3)+1))</f>
        <v/>
      </c>
      <c r="O947" s="59" t="str">
        <f aca="false">IF(OR(E947="",N(F947)=0),"",G947/F947)</f>
        <v/>
      </c>
      <c r="P947" s="60" t="str">
        <f aca="false">IF(E947="","",ROUND(N(G947)*N(H947)/60,1))</f>
        <v/>
      </c>
      <c r="Q947" s="57" t="str">
        <f aca="false">IF(E947="","",IF(COUNTIFS($C$2:C947,C947,$E$2:E947,E947,$B$2:B947,B947)&gt;1,"No","Yes"))</f>
        <v/>
      </c>
      <c r="R947" s="61" t="str">
        <f aca="false">IF(E947="","",IF(Q947="No","Duplicate of an earlier response",IF(L947="Not on SITES","Site not on SITES",IF(N(G947)&gt;N(F947),"Present is more than enrolled",IF(OR(I947&lt;1,I947&gt;5),"Score outside 1 to 5","")))))</f>
        <v/>
      </c>
    </row>
    <row r="948" customFormat="false" ht="15" hidden="false" customHeight="false" outlineLevel="0" collapsed="false">
      <c r="A948" s="52"/>
      <c r="B948" s="53"/>
      <c r="C948" s="53"/>
      <c r="D948" s="53"/>
      <c r="E948" s="54"/>
      <c r="F948" s="55"/>
      <c r="G948" s="55"/>
      <c r="H948" s="55"/>
      <c r="I948" s="56"/>
      <c r="J948" s="53"/>
      <c r="K948" s="53"/>
      <c r="L948" s="57" t="str">
        <f aca="false">IF(C948="","",IFERROR(INDEX(site_ID,MATCH(C948,site_Name,0)),"Not on SITES"))</f>
        <v/>
      </c>
      <c r="M948" s="58" t="str">
        <f aca="false">IF(E948="","",DATE(YEAR(E948),MONTH(E948),1))</f>
        <v/>
      </c>
      <c r="N948" s="57" t="str">
        <f aca="false">IF(E948="","","FY"&amp;(YEAR(E948)+IF(AND(FYStart&gt;1,MONTH(E948)&gt;=FYStart),1,0))&amp;" Q"&amp;(INT(MOD(MONTH(E948)-FYStart,12)/3)+1))</f>
        <v/>
      </c>
      <c r="O948" s="59" t="str">
        <f aca="false">IF(OR(E948="",N(F948)=0),"",G948/F948)</f>
        <v/>
      </c>
      <c r="P948" s="60" t="str">
        <f aca="false">IF(E948="","",ROUND(N(G948)*N(H948)/60,1))</f>
        <v/>
      </c>
      <c r="Q948" s="57" t="str">
        <f aca="false">IF(E948="","",IF(COUNTIFS($C$2:C948,C948,$E$2:E948,E948,$B$2:B948,B948)&gt;1,"No","Yes"))</f>
        <v/>
      </c>
      <c r="R948" s="61" t="str">
        <f aca="false">IF(E948="","",IF(Q948="No","Duplicate of an earlier response",IF(L948="Not on SITES","Site not on SITES",IF(N(G948)&gt;N(F948),"Present is more than enrolled",IF(OR(I948&lt;1,I948&gt;5),"Score outside 1 to 5","")))))</f>
        <v/>
      </c>
    </row>
    <row r="949" customFormat="false" ht="15" hidden="false" customHeight="false" outlineLevel="0" collapsed="false">
      <c r="A949" s="52"/>
      <c r="B949" s="53"/>
      <c r="C949" s="53"/>
      <c r="D949" s="53"/>
      <c r="E949" s="54"/>
      <c r="F949" s="55"/>
      <c r="G949" s="55"/>
      <c r="H949" s="55"/>
      <c r="I949" s="56"/>
      <c r="J949" s="53"/>
      <c r="K949" s="53"/>
      <c r="L949" s="57" t="str">
        <f aca="false">IF(C949="","",IFERROR(INDEX(site_ID,MATCH(C949,site_Name,0)),"Not on SITES"))</f>
        <v/>
      </c>
      <c r="M949" s="58" t="str">
        <f aca="false">IF(E949="","",DATE(YEAR(E949),MONTH(E949),1))</f>
        <v/>
      </c>
      <c r="N949" s="57" t="str">
        <f aca="false">IF(E949="","","FY"&amp;(YEAR(E949)+IF(AND(FYStart&gt;1,MONTH(E949)&gt;=FYStart),1,0))&amp;" Q"&amp;(INT(MOD(MONTH(E949)-FYStart,12)/3)+1))</f>
        <v/>
      </c>
      <c r="O949" s="59" t="str">
        <f aca="false">IF(OR(E949="",N(F949)=0),"",G949/F949)</f>
        <v/>
      </c>
      <c r="P949" s="60" t="str">
        <f aca="false">IF(E949="","",ROUND(N(G949)*N(H949)/60,1))</f>
        <v/>
      </c>
      <c r="Q949" s="57" t="str">
        <f aca="false">IF(E949="","",IF(COUNTIFS($C$2:C949,C949,$E$2:E949,E949,$B$2:B949,B949)&gt;1,"No","Yes"))</f>
        <v/>
      </c>
      <c r="R949" s="61" t="str">
        <f aca="false">IF(E949="","",IF(Q949="No","Duplicate of an earlier response",IF(L949="Not on SITES","Site not on SITES",IF(N(G949)&gt;N(F949),"Present is more than enrolled",IF(OR(I949&lt;1,I949&gt;5),"Score outside 1 to 5","")))))</f>
        <v/>
      </c>
    </row>
    <row r="950" customFormat="false" ht="15" hidden="false" customHeight="false" outlineLevel="0" collapsed="false">
      <c r="A950" s="52"/>
      <c r="B950" s="53"/>
      <c r="C950" s="53"/>
      <c r="D950" s="53"/>
      <c r="E950" s="54"/>
      <c r="F950" s="55"/>
      <c r="G950" s="55"/>
      <c r="H950" s="55"/>
      <c r="I950" s="56"/>
      <c r="J950" s="53"/>
      <c r="K950" s="53"/>
      <c r="L950" s="57" t="str">
        <f aca="false">IF(C950="","",IFERROR(INDEX(site_ID,MATCH(C950,site_Name,0)),"Not on SITES"))</f>
        <v/>
      </c>
      <c r="M950" s="58" t="str">
        <f aca="false">IF(E950="","",DATE(YEAR(E950),MONTH(E950),1))</f>
        <v/>
      </c>
      <c r="N950" s="57" t="str">
        <f aca="false">IF(E950="","","FY"&amp;(YEAR(E950)+IF(AND(FYStart&gt;1,MONTH(E950)&gt;=FYStart),1,0))&amp;" Q"&amp;(INT(MOD(MONTH(E950)-FYStart,12)/3)+1))</f>
        <v/>
      </c>
      <c r="O950" s="59" t="str">
        <f aca="false">IF(OR(E950="",N(F950)=0),"",G950/F950)</f>
        <v/>
      </c>
      <c r="P950" s="60" t="str">
        <f aca="false">IF(E950="","",ROUND(N(G950)*N(H950)/60,1))</f>
        <v/>
      </c>
      <c r="Q950" s="57" t="str">
        <f aca="false">IF(E950="","",IF(COUNTIFS($C$2:C950,C950,$E$2:E950,E950,$B$2:B950,B950)&gt;1,"No","Yes"))</f>
        <v/>
      </c>
      <c r="R950" s="61" t="str">
        <f aca="false">IF(E950="","",IF(Q950="No","Duplicate of an earlier response",IF(L950="Not on SITES","Site not on SITES",IF(N(G950)&gt;N(F950),"Present is more than enrolled",IF(OR(I950&lt;1,I950&gt;5),"Score outside 1 to 5","")))))</f>
        <v/>
      </c>
    </row>
    <row r="951" customFormat="false" ht="15" hidden="false" customHeight="false" outlineLevel="0" collapsed="false">
      <c r="A951" s="52"/>
      <c r="B951" s="53"/>
      <c r="C951" s="53"/>
      <c r="D951" s="53"/>
      <c r="E951" s="54"/>
      <c r="F951" s="55"/>
      <c r="G951" s="55"/>
      <c r="H951" s="55"/>
      <c r="I951" s="56"/>
      <c r="J951" s="53"/>
      <c r="K951" s="53"/>
      <c r="L951" s="57" t="str">
        <f aca="false">IF(C951="","",IFERROR(INDEX(site_ID,MATCH(C951,site_Name,0)),"Not on SITES"))</f>
        <v/>
      </c>
      <c r="M951" s="58" t="str">
        <f aca="false">IF(E951="","",DATE(YEAR(E951),MONTH(E951),1))</f>
        <v/>
      </c>
      <c r="N951" s="57" t="str">
        <f aca="false">IF(E951="","","FY"&amp;(YEAR(E951)+IF(AND(FYStart&gt;1,MONTH(E951)&gt;=FYStart),1,0))&amp;" Q"&amp;(INT(MOD(MONTH(E951)-FYStart,12)/3)+1))</f>
        <v/>
      </c>
      <c r="O951" s="59" t="str">
        <f aca="false">IF(OR(E951="",N(F951)=0),"",G951/F951)</f>
        <v/>
      </c>
      <c r="P951" s="60" t="str">
        <f aca="false">IF(E951="","",ROUND(N(G951)*N(H951)/60,1))</f>
        <v/>
      </c>
      <c r="Q951" s="57" t="str">
        <f aca="false">IF(E951="","",IF(COUNTIFS($C$2:C951,C951,$E$2:E951,E951,$B$2:B951,B951)&gt;1,"No","Yes"))</f>
        <v/>
      </c>
      <c r="R951" s="61" t="str">
        <f aca="false">IF(E951="","",IF(Q951="No","Duplicate of an earlier response",IF(L951="Not on SITES","Site not on SITES",IF(N(G951)&gt;N(F951),"Present is more than enrolled",IF(OR(I951&lt;1,I951&gt;5),"Score outside 1 to 5","")))))</f>
        <v/>
      </c>
    </row>
    <row r="952" customFormat="false" ht="15" hidden="false" customHeight="false" outlineLevel="0" collapsed="false">
      <c r="A952" s="52"/>
      <c r="B952" s="53"/>
      <c r="C952" s="53"/>
      <c r="D952" s="53"/>
      <c r="E952" s="54"/>
      <c r="F952" s="55"/>
      <c r="G952" s="55"/>
      <c r="H952" s="55"/>
      <c r="I952" s="56"/>
      <c r="J952" s="53"/>
      <c r="K952" s="53"/>
      <c r="L952" s="57" t="str">
        <f aca="false">IF(C952="","",IFERROR(INDEX(site_ID,MATCH(C952,site_Name,0)),"Not on SITES"))</f>
        <v/>
      </c>
      <c r="M952" s="58" t="str">
        <f aca="false">IF(E952="","",DATE(YEAR(E952),MONTH(E952),1))</f>
        <v/>
      </c>
      <c r="N952" s="57" t="str">
        <f aca="false">IF(E952="","","FY"&amp;(YEAR(E952)+IF(AND(FYStart&gt;1,MONTH(E952)&gt;=FYStart),1,0))&amp;" Q"&amp;(INT(MOD(MONTH(E952)-FYStart,12)/3)+1))</f>
        <v/>
      </c>
      <c r="O952" s="59" t="str">
        <f aca="false">IF(OR(E952="",N(F952)=0),"",G952/F952)</f>
        <v/>
      </c>
      <c r="P952" s="60" t="str">
        <f aca="false">IF(E952="","",ROUND(N(G952)*N(H952)/60,1))</f>
        <v/>
      </c>
      <c r="Q952" s="57" t="str">
        <f aca="false">IF(E952="","",IF(COUNTIFS($C$2:C952,C952,$E$2:E952,E952,$B$2:B952,B952)&gt;1,"No","Yes"))</f>
        <v/>
      </c>
      <c r="R952" s="61" t="str">
        <f aca="false">IF(E952="","",IF(Q952="No","Duplicate of an earlier response",IF(L952="Not on SITES","Site not on SITES",IF(N(G952)&gt;N(F952),"Present is more than enrolled",IF(OR(I952&lt;1,I952&gt;5),"Score outside 1 to 5","")))))</f>
        <v/>
      </c>
    </row>
    <row r="953" customFormat="false" ht="15" hidden="false" customHeight="false" outlineLevel="0" collapsed="false">
      <c r="A953" s="52"/>
      <c r="B953" s="53"/>
      <c r="C953" s="53"/>
      <c r="D953" s="53"/>
      <c r="E953" s="54"/>
      <c r="F953" s="55"/>
      <c r="G953" s="55"/>
      <c r="H953" s="55"/>
      <c r="I953" s="56"/>
      <c r="J953" s="53"/>
      <c r="K953" s="53"/>
      <c r="L953" s="57" t="str">
        <f aca="false">IF(C953="","",IFERROR(INDEX(site_ID,MATCH(C953,site_Name,0)),"Not on SITES"))</f>
        <v/>
      </c>
      <c r="M953" s="58" t="str">
        <f aca="false">IF(E953="","",DATE(YEAR(E953),MONTH(E953),1))</f>
        <v/>
      </c>
      <c r="N953" s="57" t="str">
        <f aca="false">IF(E953="","","FY"&amp;(YEAR(E953)+IF(AND(FYStart&gt;1,MONTH(E953)&gt;=FYStart),1,0))&amp;" Q"&amp;(INT(MOD(MONTH(E953)-FYStart,12)/3)+1))</f>
        <v/>
      </c>
      <c r="O953" s="59" t="str">
        <f aca="false">IF(OR(E953="",N(F953)=0),"",G953/F953)</f>
        <v/>
      </c>
      <c r="P953" s="60" t="str">
        <f aca="false">IF(E953="","",ROUND(N(G953)*N(H953)/60,1))</f>
        <v/>
      </c>
      <c r="Q953" s="57" t="str">
        <f aca="false">IF(E953="","",IF(COUNTIFS($C$2:C953,C953,$E$2:E953,E953,$B$2:B953,B953)&gt;1,"No","Yes"))</f>
        <v/>
      </c>
      <c r="R953" s="61" t="str">
        <f aca="false">IF(E953="","",IF(Q953="No","Duplicate of an earlier response",IF(L953="Not on SITES","Site not on SITES",IF(N(G953)&gt;N(F953),"Present is more than enrolled",IF(OR(I953&lt;1,I953&gt;5),"Score outside 1 to 5","")))))</f>
        <v/>
      </c>
    </row>
    <row r="954" customFormat="false" ht="15" hidden="false" customHeight="false" outlineLevel="0" collapsed="false">
      <c r="A954" s="52"/>
      <c r="B954" s="53"/>
      <c r="C954" s="53"/>
      <c r="D954" s="53"/>
      <c r="E954" s="54"/>
      <c r="F954" s="55"/>
      <c r="G954" s="55"/>
      <c r="H954" s="55"/>
      <c r="I954" s="56"/>
      <c r="J954" s="53"/>
      <c r="K954" s="53"/>
      <c r="L954" s="57" t="str">
        <f aca="false">IF(C954="","",IFERROR(INDEX(site_ID,MATCH(C954,site_Name,0)),"Not on SITES"))</f>
        <v/>
      </c>
      <c r="M954" s="58" t="str">
        <f aca="false">IF(E954="","",DATE(YEAR(E954),MONTH(E954),1))</f>
        <v/>
      </c>
      <c r="N954" s="57" t="str">
        <f aca="false">IF(E954="","","FY"&amp;(YEAR(E954)+IF(AND(FYStart&gt;1,MONTH(E954)&gt;=FYStart),1,0))&amp;" Q"&amp;(INT(MOD(MONTH(E954)-FYStart,12)/3)+1))</f>
        <v/>
      </c>
      <c r="O954" s="59" t="str">
        <f aca="false">IF(OR(E954="",N(F954)=0),"",G954/F954)</f>
        <v/>
      </c>
      <c r="P954" s="60" t="str">
        <f aca="false">IF(E954="","",ROUND(N(G954)*N(H954)/60,1))</f>
        <v/>
      </c>
      <c r="Q954" s="57" t="str">
        <f aca="false">IF(E954="","",IF(COUNTIFS($C$2:C954,C954,$E$2:E954,E954,$B$2:B954,B954)&gt;1,"No","Yes"))</f>
        <v/>
      </c>
      <c r="R954" s="61" t="str">
        <f aca="false">IF(E954="","",IF(Q954="No","Duplicate of an earlier response",IF(L954="Not on SITES","Site not on SITES",IF(N(G954)&gt;N(F954),"Present is more than enrolled",IF(OR(I954&lt;1,I954&gt;5),"Score outside 1 to 5","")))))</f>
        <v/>
      </c>
    </row>
    <row r="955" customFormat="false" ht="15" hidden="false" customHeight="false" outlineLevel="0" collapsed="false">
      <c r="A955" s="52"/>
      <c r="B955" s="53"/>
      <c r="C955" s="53"/>
      <c r="D955" s="53"/>
      <c r="E955" s="54"/>
      <c r="F955" s="55"/>
      <c r="G955" s="55"/>
      <c r="H955" s="55"/>
      <c r="I955" s="56"/>
      <c r="J955" s="53"/>
      <c r="K955" s="53"/>
      <c r="L955" s="57" t="str">
        <f aca="false">IF(C955="","",IFERROR(INDEX(site_ID,MATCH(C955,site_Name,0)),"Not on SITES"))</f>
        <v/>
      </c>
      <c r="M955" s="58" t="str">
        <f aca="false">IF(E955="","",DATE(YEAR(E955),MONTH(E955),1))</f>
        <v/>
      </c>
      <c r="N955" s="57" t="str">
        <f aca="false">IF(E955="","","FY"&amp;(YEAR(E955)+IF(AND(FYStart&gt;1,MONTH(E955)&gt;=FYStart),1,0))&amp;" Q"&amp;(INT(MOD(MONTH(E955)-FYStart,12)/3)+1))</f>
        <v/>
      </c>
      <c r="O955" s="59" t="str">
        <f aca="false">IF(OR(E955="",N(F955)=0),"",G955/F955)</f>
        <v/>
      </c>
      <c r="P955" s="60" t="str">
        <f aca="false">IF(E955="","",ROUND(N(G955)*N(H955)/60,1))</f>
        <v/>
      </c>
      <c r="Q955" s="57" t="str">
        <f aca="false">IF(E955="","",IF(COUNTIFS($C$2:C955,C955,$E$2:E955,E955,$B$2:B955,B955)&gt;1,"No","Yes"))</f>
        <v/>
      </c>
      <c r="R955" s="61" t="str">
        <f aca="false">IF(E955="","",IF(Q955="No","Duplicate of an earlier response",IF(L955="Not on SITES","Site not on SITES",IF(N(G955)&gt;N(F955),"Present is more than enrolled",IF(OR(I955&lt;1,I955&gt;5),"Score outside 1 to 5","")))))</f>
        <v/>
      </c>
    </row>
    <row r="956" customFormat="false" ht="15" hidden="false" customHeight="false" outlineLevel="0" collapsed="false">
      <c r="A956" s="52"/>
      <c r="B956" s="53"/>
      <c r="C956" s="53"/>
      <c r="D956" s="53"/>
      <c r="E956" s="54"/>
      <c r="F956" s="55"/>
      <c r="G956" s="55"/>
      <c r="H956" s="55"/>
      <c r="I956" s="56"/>
      <c r="J956" s="53"/>
      <c r="K956" s="53"/>
      <c r="L956" s="57" t="str">
        <f aca="false">IF(C956="","",IFERROR(INDEX(site_ID,MATCH(C956,site_Name,0)),"Not on SITES"))</f>
        <v/>
      </c>
      <c r="M956" s="58" t="str">
        <f aca="false">IF(E956="","",DATE(YEAR(E956),MONTH(E956),1))</f>
        <v/>
      </c>
      <c r="N956" s="57" t="str">
        <f aca="false">IF(E956="","","FY"&amp;(YEAR(E956)+IF(AND(FYStart&gt;1,MONTH(E956)&gt;=FYStart),1,0))&amp;" Q"&amp;(INT(MOD(MONTH(E956)-FYStart,12)/3)+1))</f>
        <v/>
      </c>
      <c r="O956" s="59" t="str">
        <f aca="false">IF(OR(E956="",N(F956)=0),"",G956/F956)</f>
        <v/>
      </c>
      <c r="P956" s="60" t="str">
        <f aca="false">IF(E956="","",ROUND(N(G956)*N(H956)/60,1))</f>
        <v/>
      </c>
      <c r="Q956" s="57" t="str">
        <f aca="false">IF(E956="","",IF(COUNTIFS($C$2:C956,C956,$E$2:E956,E956,$B$2:B956,B956)&gt;1,"No","Yes"))</f>
        <v/>
      </c>
      <c r="R956" s="61" t="str">
        <f aca="false">IF(E956="","",IF(Q956="No","Duplicate of an earlier response",IF(L956="Not on SITES","Site not on SITES",IF(N(G956)&gt;N(F956),"Present is more than enrolled",IF(OR(I956&lt;1,I956&gt;5),"Score outside 1 to 5","")))))</f>
        <v/>
      </c>
    </row>
    <row r="957" customFormat="false" ht="15" hidden="false" customHeight="false" outlineLevel="0" collapsed="false">
      <c r="A957" s="52"/>
      <c r="B957" s="53"/>
      <c r="C957" s="53"/>
      <c r="D957" s="53"/>
      <c r="E957" s="54"/>
      <c r="F957" s="55"/>
      <c r="G957" s="55"/>
      <c r="H957" s="55"/>
      <c r="I957" s="56"/>
      <c r="J957" s="53"/>
      <c r="K957" s="53"/>
      <c r="L957" s="57" t="str">
        <f aca="false">IF(C957="","",IFERROR(INDEX(site_ID,MATCH(C957,site_Name,0)),"Not on SITES"))</f>
        <v/>
      </c>
      <c r="M957" s="58" t="str">
        <f aca="false">IF(E957="","",DATE(YEAR(E957),MONTH(E957),1))</f>
        <v/>
      </c>
      <c r="N957" s="57" t="str">
        <f aca="false">IF(E957="","","FY"&amp;(YEAR(E957)+IF(AND(FYStart&gt;1,MONTH(E957)&gt;=FYStart),1,0))&amp;" Q"&amp;(INT(MOD(MONTH(E957)-FYStart,12)/3)+1))</f>
        <v/>
      </c>
      <c r="O957" s="59" t="str">
        <f aca="false">IF(OR(E957="",N(F957)=0),"",G957/F957)</f>
        <v/>
      </c>
      <c r="P957" s="60" t="str">
        <f aca="false">IF(E957="","",ROUND(N(G957)*N(H957)/60,1))</f>
        <v/>
      </c>
      <c r="Q957" s="57" t="str">
        <f aca="false">IF(E957="","",IF(COUNTIFS($C$2:C957,C957,$E$2:E957,E957,$B$2:B957,B957)&gt;1,"No","Yes"))</f>
        <v/>
      </c>
      <c r="R957" s="61" t="str">
        <f aca="false">IF(E957="","",IF(Q957="No","Duplicate of an earlier response",IF(L957="Not on SITES","Site not on SITES",IF(N(G957)&gt;N(F957),"Present is more than enrolled",IF(OR(I957&lt;1,I957&gt;5),"Score outside 1 to 5","")))))</f>
        <v/>
      </c>
    </row>
    <row r="958" customFormat="false" ht="15" hidden="false" customHeight="false" outlineLevel="0" collapsed="false">
      <c r="A958" s="52"/>
      <c r="B958" s="53"/>
      <c r="C958" s="53"/>
      <c r="D958" s="53"/>
      <c r="E958" s="54"/>
      <c r="F958" s="55"/>
      <c r="G958" s="55"/>
      <c r="H958" s="55"/>
      <c r="I958" s="56"/>
      <c r="J958" s="53"/>
      <c r="K958" s="53"/>
      <c r="L958" s="57" t="str">
        <f aca="false">IF(C958="","",IFERROR(INDEX(site_ID,MATCH(C958,site_Name,0)),"Not on SITES"))</f>
        <v/>
      </c>
      <c r="M958" s="58" t="str">
        <f aca="false">IF(E958="","",DATE(YEAR(E958),MONTH(E958),1))</f>
        <v/>
      </c>
      <c r="N958" s="57" t="str">
        <f aca="false">IF(E958="","","FY"&amp;(YEAR(E958)+IF(AND(FYStart&gt;1,MONTH(E958)&gt;=FYStart),1,0))&amp;" Q"&amp;(INT(MOD(MONTH(E958)-FYStart,12)/3)+1))</f>
        <v/>
      </c>
      <c r="O958" s="59" t="str">
        <f aca="false">IF(OR(E958="",N(F958)=0),"",G958/F958)</f>
        <v/>
      </c>
      <c r="P958" s="60" t="str">
        <f aca="false">IF(E958="","",ROUND(N(G958)*N(H958)/60,1))</f>
        <v/>
      </c>
      <c r="Q958" s="57" t="str">
        <f aca="false">IF(E958="","",IF(COUNTIFS($C$2:C958,C958,$E$2:E958,E958,$B$2:B958,B958)&gt;1,"No","Yes"))</f>
        <v/>
      </c>
      <c r="R958" s="61" t="str">
        <f aca="false">IF(E958="","",IF(Q958="No","Duplicate of an earlier response",IF(L958="Not on SITES","Site not on SITES",IF(N(G958)&gt;N(F958),"Present is more than enrolled",IF(OR(I958&lt;1,I958&gt;5),"Score outside 1 to 5","")))))</f>
        <v/>
      </c>
    </row>
    <row r="959" customFormat="false" ht="15" hidden="false" customHeight="false" outlineLevel="0" collapsed="false">
      <c r="A959" s="52"/>
      <c r="B959" s="53"/>
      <c r="C959" s="53"/>
      <c r="D959" s="53"/>
      <c r="E959" s="54"/>
      <c r="F959" s="55"/>
      <c r="G959" s="55"/>
      <c r="H959" s="55"/>
      <c r="I959" s="56"/>
      <c r="J959" s="53"/>
      <c r="K959" s="53"/>
      <c r="L959" s="57" t="str">
        <f aca="false">IF(C959="","",IFERROR(INDEX(site_ID,MATCH(C959,site_Name,0)),"Not on SITES"))</f>
        <v/>
      </c>
      <c r="M959" s="58" t="str">
        <f aca="false">IF(E959="","",DATE(YEAR(E959),MONTH(E959),1))</f>
        <v/>
      </c>
      <c r="N959" s="57" t="str">
        <f aca="false">IF(E959="","","FY"&amp;(YEAR(E959)+IF(AND(FYStart&gt;1,MONTH(E959)&gt;=FYStart),1,0))&amp;" Q"&amp;(INT(MOD(MONTH(E959)-FYStart,12)/3)+1))</f>
        <v/>
      </c>
      <c r="O959" s="59" t="str">
        <f aca="false">IF(OR(E959="",N(F959)=0),"",G959/F959)</f>
        <v/>
      </c>
      <c r="P959" s="60" t="str">
        <f aca="false">IF(E959="","",ROUND(N(G959)*N(H959)/60,1))</f>
        <v/>
      </c>
      <c r="Q959" s="57" t="str">
        <f aca="false">IF(E959="","",IF(COUNTIFS($C$2:C959,C959,$E$2:E959,E959,$B$2:B959,B959)&gt;1,"No","Yes"))</f>
        <v/>
      </c>
      <c r="R959" s="61" t="str">
        <f aca="false">IF(E959="","",IF(Q959="No","Duplicate of an earlier response",IF(L959="Not on SITES","Site not on SITES",IF(N(G959)&gt;N(F959),"Present is more than enrolled",IF(OR(I959&lt;1,I959&gt;5),"Score outside 1 to 5","")))))</f>
        <v/>
      </c>
    </row>
    <row r="960" customFormat="false" ht="15" hidden="false" customHeight="false" outlineLevel="0" collapsed="false">
      <c r="A960" s="52"/>
      <c r="B960" s="53"/>
      <c r="C960" s="53"/>
      <c r="D960" s="53"/>
      <c r="E960" s="54"/>
      <c r="F960" s="55"/>
      <c r="G960" s="55"/>
      <c r="H960" s="55"/>
      <c r="I960" s="56"/>
      <c r="J960" s="53"/>
      <c r="K960" s="53"/>
      <c r="L960" s="57" t="str">
        <f aca="false">IF(C960="","",IFERROR(INDEX(site_ID,MATCH(C960,site_Name,0)),"Not on SITES"))</f>
        <v/>
      </c>
      <c r="M960" s="58" t="str">
        <f aca="false">IF(E960="","",DATE(YEAR(E960),MONTH(E960),1))</f>
        <v/>
      </c>
      <c r="N960" s="57" t="str">
        <f aca="false">IF(E960="","","FY"&amp;(YEAR(E960)+IF(AND(FYStart&gt;1,MONTH(E960)&gt;=FYStart),1,0))&amp;" Q"&amp;(INT(MOD(MONTH(E960)-FYStart,12)/3)+1))</f>
        <v/>
      </c>
      <c r="O960" s="59" t="str">
        <f aca="false">IF(OR(E960="",N(F960)=0),"",G960/F960)</f>
        <v/>
      </c>
      <c r="P960" s="60" t="str">
        <f aca="false">IF(E960="","",ROUND(N(G960)*N(H960)/60,1))</f>
        <v/>
      </c>
      <c r="Q960" s="57" t="str">
        <f aca="false">IF(E960="","",IF(COUNTIFS($C$2:C960,C960,$E$2:E960,E960,$B$2:B960,B960)&gt;1,"No","Yes"))</f>
        <v/>
      </c>
      <c r="R960" s="61" t="str">
        <f aca="false">IF(E960="","",IF(Q960="No","Duplicate of an earlier response",IF(L960="Not on SITES","Site not on SITES",IF(N(G960)&gt;N(F960),"Present is more than enrolled",IF(OR(I960&lt;1,I960&gt;5),"Score outside 1 to 5","")))))</f>
        <v/>
      </c>
    </row>
    <row r="961" customFormat="false" ht="15" hidden="false" customHeight="false" outlineLevel="0" collapsed="false">
      <c r="A961" s="52"/>
      <c r="B961" s="53"/>
      <c r="C961" s="53"/>
      <c r="D961" s="53"/>
      <c r="E961" s="54"/>
      <c r="F961" s="55"/>
      <c r="G961" s="55"/>
      <c r="H961" s="55"/>
      <c r="I961" s="56"/>
      <c r="J961" s="53"/>
      <c r="K961" s="53"/>
      <c r="L961" s="57" t="str">
        <f aca="false">IF(C961="","",IFERROR(INDEX(site_ID,MATCH(C961,site_Name,0)),"Not on SITES"))</f>
        <v/>
      </c>
      <c r="M961" s="58" t="str">
        <f aca="false">IF(E961="","",DATE(YEAR(E961),MONTH(E961),1))</f>
        <v/>
      </c>
      <c r="N961" s="57" t="str">
        <f aca="false">IF(E961="","","FY"&amp;(YEAR(E961)+IF(AND(FYStart&gt;1,MONTH(E961)&gt;=FYStart),1,0))&amp;" Q"&amp;(INT(MOD(MONTH(E961)-FYStart,12)/3)+1))</f>
        <v/>
      </c>
      <c r="O961" s="59" t="str">
        <f aca="false">IF(OR(E961="",N(F961)=0),"",G961/F961)</f>
        <v/>
      </c>
      <c r="P961" s="60" t="str">
        <f aca="false">IF(E961="","",ROUND(N(G961)*N(H961)/60,1))</f>
        <v/>
      </c>
      <c r="Q961" s="57" t="str">
        <f aca="false">IF(E961="","",IF(COUNTIFS($C$2:C961,C961,$E$2:E961,E961,$B$2:B961,B961)&gt;1,"No","Yes"))</f>
        <v/>
      </c>
      <c r="R961" s="61" t="str">
        <f aca="false">IF(E961="","",IF(Q961="No","Duplicate of an earlier response",IF(L961="Not on SITES","Site not on SITES",IF(N(G961)&gt;N(F961),"Present is more than enrolled",IF(OR(I961&lt;1,I961&gt;5),"Score outside 1 to 5","")))))</f>
        <v/>
      </c>
    </row>
    <row r="962" customFormat="false" ht="15" hidden="false" customHeight="false" outlineLevel="0" collapsed="false">
      <c r="A962" s="52"/>
      <c r="B962" s="53"/>
      <c r="C962" s="53"/>
      <c r="D962" s="53"/>
      <c r="E962" s="54"/>
      <c r="F962" s="55"/>
      <c r="G962" s="55"/>
      <c r="H962" s="55"/>
      <c r="I962" s="56"/>
      <c r="J962" s="53"/>
      <c r="K962" s="53"/>
      <c r="L962" s="57" t="str">
        <f aca="false">IF(C962="","",IFERROR(INDEX(site_ID,MATCH(C962,site_Name,0)),"Not on SITES"))</f>
        <v/>
      </c>
      <c r="M962" s="58" t="str">
        <f aca="false">IF(E962="","",DATE(YEAR(E962),MONTH(E962),1))</f>
        <v/>
      </c>
      <c r="N962" s="57" t="str">
        <f aca="false">IF(E962="","","FY"&amp;(YEAR(E962)+IF(AND(FYStart&gt;1,MONTH(E962)&gt;=FYStart),1,0))&amp;" Q"&amp;(INT(MOD(MONTH(E962)-FYStart,12)/3)+1))</f>
        <v/>
      </c>
      <c r="O962" s="59" t="str">
        <f aca="false">IF(OR(E962="",N(F962)=0),"",G962/F962)</f>
        <v/>
      </c>
      <c r="P962" s="60" t="str">
        <f aca="false">IF(E962="","",ROUND(N(G962)*N(H962)/60,1))</f>
        <v/>
      </c>
      <c r="Q962" s="57" t="str">
        <f aca="false">IF(E962="","",IF(COUNTIFS($C$2:C962,C962,$E$2:E962,E962,$B$2:B962,B962)&gt;1,"No","Yes"))</f>
        <v/>
      </c>
      <c r="R962" s="61" t="str">
        <f aca="false">IF(E962="","",IF(Q962="No","Duplicate of an earlier response",IF(L962="Not on SITES","Site not on SITES",IF(N(G962)&gt;N(F962),"Present is more than enrolled",IF(OR(I962&lt;1,I962&gt;5),"Score outside 1 to 5","")))))</f>
        <v/>
      </c>
    </row>
    <row r="963" customFormat="false" ht="15" hidden="false" customHeight="false" outlineLevel="0" collapsed="false">
      <c r="A963" s="52"/>
      <c r="B963" s="53"/>
      <c r="C963" s="53"/>
      <c r="D963" s="53"/>
      <c r="E963" s="54"/>
      <c r="F963" s="55"/>
      <c r="G963" s="55"/>
      <c r="H963" s="55"/>
      <c r="I963" s="56"/>
      <c r="J963" s="53"/>
      <c r="K963" s="53"/>
      <c r="L963" s="57" t="str">
        <f aca="false">IF(C963="","",IFERROR(INDEX(site_ID,MATCH(C963,site_Name,0)),"Not on SITES"))</f>
        <v/>
      </c>
      <c r="M963" s="58" t="str">
        <f aca="false">IF(E963="","",DATE(YEAR(E963),MONTH(E963),1))</f>
        <v/>
      </c>
      <c r="N963" s="57" t="str">
        <f aca="false">IF(E963="","","FY"&amp;(YEAR(E963)+IF(AND(FYStart&gt;1,MONTH(E963)&gt;=FYStart),1,0))&amp;" Q"&amp;(INT(MOD(MONTH(E963)-FYStart,12)/3)+1))</f>
        <v/>
      </c>
      <c r="O963" s="59" t="str">
        <f aca="false">IF(OR(E963="",N(F963)=0),"",G963/F963)</f>
        <v/>
      </c>
      <c r="P963" s="60" t="str">
        <f aca="false">IF(E963="","",ROUND(N(G963)*N(H963)/60,1))</f>
        <v/>
      </c>
      <c r="Q963" s="57" t="str">
        <f aca="false">IF(E963="","",IF(COUNTIFS($C$2:C963,C963,$E$2:E963,E963,$B$2:B963,B963)&gt;1,"No","Yes"))</f>
        <v/>
      </c>
      <c r="R963" s="61" t="str">
        <f aca="false">IF(E963="","",IF(Q963="No","Duplicate of an earlier response",IF(L963="Not on SITES","Site not on SITES",IF(N(G963)&gt;N(F963),"Present is more than enrolled",IF(OR(I963&lt;1,I963&gt;5),"Score outside 1 to 5","")))))</f>
        <v/>
      </c>
    </row>
    <row r="964" customFormat="false" ht="15" hidden="false" customHeight="false" outlineLevel="0" collapsed="false">
      <c r="A964" s="52"/>
      <c r="B964" s="53"/>
      <c r="C964" s="53"/>
      <c r="D964" s="53"/>
      <c r="E964" s="54"/>
      <c r="F964" s="55"/>
      <c r="G964" s="55"/>
      <c r="H964" s="55"/>
      <c r="I964" s="56"/>
      <c r="J964" s="53"/>
      <c r="K964" s="53"/>
      <c r="L964" s="57" t="str">
        <f aca="false">IF(C964="","",IFERROR(INDEX(site_ID,MATCH(C964,site_Name,0)),"Not on SITES"))</f>
        <v/>
      </c>
      <c r="M964" s="58" t="str">
        <f aca="false">IF(E964="","",DATE(YEAR(E964),MONTH(E964),1))</f>
        <v/>
      </c>
      <c r="N964" s="57" t="str">
        <f aca="false">IF(E964="","","FY"&amp;(YEAR(E964)+IF(AND(FYStart&gt;1,MONTH(E964)&gt;=FYStart),1,0))&amp;" Q"&amp;(INT(MOD(MONTH(E964)-FYStart,12)/3)+1))</f>
        <v/>
      </c>
      <c r="O964" s="59" t="str">
        <f aca="false">IF(OR(E964="",N(F964)=0),"",G964/F964)</f>
        <v/>
      </c>
      <c r="P964" s="60" t="str">
        <f aca="false">IF(E964="","",ROUND(N(G964)*N(H964)/60,1))</f>
        <v/>
      </c>
      <c r="Q964" s="57" t="str">
        <f aca="false">IF(E964="","",IF(COUNTIFS($C$2:C964,C964,$E$2:E964,E964,$B$2:B964,B964)&gt;1,"No","Yes"))</f>
        <v/>
      </c>
      <c r="R964" s="61" t="str">
        <f aca="false">IF(E964="","",IF(Q964="No","Duplicate of an earlier response",IF(L964="Not on SITES","Site not on SITES",IF(N(G964)&gt;N(F964),"Present is more than enrolled",IF(OR(I964&lt;1,I964&gt;5),"Score outside 1 to 5","")))))</f>
        <v/>
      </c>
    </row>
    <row r="965" customFormat="false" ht="15" hidden="false" customHeight="false" outlineLevel="0" collapsed="false">
      <c r="A965" s="52"/>
      <c r="B965" s="53"/>
      <c r="C965" s="53"/>
      <c r="D965" s="53"/>
      <c r="E965" s="54"/>
      <c r="F965" s="55"/>
      <c r="G965" s="55"/>
      <c r="H965" s="55"/>
      <c r="I965" s="56"/>
      <c r="J965" s="53"/>
      <c r="K965" s="53"/>
      <c r="L965" s="57" t="str">
        <f aca="false">IF(C965="","",IFERROR(INDEX(site_ID,MATCH(C965,site_Name,0)),"Not on SITES"))</f>
        <v/>
      </c>
      <c r="M965" s="58" t="str">
        <f aca="false">IF(E965="","",DATE(YEAR(E965),MONTH(E965),1))</f>
        <v/>
      </c>
      <c r="N965" s="57" t="str">
        <f aca="false">IF(E965="","","FY"&amp;(YEAR(E965)+IF(AND(FYStart&gt;1,MONTH(E965)&gt;=FYStart),1,0))&amp;" Q"&amp;(INT(MOD(MONTH(E965)-FYStart,12)/3)+1))</f>
        <v/>
      </c>
      <c r="O965" s="59" t="str">
        <f aca="false">IF(OR(E965="",N(F965)=0),"",G965/F965)</f>
        <v/>
      </c>
      <c r="P965" s="60" t="str">
        <f aca="false">IF(E965="","",ROUND(N(G965)*N(H965)/60,1))</f>
        <v/>
      </c>
      <c r="Q965" s="57" t="str">
        <f aca="false">IF(E965="","",IF(COUNTIFS($C$2:C965,C965,$E$2:E965,E965,$B$2:B965,B965)&gt;1,"No","Yes"))</f>
        <v/>
      </c>
      <c r="R965" s="61" t="str">
        <f aca="false">IF(E965="","",IF(Q965="No","Duplicate of an earlier response",IF(L965="Not on SITES","Site not on SITES",IF(N(G965)&gt;N(F965),"Present is more than enrolled",IF(OR(I965&lt;1,I965&gt;5),"Score outside 1 to 5","")))))</f>
        <v/>
      </c>
    </row>
    <row r="966" customFormat="false" ht="15" hidden="false" customHeight="false" outlineLevel="0" collapsed="false">
      <c r="A966" s="52"/>
      <c r="B966" s="53"/>
      <c r="C966" s="53"/>
      <c r="D966" s="53"/>
      <c r="E966" s="54"/>
      <c r="F966" s="55"/>
      <c r="G966" s="55"/>
      <c r="H966" s="55"/>
      <c r="I966" s="56"/>
      <c r="J966" s="53"/>
      <c r="K966" s="53"/>
      <c r="L966" s="57" t="str">
        <f aca="false">IF(C966="","",IFERROR(INDEX(site_ID,MATCH(C966,site_Name,0)),"Not on SITES"))</f>
        <v/>
      </c>
      <c r="M966" s="58" t="str">
        <f aca="false">IF(E966="","",DATE(YEAR(E966),MONTH(E966),1))</f>
        <v/>
      </c>
      <c r="N966" s="57" t="str">
        <f aca="false">IF(E966="","","FY"&amp;(YEAR(E966)+IF(AND(FYStart&gt;1,MONTH(E966)&gt;=FYStart),1,0))&amp;" Q"&amp;(INT(MOD(MONTH(E966)-FYStart,12)/3)+1))</f>
        <v/>
      </c>
      <c r="O966" s="59" t="str">
        <f aca="false">IF(OR(E966="",N(F966)=0),"",G966/F966)</f>
        <v/>
      </c>
      <c r="P966" s="60" t="str">
        <f aca="false">IF(E966="","",ROUND(N(G966)*N(H966)/60,1))</f>
        <v/>
      </c>
      <c r="Q966" s="57" t="str">
        <f aca="false">IF(E966="","",IF(COUNTIFS($C$2:C966,C966,$E$2:E966,E966,$B$2:B966,B966)&gt;1,"No","Yes"))</f>
        <v/>
      </c>
      <c r="R966" s="61" t="str">
        <f aca="false">IF(E966="","",IF(Q966="No","Duplicate of an earlier response",IF(L966="Not on SITES","Site not on SITES",IF(N(G966)&gt;N(F966),"Present is more than enrolled",IF(OR(I966&lt;1,I966&gt;5),"Score outside 1 to 5","")))))</f>
        <v/>
      </c>
    </row>
    <row r="967" customFormat="false" ht="15" hidden="false" customHeight="false" outlineLevel="0" collapsed="false">
      <c r="A967" s="52"/>
      <c r="B967" s="53"/>
      <c r="C967" s="53"/>
      <c r="D967" s="53"/>
      <c r="E967" s="54"/>
      <c r="F967" s="55"/>
      <c r="G967" s="55"/>
      <c r="H967" s="55"/>
      <c r="I967" s="56"/>
      <c r="J967" s="53"/>
      <c r="K967" s="53"/>
      <c r="L967" s="57" t="str">
        <f aca="false">IF(C967="","",IFERROR(INDEX(site_ID,MATCH(C967,site_Name,0)),"Not on SITES"))</f>
        <v/>
      </c>
      <c r="M967" s="58" t="str">
        <f aca="false">IF(E967="","",DATE(YEAR(E967),MONTH(E967),1))</f>
        <v/>
      </c>
      <c r="N967" s="57" t="str">
        <f aca="false">IF(E967="","","FY"&amp;(YEAR(E967)+IF(AND(FYStart&gt;1,MONTH(E967)&gt;=FYStart),1,0))&amp;" Q"&amp;(INT(MOD(MONTH(E967)-FYStart,12)/3)+1))</f>
        <v/>
      </c>
      <c r="O967" s="59" t="str">
        <f aca="false">IF(OR(E967="",N(F967)=0),"",G967/F967)</f>
        <v/>
      </c>
      <c r="P967" s="60" t="str">
        <f aca="false">IF(E967="","",ROUND(N(G967)*N(H967)/60,1))</f>
        <v/>
      </c>
      <c r="Q967" s="57" t="str">
        <f aca="false">IF(E967="","",IF(COUNTIFS($C$2:C967,C967,$E$2:E967,E967,$B$2:B967,B967)&gt;1,"No","Yes"))</f>
        <v/>
      </c>
      <c r="R967" s="61" t="str">
        <f aca="false">IF(E967="","",IF(Q967="No","Duplicate of an earlier response",IF(L967="Not on SITES","Site not on SITES",IF(N(G967)&gt;N(F967),"Present is more than enrolled",IF(OR(I967&lt;1,I967&gt;5),"Score outside 1 to 5","")))))</f>
        <v/>
      </c>
    </row>
    <row r="968" customFormat="false" ht="15" hidden="false" customHeight="false" outlineLevel="0" collapsed="false">
      <c r="A968" s="52"/>
      <c r="B968" s="53"/>
      <c r="C968" s="53"/>
      <c r="D968" s="53"/>
      <c r="E968" s="54"/>
      <c r="F968" s="55"/>
      <c r="G968" s="55"/>
      <c r="H968" s="55"/>
      <c r="I968" s="56"/>
      <c r="J968" s="53"/>
      <c r="K968" s="53"/>
      <c r="L968" s="57" t="str">
        <f aca="false">IF(C968="","",IFERROR(INDEX(site_ID,MATCH(C968,site_Name,0)),"Not on SITES"))</f>
        <v/>
      </c>
      <c r="M968" s="58" t="str">
        <f aca="false">IF(E968="","",DATE(YEAR(E968),MONTH(E968),1))</f>
        <v/>
      </c>
      <c r="N968" s="57" t="str">
        <f aca="false">IF(E968="","","FY"&amp;(YEAR(E968)+IF(AND(FYStart&gt;1,MONTH(E968)&gt;=FYStart),1,0))&amp;" Q"&amp;(INT(MOD(MONTH(E968)-FYStart,12)/3)+1))</f>
        <v/>
      </c>
      <c r="O968" s="59" t="str">
        <f aca="false">IF(OR(E968="",N(F968)=0),"",G968/F968)</f>
        <v/>
      </c>
      <c r="P968" s="60" t="str">
        <f aca="false">IF(E968="","",ROUND(N(G968)*N(H968)/60,1))</f>
        <v/>
      </c>
      <c r="Q968" s="57" t="str">
        <f aca="false">IF(E968="","",IF(COUNTIFS($C$2:C968,C968,$E$2:E968,E968,$B$2:B968,B968)&gt;1,"No","Yes"))</f>
        <v/>
      </c>
      <c r="R968" s="61" t="str">
        <f aca="false">IF(E968="","",IF(Q968="No","Duplicate of an earlier response",IF(L968="Not on SITES","Site not on SITES",IF(N(G968)&gt;N(F968),"Present is more than enrolled",IF(OR(I968&lt;1,I968&gt;5),"Score outside 1 to 5","")))))</f>
        <v/>
      </c>
    </row>
    <row r="969" customFormat="false" ht="15" hidden="false" customHeight="false" outlineLevel="0" collapsed="false">
      <c r="A969" s="52"/>
      <c r="B969" s="53"/>
      <c r="C969" s="53"/>
      <c r="D969" s="53"/>
      <c r="E969" s="54"/>
      <c r="F969" s="55"/>
      <c r="G969" s="55"/>
      <c r="H969" s="55"/>
      <c r="I969" s="56"/>
      <c r="J969" s="53"/>
      <c r="K969" s="53"/>
      <c r="L969" s="57" t="str">
        <f aca="false">IF(C969="","",IFERROR(INDEX(site_ID,MATCH(C969,site_Name,0)),"Not on SITES"))</f>
        <v/>
      </c>
      <c r="M969" s="58" t="str">
        <f aca="false">IF(E969="","",DATE(YEAR(E969),MONTH(E969),1))</f>
        <v/>
      </c>
      <c r="N969" s="57" t="str">
        <f aca="false">IF(E969="","","FY"&amp;(YEAR(E969)+IF(AND(FYStart&gt;1,MONTH(E969)&gt;=FYStart),1,0))&amp;" Q"&amp;(INT(MOD(MONTH(E969)-FYStart,12)/3)+1))</f>
        <v/>
      </c>
      <c r="O969" s="59" t="str">
        <f aca="false">IF(OR(E969="",N(F969)=0),"",G969/F969)</f>
        <v/>
      </c>
      <c r="P969" s="60" t="str">
        <f aca="false">IF(E969="","",ROUND(N(G969)*N(H969)/60,1))</f>
        <v/>
      </c>
      <c r="Q969" s="57" t="str">
        <f aca="false">IF(E969="","",IF(COUNTIFS($C$2:C969,C969,$E$2:E969,E969,$B$2:B969,B969)&gt;1,"No","Yes"))</f>
        <v/>
      </c>
      <c r="R969" s="61" t="str">
        <f aca="false">IF(E969="","",IF(Q969="No","Duplicate of an earlier response",IF(L969="Not on SITES","Site not on SITES",IF(N(G969)&gt;N(F969),"Present is more than enrolled",IF(OR(I969&lt;1,I969&gt;5),"Score outside 1 to 5","")))))</f>
        <v/>
      </c>
    </row>
    <row r="970" customFormat="false" ht="15" hidden="false" customHeight="false" outlineLevel="0" collapsed="false">
      <c r="A970" s="52"/>
      <c r="B970" s="53"/>
      <c r="C970" s="53"/>
      <c r="D970" s="53"/>
      <c r="E970" s="54"/>
      <c r="F970" s="55"/>
      <c r="G970" s="55"/>
      <c r="H970" s="55"/>
      <c r="I970" s="56"/>
      <c r="J970" s="53"/>
      <c r="K970" s="53"/>
      <c r="L970" s="57" t="str">
        <f aca="false">IF(C970="","",IFERROR(INDEX(site_ID,MATCH(C970,site_Name,0)),"Not on SITES"))</f>
        <v/>
      </c>
      <c r="M970" s="58" t="str">
        <f aca="false">IF(E970="","",DATE(YEAR(E970),MONTH(E970),1))</f>
        <v/>
      </c>
      <c r="N970" s="57" t="str">
        <f aca="false">IF(E970="","","FY"&amp;(YEAR(E970)+IF(AND(FYStart&gt;1,MONTH(E970)&gt;=FYStart),1,0))&amp;" Q"&amp;(INT(MOD(MONTH(E970)-FYStart,12)/3)+1))</f>
        <v/>
      </c>
      <c r="O970" s="59" t="str">
        <f aca="false">IF(OR(E970="",N(F970)=0),"",G970/F970)</f>
        <v/>
      </c>
      <c r="P970" s="60" t="str">
        <f aca="false">IF(E970="","",ROUND(N(G970)*N(H970)/60,1))</f>
        <v/>
      </c>
      <c r="Q970" s="57" t="str">
        <f aca="false">IF(E970="","",IF(COUNTIFS($C$2:C970,C970,$E$2:E970,E970,$B$2:B970,B970)&gt;1,"No","Yes"))</f>
        <v/>
      </c>
      <c r="R970" s="61" t="str">
        <f aca="false">IF(E970="","",IF(Q970="No","Duplicate of an earlier response",IF(L970="Not on SITES","Site not on SITES",IF(N(G970)&gt;N(F970),"Present is more than enrolled",IF(OR(I970&lt;1,I970&gt;5),"Score outside 1 to 5","")))))</f>
        <v/>
      </c>
    </row>
    <row r="971" customFormat="false" ht="15" hidden="false" customHeight="false" outlineLevel="0" collapsed="false">
      <c r="A971" s="52"/>
      <c r="B971" s="53"/>
      <c r="C971" s="53"/>
      <c r="D971" s="53"/>
      <c r="E971" s="54"/>
      <c r="F971" s="55"/>
      <c r="G971" s="55"/>
      <c r="H971" s="55"/>
      <c r="I971" s="56"/>
      <c r="J971" s="53"/>
      <c r="K971" s="53"/>
      <c r="L971" s="57" t="str">
        <f aca="false">IF(C971="","",IFERROR(INDEX(site_ID,MATCH(C971,site_Name,0)),"Not on SITES"))</f>
        <v/>
      </c>
      <c r="M971" s="58" t="str">
        <f aca="false">IF(E971="","",DATE(YEAR(E971),MONTH(E971),1))</f>
        <v/>
      </c>
      <c r="N971" s="57" t="str">
        <f aca="false">IF(E971="","","FY"&amp;(YEAR(E971)+IF(AND(FYStart&gt;1,MONTH(E971)&gt;=FYStart),1,0))&amp;" Q"&amp;(INT(MOD(MONTH(E971)-FYStart,12)/3)+1))</f>
        <v/>
      </c>
      <c r="O971" s="59" t="str">
        <f aca="false">IF(OR(E971="",N(F971)=0),"",G971/F971)</f>
        <v/>
      </c>
      <c r="P971" s="60" t="str">
        <f aca="false">IF(E971="","",ROUND(N(G971)*N(H971)/60,1))</f>
        <v/>
      </c>
      <c r="Q971" s="57" t="str">
        <f aca="false">IF(E971="","",IF(COUNTIFS($C$2:C971,C971,$E$2:E971,E971,$B$2:B971,B971)&gt;1,"No","Yes"))</f>
        <v/>
      </c>
      <c r="R971" s="61" t="str">
        <f aca="false">IF(E971="","",IF(Q971="No","Duplicate of an earlier response",IF(L971="Not on SITES","Site not on SITES",IF(N(G971)&gt;N(F971),"Present is more than enrolled",IF(OR(I971&lt;1,I971&gt;5),"Score outside 1 to 5","")))))</f>
        <v/>
      </c>
    </row>
    <row r="972" customFormat="false" ht="15" hidden="false" customHeight="false" outlineLevel="0" collapsed="false">
      <c r="A972" s="52"/>
      <c r="B972" s="53"/>
      <c r="C972" s="53"/>
      <c r="D972" s="53"/>
      <c r="E972" s="54"/>
      <c r="F972" s="55"/>
      <c r="G972" s="55"/>
      <c r="H972" s="55"/>
      <c r="I972" s="56"/>
      <c r="J972" s="53"/>
      <c r="K972" s="53"/>
      <c r="L972" s="57" t="str">
        <f aca="false">IF(C972="","",IFERROR(INDEX(site_ID,MATCH(C972,site_Name,0)),"Not on SITES"))</f>
        <v/>
      </c>
      <c r="M972" s="58" t="str">
        <f aca="false">IF(E972="","",DATE(YEAR(E972),MONTH(E972),1))</f>
        <v/>
      </c>
      <c r="N972" s="57" t="str">
        <f aca="false">IF(E972="","","FY"&amp;(YEAR(E972)+IF(AND(FYStart&gt;1,MONTH(E972)&gt;=FYStart),1,0))&amp;" Q"&amp;(INT(MOD(MONTH(E972)-FYStart,12)/3)+1))</f>
        <v/>
      </c>
      <c r="O972" s="59" t="str">
        <f aca="false">IF(OR(E972="",N(F972)=0),"",G972/F972)</f>
        <v/>
      </c>
      <c r="P972" s="60" t="str">
        <f aca="false">IF(E972="","",ROUND(N(G972)*N(H972)/60,1))</f>
        <v/>
      </c>
      <c r="Q972" s="57" t="str">
        <f aca="false">IF(E972="","",IF(COUNTIFS($C$2:C972,C972,$E$2:E972,E972,$B$2:B972,B972)&gt;1,"No","Yes"))</f>
        <v/>
      </c>
      <c r="R972" s="61" t="str">
        <f aca="false">IF(E972="","",IF(Q972="No","Duplicate of an earlier response",IF(L972="Not on SITES","Site not on SITES",IF(N(G972)&gt;N(F972),"Present is more than enrolled",IF(OR(I972&lt;1,I972&gt;5),"Score outside 1 to 5","")))))</f>
        <v/>
      </c>
    </row>
    <row r="973" customFormat="false" ht="15" hidden="false" customHeight="false" outlineLevel="0" collapsed="false">
      <c r="A973" s="52"/>
      <c r="B973" s="53"/>
      <c r="C973" s="53"/>
      <c r="D973" s="53"/>
      <c r="E973" s="54"/>
      <c r="F973" s="55"/>
      <c r="G973" s="55"/>
      <c r="H973" s="55"/>
      <c r="I973" s="56"/>
      <c r="J973" s="53"/>
      <c r="K973" s="53"/>
      <c r="L973" s="57" t="str">
        <f aca="false">IF(C973="","",IFERROR(INDEX(site_ID,MATCH(C973,site_Name,0)),"Not on SITES"))</f>
        <v/>
      </c>
      <c r="M973" s="58" t="str">
        <f aca="false">IF(E973="","",DATE(YEAR(E973),MONTH(E973),1))</f>
        <v/>
      </c>
      <c r="N973" s="57" t="str">
        <f aca="false">IF(E973="","","FY"&amp;(YEAR(E973)+IF(AND(FYStart&gt;1,MONTH(E973)&gt;=FYStart),1,0))&amp;" Q"&amp;(INT(MOD(MONTH(E973)-FYStart,12)/3)+1))</f>
        <v/>
      </c>
      <c r="O973" s="59" t="str">
        <f aca="false">IF(OR(E973="",N(F973)=0),"",G973/F973)</f>
        <v/>
      </c>
      <c r="P973" s="60" t="str">
        <f aca="false">IF(E973="","",ROUND(N(G973)*N(H973)/60,1))</f>
        <v/>
      </c>
      <c r="Q973" s="57" t="str">
        <f aca="false">IF(E973="","",IF(COUNTIFS($C$2:C973,C973,$E$2:E973,E973,$B$2:B973,B973)&gt;1,"No","Yes"))</f>
        <v/>
      </c>
      <c r="R973" s="61" t="str">
        <f aca="false">IF(E973="","",IF(Q973="No","Duplicate of an earlier response",IF(L973="Not on SITES","Site not on SITES",IF(N(G973)&gt;N(F973),"Present is more than enrolled",IF(OR(I973&lt;1,I973&gt;5),"Score outside 1 to 5","")))))</f>
        <v/>
      </c>
    </row>
    <row r="974" customFormat="false" ht="15" hidden="false" customHeight="false" outlineLevel="0" collapsed="false">
      <c r="A974" s="52"/>
      <c r="B974" s="53"/>
      <c r="C974" s="53"/>
      <c r="D974" s="53"/>
      <c r="E974" s="54"/>
      <c r="F974" s="55"/>
      <c r="G974" s="55"/>
      <c r="H974" s="55"/>
      <c r="I974" s="56"/>
      <c r="J974" s="53"/>
      <c r="K974" s="53"/>
      <c r="L974" s="57" t="str">
        <f aca="false">IF(C974="","",IFERROR(INDEX(site_ID,MATCH(C974,site_Name,0)),"Not on SITES"))</f>
        <v/>
      </c>
      <c r="M974" s="58" t="str">
        <f aca="false">IF(E974="","",DATE(YEAR(E974),MONTH(E974),1))</f>
        <v/>
      </c>
      <c r="N974" s="57" t="str">
        <f aca="false">IF(E974="","","FY"&amp;(YEAR(E974)+IF(AND(FYStart&gt;1,MONTH(E974)&gt;=FYStart),1,0))&amp;" Q"&amp;(INT(MOD(MONTH(E974)-FYStart,12)/3)+1))</f>
        <v/>
      </c>
      <c r="O974" s="59" t="str">
        <f aca="false">IF(OR(E974="",N(F974)=0),"",G974/F974)</f>
        <v/>
      </c>
      <c r="P974" s="60" t="str">
        <f aca="false">IF(E974="","",ROUND(N(G974)*N(H974)/60,1))</f>
        <v/>
      </c>
      <c r="Q974" s="57" t="str">
        <f aca="false">IF(E974="","",IF(COUNTIFS($C$2:C974,C974,$E$2:E974,E974,$B$2:B974,B974)&gt;1,"No","Yes"))</f>
        <v/>
      </c>
      <c r="R974" s="61" t="str">
        <f aca="false">IF(E974="","",IF(Q974="No","Duplicate of an earlier response",IF(L974="Not on SITES","Site not on SITES",IF(N(G974)&gt;N(F974),"Present is more than enrolled",IF(OR(I974&lt;1,I974&gt;5),"Score outside 1 to 5","")))))</f>
        <v/>
      </c>
    </row>
    <row r="975" customFormat="false" ht="15" hidden="false" customHeight="false" outlineLevel="0" collapsed="false">
      <c r="A975" s="52"/>
      <c r="B975" s="53"/>
      <c r="C975" s="53"/>
      <c r="D975" s="53"/>
      <c r="E975" s="54"/>
      <c r="F975" s="55"/>
      <c r="G975" s="55"/>
      <c r="H975" s="55"/>
      <c r="I975" s="56"/>
      <c r="J975" s="53"/>
      <c r="K975" s="53"/>
      <c r="L975" s="57" t="str">
        <f aca="false">IF(C975="","",IFERROR(INDEX(site_ID,MATCH(C975,site_Name,0)),"Not on SITES"))</f>
        <v/>
      </c>
      <c r="M975" s="58" t="str">
        <f aca="false">IF(E975="","",DATE(YEAR(E975),MONTH(E975),1))</f>
        <v/>
      </c>
      <c r="N975" s="57" t="str">
        <f aca="false">IF(E975="","","FY"&amp;(YEAR(E975)+IF(AND(FYStart&gt;1,MONTH(E975)&gt;=FYStart),1,0))&amp;" Q"&amp;(INT(MOD(MONTH(E975)-FYStart,12)/3)+1))</f>
        <v/>
      </c>
      <c r="O975" s="59" t="str">
        <f aca="false">IF(OR(E975="",N(F975)=0),"",G975/F975)</f>
        <v/>
      </c>
      <c r="P975" s="60" t="str">
        <f aca="false">IF(E975="","",ROUND(N(G975)*N(H975)/60,1))</f>
        <v/>
      </c>
      <c r="Q975" s="57" t="str">
        <f aca="false">IF(E975="","",IF(COUNTIFS($C$2:C975,C975,$E$2:E975,E975,$B$2:B975,B975)&gt;1,"No","Yes"))</f>
        <v/>
      </c>
      <c r="R975" s="61" t="str">
        <f aca="false">IF(E975="","",IF(Q975="No","Duplicate of an earlier response",IF(L975="Not on SITES","Site not on SITES",IF(N(G975)&gt;N(F975),"Present is more than enrolled",IF(OR(I975&lt;1,I975&gt;5),"Score outside 1 to 5","")))))</f>
        <v/>
      </c>
    </row>
    <row r="976" customFormat="false" ht="15" hidden="false" customHeight="false" outlineLevel="0" collapsed="false">
      <c r="A976" s="52"/>
      <c r="B976" s="53"/>
      <c r="C976" s="53"/>
      <c r="D976" s="53"/>
      <c r="E976" s="54"/>
      <c r="F976" s="55"/>
      <c r="G976" s="55"/>
      <c r="H976" s="55"/>
      <c r="I976" s="56"/>
      <c r="J976" s="53"/>
      <c r="K976" s="53"/>
      <c r="L976" s="57" t="str">
        <f aca="false">IF(C976="","",IFERROR(INDEX(site_ID,MATCH(C976,site_Name,0)),"Not on SITES"))</f>
        <v/>
      </c>
      <c r="M976" s="58" t="str">
        <f aca="false">IF(E976="","",DATE(YEAR(E976),MONTH(E976),1))</f>
        <v/>
      </c>
      <c r="N976" s="57" t="str">
        <f aca="false">IF(E976="","","FY"&amp;(YEAR(E976)+IF(AND(FYStart&gt;1,MONTH(E976)&gt;=FYStart),1,0))&amp;" Q"&amp;(INT(MOD(MONTH(E976)-FYStart,12)/3)+1))</f>
        <v/>
      </c>
      <c r="O976" s="59" t="str">
        <f aca="false">IF(OR(E976="",N(F976)=0),"",G976/F976)</f>
        <v/>
      </c>
      <c r="P976" s="60" t="str">
        <f aca="false">IF(E976="","",ROUND(N(G976)*N(H976)/60,1))</f>
        <v/>
      </c>
      <c r="Q976" s="57" t="str">
        <f aca="false">IF(E976="","",IF(COUNTIFS($C$2:C976,C976,$E$2:E976,E976,$B$2:B976,B976)&gt;1,"No","Yes"))</f>
        <v/>
      </c>
      <c r="R976" s="61" t="str">
        <f aca="false">IF(E976="","",IF(Q976="No","Duplicate of an earlier response",IF(L976="Not on SITES","Site not on SITES",IF(N(G976)&gt;N(F976),"Present is more than enrolled",IF(OR(I976&lt;1,I976&gt;5),"Score outside 1 to 5","")))))</f>
        <v/>
      </c>
    </row>
    <row r="977" customFormat="false" ht="15" hidden="false" customHeight="false" outlineLevel="0" collapsed="false">
      <c r="A977" s="52"/>
      <c r="B977" s="53"/>
      <c r="C977" s="53"/>
      <c r="D977" s="53"/>
      <c r="E977" s="54"/>
      <c r="F977" s="55"/>
      <c r="G977" s="55"/>
      <c r="H977" s="55"/>
      <c r="I977" s="56"/>
      <c r="J977" s="53"/>
      <c r="K977" s="53"/>
      <c r="L977" s="57" t="str">
        <f aca="false">IF(C977="","",IFERROR(INDEX(site_ID,MATCH(C977,site_Name,0)),"Not on SITES"))</f>
        <v/>
      </c>
      <c r="M977" s="58" t="str">
        <f aca="false">IF(E977="","",DATE(YEAR(E977),MONTH(E977),1))</f>
        <v/>
      </c>
      <c r="N977" s="57" t="str">
        <f aca="false">IF(E977="","","FY"&amp;(YEAR(E977)+IF(AND(FYStart&gt;1,MONTH(E977)&gt;=FYStart),1,0))&amp;" Q"&amp;(INT(MOD(MONTH(E977)-FYStart,12)/3)+1))</f>
        <v/>
      </c>
      <c r="O977" s="59" t="str">
        <f aca="false">IF(OR(E977="",N(F977)=0),"",G977/F977)</f>
        <v/>
      </c>
      <c r="P977" s="60" t="str">
        <f aca="false">IF(E977="","",ROUND(N(G977)*N(H977)/60,1))</f>
        <v/>
      </c>
      <c r="Q977" s="57" t="str">
        <f aca="false">IF(E977="","",IF(COUNTIFS($C$2:C977,C977,$E$2:E977,E977,$B$2:B977,B977)&gt;1,"No","Yes"))</f>
        <v/>
      </c>
      <c r="R977" s="61" t="str">
        <f aca="false">IF(E977="","",IF(Q977="No","Duplicate of an earlier response",IF(L977="Not on SITES","Site not on SITES",IF(N(G977)&gt;N(F977),"Present is more than enrolled",IF(OR(I977&lt;1,I977&gt;5),"Score outside 1 to 5","")))))</f>
        <v/>
      </c>
    </row>
    <row r="978" customFormat="false" ht="15" hidden="false" customHeight="false" outlineLevel="0" collapsed="false">
      <c r="A978" s="52"/>
      <c r="B978" s="53"/>
      <c r="C978" s="53"/>
      <c r="D978" s="53"/>
      <c r="E978" s="54"/>
      <c r="F978" s="55"/>
      <c r="G978" s="55"/>
      <c r="H978" s="55"/>
      <c r="I978" s="56"/>
      <c r="J978" s="53"/>
      <c r="K978" s="53"/>
      <c r="L978" s="57" t="str">
        <f aca="false">IF(C978="","",IFERROR(INDEX(site_ID,MATCH(C978,site_Name,0)),"Not on SITES"))</f>
        <v/>
      </c>
      <c r="M978" s="58" t="str">
        <f aca="false">IF(E978="","",DATE(YEAR(E978),MONTH(E978),1))</f>
        <v/>
      </c>
      <c r="N978" s="57" t="str">
        <f aca="false">IF(E978="","","FY"&amp;(YEAR(E978)+IF(AND(FYStart&gt;1,MONTH(E978)&gt;=FYStart),1,0))&amp;" Q"&amp;(INT(MOD(MONTH(E978)-FYStart,12)/3)+1))</f>
        <v/>
      </c>
      <c r="O978" s="59" t="str">
        <f aca="false">IF(OR(E978="",N(F978)=0),"",G978/F978)</f>
        <v/>
      </c>
      <c r="P978" s="60" t="str">
        <f aca="false">IF(E978="","",ROUND(N(G978)*N(H978)/60,1))</f>
        <v/>
      </c>
      <c r="Q978" s="57" t="str">
        <f aca="false">IF(E978="","",IF(COUNTIFS($C$2:C978,C978,$E$2:E978,E978,$B$2:B978,B978)&gt;1,"No","Yes"))</f>
        <v/>
      </c>
      <c r="R978" s="61" t="str">
        <f aca="false">IF(E978="","",IF(Q978="No","Duplicate of an earlier response",IF(L978="Not on SITES","Site not on SITES",IF(N(G978)&gt;N(F978),"Present is more than enrolled",IF(OR(I978&lt;1,I978&gt;5),"Score outside 1 to 5","")))))</f>
        <v/>
      </c>
    </row>
    <row r="979" customFormat="false" ht="15" hidden="false" customHeight="false" outlineLevel="0" collapsed="false">
      <c r="A979" s="52"/>
      <c r="B979" s="53"/>
      <c r="C979" s="53"/>
      <c r="D979" s="53"/>
      <c r="E979" s="54"/>
      <c r="F979" s="55"/>
      <c r="G979" s="55"/>
      <c r="H979" s="55"/>
      <c r="I979" s="56"/>
      <c r="J979" s="53"/>
      <c r="K979" s="53"/>
      <c r="L979" s="57" t="str">
        <f aca="false">IF(C979="","",IFERROR(INDEX(site_ID,MATCH(C979,site_Name,0)),"Not on SITES"))</f>
        <v/>
      </c>
      <c r="M979" s="58" t="str">
        <f aca="false">IF(E979="","",DATE(YEAR(E979),MONTH(E979),1))</f>
        <v/>
      </c>
      <c r="N979" s="57" t="str">
        <f aca="false">IF(E979="","","FY"&amp;(YEAR(E979)+IF(AND(FYStart&gt;1,MONTH(E979)&gt;=FYStart),1,0))&amp;" Q"&amp;(INT(MOD(MONTH(E979)-FYStart,12)/3)+1))</f>
        <v/>
      </c>
      <c r="O979" s="59" t="str">
        <f aca="false">IF(OR(E979="",N(F979)=0),"",G979/F979)</f>
        <v/>
      </c>
      <c r="P979" s="60" t="str">
        <f aca="false">IF(E979="","",ROUND(N(G979)*N(H979)/60,1))</f>
        <v/>
      </c>
      <c r="Q979" s="57" t="str">
        <f aca="false">IF(E979="","",IF(COUNTIFS($C$2:C979,C979,$E$2:E979,E979,$B$2:B979,B979)&gt;1,"No","Yes"))</f>
        <v/>
      </c>
      <c r="R979" s="61" t="str">
        <f aca="false">IF(E979="","",IF(Q979="No","Duplicate of an earlier response",IF(L979="Not on SITES","Site not on SITES",IF(N(G979)&gt;N(F979),"Present is more than enrolled",IF(OR(I979&lt;1,I979&gt;5),"Score outside 1 to 5","")))))</f>
        <v/>
      </c>
    </row>
    <row r="980" customFormat="false" ht="15" hidden="false" customHeight="false" outlineLevel="0" collapsed="false">
      <c r="A980" s="52"/>
      <c r="B980" s="53"/>
      <c r="C980" s="53"/>
      <c r="D980" s="53"/>
      <c r="E980" s="54"/>
      <c r="F980" s="55"/>
      <c r="G980" s="55"/>
      <c r="H980" s="55"/>
      <c r="I980" s="56"/>
      <c r="J980" s="53"/>
      <c r="K980" s="53"/>
      <c r="L980" s="57" t="str">
        <f aca="false">IF(C980="","",IFERROR(INDEX(site_ID,MATCH(C980,site_Name,0)),"Not on SITES"))</f>
        <v/>
      </c>
      <c r="M980" s="58" t="str">
        <f aca="false">IF(E980="","",DATE(YEAR(E980),MONTH(E980),1))</f>
        <v/>
      </c>
      <c r="N980" s="57" t="str">
        <f aca="false">IF(E980="","","FY"&amp;(YEAR(E980)+IF(AND(FYStart&gt;1,MONTH(E980)&gt;=FYStart),1,0))&amp;" Q"&amp;(INT(MOD(MONTH(E980)-FYStart,12)/3)+1))</f>
        <v/>
      </c>
      <c r="O980" s="59" t="str">
        <f aca="false">IF(OR(E980="",N(F980)=0),"",G980/F980)</f>
        <v/>
      </c>
      <c r="P980" s="60" t="str">
        <f aca="false">IF(E980="","",ROUND(N(G980)*N(H980)/60,1))</f>
        <v/>
      </c>
      <c r="Q980" s="57" t="str">
        <f aca="false">IF(E980="","",IF(COUNTIFS($C$2:C980,C980,$E$2:E980,E980,$B$2:B980,B980)&gt;1,"No","Yes"))</f>
        <v/>
      </c>
      <c r="R980" s="61" t="str">
        <f aca="false">IF(E980="","",IF(Q980="No","Duplicate of an earlier response",IF(L980="Not on SITES","Site not on SITES",IF(N(G980)&gt;N(F980),"Present is more than enrolled",IF(OR(I980&lt;1,I980&gt;5),"Score outside 1 to 5","")))))</f>
        <v/>
      </c>
    </row>
    <row r="981" customFormat="false" ht="15" hidden="false" customHeight="false" outlineLevel="0" collapsed="false">
      <c r="A981" s="52"/>
      <c r="B981" s="53"/>
      <c r="C981" s="53"/>
      <c r="D981" s="53"/>
      <c r="E981" s="54"/>
      <c r="F981" s="55"/>
      <c r="G981" s="55"/>
      <c r="H981" s="55"/>
      <c r="I981" s="56"/>
      <c r="J981" s="53"/>
      <c r="K981" s="53"/>
      <c r="L981" s="57" t="str">
        <f aca="false">IF(C981="","",IFERROR(INDEX(site_ID,MATCH(C981,site_Name,0)),"Not on SITES"))</f>
        <v/>
      </c>
      <c r="M981" s="58" t="str">
        <f aca="false">IF(E981="","",DATE(YEAR(E981),MONTH(E981),1))</f>
        <v/>
      </c>
      <c r="N981" s="57" t="str">
        <f aca="false">IF(E981="","","FY"&amp;(YEAR(E981)+IF(AND(FYStart&gt;1,MONTH(E981)&gt;=FYStart),1,0))&amp;" Q"&amp;(INT(MOD(MONTH(E981)-FYStart,12)/3)+1))</f>
        <v/>
      </c>
      <c r="O981" s="59" t="str">
        <f aca="false">IF(OR(E981="",N(F981)=0),"",G981/F981)</f>
        <v/>
      </c>
      <c r="P981" s="60" t="str">
        <f aca="false">IF(E981="","",ROUND(N(G981)*N(H981)/60,1))</f>
        <v/>
      </c>
      <c r="Q981" s="57" t="str">
        <f aca="false">IF(E981="","",IF(COUNTIFS($C$2:C981,C981,$E$2:E981,E981,$B$2:B981,B981)&gt;1,"No","Yes"))</f>
        <v/>
      </c>
      <c r="R981" s="61" t="str">
        <f aca="false">IF(E981="","",IF(Q981="No","Duplicate of an earlier response",IF(L981="Not on SITES","Site not on SITES",IF(N(G981)&gt;N(F981),"Present is more than enrolled",IF(OR(I981&lt;1,I981&gt;5),"Score outside 1 to 5","")))))</f>
        <v/>
      </c>
    </row>
    <row r="982" customFormat="false" ht="15" hidden="false" customHeight="false" outlineLevel="0" collapsed="false">
      <c r="A982" s="52"/>
      <c r="B982" s="53"/>
      <c r="C982" s="53"/>
      <c r="D982" s="53"/>
      <c r="E982" s="54"/>
      <c r="F982" s="55"/>
      <c r="G982" s="55"/>
      <c r="H982" s="55"/>
      <c r="I982" s="56"/>
      <c r="J982" s="53"/>
      <c r="K982" s="53"/>
      <c r="L982" s="57" t="str">
        <f aca="false">IF(C982="","",IFERROR(INDEX(site_ID,MATCH(C982,site_Name,0)),"Not on SITES"))</f>
        <v/>
      </c>
      <c r="M982" s="58" t="str">
        <f aca="false">IF(E982="","",DATE(YEAR(E982),MONTH(E982),1))</f>
        <v/>
      </c>
      <c r="N982" s="57" t="str">
        <f aca="false">IF(E982="","","FY"&amp;(YEAR(E982)+IF(AND(FYStart&gt;1,MONTH(E982)&gt;=FYStart),1,0))&amp;" Q"&amp;(INT(MOD(MONTH(E982)-FYStart,12)/3)+1))</f>
        <v/>
      </c>
      <c r="O982" s="59" t="str">
        <f aca="false">IF(OR(E982="",N(F982)=0),"",G982/F982)</f>
        <v/>
      </c>
      <c r="P982" s="60" t="str">
        <f aca="false">IF(E982="","",ROUND(N(G982)*N(H982)/60,1))</f>
        <v/>
      </c>
      <c r="Q982" s="57" t="str">
        <f aca="false">IF(E982="","",IF(COUNTIFS($C$2:C982,C982,$E$2:E982,E982,$B$2:B982,B982)&gt;1,"No","Yes"))</f>
        <v/>
      </c>
      <c r="R982" s="61" t="str">
        <f aca="false">IF(E982="","",IF(Q982="No","Duplicate of an earlier response",IF(L982="Not on SITES","Site not on SITES",IF(N(G982)&gt;N(F982),"Present is more than enrolled",IF(OR(I982&lt;1,I982&gt;5),"Score outside 1 to 5","")))))</f>
        <v/>
      </c>
    </row>
    <row r="983" customFormat="false" ht="15" hidden="false" customHeight="false" outlineLevel="0" collapsed="false">
      <c r="A983" s="52"/>
      <c r="B983" s="53"/>
      <c r="C983" s="53"/>
      <c r="D983" s="53"/>
      <c r="E983" s="54"/>
      <c r="F983" s="55"/>
      <c r="G983" s="55"/>
      <c r="H983" s="55"/>
      <c r="I983" s="56"/>
      <c r="J983" s="53"/>
      <c r="K983" s="53"/>
      <c r="L983" s="57" t="str">
        <f aca="false">IF(C983="","",IFERROR(INDEX(site_ID,MATCH(C983,site_Name,0)),"Not on SITES"))</f>
        <v/>
      </c>
      <c r="M983" s="58" t="str">
        <f aca="false">IF(E983="","",DATE(YEAR(E983),MONTH(E983),1))</f>
        <v/>
      </c>
      <c r="N983" s="57" t="str">
        <f aca="false">IF(E983="","","FY"&amp;(YEAR(E983)+IF(AND(FYStart&gt;1,MONTH(E983)&gt;=FYStart),1,0))&amp;" Q"&amp;(INT(MOD(MONTH(E983)-FYStart,12)/3)+1))</f>
        <v/>
      </c>
      <c r="O983" s="59" t="str">
        <f aca="false">IF(OR(E983="",N(F983)=0),"",G983/F983)</f>
        <v/>
      </c>
      <c r="P983" s="60" t="str">
        <f aca="false">IF(E983="","",ROUND(N(G983)*N(H983)/60,1))</f>
        <v/>
      </c>
      <c r="Q983" s="57" t="str">
        <f aca="false">IF(E983="","",IF(COUNTIFS($C$2:C983,C983,$E$2:E983,E983,$B$2:B983,B983)&gt;1,"No","Yes"))</f>
        <v/>
      </c>
      <c r="R983" s="61" t="str">
        <f aca="false">IF(E983="","",IF(Q983="No","Duplicate of an earlier response",IF(L983="Not on SITES","Site not on SITES",IF(N(G983)&gt;N(F983),"Present is more than enrolled",IF(OR(I983&lt;1,I983&gt;5),"Score outside 1 to 5","")))))</f>
        <v/>
      </c>
    </row>
    <row r="984" customFormat="false" ht="15" hidden="false" customHeight="false" outlineLevel="0" collapsed="false">
      <c r="A984" s="52"/>
      <c r="B984" s="53"/>
      <c r="C984" s="53"/>
      <c r="D984" s="53"/>
      <c r="E984" s="54"/>
      <c r="F984" s="55"/>
      <c r="G984" s="55"/>
      <c r="H984" s="55"/>
      <c r="I984" s="56"/>
      <c r="J984" s="53"/>
      <c r="K984" s="53"/>
      <c r="L984" s="57" t="str">
        <f aca="false">IF(C984="","",IFERROR(INDEX(site_ID,MATCH(C984,site_Name,0)),"Not on SITES"))</f>
        <v/>
      </c>
      <c r="M984" s="58" t="str">
        <f aca="false">IF(E984="","",DATE(YEAR(E984),MONTH(E984),1))</f>
        <v/>
      </c>
      <c r="N984" s="57" t="str">
        <f aca="false">IF(E984="","","FY"&amp;(YEAR(E984)+IF(AND(FYStart&gt;1,MONTH(E984)&gt;=FYStart),1,0))&amp;" Q"&amp;(INT(MOD(MONTH(E984)-FYStart,12)/3)+1))</f>
        <v/>
      </c>
      <c r="O984" s="59" t="str">
        <f aca="false">IF(OR(E984="",N(F984)=0),"",G984/F984)</f>
        <v/>
      </c>
      <c r="P984" s="60" t="str">
        <f aca="false">IF(E984="","",ROUND(N(G984)*N(H984)/60,1))</f>
        <v/>
      </c>
      <c r="Q984" s="57" t="str">
        <f aca="false">IF(E984="","",IF(COUNTIFS($C$2:C984,C984,$E$2:E984,E984,$B$2:B984,B984)&gt;1,"No","Yes"))</f>
        <v/>
      </c>
      <c r="R984" s="61" t="str">
        <f aca="false">IF(E984="","",IF(Q984="No","Duplicate of an earlier response",IF(L984="Not on SITES","Site not on SITES",IF(N(G984)&gt;N(F984),"Present is more than enrolled",IF(OR(I984&lt;1,I984&gt;5),"Score outside 1 to 5","")))))</f>
        <v/>
      </c>
    </row>
    <row r="985" customFormat="false" ht="15" hidden="false" customHeight="false" outlineLevel="0" collapsed="false">
      <c r="A985" s="52"/>
      <c r="B985" s="53"/>
      <c r="C985" s="53"/>
      <c r="D985" s="53"/>
      <c r="E985" s="54"/>
      <c r="F985" s="55"/>
      <c r="G985" s="55"/>
      <c r="H985" s="55"/>
      <c r="I985" s="56"/>
      <c r="J985" s="53"/>
      <c r="K985" s="53"/>
      <c r="L985" s="57" t="str">
        <f aca="false">IF(C985="","",IFERROR(INDEX(site_ID,MATCH(C985,site_Name,0)),"Not on SITES"))</f>
        <v/>
      </c>
      <c r="M985" s="58" t="str">
        <f aca="false">IF(E985="","",DATE(YEAR(E985),MONTH(E985),1))</f>
        <v/>
      </c>
      <c r="N985" s="57" t="str">
        <f aca="false">IF(E985="","","FY"&amp;(YEAR(E985)+IF(AND(FYStart&gt;1,MONTH(E985)&gt;=FYStart),1,0))&amp;" Q"&amp;(INT(MOD(MONTH(E985)-FYStart,12)/3)+1))</f>
        <v/>
      </c>
      <c r="O985" s="59" t="str">
        <f aca="false">IF(OR(E985="",N(F985)=0),"",G985/F985)</f>
        <v/>
      </c>
      <c r="P985" s="60" t="str">
        <f aca="false">IF(E985="","",ROUND(N(G985)*N(H985)/60,1))</f>
        <v/>
      </c>
      <c r="Q985" s="57" t="str">
        <f aca="false">IF(E985="","",IF(COUNTIFS($C$2:C985,C985,$E$2:E985,E985,$B$2:B985,B985)&gt;1,"No","Yes"))</f>
        <v/>
      </c>
      <c r="R985" s="61" t="str">
        <f aca="false">IF(E985="","",IF(Q985="No","Duplicate of an earlier response",IF(L985="Not on SITES","Site not on SITES",IF(N(G985)&gt;N(F985),"Present is more than enrolled",IF(OR(I985&lt;1,I985&gt;5),"Score outside 1 to 5","")))))</f>
        <v/>
      </c>
    </row>
    <row r="986" customFormat="false" ht="15" hidden="false" customHeight="false" outlineLevel="0" collapsed="false">
      <c r="A986" s="52"/>
      <c r="B986" s="53"/>
      <c r="C986" s="53"/>
      <c r="D986" s="53"/>
      <c r="E986" s="54"/>
      <c r="F986" s="55"/>
      <c r="G986" s="55"/>
      <c r="H986" s="55"/>
      <c r="I986" s="56"/>
      <c r="J986" s="53"/>
      <c r="K986" s="53"/>
      <c r="L986" s="57" t="str">
        <f aca="false">IF(C986="","",IFERROR(INDEX(site_ID,MATCH(C986,site_Name,0)),"Not on SITES"))</f>
        <v/>
      </c>
      <c r="M986" s="58" t="str">
        <f aca="false">IF(E986="","",DATE(YEAR(E986),MONTH(E986),1))</f>
        <v/>
      </c>
      <c r="N986" s="57" t="str">
        <f aca="false">IF(E986="","","FY"&amp;(YEAR(E986)+IF(AND(FYStart&gt;1,MONTH(E986)&gt;=FYStart),1,0))&amp;" Q"&amp;(INT(MOD(MONTH(E986)-FYStart,12)/3)+1))</f>
        <v/>
      </c>
      <c r="O986" s="59" t="str">
        <f aca="false">IF(OR(E986="",N(F986)=0),"",G986/F986)</f>
        <v/>
      </c>
      <c r="P986" s="60" t="str">
        <f aca="false">IF(E986="","",ROUND(N(G986)*N(H986)/60,1))</f>
        <v/>
      </c>
      <c r="Q986" s="57" t="str">
        <f aca="false">IF(E986="","",IF(COUNTIFS($C$2:C986,C986,$E$2:E986,E986,$B$2:B986,B986)&gt;1,"No","Yes"))</f>
        <v/>
      </c>
      <c r="R986" s="61" t="str">
        <f aca="false">IF(E986="","",IF(Q986="No","Duplicate of an earlier response",IF(L986="Not on SITES","Site not on SITES",IF(N(G986)&gt;N(F986),"Present is more than enrolled",IF(OR(I986&lt;1,I986&gt;5),"Score outside 1 to 5","")))))</f>
        <v/>
      </c>
    </row>
    <row r="987" customFormat="false" ht="15" hidden="false" customHeight="false" outlineLevel="0" collapsed="false">
      <c r="A987" s="52"/>
      <c r="B987" s="53"/>
      <c r="C987" s="53"/>
      <c r="D987" s="53"/>
      <c r="E987" s="54"/>
      <c r="F987" s="55"/>
      <c r="G987" s="55"/>
      <c r="H987" s="55"/>
      <c r="I987" s="56"/>
      <c r="J987" s="53"/>
      <c r="K987" s="53"/>
      <c r="L987" s="57" t="str">
        <f aca="false">IF(C987="","",IFERROR(INDEX(site_ID,MATCH(C987,site_Name,0)),"Not on SITES"))</f>
        <v/>
      </c>
      <c r="M987" s="58" t="str">
        <f aca="false">IF(E987="","",DATE(YEAR(E987),MONTH(E987),1))</f>
        <v/>
      </c>
      <c r="N987" s="57" t="str">
        <f aca="false">IF(E987="","","FY"&amp;(YEAR(E987)+IF(AND(FYStart&gt;1,MONTH(E987)&gt;=FYStart),1,0))&amp;" Q"&amp;(INT(MOD(MONTH(E987)-FYStart,12)/3)+1))</f>
        <v/>
      </c>
      <c r="O987" s="59" t="str">
        <f aca="false">IF(OR(E987="",N(F987)=0),"",G987/F987)</f>
        <v/>
      </c>
      <c r="P987" s="60" t="str">
        <f aca="false">IF(E987="","",ROUND(N(G987)*N(H987)/60,1))</f>
        <v/>
      </c>
      <c r="Q987" s="57" t="str">
        <f aca="false">IF(E987="","",IF(COUNTIFS($C$2:C987,C987,$E$2:E987,E987,$B$2:B987,B987)&gt;1,"No","Yes"))</f>
        <v/>
      </c>
      <c r="R987" s="61" t="str">
        <f aca="false">IF(E987="","",IF(Q987="No","Duplicate of an earlier response",IF(L987="Not on SITES","Site not on SITES",IF(N(G987)&gt;N(F987),"Present is more than enrolled",IF(OR(I987&lt;1,I987&gt;5),"Score outside 1 to 5","")))))</f>
        <v/>
      </c>
    </row>
    <row r="988" customFormat="false" ht="15" hidden="false" customHeight="false" outlineLevel="0" collapsed="false">
      <c r="A988" s="52"/>
      <c r="B988" s="53"/>
      <c r="C988" s="53"/>
      <c r="D988" s="53"/>
      <c r="E988" s="54"/>
      <c r="F988" s="55"/>
      <c r="G988" s="55"/>
      <c r="H988" s="55"/>
      <c r="I988" s="56"/>
      <c r="J988" s="53"/>
      <c r="K988" s="53"/>
      <c r="L988" s="57" t="str">
        <f aca="false">IF(C988="","",IFERROR(INDEX(site_ID,MATCH(C988,site_Name,0)),"Not on SITES"))</f>
        <v/>
      </c>
      <c r="M988" s="58" t="str">
        <f aca="false">IF(E988="","",DATE(YEAR(E988),MONTH(E988),1))</f>
        <v/>
      </c>
      <c r="N988" s="57" t="str">
        <f aca="false">IF(E988="","","FY"&amp;(YEAR(E988)+IF(AND(FYStart&gt;1,MONTH(E988)&gt;=FYStart),1,0))&amp;" Q"&amp;(INT(MOD(MONTH(E988)-FYStart,12)/3)+1))</f>
        <v/>
      </c>
      <c r="O988" s="59" t="str">
        <f aca="false">IF(OR(E988="",N(F988)=0),"",G988/F988)</f>
        <v/>
      </c>
      <c r="P988" s="60" t="str">
        <f aca="false">IF(E988="","",ROUND(N(G988)*N(H988)/60,1))</f>
        <v/>
      </c>
      <c r="Q988" s="57" t="str">
        <f aca="false">IF(E988="","",IF(COUNTIFS($C$2:C988,C988,$E$2:E988,E988,$B$2:B988,B988)&gt;1,"No","Yes"))</f>
        <v/>
      </c>
      <c r="R988" s="61" t="str">
        <f aca="false">IF(E988="","",IF(Q988="No","Duplicate of an earlier response",IF(L988="Not on SITES","Site not on SITES",IF(N(G988)&gt;N(F988),"Present is more than enrolled",IF(OR(I988&lt;1,I988&gt;5),"Score outside 1 to 5","")))))</f>
        <v/>
      </c>
    </row>
    <row r="989" customFormat="false" ht="15" hidden="false" customHeight="false" outlineLevel="0" collapsed="false">
      <c r="A989" s="52"/>
      <c r="B989" s="53"/>
      <c r="C989" s="53"/>
      <c r="D989" s="53"/>
      <c r="E989" s="54"/>
      <c r="F989" s="55"/>
      <c r="G989" s="55"/>
      <c r="H989" s="55"/>
      <c r="I989" s="56"/>
      <c r="J989" s="53"/>
      <c r="K989" s="53"/>
      <c r="L989" s="57" t="str">
        <f aca="false">IF(C989="","",IFERROR(INDEX(site_ID,MATCH(C989,site_Name,0)),"Not on SITES"))</f>
        <v/>
      </c>
      <c r="M989" s="58" t="str">
        <f aca="false">IF(E989="","",DATE(YEAR(E989),MONTH(E989),1))</f>
        <v/>
      </c>
      <c r="N989" s="57" t="str">
        <f aca="false">IF(E989="","","FY"&amp;(YEAR(E989)+IF(AND(FYStart&gt;1,MONTH(E989)&gt;=FYStart),1,0))&amp;" Q"&amp;(INT(MOD(MONTH(E989)-FYStart,12)/3)+1))</f>
        <v/>
      </c>
      <c r="O989" s="59" t="str">
        <f aca="false">IF(OR(E989="",N(F989)=0),"",G989/F989)</f>
        <v/>
      </c>
      <c r="P989" s="60" t="str">
        <f aca="false">IF(E989="","",ROUND(N(G989)*N(H989)/60,1))</f>
        <v/>
      </c>
      <c r="Q989" s="57" t="str">
        <f aca="false">IF(E989="","",IF(COUNTIFS($C$2:C989,C989,$E$2:E989,E989,$B$2:B989,B989)&gt;1,"No","Yes"))</f>
        <v/>
      </c>
      <c r="R989" s="61" t="str">
        <f aca="false">IF(E989="","",IF(Q989="No","Duplicate of an earlier response",IF(L989="Not on SITES","Site not on SITES",IF(N(G989)&gt;N(F989),"Present is more than enrolled",IF(OR(I989&lt;1,I989&gt;5),"Score outside 1 to 5","")))))</f>
        <v/>
      </c>
    </row>
    <row r="990" customFormat="false" ht="15" hidden="false" customHeight="false" outlineLevel="0" collapsed="false">
      <c r="A990" s="52"/>
      <c r="B990" s="53"/>
      <c r="C990" s="53"/>
      <c r="D990" s="53"/>
      <c r="E990" s="54"/>
      <c r="F990" s="55"/>
      <c r="G990" s="55"/>
      <c r="H990" s="55"/>
      <c r="I990" s="56"/>
      <c r="J990" s="53"/>
      <c r="K990" s="53"/>
      <c r="L990" s="57" t="str">
        <f aca="false">IF(C990="","",IFERROR(INDEX(site_ID,MATCH(C990,site_Name,0)),"Not on SITES"))</f>
        <v/>
      </c>
      <c r="M990" s="58" t="str">
        <f aca="false">IF(E990="","",DATE(YEAR(E990),MONTH(E990),1))</f>
        <v/>
      </c>
      <c r="N990" s="57" t="str">
        <f aca="false">IF(E990="","","FY"&amp;(YEAR(E990)+IF(AND(FYStart&gt;1,MONTH(E990)&gt;=FYStart),1,0))&amp;" Q"&amp;(INT(MOD(MONTH(E990)-FYStart,12)/3)+1))</f>
        <v/>
      </c>
      <c r="O990" s="59" t="str">
        <f aca="false">IF(OR(E990="",N(F990)=0),"",G990/F990)</f>
        <v/>
      </c>
      <c r="P990" s="60" t="str">
        <f aca="false">IF(E990="","",ROUND(N(G990)*N(H990)/60,1))</f>
        <v/>
      </c>
      <c r="Q990" s="57" t="str">
        <f aca="false">IF(E990="","",IF(COUNTIFS($C$2:C990,C990,$E$2:E990,E990,$B$2:B990,B990)&gt;1,"No","Yes"))</f>
        <v/>
      </c>
      <c r="R990" s="61" t="str">
        <f aca="false">IF(E990="","",IF(Q990="No","Duplicate of an earlier response",IF(L990="Not on SITES","Site not on SITES",IF(N(G990)&gt;N(F990),"Present is more than enrolled",IF(OR(I990&lt;1,I990&gt;5),"Score outside 1 to 5","")))))</f>
        <v/>
      </c>
    </row>
    <row r="991" customFormat="false" ht="15" hidden="false" customHeight="false" outlineLevel="0" collapsed="false">
      <c r="A991" s="52"/>
      <c r="B991" s="53"/>
      <c r="C991" s="53"/>
      <c r="D991" s="53"/>
      <c r="E991" s="54"/>
      <c r="F991" s="55"/>
      <c r="G991" s="55"/>
      <c r="H991" s="55"/>
      <c r="I991" s="56"/>
      <c r="J991" s="53"/>
      <c r="K991" s="53"/>
      <c r="L991" s="57" t="str">
        <f aca="false">IF(C991="","",IFERROR(INDEX(site_ID,MATCH(C991,site_Name,0)),"Not on SITES"))</f>
        <v/>
      </c>
      <c r="M991" s="58" t="str">
        <f aca="false">IF(E991="","",DATE(YEAR(E991),MONTH(E991),1))</f>
        <v/>
      </c>
      <c r="N991" s="57" t="str">
        <f aca="false">IF(E991="","","FY"&amp;(YEAR(E991)+IF(AND(FYStart&gt;1,MONTH(E991)&gt;=FYStart),1,0))&amp;" Q"&amp;(INT(MOD(MONTH(E991)-FYStart,12)/3)+1))</f>
        <v/>
      </c>
      <c r="O991" s="59" t="str">
        <f aca="false">IF(OR(E991="",N(F991)=0),"",G991/F991)</f>
        <v/>
      </c>
      <c r="P991" s="60" t="str">
        <f aca="false">IF(E991="","",ROUND(N(G991)*N(H991)/60,1))</f>
        <v/>
      </c>
      <c r="Q991" s="57" t="str">
        <f aca="false">IF(E991="","",IF(COUNTIFS($C$2:C991,C991,$E$2:E991,E991,$B$2:B991,B991)&gt;1,"No","Yes"))</f>
        <v/>
      </c>
      <c r="R991" s="61" t="str">
        <f aca="false">IF(E991="","",IF(Q991="No","Duplicate of an earlier response",IF(L991="Not on SITES","Site not on SITES",IF(N(G991)&gt;N(F991),"Present is more than enrolled",IF(OR(I991&lt;1,I991&gt;5),"Score outside 1 to 5","")))))</f>
        <v/>
      </c>
    </row>
    <row r="992" customFormat="false" ht="15" hidden="false" customHeight="false" outlineLevel="0" collapsed="false">
      <c r="A992" s="52"/>
      <c r="B992" s="53"/>
      <c r="C992" s="53"/>
      <c r="D992" s="53"/>
      <c r="E992" s="54"/>
      <c r="F992" s="55"/>
      <c r="G992" s="55"/>
      <c r="H992" s="55"/>
      <c r="I992" s="56"/>
      <c r="J992" s="53"/>
      <c r="K992" s="53"/>
      <c r="L992" s="57" t="str">
        <f aca="false">IF(C992="","",IFERROR(INDEX(site_ID,MATCH(C992,site_Name,0)),"Not on SITES"))</f>
        <v/>
      </c>
      <c r="M992" s="58" t="str">
        <f aca="false">IF(E992="","",DATE(YEAR(E992),MONTH(E992),1))</f>
        <v/>
      </c>
      <c r="N992" s="57" t="str">
        <f aca="false">IF(E992="","","FY"&amp;(YEAR(E992)+IF(AND(FYStart&gt;1,MONTH(E992)&gt;=FYStart),1,0))&amp;" Q"&amp;(INT(MOD(MONTH(E992)-FYStart,12)/3)+1))</f>
        <v/>
      </c>
      <c r="O992" s="59" t="str">
        <f aca="false">IF(OR(E992="",N(F992)=0),"",G992/F992)</f>
        <v/>
      </c>
      <c r="P992" s="60" t="str">
        <f aca="false">IF(E992="","",ROUND(N(G992)*N(H992)/60,1))</f>
        <v/>
      </c>
      <c r="Q992" s="57" t="str">
        <f aca="false">IF(E992="","",IF(COUNTIFS($C$2:C992,C992,$E$2:E992,E992,$B$2:B992,B992)&gt;1,"No","Yes"))</f>
        <v/>
      </c>
      <c r="R992" s="61" t="str">
        <f aca="false">IF(E992="","",IF(Q992="No","Duplicate of an earlier response",IF(L992="Not on SITES","Site not on SITES",IF(N(G992)&gt;N(F992),"Present is more than enrolled",IF(OR(I992&lt;1,I992&gt;5),"Score outside 1 to 5","")))))</f>
        <v/>
      </c>
    </row>
    <row r="993" customFormat="false" ht="15" hidden="false" customHeight="false" outlineLevel="0" collapsed="false">
      <c r="A993" s="52"/>
      <c r="B993" s="53"/>
      <c r="C993" s="53"/>
      <c r="D993" s="53"/>
      <c r="E993" s="54"/>
      <c r="F993" s="55"/>
      <c r="G993" s="55"/>
      <c r="H993" s="55"/>
      <c r="I993" s="56"/>
      <c r="J993" s="53"/>
      <c r="K993" s="53"/>
      <c r="L993" s="57" t="str">
        <f aca="false">IF(C993="","",IFERROR(INDEX(site_ID,MATCH(C993,site_Name,0)),"Not on SITES"))</f>
        <v/>
      </c>
      <c r="M993" s="58" t="str">
        <f aca="false">IF(E993="","",DATE(YEAR(E993),MONTH(E993),1))</f>
        <v/>
      </c>
      <c r="N993" s="57" t="str">
        <f aca="false">IF(E993="","","FY"&amp;(YEAR(E993)+IF(AND(FYStart&gt;1,MONTH(E993)&gt;=FYStart),1,0))&amp;" Q"&amp;(INT(MOD(MONTH(E993)-FYStart,12)/3)+1))</f>
        <v/>
      </c>
      <c r="O993" s="59" t="str">
        <f aca="false">IF(OR(E993="",N(F993)=0),"",G993/F993)</f>
        <v/>
      </c>
      <c r="P993" s="60" t="str">
        <f aca="false">IF(E993="","",ROUND(N(G993)*N(H993)/60,1))</f>
        <v/>
      </c>
      <c r="Q993" s="57" t="str">
        <f aca="false">IF(E993="","",IF(COUNTIFS($C$2:C993,C993,$E$2:E993,E993,$B$2:B993,B993)&gt;1,"No","Yes"))</f>
        <v/>
      </c>
      <c r="R993" s="61" t="str">
        <f aca="false">IF(E993="","",IF(Q993="No","Duplicate of an earlier response",IF(L993="Not on SITES","Site not on SITES",IF(N(G993)&gt;N(F993),"Present is more than enrolled",IF(OR(I993&lt;1,I993&gt;5),"Score outside 1 to 5","")))))</f>
        <v/>
      </c>
    </row>
    <row r="994" customFormat="false" ht="15" hidden="false" customHeight="false" outlineLevel="0" collapsed="false">
      <c r="A994" s="52"/>
      <c r="B994" s="53"/>
      <c r="C994" s="53"/>
      <c r="D994" s="53"/>
      <c r="E994" s="54"/>
      <c r="F994" s="55"/>
      <c r="G994" s="55"/>
      <c r="H994" s="55"/>
      <c r="I994" s="56"/>
      <c r="J994" s="53"/>
      <c r="K994" s="53"/>
      <c r="L994" s="57" t="str">
        <f aca="false">IF(C994="","",IFERROR(INDEX(site_ID,MATCH(C994,site_Name,0)),"Not on SITES"))</f>
        <v/>
      </c>
      <c r="M994" s="58" t="str">
        <f aca="false">IF(E994="","",DATE(YEAR(E994),MONTH(E994),1))</f>
        <v/>
      </c>
      <c r="N994" s="57" t="str">
        <f aca="false">IF(E994="","","FY"&amp;(YEAR(E994)+IF(AND(FYStart&gt;1,MONTH(E994)&gt;=FYStart),1,0))&amp;" Q"&amp;(INT(MOD(MONTH(E994)-FYStart,12)/3)+1))</f>
        <v/>
      </c>
      <c r="O994" s="59" t="str">
        <f aca="false">IF(OR(E994="",N(F994)=0),"",G994/F994)</f>
        <v/>
      </c>
      <c r="P994" s="60" t="str">
        <f aca="false">IF(E994="","",ROUND(N(G994)*N(H994)/60,1))</f>
        <v/>
      </c>
      <c r="Q994" s="57" t="str">
        <f aca="false">IF(E994="","",IF(COUNTIFS($C$2:C994,C994,$E$2:E994,E994,$B$2:B994,B994)&gt;1,"No","Yes"))</f>
        <v/>
      </c>
      <c r="R994" s="61" t="str">
        <f aca="false">IF(E994="","",IF(Q994="No","Duplicate of an earlier response",IF(L994="Not on SITES","Site not on SITES",IF(N(G994)&gt;N(F994),"Present is more than enrolled",IF(OR(I994&lt;1,I994&gt;5),"Score outside 1 to 5","")))))</f>
        <v/>
      </c>
    </row>
    <row r="995" customFormat="false" ht="15" hidden="false" customHeight="false" outlineLevel="0" collapsed="false">
      <c r="A995" s="52"/>
      <c r="B995" s="53"/>
      <c r="C995" s="53"/>
      <c r="D995" s="53"/>
      <c r="E995" s="54"/>
      <c r="F995" s="55"/>
      <c r="G995" s="55"/>
      <c r="H995" s="55"/>
      <c r="I995" s="56"/>
      <c r="J995" s="53"/>
      <c r="K995" s="53"/>
      <c r="L995" s="57" t="str">
        <f aca="false">IF(C995="","",IFERROR(INDEX(site_ID,MATCH(C995,site_Name,0)),"Not on SITES"))</f>
        <v/>
      </c>
      <c r="M995" s="58" t="str">
        <f aca="false">IF(E995="","",DATE(YEAR(E995),MONTH(E995),1))</f>
        <v/>
      </c>
      <c r="N995" s="57" t="str">
        <f aca="false">IF(E995="","","FY"&amp;(YEAR(E995)+IF(AND(FYStart&gt;1,MONTH(E995)&gt;=FYStart),1,0))&amp;" Q"&amp;(INT(MOD(MONTH(E995)-FYStart,12)/3)+1))</f>
        <v/>
      </c>
      <c r="O995" s="59" t="str">
        <f aca="false">IF(OR(E995="",N(F995)=0),"",G995/F995)</f>
        <v/>
      </c>
      <c r="P995" s="60" t="str">
        <f aca="false">IF(E995="","",ROUND(N(G995)*N(H995)/60,1))</f>
        <v/>
      </c>
      <c r="Q995" s="57" t="str">
        <f aca="false">IF(E995="","",IF(COUNTIFS($C$2:C995,C995,$E$2:E995,E995,$B$2:B995,B995)&gt;1,"No","Yes"))</f>
        <v/>
      </c>
      <c r="R995" s="61" t="str">
        <f aca="false">IF(E995="","",IF(Q995="No","Duplicate of an earlier response",IF(L995="Not on SITES","Site not on SITES",IF(N(G995)&gt;N(F995),"Present is more than enrolled",IF(OR(I995&lt;1,I995&gt;5),"Score outside 1 to 5","")))))</f>
        <v/>
      </c>
    </row>
    <row r="996" customFormat="false" ht="15" hidden="false" customHeight="false" outlineLevel="0" collapsed="false">
      <c r="A996" s="52"/>
      <c r="B996" s="53"/>
      <c r="C996" s="53"/>
      <c r="D996" s="53"/>
      <c r="E996" s="54"/>
      <c r="F996" s="55"/>
      <c r="G996" s="55"/>
      <c r="H996" s="55"/>
      <c r="I996" s="56"/>
      <c r="J996" s="53"/>
      <c r="K996" s="53"/>
      <c r="L996" s="57" t="str">
        <f aca="false">IF(C996="","",IFERROR(INDEX(site_ID,MATCH(C996,site_Name,0)),"Not on SITES"))</f>
        <v/>
      </c>
      <c r="M996" s="58" t="str">
        <f aca="false">IF(E996="","",DATE(YEAR(E996),MONTH(E996),1))</f>
        <v/>
      </c>
      <c r="N996" s="57" t="str">
        <f aca="false">IF(E996="","","FY"&amp;(YEAR(E996)+IF(AND(FYStart&gt;1,MONTH(E996)&gt;=FYStart),1,0))&amp;" Q"&amp;(INT(MOD(MONTH(E996)-FYStart,12)/3)+1))</f>
        <v/>
      </c>
      <c r="O996" s="59" t="str">
        <f aca="false">IF(OR(E996="",N(F996)=0),"",G996/F996)</f>
        <v/>
      </c>
      <c r="P996" s="60" t="str">
        <f aca="false">IF(E996="","",ROUND(N(G996)*N(H996)/60,1))</f>
        <v/>
      </c>
      <c r="Q996" s="57" t="str">
        <f aca="false">IF(E996="","",IF(COUNTIFS($C$2:C996,C996,$E$2:E996,E996,$B$2:B996,B996)&gt;1,"No","Yes"))</f>
        <v/>
      </c>
      <c r="R996" s="61" t="str">
        <f aca="false">IF(E996="","",IF(Q996="No","Duplicate of an earlier response",IF(L996="Not on SITES","Site not on SITES",IF(N(G996)&gt;N(F996),"Present is more than enrolled",IF(OR(I996&lt;1,I996&gt;5),"Score outside 1 to 5","")))))</f>
        <v/>
      </c>
    </row>
    <row r="997" customFormat="false" ht="15" hidden="false" customHeight="false" outlineLevel="0" collapsed="false">
      <c r="A997" s="52"/>
      <c r="B997" s="53"/>
      <c r="C997" s="53"/>
      <c r="D997" s="53"/>
      <c r="E997" s="54"/>
      <c r="F997" s="55"/>
      <c r="G997" s="55"/>
      <c r="H997" s="55"/>
      <c r="I997" s="56"/>
      <c r="J997" s="53"/>
      <c r="K997" s="53"/>
      <c r="L997" s="57" t="str">
        <f aca="false">IF(C997="","",IFERROR(INDEX(site_ID,MATCH(C997,site_Name,0)),"Not on SITES"))</f>
        <v/>
      </c>
      <c r="M997" s="58" t="str">
        <f aca="false">IF(E997="","",DATE(YEAR(E997),MONTH(E997),1))</f>
        <v/>
      </c>
      <c r="N997" s="57" t="str">
        <f aca="false">IF(E997="","","FY"&amp;(YEAR(E997)+IF(AND(FYStart&gt;1,MONTH(E997)&gt;=FYStart),1,0))&amp;" Q"&amp;(INT(MOD(MONTH(E997)-FYStart,12)/3)+1))</f>
        <v/>
      </c>
      <c r="O997" s="59" t="str">
        <f aca="false">IF(OR(E997="",N(F997)=0),"",G997/F997)</f>
        <v/>
      </c>
      <c r="P997" s="60" t="str">
        <f aca="false">IF(E997="","",ROUND(N(G997)*N(H997)/60,1))</f>
        <v/>
      </c>
      <c r="Q997" s="57" t="str">
        <f aca="false">IF(E997="","",IF(COUNTIFS($C$2:C997,C997,$E$2:E997,E997,$B$2:B997,B997)&gt;1,"No","Yes"))</f>
        <v/>
      </c>
      <c r="R997" s="61" t="str">
        <f aca="false">IF(E997="","",IF(Q997="No","Duplicate of an earlier response",IF(L997="Not on SITES","Site not on SITES",IF(N(G997)&gt;N(F997),"Present is more than enrolled",IF(OR(I997&lt;1,I997&gt;5),"Score outside 1 to 5","")))))</f>
        <v/>
      </c>
    </row>
    <row r="998" customFormat="false" ht="15" hidden="false" customHeight="false" outlineLevel="0" collapsed="false">
      <c r="A998" s="52"/>
      <c r="B998" s="53"/>
      <c r="C998" s="53"/>
      <c r="D998" s="53"/>
      <c r="E998" s="54"/>
      <c r="F998" s="55"/>
      <c r="G998" s="55"/>
      <c r="H998" s="55"/>
      <c r="I998" s="56"/>
      <c r="J998" s="53"/>
      <c r="K998" s="53"/>
      <c r="L998" s="57" t="str">
        <f aca="false">IF(C998="","",IFERROR(INDEX(site_ID,MATCH(C998,site_Name,0)),"Not on SITES"))</f>
        <v/>
      </c>
      <c r="M998" s="58" t="str">
        <f aca="false">IF(E998="","",DATE(YEAR(E998),MONTH(E998),1))</f>
        <v/>
      </c>
      <c r="N998" s="57" t="str">
        <f aca="false">IF(E998="","","FY"&amp;(YEAR(E998)+IF(AND(FYStart&gt;1,MONTH(E998)&gt;=FYStart),1,0))&amp;" Q"&amp;(INT(MOD(MONTH(E998)-FYStart,12)/3)+1))</f>
        <v/>
      </c>
      <c r="O998" s="59" t="str">
        <f aca="false">IF(OR(E998="",N(F998)=0),"",G998/F998)</f>
        <v/>
      </c>
      <c r="P998" s="60" t="str">
        <f aca="false">IF(E998="","",ROUND(N(G998)*N(H998)/60,1))</f>
        <v/>
      </c>
      <c r="Q998" s="57" t="str">
        <f aca="false">IF(E998="","",IF(COUNTIFS($C$2:C998,C998,$E$2:E998,E998,$B$2:B998,B998)&gt;1,"No","Yes"))</f>
        <v/>
      </c>
      <c r="R998" s="61" t="str">
        <f aca="false">IF(E998="","",IF(Q998="No","Duplicate of an earlier response",IF(L998="Not on SITES","Site not on SITES",IF(N(G998)&gt;N(F998),"Present is more than enrolled",IF(OR(I998&lt;1,I998&gt;5),"Score outside 1 to 5","")))))</f>
        <v/>
      </c>
    </row>
    <row r="999" customFormat="false" ht="15" hidden="false" customHeight="false" outlineLevel="0" collapsed="false">
      <c r="A999" s="52"/>
      <c r="B999" s="53"/>
      <c r="C999" s="53"/>
      <c r="D999" s="53"/>
      <c r="E999" s="54"/>
      <c r="F999" s="55"/>
      <c r="G999" s="55"/>
      <c r="H999" s="55"/>
      <c r="I999" s="56"/>
      <c r="J999" s="53"/>
      <c r="K999" s="53"/>
      <c r="L999" s="57" t="str">
        <f aca="false">IF(C999="","",IFERROR(INDEX(site_ID,MATCH(C999,site_Name,0)),"Not on SITES"))</f>
        <v/>
      </c>
      <c r="M999" s="58" t="str">
        <f aca="false">IF(E999="","",DATE(YEAR(E999),MONTH(E999),1))</f>
        <v/>
      </c>
      <c r="N999" s="57" t="str">
        <f aca="false">IF(E999="","","FY"&amp;(YEAR(E999)+IF(AND(FYStart&gt;1,MONTH(E999)&gt;=FYStart),1,0))&amp;" Q"&amp;(INT(MOD(MONTH(E999)-FYStart,12)/3)+1))</f>
        <v/>
      </c>
      <c r="O999" s="59" t="str">
        <f aca="false">IF(OR(E999="",N(F999)=0),"",G999/F999)</f>
        <v/>
      </c>
      <c r="P999" s="60" t="str">
        <f aca="false">IF(E999="","",ROUND(N(G999)*N(H999)/60,1))</f>
        <v/>
      </c>
      <c r="Q999" s="57" t="str">
        <f aca="false">IF(E999="","",IF(COUNTIFS($C$2:C999,C999,$E$2:E999,E999,$B$2:B999,B999)&gt;1,"No","Yes"))</f>
        <v/>
      </c>
      <c r="R999" s="61" t="str">
        <f aca="false">IF(E999="","",IF(Q999="No","Duplicate of an earlier response",IF(L999="Not on SITES","Site not on SITES",IF(N(G999)&gt;N(F999),"Present is more than enrolled",IF(OR(I999&lt;1,I999&gt;5),"Score outside 1 to 5","")))))</f>
        <v/>
      </c>
    </row>
    <row r="1000" customFormat="false" ht="15" hidden="false" customHeight="false" outlineLevel="0" collapsed="false">
      <c r="A1000" s="52"/>
      <c r="B1000" s="53"/>
      <c r="C1000" s="53"/>
      <c r="D1000" s="53"/>
      <c r="E1000" s="54"/>
      <c r="F1000" s="55"/>
      <c r="G1000" s="55"/>
      <c r="H1000" s="55"/>
      <c r="I1000" s="56"/>
      <c r="J1000" s="53"/>
      <c r="K1000" s="53"/>
      <c r="L1000" s="57" t="str">
        <f aca="false">IF(C1000="","",IFERROR(INDEX(site_ID,MATCH(C1000,site_Name,0)),"Not on SITES"))</f>
        <v/>
      </c>
      <c r="M1000" s="58" t="str">
        <f aca="false">IF(E1000="","",DATE(YEAR(E1000),MONTH(E1000),1))</f>
        <v/>
      </c>
      <c r="N1000" s="57" t="str">
        <f aca="false">IF(E1000="","","FY"&amp;(YEAR(E1000)+IF(AND(FYStart&gt;1,MONTH(E1000)&gt;=FYStart),1,0))&amp;" Q"&amp;(INT(MOD(MONTH(E1000)-FYStart,12)/3)+1))</f>
        <v/>
      </c>
      <c r="O1000" s="59" t="str">
        <f aca="false">IF(OR(E1000="",N(F1000)=0),"",G1000/F1000)</f>
        <v/>
      </c>
      <c r="P1000" s="60" t="str">
        <f aca="false">IF(E1000="","",ROUND(N(G1000)*N(H1000)/60,1))</f>
        <v/>
      </c>
      <c r="Q1000" s="57" t="str">
        <f aca="false">IF(E1000="","",IF(COUNTIFS($C$2:C1000,C1000,$E$2:E1000,E1000,$B$2:B1000,B1000)&gt;1,"No","Yes"))</f>
        <v/>
      </c>
      <c r="R1000" s="61" t="str">
        <f aca="false">IF(E1000="","",IF(Q1000="No","Duplicate of an earlier response",IF(L1000="Not on SITES","Site not on SITES",IF(N(G1000)&gt;N(F1000),"Present is more than enrolled",IF(OR(I1000&lt;1,I1000&gt;5),"Score outside 1 to 5","")))))</f>
        <v/>
      </c>
    </row>
    <row r="1001" customFormat="false" ht="15" hidden="false" customHeight="false" outlineLevel="0" collapsed="false">
      <c r="A1001" s="52"/>
      <c r="B1001" s="53"/>
      <c r="C1001" s="53"/>
      <c r="D1001" s="53"/>
      <c r="E1001" s="54"/>
      <c r="F1001" s="55"/>
      <c r="G1001" s="55"/>
      <c r="H1001" s="55"/>
      <c r="I1001" s="56"/>
      <c r="J1001" s="53"/>
      <c r="K1001" s="53"/>
      <c r="L1001" s="57" t="str">
        <f aca="false">IF(C1001="","",IFERROR(INDEX(site_ID,MATCH(C1001,site_Name,0)),"Not on SITES"))</f>
        <v/>
      </c>
      <c r="M1001" s="58" t="str">
        <f aca="false">IF(E1001="","",DATE(YEAR(E1001),MONTH(E1001),1))</f>
        <v/>
      </c>
      <c r="N1001" s="57" t="str">
        <f aca="false">IF(E1001="","","FY"&amp;(YEAR(E1001)+IF(AND(FYStart&gt;1,MONTH(E1001)&gt;=FYStart),1,0))&amp;" Q"&amp;(INT(MOD(MONTH(E1001)-FYStart,12)/3)+1))</f>
        <v/>
      </c>
      <c r="O1001" s="59" t="str">
        <f aca="false">IF(OR(E1001="",N(F1001)=0),"",G1001/F1001)</f>
        <v/>
      </c>
      <c r="P1001" s="60" t="str">
        <f aca="false">IF(E1001="","",ROUND(N(G1001)*N(H1001)/60,1))</f>
        <v/>
      </c>
      <c r="Q1001" s="57" t="str">
        <f aca="false">IF(E1001="","",IF(COUNTIFS($C$2:C1001,C1001,$E$2:E1001,E1001,$B$2:B1001,B1001)&gt;1,"No","Yes"))</f>
        <v/>
      </c>
      <c r="R1001" s="61" t="str">
        <f aca="false">IF(E1001="","",IF(Q1001="No","Duplicate of an earlier response",IF(L1001="Not on SITES","Site not on SITES",IF(N(G1001)&gt;N(F1001),"Present is more than enrolled",IF(OR(I1001&lt;1,I1001&gt;5),"Score outside 1 to 5","")))))</f>
        <v/>
      </c>
    </row>
    <row r="1002" customFormat="false" ht="15" hidden="false" customHeight="false" outlineLevel="0" collapsed="false">
      <c r="A1002" s="52"/>
      <c r="B1002" s="53"/>
      <c r="C1002" s="53"/>
      <c r="D1002" s="53"/>
      <c r="E1002" s="54"/>
      <c r="F1002" s="55"/>
      <c r="G1002" s="55"/>
      <c r="H1002" s="55"/>
      <c r="I1002" s="56"/>
      <c r="J1002" s="53"/>
      <c r="K1002" s="53"/>
      <c r="L1002" s="57" t="str">
        <f aca="false">IF(C1002="","",IFERROR(INDEX(site_ID,MATCH(C1002,site_Name,0)),"Not on SITES"))</f>
        <v/>
      </c>
      <c r="M1002" s="58" t="str">
        <f aca="false">IF(E1002="","",DATE(YEAR(E1002),MONTH(E1002),1))</f>
        <v/>
      </c>
      <c r="N1002" s="57" t="str">
        <f aca="false">IF(E1002="","","FY"&amp;(YEAR(E1002)+IF(AND(FYStart&gt;1,MONTH(E1002)&gt;=FYStart),1,0))&amp;" Q"&amp;(INT(MOD(MONTH(E1002)-FYStart,12)/3)+1))</f>
        <v/>
      </c>
      <c r="O1002" s="59" t="str">
        <f aca="false">IF(OR(E1002="",N(F1002)=0),"",G1002/F1002)</f>
        <v/>
      </c>
      <c r="P1002" s="60" t="str">
        <f aca="false">IF(E1002="","",ROUND(N(G1002)*N(H1002)/60,1))</f>
        <v/>
      </c>
      <c r="Q1002" s="57" t="str">
        <f aca="false">IF(E1002="","",IF(COUNTIFS($C$2:C1002,C1002,$E$2:E1002,E1002,$B$2:B1002,B1002)&gt;1,"No","Yes"))</f>
        <v/>
      </c>
      <c r="R1002" s="61" t="str">
        <f aca="false">IF(E1002="","",IF(Q1002="No","Duplicate of an earlier response",IF(L1002="Not on SITES","Site not on SITES",IF(N(G1002)&gt;N(F1002),"Present is more than enrolled",IF(OR(I1002&lt;1,I1002&gt;5),"Score outside 1 to 5","")))))</f>
        <v/>
      </c>
    </row>
    <row r="1003" customFormat="false" ht="15" hidden="false" customHeight="false" outlineLevel="0" collapsed="false">
      <c r="A1003" s="52"/>
      <c r="B1003" s="53"/>
      <c r="C1003" s="53"/>
      <c r="D1003" s="53"/>
      <c r="E1003" s="54"/>
      <c r="F1003" s="55"/>
      <c r="G1003" s="55"/>
      <c r="H1003" s="55"/>
      <c r="I1003" s="56"/>
      <c r="J1003" s="53"/>
      <c r="K1003" s="53"/>
      <c r="L1003" s="57" t="str">
        <f aca="false">IF(C1003="","",IFERROR(INDEX(site_ID,MATCH(C1003,site_Name,0)),"Not on SITES"))</f>
        <v/>
      </c>
      <c r="M1003" s="58" t="str">
        <f aca="false">IF(E1003="","",DATE(YEAR(E1003),MONTH(E1003),1))</f>
        <v/>
      </c>
      <c r="N1003" s="57" t="str">
        <f aca="false">IF(E1003="","","FY"&amp;(YEAR(E1003)+IF(AND(FYStart&gt;1,MONTH(E1003)&gt;=FYStart),1,0))&amp;" Q"&amp;(INT(MOD(MONTH(E1003)-FYStart,12)/3)+1))</f>
        <v/>
      </c>
      <c r="O1003" s="59" t="str">
        <f aca="false">IF(OR(E1003="",N(F1003)=0),"",G1003/F1003)</f>
        <v/>
      </c>
      <c r="P1003" s="60" t="str">
        <f aca="false">IF(E1003="","",ROUND(N(G1003)*N(H1003)/60,1))</f>
        <v/>
      </c>
      <c r="Q1003" s="57" t="str">
        <f aca="false">IF(E1003="","",IF(COUNTIFS($C$2:C1003,C1003,$E$2:E1003,E1003,$B$2:B1003,B1003)&gt;1,"No","Yes"))</f>
        <v/>
      </c>
      <c r="R1003" s="61" t="str">
        <f aca="false">IF(E1003="","",IF(Q1003="No","Duplicate of an earlier response",IF(L1003="Not on SITES","Site not on SITES",IF(N(G1003)&gt;N(F1003),"Present is more than enrolled",IF(OR(I1003&lt;1,I1003&gt;5),"Score outside 1 to 5","")))))</f>
        <v/>
      </c>
    </row>
    <row r="1004" customFormat="false" ht="15" hidden="false" customHeight="false" outlineLevel="0" collapsed="false">
      <c r="A1004" s="52"/>
      <c r="B1004" s="53"/>
      <c r="C1004" s="53"/>
      <c r="D1004" s="53"/>
      <c r="E1004" s="54"/>
      <c r="F1004" s="55"/>
      <c r="G1004" s="55"/>
      <c r="H1004" s="55"/>
      <c r="I1004" s="56"/>
      <c r="J1004" s="53"/>
      <c r="K1004" s="53"/>
      <c r="L1004" s="57" t="str">
        <f aca="false">IF(C1004="","",IFERROR(INDEX(site_ID,MATCH(C1004,site_Name,0)),"Not on SITES"))</f>
        <v/>
      </c>
      <c r="M1004" s="58" t="str">
        <f aca="false">IF(E1004="","",DATE(YEAR(E1004),MONTH(E1004),1))</f>
        <v/>
      </c>
      <c r="N1004" s="57" t="str">
        <f aca="false">IF(E1004="","","FY"&amp;(YEAR(E1004)+IF(AND(FYStart&gt;1,MONTH(E1004)&gt;=FYStart),1,0))&amp;" Q"&amp;(INT(MOD(MONTH(E1004)-FYStart,12)/3)+1))</f>
        <v/>
      </c>
      <c r="O1004" s="59" t="str">
        <f aca="false">IF(OR(E1004="",N(F1004)=0),"",G1004/F1004)</f>
        <v/>
      </c>
      <c r="P1004" s="60" t="str">
        <f aca="false">IF(E1004="","",ROUND(N(G1004)*N(H1004)/60,1))</f>
        <v/>
      </c>
      <c r="Q1004" s="57" t="str">
        <f aca="false">IF(E1004="","",IF(COUNTIFS($C$2:C1004,C1004,$E$2:E1004,E1004,$B$2:B1004,B1004)&gt;1,"No","Yes"))</f>
        <v/>
      </c>
      <c r="R1004" s="61" t="str">
        <f aca="false">IF(E1004="","",IF(Q1004="No","Duplicate of an earlier response",IF(L1004="Not on SITES","Site not on SITES",IF(N(G1004)&gt;N(F1004),"Present is more than enrolled",IF(OR(I1004&lt;1,I1004&gt;5),"Score outside 1 to 5","")))))</f>
        <v/>
      </c>
    </row>
    <row r="1005" customFormat="false" ht="15" hidden="false" customHeight="false" outlineLevel="0" collapsed="false">
      <c r="A1005" s="52"/>
      <c r="B1005" s="53"/>
      <c r="C1005" s="53"/>
      <c r="D1005" s="53"/>
      <c r="E1005" s="54"/>
      <c r="F1005" s="55"/>
      <c r="G1005" s="55"/>
      <c r="H1005" s="55"/>
      <c r="I1005" s="56"/>
      <c r="J1005" s="53"/>
      <c r="K1005" s="53"/>
      <c r="L1005" s="57" t="str">
        <f aca="false">IF(C1005="","",IFERROR(INDEX(site_ID,MATCH(C1005,site_Name,0)),"Not on SITES"))</f>
        <v/>
      </c>
      <c r="M1005" s="58" t="str">
        <f aca="false">IF(E1005="","",DATE(YEAR(E1005),MONTH(E1005),1))</f>
        <v/>
      </c>
      <c r="N1005" s="57" t="str">
        <f aca="false">IF(E1005="","","FY"&amp;(YEAR(E1005)+IF(AND(FYStart&gt;1,MONTH(E1005)&gt;=FYStart),1,0))&amp;" Q"&amp;(INT(MOD(MONTH(E1005)-FYStart,12)/3)+1))</f>
        <v/>
      </c>
      <c r="O1005" s="59" t="str">
        <f aca="false">IF(OR(E1005="",N(F1005)=0),"",G1005/F1005)</f>
        <v/>
      </c>
      <c r="P1005" s="60" t="str">
        <f aca="false">IF(E1005="","",ROUND(N(G1005)*N(H1005)/60,1))</f>
        <v/>
      </c>
      <c r="Q1005" s="57" t="str">
        <f aca="false">IF(E1005="","",IF(COUNTIFS($C$2:C1005,C1005,$E$2:E1005,E1005,$B$2:B1005,B1005)&gt;1,"No","Yes"))</f>
        <v/>
      </c>
      <c r="R1005" s="61" t="str">
        <f aca="false">IF(E1005="","",IF(Q1005="No","Duplicate of an earlier response",IF(L1005="Not on SITES","Site not on SITES",IF(N(G1005)&gt;N(F1005),"Present is more than enrolled",IF(OR(I1005&lt;1,I1005&gt;5),"Score outside 1 to 5","")))))</f>
        <v/>
      </c>
    </row>
    <row r="1006" customFormat="false" ht="15" hidden="false" customHeight="false" outlineLevel="0" collapsed="false">
      <c r="A1006" s="52"/>
      <c r="B1006" s="53"/>
      <c r="C1006" s="53"/>
      <c r="D1006" s="53"/>
      <c r="E1006" s="54"/>
      <c r="F1006" s="55"/>
      <c r="G1006" s="55"/>
      <c r="H1006" s="55"/>
      <c r="I1006" s="56"/>
      <c r="J1006" s="53"/>
      <c r="K1006" s="53"/>
      <c r="L1006" s="57" t="str">
        <f aca="false">IF(C1006="","",IFERROR(INDEX(site_ID,MATCH(C1006,site_Name,0)),"Not on SITES"))</f>
        <v/>
      </c>
      <c r="M1006" s="58" t="str">
        <f aca="false">IF(E1006="","",DATE(YEAR(E1006),MONTH(E1006),1))</f>
        <v/>
      </c>
      <c r="N1006" s="57" t="str">
        <f aca="false">IF(E1006="","","FY"&amp;(YEAR(E1006)+IF(AND(FYStart&gt;1,MONTH(E1006)&gt;=FYStart),1,0))&amp;" Q"&amp;(INT(MOD(MONTH(E1006)-FYStart,12)/3)+1))</f>
        <v/>
      </c>
      <c r="O1006" s="59" t="str">
        <f aca="false">IF(OR(E1006="",N(F1006)=0),"",G1006/F1006)</f>
        <v/>
      </c>
      <c r="P1006" s="60" t="str">
        <f aca="false">IF(E1006="","",ROUND(N(G1006)*N(H1006)/60,1))</f>
        <v/>
      </c>
      <c r="Q1006" s="57" t="str">
        <f aca="false">IF(E1006="","",IF(COUNTIFS($C$2:C1006,C1006,$E$2:E1006,E1006,$B$2:B1006,B1006)&gt;1,"No","Yes"))</f>
        <v/>
      </c>
      <c r="R1006" s="61" t="str">
        <f aca="false">IF(E1006="","",IF(Q1006="No","Duplicate of an earlier response",IF(L1006="Not on SITES","Site not on SITES",IF(N(G1006)&gt;N(F1006),"Present is more than enrolled",IF(OR(I1006&lt;1,I1006&gt;5),"Score outside 1 to 5","")))))</f>
        <v/>
      </c>
    </row>
    <row r="1007" customFormat="false" ht="15" hidden="false" customHeight="false" outlineLevel="0" collapsed="false">
      <c r="A1007" s="52"/>
      <c r="B1007" s="53"/>
      <c r="C1007" s="53"/>
      <c r="D1007" s="53"/>
      <c r="E1007" s="54"/>
      <c r="F1007" s="55"/>
      <c r="G1007" s="55"/>
      <c r="H1007" s="55"/>
      <c r="I1007" s="56"/>
      <c r="J1007" s="53"/>
      <c r="K1007" s="53"/>
      <c r="L1007" s="57" t="str">
        <f aca="false">IF(C1007="","",IFERROR(INDEX(site_ID,MATCH(C1007,site_Name,0)),"Not on SITES"))</f>
        <v/>
      </c>
      <c r="M1007" s="58" t="str">
        <f aca="false">IF(E1007="","",DATE(YEAR(E1007),MONTH(E1007),1))</f>
        <v/>
      </c>
      <c r="N1007" s="57" t="str">
        <f aca="false">IF(E1007="","","FY"&amp;(YEAR(E1007)+IF(AND(FYStart&gt;1,MONTH(E1007)&gt;=FYStart),1,0))&amp;" Q"&amp;(INT(MOD(MONTH(E1007)-FYStart,12)/3)+1))</f>
        <v/>
      </c>
      <c r="O1007" s="59" t="str">
        <f aca="false">IF(OR(E1007="",N(F1007)=0),"",G1007/F1007)</f>
        <v/>
      </c>
      <c r="P1007" s="60" t="str">
        <f aca="false">IF(E1007="","",ROUND(N(G1007)*N(H1007)/60,1))</f>
        <v/>
      </c>
      <c r="Q1007" s="57" t="str">
        <f aca="false">IF(E1007="","",IF(COUNTIFS($C$2:C1007,C1007,$E$2:E1007,E1007,$B$2:B1007,B1007)&gt;1,"No","Yes"))</f>
        <v/>
      </c>
      <c r="R1007" s="61" t="str">
        <f aca="false">IF(E1007="","",IF(Q1007="No","Duplicate of an earlier response",IF(L1007="Not on SITES","Site not on SITES",IF(N(G1007)&gt;N(F1007),"Present is more than enrolled",IF(OR(I1007&lt;1,I1007&gt;5),"Score outside 1 to 5","")))))</f>
        <v/>
      </c>
    </row>
    <row r="1008" customFormat="false" ht="15" hidden="false" customHeight="false" outlineLevel="0" collapsed="false">
      <c r="A1008" s="52"/>
      <c r="B1008" s="53"/>
      <c r="C1008" s="53"/>
      <c r="D1008" s="53"/>
      <c r="E1008" s="54"/>
      <c r="F1008" s="55"/>
      <c r="G1008" s="55"/>
      <c r="H1008" s="55"/>
      <c r="I1008" s="56"/>
      <c r="J1008" s="53"/>
      <c r="K1008" s="53"/>
      <c r="L1008" s="57" t="str">
        <f aca="false">IF(C1008="","",IFERROR(INDEX(site_ID,MATCH(C1008,site_Name,0)),"Not on SITES"))</f>
        <v/>
      </c>
      <c r="M1008" s="58" t="str">
        <f aca="false">IF(E1008="","",DATE(YEAR(E1008),MONTH(E1008),1))</f>
        <v/>
      </c>
      <c r="N1008" s="57" t="str">
        <f aca="false">IF(E1008="","","FY"&amp;(YEAR(E1008)+IF(AND(FYStart&gt;1,MONTH(E1008)&gt;=FYStart),1,0))&amp;" Q"&amp;(INT(MOD(MONTH(E1008)-FYStart,12)/3)+1))</f>
        <v/>
      </c>
      <c r="O1008" s="59" t="str">
        <f aca="false">IF(OR(E1008="",N(F1008)=0),"",G1008/F1008)</f>
        <v/>
      </c>
      <c r="P1008" s="60" t="str">
        <f aca="false">IF(E1008="","",ROUND(N(G1008)*N(H1008)/60,1))</f>
        <v/>
      </c>
      <c r="Q1008" s="57" t="str">
        <f aca="false">IF(E1008="","",IF(COUNTIFS($C$2:C1008,C1008,$E$2:E1008,E1008,$B$2:B1008,B1008)&gt;1,"No","Yes"))</f>
        <v/>
      </c>
      <c r="R1008" s="61" t="str">
        <f aca="false">IF(E1008="","",IF(Q1008="No","Duplicate of an earlier response",IF(L1008="Not on SITES","Site not on SITES",IF(N(G1008)&gt;N(F1008),"Present is more than enrolled",IF(OR(I1008&lt;1,I1008&gt;5),"Score outside 1 to 5","")))))</f>
        <v/>
      </c>
    </row>
    <row r="1009" customFormat="false" ht="15" hidden="false" customHeight="false" outlineLevel="0" collapsed="false">
      <c r="A1009" s="52"/>
      <c r="B1009" s="53"/>
      <c r="C1009" s="53"/>
      <c r="D1009" s="53"/>
      <c r="E1009" s="54"/>
      <c r="F1009" s="55"/>
      <c r="G1009" s="55"/>
      <c r="H1009" s="55"/>
      <c r="I1009" s="56"/>
      <c r="J1009" s="53"/>
      <c r="K1009" s="53"/>
      <c r="L1009" s="57" t="str">
        <f aca="false">IF(C1009="","",IFERROR(INDEX(site_ID,MATCH(C1009,site_Name,0)),"Not on SITES"))</f>
        <v/>
      </c>
      <c r="M1009" s="58" t="str">
        <f aca="false">IF(E1009="","",DATE(YEAR(E1009),MONTH(E1009),1))</f>
        <v/>
      </c>
      <c r="N1009" s="57" t="str">
        <f aca="false">IF(E1009="","","FY"&amp;(YEAR(E1009)+IF(AND(FYStart&gt;1,MONTH(E1009)&gt;=FYStart),1,0))&amp;" Q"&amp;(INT(MOD(MONTH(E1009)-FYStart,12)/3)+1))</f>
        <v/>
      </c>
      <c r="O1009" s="59" t="str">
        <f aca="false">IF(OR(E1009="",N(F1009)=0),"",G1009/F1009)</f>
        <v/>
      </c>
      <c r="P1009" s="60" t="str">
        <f aca="false">IF(E1009="","",ROUND(N(G1009)*N(H1009)/60,1))</f>
        <v/>
      </c>
      <c r="Q1009" s="57" t="str">
        <f aca="false">IF(E1009="","",IF(COUNTIFS($C$2:C1009,C1009,$E$2:E1009,E1009,$B$2:B1009,B1009)&gt;1,"No","Yes"))</f>
        <v/>
      </c>
      <c r="R1009" s="61" t="str">
        <f aca="false">IF(E1009="","",IF(Q1009="No","Duplicate of an earlier response",IF(L1009="Not on SITES","Site not on SITES",IF(N(G1009)&gt;N(F1009),"Present is more than enrolled",IF(OR(I1009&lt;1,I1009&gt;5),"Score outside 1 to 5","")))))</f>
        <v/>
      </c>
    </row>
    <row r="1010" customFormat="false" ht="15" hidden="false" customHeight="false" outlineLevel="0" collapsed="false">
      <c r="A1010" s="52"/>
      <c r="B1010" s="53"/>
      <c r="C1010" s="53"/>
      <c r="D1010" s="53"/>
      <c r="E1010" s="54"/>
      <c r="F1010" s="55"/>
      <c r="G1010" s="55"/>
      <c r="H1010" s="55"/>
      <c r="I1010" s="56"/>
      <c r="J1010" s="53"/>
      <c r="K1010" s="53"/>
      <c r="L1010" s="57" t="str">
        <f aca="false">IF(C1010="","",IFERROR(INDEX(site_ID,MATCH(C1010,site_Name,0)),"Not on SITES"))</f>
        <v/>
      </c>
      <c r="M1010" s="58" t="str">
        <f aca="false">IF(E1010="","",DATE(YEAR(E1010),MONTH(E1010),1))</f>
        <v/>
      </c>
      <c r="N1010" s="57" t="str">
        <f aca="false">IF(E1010="","","FY"&amp;(YEAR(E1010)+IF(AND(FYStart&gt;1,MONTH(E1010)&gt;=FYStart),1,0))&amp;" Q"&amp;(INT(MOD(MONTH(E1010)-FYStart,12)/3)+1))</f>
        <v/>
      </c>
      <c r="O1010" s="59" t="str">
        <f aca="false">IF(OR(E1010="",N(F1010)=0),"",G1010/F1010)</f>
        <v/>
      </c>
      <c r="P1010" s="60" t="str">
        <f aca="false">IF(E1010="","",ROUND(N(G1010)*N(H1010)/60,1))</f>
        <v/>
      </c>
      <c r="Q1010" s="57" t="str">
        <f aca="false">IF(E1010="","",IF(COUNTIFS($C$2:C1010,C1010,$E$2:E1010,E1010,$B$2:B1010,B1010)&gt;1,"No","Yes"))</f>
        <v/>
      </c>
      <c r="R1010" s="61" t="str">
        <f aca="false">IF(E1010="","",IF(Q1010="No","Duplicate of an earlier response",IF(L1010="Not on SITES","Site not on SITES",IF(N(G1010)&gt;N(F1010),"Present is more than enrolled",IF(OR(I1010&lt;1,I1010&gt;5),"Score outside 1 to 5","")))))</f>
        <v/>
      </c>
    </row>
    <row r="1011" customFormat="false" ht="15" hidden="false" customHeight="false" outlineLevel="0" collapsed="false">
      <c r="A1011" s="52"/>
      <c r="B1011" s="53"/>
      <c r="C1011" s="53"/>
      <c r="D1011" s="53"/>
      <c r="E1011" s="54"/>
      <c r="F1011" s="55"/>
      <c r="G1011" s="55"/>
      <c r="H1011" s="55"/>
      <c r="I1011" s="56"/>
      <c r="J1011" s="53"/>
      <c r="K1011" s="53"/>
      <c r="L1011" s="57" t="str">
        <f aca="false">IF(C1011="","",IFERROR(INDEX(site_ID,MATCH(C1011,site_Name,0)),"Not on SITES"))</f>
        <v/>
      </c>
      <c r="M1011" s="58" t="str">
        <f aca="false">IF(E1011="","",DATE(YEAR(E1011),MONTH(E1011),1))</f>
        <v/>
      </c>
      <c r="N1011" s="57" t="str">
        <f aca="false">IF(E1011="","","FY"&amp;(YEAR(E1011)+IF(AND(FYStart&gt;1,MONTH(E1011)&gt;=FYStart),1,0))&amp;" Q"&amp;(INT(MOD(MONTH(E1011)-FYStart,12)/3)+1))</f>
        <v/>
      </c>
      <c r="O1011" s="59" t="str">
        <f aca="false">IF(OR(E1011="",N(F1011)=0),"",G1011/F1011)</f>
        <v/>
      </c>
      <c r="P1011" s="60" t="str">
        <f aca="false">IF(E1011="","",ROUND(N(G1011)*N(H1011)/60,1))</f>
        <v/>
      </c>
      <c r="Q1011" s="57" t="str">
        <f aca="false">IF(E1011="","",IF(COUNTIFS($C$2:C1011,C1011,$E$2:E1011,E1011,$B$2:B1011,B1011)&gt;1,"No","Yes"))</f>
        <v/>
      </c>
      <c r="R1011" s="61" t="str">
        <f aca="false">IF(E1011="","",IF(Q1011="No","Duplicate of an earlier response",IF(L1011="Not on SITES","Site not on SITES",IF(N(G1011)&gt;N(F1011),"Present is more than enrolled",IF(OR(I1011&lt;1,I1011&gt;5),"Score outside 1 to 5","")))))</f>
        <v/>
      </c>
    </row>
    <row r="1012" customFormat="false" ht="15" hidden="false" customHeight="false" outlineLevel="0" collapsed="false">
      <c r="A1012" s="52"/>
      <c r="B1012" s="53"/>
      <c r="C1012" s="53"/>
      <c r="D1012" s="53"/>
      <c r="E1012" s="54"/>
      <c r="F1012" s="55"/>
      <c r="G1012" s="55"/>
      <c r="H1012" s="55"/>
      <c r="I1012" s="56"/>
      <c r="J1012" s="53"/>
      <c r="K1012" s="53"/>
      <c r="L1012" s="57" t="str">
        <f aca="false">IF(C1012="","",IFERROR(INDEX(site_ID,MATCH(C1012,site_Name,0)),"Not on SITES"))</f>
        <v/>
      </c>
      <c r="M1012" s="58" t="str">
        <f aca="false">IF(E1012="","",DATE(YEAR(E1012),MONTH(E1012),1))</f>
        <v/>
      </c>
      <c r="N1012" s="57" t="str">
        <f aca="false">IF(E1012="","","FY"&amp;(YEAR(E1012)+IF(AND(FYStart&gt;1,MONTH(E1012)&gt;=FYStart),1,0))&amp;" Q"&amp;(INT(MOD(MONTH(E1012)-FYStart,12)/3)+1))</f>
        <v/>
      </c>
      <c r="O1012" s="59" t="str">
        <f aca="false">IF(OR(E1012="",N(F1012)=0),"",G1012/F1012)</f>
        <v/>
      </c>
      <c r="P1012" s="60" t="str">
        <f aca="false">IF(E1012="","",ROUND(N(G1012)*N(H1012)/60,1))</f>
        <v/>
      </c>
      <c r="Q1012" s="57" t="str">
        <f aca="false">IF(E1012="","",IF(COUNTIFS($C$2:C1012,C1012,$E$2:E1012,E1012,$B$2:B1012,B1012)&gt;1,"No","Yes"))</f>
        <v/>
      </c>
      <c r="R1012" s="61" t="str">
        <f aca="false">IF(E1012="","",IF(Q1012="No","Duplicate of an earlier response",IF(L1012="Not on SITES","Site not on SITES",IF(N(G1012)&gt;N(F1012),"Present is more than enrolled",IF(OR(I1012&lt;1,I1012&gt;5),"Score outside 1 to 5","")))))</f>
        <v/>
      </c>
    </row>
    <row r="1013" customFormat="false" ht="15" hidden="false" customHeight="false" outlineLevel="0" collapsed="false">
      <c r="A1013" s="52"/>
      <c r="B1013" s="53"/>
      <c r="C1013" s="53"/>
      <c r="D1013" s="53"/>
      <c r="E1013" s="54"/>
      <c r="F1013" s="55"/>
      <c r="G1013" s="55"/>
      <c r="H1013" s="55"/>
      <c r="I1013" s="56"/>
      <c r="J1013" s="53"/>
      <c r="K1013" s="53"/>
      <c r="L1013" s="57" t="str">
        <f aca="false">IF(C1013="","",IFERROR(INDEX(site_ID,MATCH(C1013,site_Name,0)),"Not on SITES"))</f>
        <v/>
      </c>
      <c r="M1013" s="58" t="str">
        <f aca="false">IF(E1013="","",DATE(YEAR(E1013),MONTH(E1013),1))</f>
        <v/>
      </c>
      <c r="N1013" s="57" t="str">
        <f aca="false">IF(E1013="","","FY"&amp;(YEAR(E1013)+IF(AND(FYStart&gt;1,MONTH(E1013)&gt;=FYStart),1,0))&amp;" Q"&amp;(INT(MOD(MONTH(E1013)-FYStart,12)/3)+1))</f>
        <v/>
      </c>
      <c r="O1013" s="59" t="str">
        <f aca="false">IF(OR(E1013="",N(F1013)=0),"",G1013/F1013)</f>
        <v/>
      </c>
      <c r="P1013" s="60" t="str">
        <f aca="false">IF(E1013="","",ROUND(N(G1013)*N(H1013)/60,1))</f>
        <v/>
      </c>
      <c r="Q1013" s="57" t="str">
        <f aca="false">IF(E1013="","",IF(COUNTIFS($C$2:C1013,C1013,$E$2:E1013,E1013,$B$2:B1013,B1013)&gt;1,"No","Yes"))</f>
        <v/>
      </c>
      <c r="R1013" s="61" t="str">
        <f aca="false">IF(E1013="","",IF(Q1013="No","Duplicate of an earlier response",IF(L1013="Not on SITES","Site not on SITES",IF(N(G1013)&gt;N(F1013),"Present is more than enrolled",IF(OR(I1013&lt;1,I1013&gt;5),"Score outside 1 to 5","")))))</f>
        <v/>
      </c>
    </row>
    <row r="1014" customFormat="false" ht="15" hidden="false" customHeight="false" outlineLevel="0" collapsed="false">
      <c r="A1014" s="52"/>
      <c r="B1014" s="53"/>
      <c r="C1014" s="53"/>
      <c r="D1014" s="53"/>
      <c r="E1014" s="54"/>
      <c r="F1014" s="55"/>
      <c r="G1014" s="55"/>
      <c r="H1014" s="55"/>
      <c r="I1014" s="56"/>
      <c r="J1014" s="53"/>
      <c r="K1014" s="53"/>
      <c r="L1014" s="57" t="str">
        <f aca="false">IF(C1014="","",IFERROR(INDEX(site_ID,MATCH(C1014,site_Name,0)),"Not on SITES"))</f>
        <v/>
      </c>
      <c r="M1014" s="58" t="str">
        <f aca="false">IF(E1014="","",DATE(YEAR(E1014),MONTH(E1014),1))</f>
        <v/>
      </c>
      <c r="N1014" s="57" t="str">
        <f aca="false">IF(E1014="","","FY"&amp;(YEAR(E1014)+IF(AND(FYStart&gt;1,MONTH(E1014)&gt;=FYStart),1,0))&amp;" Q"&amp;(INT(MOD(MONTH(E1014)-FYStart,12)/3)+1))</f>
        <v/>
      </c>
      <c r="O1014" s="59" t="str">
        <f aca="false">IF(OR(E1014="",N(F1014)=0),"",G1014/F1014)</f>
        <v/>
      </c>
      <c r="P1014" s="60" t="str">
        <f aca="false">IF(E1014="","",ROUND(N(G1014)*N(H1014)/60,1))</f>
        <v/>
      </c>
      <c r="Q1014" s="57" t="str">
        <f aca="false">IF(E1014="","",IF(COUNTIFS($C$2:C1014,C1014,$E$2:E1014,E1014,$B$2:B1014,B1014)&gt;1,"No","Yes"))</f>
        <v/>
      </c>
      <c r="R1014" s="61" t="str">
        <f aca="false">IF(E1014="","",IF(Q1014="No","Duplicate of an earlier response",IF(L1014="Not on SITES","Site not on SITES",IF(N(G1014)&gt;N(F1014),"Present is more than enrolled",IF(OR(I1014&lt;1,I1014&gt;5),"Score outside 1 to 5","")))))</f>
        <v/>
      </c>
    </row>
    <row r="1015" customFormat="false" ht="15" hidden="false" customHeight="false" outlineLevel="0" collapsed="false">
      <c r="A1015" s="52"/>
      <c r="B1015" s="53"/>
      <c r="C1015" s="53"/>
      <c r="D1015" s="53"/>
      <c r="E1015" s="54"/>
      <c r="F1015" s="55"/>
      <c r="G1015" s="55"/>
      <c r="H1015" s="55"/>
      <c r="I1015" s="56"/>
      <c r="J1015" s="53"/>
      <c r="K1015" s="53"/>
      <c r="L1015" s="57" t="str">
        <f aca="false">IF(C1015="","",IFERROR(INDEX(site_ID,MATCH(C1015,site_Name,0)),"Not on SITES"))</f>
        <v/>
      </c>
      <c r="M1015" s="58" t="str">
        <f aca="false">IF(E1015="","",DATE(YEAR(E1015),MONTH(E1015),1))</f>
        <v/>
      </c>
      <c r="N1015" s="57" t="str">
        <f aca="false">IF(E1015="","","FY"&amp;(YEAR(E1015)+IF(AND(FYStart&gt;1,MONTH(E1015)&gt;=FYStart),1,0))&amp;" Q"&amp;(INT(MOD(MONTH(E1015)-FYStart,12)/3)+1))</f>
        <v/>
      </c>
      <c r="O1015" s="59" t="str">
        <f aca="false">IF(OR(E1015="",N(F1015)=0),"",G1015/F1015)</f>
        <v/>
      </c>
      <c r="P1015" s="60" t="str">
        <f aca="false">IF(E1015="","",ROUND(N(G1015)*N(H1015)/60,1))</f>
        <v/>
      </c>
      <c r="Q1015" s="57" t="str">
        <f aca="false">IF(E1015="","",IF(COUNTIFS($C$2:C1015,C1015,$E$2:E1015,E1015,$B$2:B1015,B1015)&gt;1,"No","Yes"))</f>
        <v/>
      </c>
      <c r="R1015" s="61" t="str">
        <f aca="false">IF(E1015="","",IF(Q1015="No","Duplicate of an earlier response",IF(L1015="Not on SITES","Site not on SITES",IF(N(G1015)&gt;N(F1015),"Present is more than enrolled",IF(OR(I1015&lt;1,I1015&gt;5),"Score outside 1 to 5","")))))</f>
        <v/>
      </c>
    </row>
    <row r="1016" customFormat="false" ht="15" hidden="false" customHeight="false" outlineLevel="0" collapsed="false">
      <c r="A1016" s="52"/>
      <c r="B1016" s="53"/>
      <c r="C1016" s="53"/>
      <c r="D1016" s="53"/>
      <c r="E1016" s="54"/>
      <c r="F1016" s="55"/>
      <c r="G1016" s="55"/>
      <c r="H1016" s="55"/>
      <c r="I1016" s="56"/>
      <c r="J1016" s="53"/>
      <c r="K1016" s="53"/>
      <c r="L1016" s="57" t="str">
        <f aca="false">IF(C1016="","",IFERROR(INDEX(site_ID,MATCH(C1016,site_Name,0)),"Not on SITES"))</f>
        <v/>
      </c>
      <c r="M1016" s="58" t="str">
        <f aca="false">IF(E1016="","",DATE(YEAR(E1016),MONTH(E1016),1))</f>
        <v/>
      </c>
      <c r="N1016" s="57" t="str">
        <f aca="false">IF(E1016="","","FY"&amp;(YEAR(E1016)+IF(AND(FYStart&gt;1,MONTH(E1016)&gt;=FYStart),1,0))&amp;" Q"&amp;(INT(MOD(MONTH(E1016)-FYStart,12)/3)+1))</f>
        <v/>
      </c>
      <c r="O1016" s="59" t="str">
        <f aca="false">IF(OR(E1016="",N(F1016)=0),"",G1016/F1016)</f>
        <v/>
      </c>
      <c r="P1016" s="60" t="str">
        <f aca="false">IF(E1016="","",ROUND(N(G1016)*N(H1016)/60,1))</f>
        <v/>
      </c>
      <c r="Q1016" s="57" t="str">
        <f aca="false">IF(E1016="","",IF(COUNTIFS($C$2:C1016,C1016,$E$2:E1016,E1016,$B$2:B1016,B1016)&gt;1,"No","Yes"))</f>
        <v/>
      </c>
      <c r="R1016" s="61" t="str">
        <f aca="false">IF(E1016="","",IF(Q1016="No","Duplicate of an earlier response",IF(L1016="Not on SITES","Site not on SITES",IF(N(G1016)&gt;N(F1016),"Present is more than enrolled",IF(OR(I1016&lt;1,I1016&gt;5),"Score outside 1 to 5","")))))</f>
        <v/>
      </c>
    </row>
    <row r="1017" customFormat="false" ht="15" hidden="false" customHeight="false" outlineLevel="0" collapsed="false">
      <c r="A1017" s="52"/>
      <c r="B1017" s="53"/>
      <c r="C1017" s="53"/>
      <c r="D1017" s="53"/>
      <c r="E1017" s="54"/>
      <c r="F1017" s="55"/>
      <c r="G1017" s="55"/>
      <c r="H1017" s="55"/>
      <c r="I1017" s="56"/>
      <c r="J1017" s="53"/>
      <c r="K1017" s="53"/>
      <c r="L1017" s="57" t="str">
        <f aca="false">IF(C1017="","",IFERROR(INDEX(site_ID,MATCH(C1017,site_Name,0)),"Not on SITES"))</f>
        <v/>
      </c>
      <c r="M1017" s="58" t="str">
        <f aca="false">IF(E1017="","",DATE(YEAR(E1017),MONTH(E1017),1))</f>
        <v/>
      </c>
      <c r="N1017" s="57" t="str">
        <f aca="false">IF(E1017="","","FY"&amp;(YEAR(E1017)+IF(AND(FYStart&gt;1,MONTH(E1017)&gt;=FYStart),1,0))&amp;" Q"&amp;(INT(MOD(MONTH(E1017)-FYStart,12)/3)+1))</f>
        <v/>
      </c>
      <c r="O1017" s="59" t="str">
        <f aca="false">IF(OR(E1017="",N(F1017)=0),"",G1017/F1017)</f>
        <v/>
      </c>
      <c r="P1017" s="60" t="str">
        <f aca="false">IF(E1017="","",ROUND(N(G1017)*N(H1017)/60,1))</f>
        <v/>
      </c>
      <c r="Q1017" s="57" t="str">
        <f aca="false">IF(E1017="","",IF(COUNTIFS($C$2:C1017,C1017,$E$2:E1017,E1017,$B$2:B1017,B1017)&gt;1,"No","Yes"))</f>
        <v/>
      </c>
      <c r="R1017" s="61" t="str">
        <f aca="false">IF(E1017="","",IF(Q1017="No","Duplicate of an earlier response",IF(L1017="Not on SITES","Site not on SITES",IF(N(G1017)&gt;N(F1017),"Present is more than enrolled",IF(OR(I1017&lt;1,I1017&gt;5),"Score outside 1 to 5","")))))</f>
        <v/>
      </c>
    </row>
    <row r="1018" customFormat="false" ht="15" hidden="false" customHeight="false" outlineLevel="0" collapsed="false">
      <c r="A1018" s="52"/>
      <c r="B1018" s="53"/>
      <c r="C1018" s="53"/>
      <c r="D1018" s="53"/>
      <c r="E1018" s="54"/>
      <c r="F1018" s="55"/>
      <c r="G1018" s="55"/>
      <c r="H1018" s="55"/>
      <c r="I1018" s="56"/>
      <c r="J1018" s="53"/>
      <c r="K1018" s="53"/>
      <c r="L1018" s="57" t="str">
        <f aca="false">IF(C1018="","",IFERROR(INDEX(site_ID,MATCH(C1018,site_Name,0)),"Not on SITES"))</f>
        <v/>
      </c>
      <c r="M1018" s="58" t="str">
        <f aca="false">IF(E1018="","",DATE(YEAR(E1018),MONTH(E1018),1))</f>
        <v/>
      </c>
      <c r="N1018" s="57" t="str">
        <f aca="false">IF(E1018="","","FY"&amp;(YEAR(E1018)+IF(AND(FYStart&gt;1,MONTH(E1018)&gt;=FYStart),1,0))&amp;" Q"&amp;(INT(MOD(MONTH(E1018)-FYStart,12)/3)+1))</f>
        <v/>
      </c>
      <c r="O1018" s="59" t="str">
        <f aca="false">IF(OR(E1018="",N(F1018)=0),"",G1018/F1018)</f>
        <v/>
      </c>
      <c r="P1018" s="60" t="str">
        <f aca="false">IF(E1018="","",ROUND(N(G1018)*N(H1018)/60,1))</f>
        <v/>
      </c>
      <c r="Q1018" s="57" t="str">
        <f aca="false">IF(E1018="","",IF(COUNTIFS($C$2:C1018,C1018,$E$2:E1018,E1018,$B$2:B1018,B1018)&gt;1,"No","Yes"))</f>
        <v/>
      </c>
      <c r="R1018" s="61" t="str">
        <f aca="false">IF(E1018="","",IF(Q1018="No","Duplicate of an earlier response",IF(L1018="Not on SITES","Site not on SITES",IF(N(G1018)&gt;N(F1018),"Present is more than enrolled",IF(OR(I1018&lt;1,I1018&gt;5),"Score outside 1 to 5","")))))</f>
        <v/>
      </c>
    </row>
    <row r="1019" customFormat="false" ht="15" hidden="false" customHeight="false" outlineLevel="0" collapsed="false">
      <c r="A1019" s="52"/>
      <c r="B1019" s="53"/>
      <c r="C1019" s="53"/>
      <c r="D1019" s="53"/>
      <c r="E1019" s="54"/>
      <c r="F1019" s="55"/>
      <c r="G1019" s="55"/>
      <c r="H1019" s="55"/>
      <c r="I1019" s="56"/>
      <c r="J1019" s="53"/>
      <c r="K1019" s="53"/>
      <c r="L1019" s="57" t="str">
        <f aca="false">IF(C1019="","",IFERROR(INDEX(site_ID,MATCH(C1019,site_Name,0)),"Not on SITES"))</f>
        <v/>
      </c>
      <c r="M1019" s="58" t="str">
        <f aca="false">IF(E1019="","",DATE(YEAR(E1019),MONTH(E1019),1))</f>
        <v/>
      </c>
      <c r="N1019" s="57" t="str">
        <f aca="false">IF(E1019="","","FY"&amp;(YEAR(E1019)+IF(AND(FYStart&gt;1,MONTH(E1019)&gt;=FYStart),1,0))&amp;" Q"&amp;(INT(MOD(MONTH(E1019)-FYStart,12)/3)+1))</f>
        <v/>
      </c>
      <c r="O1019" s="59" t="str">
        <f aca="false">IF(OR(E1019="",N(F1019)=0),"",G1019/F1019)</f>
        <v/>
      </c>
      <c r="P1019" s="60" t="str">
        <f aca="false">IF(E1019="","",ROUND(N(G1019)*N(H1019)/60,1))</f>
        <v/>
      </c>
      <c r="Q1019" s="57" t="str">
        <f aca="false">IF(E1019="","",IF(COUNTIFS($C$2:C1019,C1019,$E$2:E1019,E1019,$B$2:B1019,B1019)&gt;1,"No","Yes"))</f>
        <v/>
      </c>
      <c r="R1019" s="61" t="str">
        <f aca="false">IF(E1019="","",IF(Q1019="No","Duplicate of an earlier response",IF(L1019="Not on SITES","Site not on SITES",IF(N(G1019)&gt;N(F1019),"Present is more than enrolled",IF(OR(I1019&lt;1,I1019&gt;5),"Score outside 1 to 5","")))))</f>
        <v/>
      </c>
    </row>
    <row r="1020" customFormat="false" ht="15" hidden="false" customHeight="false" outlineLevel="0" collapsed="false">
      <c r="A1020" s="52"/>
      <c r="B1020" s="53"/>
      <c r="C1020" s="53"/>
      <c r="D1020" s="53"/>
      <c r="E1020" s="54"/>
      <c r="F1020" s="55"/>
      <c r="G1020" s="55"/>
      <c r="H1020" s="55"/>
      <c r="I1020" s="56"/>
      <c r="J1020" s="53"/>
      <c r="K1020" s="53"/>
      <c r="L1020" s="57" t="str">
        <f aca="false">IF(C1020="","",IFERROR(INDEX(site_ID,MATCH(C1020,site_Name,0)),"Not on SITES"))</f>
        <v/>
      </c>
      <c r="M1020" s="58" t="str">
        <f aca="false">IF(E1020="","",DATE(YEAR(E1020),MONTH(E1020),1))</f>
        <v/>
      </c>
      <c r="N1020" s="57" t="str">
        <f aca="false">IF(E1020="","","FY"&amp;(YEAR(E1020)+IF(AND(FYStart&gt;1,MONTH(E1020)&gt;=FYStart),1,0))&amp;" Q"&amp;(INT(MOD(MONTH(E1020)-FYStart,12)/3)+1))</f>
        <v/>
      </c>
      <c r="O1020" s="59" t="str">
        <f aca="false">IF(OR(E1020="",N(F1020)=0),"",G1020/F1020)</f>
        <v/>
      </c>
      <c r="P1020" s="60" t="str">
        <f aca="false">IF(E1020="","",ROUND(N(G1020)*N(H1020)/60,1))</f>
        <v/>
      </c>
      <c r="Q1020" s="57" t="str">
        <f aca="false">IF(E1020="","",IF(COUNTIFS($C$2:C1020,C1020,$E$2:E1020,E1020,$B$2:B1020,B1020)&gt;1,"No","Yes"))</f>
        <v/>
      </c>
      <c r="R1020" s="61" t="str">
        <f aca="false">IF(E1020="","",IF(Q1020="No","Duplicate of an earlier response",IF(L1020="Not on SITES","Site not on SITES",IF(N(G1020)&gt;N(F1020),"Present is more than enrolled",IF(OR(I1020&lt;1,I1020&gt;5),"Score outside 1 to 5","")))))</f>
        <v/>
      </c>
    </row>
    <row r="1021" customFormat="false" ht="15" hidden="false" customHeight="false" outlineLevel="0" collapsed="false">
      <c r="A1021" s="52"/>
      <c r="B1021" s="53"/>
      <c r="C1021" s="53"/>
      <c r="D1021" s="53"/>
      <c r="E1021" s="54"/>
      <c r="F1021" s="55"/>
      <c r="G1021" s="55"/>
      <c r="H1021" s="55"/>
      <c r="I1021" s="56"/>
      <c r="J1021" s="53"/>
      <c r="K1021" s="53"/>
      <c r="L1021" s="57" t="str">
        <f aca="false">IF(C1021="","",IFERROR(INDEX(site_ID,MATCH(C1021,site_Name,0)),"Not on SITES"))</f>
        <v/>
      </c>
      <c r="M1021" s="58" t="str">
        <f aca="false">IF(E1021="","",DATE(YEAR(E1021),MONTH(E1021),1))</f>
        <v/>
      </c>
      <c r="N1021" s="57" t="str">
        <f aca="false">IF(E1021="","","FY"&amp;(YEAR(E1021)+IF(AND(FYStart&gt;1,MONTH(E1021)&gt;=FYStart),1,0))&amp;" Q"&amp;(INT(MOD(MONTH(E1021)-FYStart,12)/3)+1))</f>
        <v/>
      </c>
      <c r="O1021" s="59" t="str">
        <f aca="false">IF(OR(E1021="",N(F1021)=0),"",G1021/F1021)</f>
        <v/>
      </c>
      <c r="P1021" s="60" t="str">
        <f aca="false">IF(E1021="","",ROUND(N(G1021)*N(H1021)/60,1))</f>
        <v/>
      </c>
      <c r="Q1021" s="57" t="str">
        <f aca="false">IF(E1021="","",IF(COUNTIFS($C$2:C1021,C1021,$E$2:E1021,E1021,$B$2:B1021,B1021)&gt;1,"No","Yes"))</f>
        <v/>
      </c>
      <c r="R1021" s="61" t="str">
        <f aca="false">IF(E1021="","",IF(Q1021="No","Duplicate of an earlier response",IF(L1021="Not on SITES","Site not on SITES",IF(N(G1021)&gt;N(F1021),"Present is more than enrolled",IF(OR(I1021&lt;1,I1021&gt;5),"Score outside 1 to 5","")))))</f>
        <v/>
      </c>
    </row>
    <row r="1022" customFormat="false" ht="15" hidden="false" customHeight="false" outlineLevel="0" collapsed="false">
      <c r="A1022" s="52"/>
      <c r="B1022" s="53"/>
      <c r="C1022" s="53"/>
      <c r="D1022" s="53"/>
      <c r="E1022" s="54"/>
      <c r="F1022" s="55"/>
      <c r="G1022" s="55"/>
      <c r="H1022" s="55"/>
      <c r="I1022" s="56"/>
      <c r="J1022" s="53"/>
      <c r="K1022" s="53"/>
      <c r="L1022" s="57" t="str">
        <f aca="false">IF(C1022="","",IFERROR(INDEX(site_ID,MATCH(C1022,site_Name,0)),"Not on SITES"))</f>
        <v/>
      </c>
      <c r="M1022" s="58" t="str">
        <f aca="false">IF(E1022="","",DATE(YEAR(E1022),MONTH(E1022),1))</f>
        <v/>
      </c>
      <c r="N1022" s="57" t="str">
        <f aca="false">IF(E1022="","","FY"&amp;(YEAR(E1022)+IF(AND(FYStart&gt;1,MONTH(E1022)&gt;=FYStart),1,0))&amp;" Q"&amp;(INT(MOD(MONTH(E1022)-FYStart,12)/3)+1))</f>
        <v/>
      </c>
      <c r="O1022" s="59" t="str">
        <f aca="false">IF(OR(E1022="",N(F1022)=0),"",G1022/F1022)</f>
        <v/>
      </c>
      <c r="P1022" s="60" t="str">
        <f aca="false">IF(E1022="","",ROUND(N(G1022)*N(H1022)/60,1))</f>
        <v/>
      </c>
      <c r="Q1022" s="57" t="str">
        <f aca="false">IF(E1022="","",IF(COUNTIFS($C$2:C1022,C1022,$E$2:E1022,E1022,$B$2:B1022,B1022)&gt;1,"No","Yes"))</f>
        <v/>
      </c>
      <c r="R1022" s="61" t="str">
        <f aca="false">IF(E1022="","",IF(Q1022="No","Duplicate of an earlier response",IF(L1022="Not on SITES","Site not on SITES",IF(N(G1022)&gt;N(F1022),"Present is more than enrolled",IF(OR(I1022&lt;1,I1022&gt;5),"Score outside 1 to 5","")))))</f>
        <v/>
      </c>
    </row>
    <row r="1023" customFormat="false" ht="15" hidden="false" customHeight="false" outlineLevel="0" collapsed="false">
      <c r="A1023" s="52"/>
      <c r="B1023" s="53"/>
      <c r="C1023" s="53"/>
      <c r="D1023" s="53"/>
      <c r="E1023" s="54"/>
      <c r="F1023" s="55"/>
      <c r="G1023" s="55"/>
      <c r="H1023" s="55"/>
      <c r="I1023" s="56"/>
      <c r="J1023" s="53"/>
      <c r="K1023" s="53"/>
      <c r="L1023" s="57" t="str">
        <f aca="false">IF(C1023="","",IFERROR(INDEX(site_ID,MATCH(C1023,site_Name,0)),"Not on SITES"))</f>
        <v/>
      </c>
      <c r="M1023" s="58" t="str">
        <f aca="false">IF(E1023="","",DATE(YEAR(E1023),MONTH(E1023),1))</f>
        <v/>
      </c>
      <c r="N1023" s="57" t="str">
        <f aca="false">IF(E1023="","","FY"&amp;(YEAR(E1023)+IF(AND(FYStart&gt;1,MONTH(E1023)&gt;=FYStart),1,0))&amp;" Q"&amp;(INT(MOD(MONTH(E1023)-FYStart,12)/3)+1))</f>
        <v/>
      </c>
      <c r="O1023" s="59" t="str">
        <f aca="false">IF(OR(E1023="",N(F1023)=0),"",G1023/F1023)</f>
        <v/>
      </c>
      <c r="P1023" s="60" t="str">
        <f aca="false">IF(E1023="","",ROUND(N(G1023)*N(H1023)/60,1))</f>
        <v/>
      </c>
      <c r="Q1023" s="57" t="str">
        <f aca="false">IF(E1023="","",IF(COUNTIFS($C$2:C1023,C1023,$E$2:E1023,E1023,$B$2:B1023,B1023)&gt;1,"No","Yes"))</f>
        <v/>
      </c>
      <c r="R1023" s="61" t="str">
        <f aca="false">IF(E1023="","",IF(Q1023="No","Duplicate of an earlier response",IF(L1023="Not on SITES","Site not on SITES",IF(N(G1023)&gt;N(F1023),"Present is more than enrolled",IF(OR(I1023&lt;1,I1023&gt;5),"Score outside 1 to 5","")))))</f>
        <v/>
      </c>
    </row>
    <row r="1024" customFormat="false" ht="15" hidden="false" customHeight="false" outlineLevel="0" collapsed="false">
      <c r="A1024" s="52"/>
      <c r="B1024" s="53"/>
      <c r="C1024" s="53"/>
      <c r="D1024" s="53"/>
      <c r="E1024" s="54"/>
      <c r="F1024" s="55"/>
      <c r="G1024" s="55"/>
      <c r="H1024" s="55"/>
      <c r="I1024" s="56"/>
      <c r="J1024" s="53"/>
      <c r="K1024" s="53"/>
      <c r="L1024" s="57" t="str">
        <f aca="false">IF(C1024="","",IFERROR(INDEX(site_ID,MATCH(C1024,site_Name,0)),"Not on SITES"))</f>
        <v/>
      </c>
      <c r="M1024" s="58" t="str">
        <f aca="false">IF(E1024="","",DATE(YEAR(E1024),MONTH(E1024),1))</f>
        <v/>
      </c>
      <c r="N1024" s="57" t="str">
        <f aca="false">IF(E1024="","","FY"&amp;(YEAR(E1024)+IF(AND(FYStart&gt;1,MONTH(E1024)&gt;=FYStart),1,0))&amp;" Q"&amp;(INT(MOD(MONTH(E1024)-FYStart,12)/3)+1))</f>
        <v/>
      </c>
      <c r="O1024" s="59" t="str">
        <f aca="false">IF(OR(E1024="",N(F1024)=0),"",G1024/F1024)</f>
        <v/>
      </c>
      <c r="P1024" s="60" t="str">
        <f aca="false">IF(E1024="","",ROUND(N(G1024)*N(H1024)/60,1))</f>
        <v/>
      </c>
      <c r="Q1024" s="57" t="str">
        <f aca="false">IF(E1024="","",IF(COUNTIFS($C$2:C1024,C1024,$E$2:E1024,E1024,$B$2:B1024,B1024)&gt;1,"No","Yes"))</f>
        <v/>
      </c>
      <c r="R1024" s="61" t="str">
        <f aca="false">IF(E1024="","",IF(Q1024="No","Duplicate of an earlier response",IF(L1024="Not on SITES","Site not on SITES",IF(N(G1024)&gt;N(F1024),"Present is more than enrolled",IF(OR(I1024&lt;1,I1024&gt;5),"Score outside 1 to 5","")))))</f>
        <v/>
      </c>
    </row>
    <row r="1025" customFormat="false" ht="15" hidden="false" customHeight="false" outlineLevel="0" collapsed="false">
      <c r="A1025" s="52"/>
      <c r="B1025" s="53"/>
      <c r="C1025" s="53"/>
      <c r="D1025" s="53"/>
      <c r="E1025" s="54"/>
      <c r="F1025" s="55"/>
      <c r="G1025" s="55"/>
      <c r="H1025" s="55"/>
      <c r="I1025" s="56"/>
      <c r="J1025" s="53"/>
      <c r="K1025" s="53"/>
      <c r="L1025" s="57" t="str">
        <f aca="false">IF(C1025="","",IFERROR(INDEX(site_ID,MATCH(C1025,site_Name,0)),"Not on SITES"))</f>
        <v/>
      </c>
      <c r="M1025" s="58" t="str">
        <f aca="false">IF(E1025="","",DATE(YEAR(E1025),MONTH(E1025),1))</f>
        <v/>
      </c>
      <c r="N1025" s="57" t="str">
        <f aca="false">IF(E1025="","","FY"&amp;(YEAR(E1025)+IF(AND(FYStart&gt;1,MONTH(E1025)&gt;=FYStart),1,0))&amp;" Q"&amp;(INT(MOD(MONTH(E1025)-FYStart,12)/3)+1))</f>
        <v/>
      </c>
      <c r="O1025" s="59" t="str">
        <f aca="false">IF(OR(E1025="",N(F1025)=0),"",G1025/F1025)</f>
        <v/>
      </c>
      <c r="P1025" s="60" t="str">
        <f aca="false">IF(E1025="","",ROUND(N(G1025)*N(H1025)/60,1))</f>
        <v/>
      </c>
      <c r="Q1025" s="57" t="str">
        <f aca="false">IF(E1025="","",IF(COUNTIFS($C$2:C1025,C1025,$E$2:E1025,E1025,$B$2:B1025,B1025)&gt;1,"No","Yes"))</f>
        <v/>
      </c>
      <c r="R1025" s="61" t="str">
        <f aca="false">IF(E1025="","",IF(Q1025="No","Duplicate of an earlier response",IF(L1025="Not on SITES","Site not on SITES",IF(N(G1025)&gt;N(F1025),"Present is more than enrolled",IF(OR(I1025&lt;1,I1025&gt;5),"Score outside 1 to 5","")))))</f>
        <v/>
      </c>
    </row>
    <row r="1026" customFormat="false" ht="15" hidden="false" customHeight="false" outlineLevel="0" collapsed="false">
      <c r="A1026" s="52"/>
      <c r="B1026" s="53"/>
      <c r="C1026" s="53"/>
      <c r="D1026" s="53"/>
      <c r="E1026" s="54"/>
      <c r="F1026" s="55"/>
      <c r="G1026" s="55"/>
      <c r="H1026" s="55"/>
      <c r="I1026" s="56"/>
      <c r="J1026" s="53"/>
      <c r="K1026" s="53"/>
      <c r="L1026" s="57" t="str">
        <f aca="false">IF(C1026="","",IFERROR(INDEX(site_ID,MATCH(C1026,site_Name,0)),"Not on SITES"))</f>
        <v/>
      </c>
      <c r="M1026" s="58" t="str">
        <f aca="false">IF(E1026="","",DATE(YEAR(E1026),MONTH(E1026),1))</f>
        <v/>
      </c>
      <c r="N1026" s="57" t="str">
        <f aca="false">IF(E1026="","","FY"&amp;(YEAR(E1026)+IF(AND(FYStart&gt;1,MONTH(E1026)&gt;=FYStart),1,0))&amp;" Q"&amp;(INT(MOD(MONTH(E1026)-FYStart,12)/3)+1))</f>
        <v/>
      </c>
      <c r="O1026" s="59" t="str">
        <f aca="false">IF(OR(E1026="",N(F1026)=0),"",G1026/F1026)</f>
        <v/>
      </c>
      <c r="P1026" s="60" t="str">
        <f aca="false">IF(E1026="","",ROUND(N(G1026)*N(H1026)/60,1))</f>
        <v/>
      </c>
      <c r="Q1026" s="57" t="str">
        <f aca="false">IF(E1026="","",IF(COUNTIFS($C$2:C1026,C1026,$E$2:E1026,E1026,$B$2:B1026,B1026)&gt;1,"No","Yes"))</f>
        <v/>
      </c>
      <c r="R1026" s="61" t="str">
        <f aca="false">IF(E1026="","",IF(Q1026="No","Duplicate of an earlier response",IF(L1026="Not on SITES","Site not on SITES",IF(N(G1026)&gt;N(F1026),"Present is more than enrolled",IF(OR(I1026&lt;1,I1026&gt;5),"Score outside 1 to 5","")))))</f>
        <v/>
      </c>
    </row>
    <row r="1027" customFormat="false" ht="15" hidden="false" customHeight="false" outlineLevel="0" collapsed="false">
      <c r="A1027" s="52"/>
      <c r="B1027" s="53"/>
      <c r="C1027" s="53"/>
      <c r="D1027" s="53"/>
      <c r="E1027" s="54"/>
      <c r="F1027" s="55"/>
      <c r="G1027" s="55"/>
      <c r="H1027" s="55"/>
      <c r="I1027" s="56"/>
      <c r="J1027" s="53"/>
      <c r="K1027" s="53"/>
      <c r="L1027" s="57" t="str">
        <f aca="false">IF(C1027="","",IFERROR(INDEX(site_ID,MATCH(C1027,site_Name,0)),"Not on SITES"))</f>
        <v/>
      </c>
      <c r="M1027" s="58" t="str">
        <f aca="false">IF(E1027="","",DATE(YEAR(E1027),MONTH(E1027),1))</f>
        <v/>
      </c>
      <c r="N1027" s="57" t="str">
        <f aca="false">IF(E1027="","","FY"&amp;(YEAR(E1027)+IF(AND(FYStart&gt;1,MONTH(E1027)&gt;=FYStart),1,0))&amp;" Q"&amp;(INT(MOD(MONTH(E1027)-FYStart,12)/3)+1))</f>
        <v/>
      </c>
      <c r="O1027" s="59" t="str">
        <f aca="false">IF(OR(E1027="",N(F1027)=0),"",G1027/F1027)</f>
        <v/>
      </c>
      <c r="P1027" s="60" t="str">
        <f aca="false">IF(E1027="","",ROUND(N(G1027)*N(H1027)/60,1))</f>
        <v/>
      </c>
      <c r="Q1027" s="57" t="str">
        <f aca="false">IF(E1027="","",IF(COUNTIFS($C$2:C1027,C1027,$E$2:E1027,E1027,$B$2:B1027,B1027)&gt;1,"No","Yes"))</f>
        <v/>
      </c>
      <c r="R1027" s="61" t="str">
        <f aca="false">IF(E1027="","",IF(Q1027="No","Duplicate of an earlier response",IF(L1027="Not on SITES","Site not on SITES",IF(N(G1027)&gt;N(F1027),"Present is more than enrolled",IF(OR(I1027&lt;1,I1027&gt;5),"Score outside 1 to 5","")))))</f>
        <v/>
      </c>
    </row>
    <row r="1028" customFormat="false" ht="15" hidden="false" customHeight="false" outlineLevel="0" collapsed="false">
      <c r="A1028" s="52"/>
      <c r="B1028" s="53"/>
      <c r="C1028" s="53"/>
      <c r="D1028" s="53"/>
      <c r="E1028" s="54"/>
      <c r="F1028" s="55"/>
      <c r="G1028" s="55"/>
      <c r="H1028" s="55"/>
      <c r="I1028" s="56"/>
      <c r="J1028" s="53"/>
      <c r="K1028" s="53"/>
      <c r="L1028" s="57" t="str">
        <f aca="false">IF(C1028="","",IFERROR(INDEX(site_ID,MATCH(C1028,site_Name,0)),"Not on SITES"))</f>
        <v/>
      </c>
      <c r="M1028" s="58" t="str">
        <f aca="false">IF(E1028="","",DATE(YEAR(E1028),MONTH(E1028),1))</f>
        <v/>
      </c>
      <c r="N1028" s="57" t="str">
        <f aca="false">IF(E1028="","","FY"&amp;(YEAR(E1028)+IF(AND(FYStart&gt;1,MONTH(E1028)&gt;=FYStart),1,0))&amp;" Q"&amp;(INT(MOD(MONTH(E1028)-FYStart,12)/3)+1))</f>
        <v/>
      </c>
      <c r="O1028" s="59" t="str">
        <f aca="false">IF(OR(E1028="",N(F1028)=0),"",G1028/F1028)</f>
        <v/>
      </c>
      <c r="P1028" s="60" t="str">
        <f aca="false">IF(E1028="","",ROUND(N(G1028)*N(H1028)/60,1))</f>
        <v/>
      </c>
      <c r="Q1028" s="57" t="str">
        <f aca="false">IF(E1028="","",IF(COUNTIFS($C$2:C1028,C1028,$E$2:E1028,E1028,$B$2:B1028,B1028)&gt;1,"No","Yes"))</f>
        <v/>
      </c>
      <c r="R1028" s="61" t="str">
        <f aca="false">IF(E1028="","",IF(Q1028="No","Duplicate of an earlier response",IF(L1028="Not on SITES","Site not on SITES",IF(N(G1028)&gt;N(F1028),"Present is more than enrolled",IF(OR(I1028&lt;1,I1028&gt;5),"Score outside 1 to 5","")))))</f>
        <v/>
      </c>
    </row>
    <row r="1029" customFormat="false" ht="15" hidden="false" customHeight="false" outlineLevel="0" collapsed="false">
      <c r="A1029" s="52"/>
      <c r="B1029" s="53"/>
      <c r="C1029" s="53"/>
      <c r="D1029" s="53"/>
      <c r="E1029" s="54"/>
      <c r="F1029" s="55"/>
      <c r="G1029" s="55"/>
      <c r="H1029" s="55"/>
      <c r="I1029" s="56"/>
      <c r="J1029" s="53"/>
      <c r="K1029" s="53"/>
      <c r="L1029" s="57" t="str">
        <f aca="false">IF(C1029="","",IFERROR(INDEX(site_ID,MATCH(C1029,site_Name,0)),"Not on SITES"))</f>
        <v/>
      </c>
      <c r="M1029" s="58" t="str">
        <f aca="false">IF(E1029="","",DATE(YEAR(E1029),MONTH(E1029),1))</f>
        <v/>
      </c>
      <c r="N1029" s="57" t="str">
        <f aca="false">IF(E1029="","","FY"&amp;(YEAR(E1029)+IF(AND(FYStart&gt;1,MONTH(E1029)&gt;=FYStart),1,0))&amp;" Q"&amp;(INT(MOD(MONTH(E1029)-FYStart,12)/3)+1))</f>
        <v/>
      </c>
      <c r="O1029" s="59" t="str">
        <f aca="false">IF(OR(E1029="",N(F1029)=0),"",G1029/F1029)</f>
        <v/>
      </c>
      <c r="P1029" s="60" t="str">
        <f aca="false">IF(E1029="","",ROUND(N(G1029)*N(H1029)/60,1))</f>
        <v/>
      </c>
      <c r="Q1029" s="57" t="str">
        <f aca="false">IF(E1029="","",IF(COUNTIFS($C$2:C1029,C1029,$E$2:E1029,E1029,$B$2:B1029,B1029)&gt;1,"No","Yes"))</f>
        <v/>
      </c>
      <c r="R1029" s="61" t="str">
        <f aca="false">IF(E1029="","",IF(Q1029="No","Duplicate of an earlier response",IF(L1029="Not on SITES","Site not on SITES",IF(N(G1029)&gt;N(F1029),"Present is more than enrolled",IF(OR(I1029&lt;1,I1029&gt;5),"Score outside 1 to 5","")))))</f>
        <v/>
      </c>
    </row>
    <row r="1030" customFormat="false" ht="15" hidden="false" customHeight="false" outlineLevel="0" collapsed="false">
      <c r="A1030" s="52"/>
      <c r="B1030" s="53"/>
      <c r="C1030" s="53"/>
      <c r="D1030" s="53"/>
      <c r="E1030" s="54"/>
      <c r="F1030" s="55"/>
      <c r="G1030" s="55"/>
      <c r="H1030" s="55"/>
      <c r="I1030" s="56"/>
      <c r="J1030" s="53"/>
      <c r="K1030" s="53"/>
      <c r="L1030" s="57" t="str">
        <f aca="false">IF(C1030="","",IFERROR(INDEX(site_ID,MATCH(C1030,site_Name,0)),"Not on SITES"))</f>
        <v/>
      </c>
      <c r="M1030" s="58" t="str">
        <f aca="false">IF(E1030="","",DATE(YEAR(E1030),MONTH(E1030),1))</f>
        <v/>
      </c>
      <c r="N1030" s="57" t="str">
        <f aca="false">IF(E1030="","","FY"&amp;(YEAR(E1030)+IF(AND(FYStart&gt;1,MONTH(E1030)&gt;=FYStart),1,0))&amp;" Q"&amp;(INT(MOD(MONTH(E1030)-FYStart,12)/3)+1))</f>
        <v/>
      </c>
      <c r="O1030" s="59" t="str">
        <f aca="false">IF(OR(E1030="",N(F1030)=0),"",G1030/F1030)</f>
        <v/>
      </c>
      <c r="P1030" s="60" t="str">
        <f aca="false">IF(E1030="","",ROUND(N(G1030)*N(H1030)/60,1))</f>
        <v/>
      </c>
      <c r="Q1030" s="57" t="str">
        <f aca="false">IF(E1030="","",IF(COUNTIFS($C$2:C1030,C1030,$E$2:E1030,E1030,$B$2:B1030,B1030)&gt;1,"No","Yes"))</f>
        <v/>
      </c>
      <c r="R1030" s="61" t="str">
        <f aca="false">IF(E1030="","",IF(Q1030="No","Duplicate of an earlier response",IF(L1030="Not on SITES","Site not on SITES",IF(N(G1030)&gt;N(F1030),"Present is more than enrolled",IF(OR(I1030&lt;1,I1030&gt;5),"Score outside 1 to 5","")))))</f>
        <v/>
      </c>
    </row>
    <row r="1031" customFormat="false" ht="15" hidden="false" customHeight="false" outlineLevel="0" collapsed="false">
      <c r="A1031" s="52"/>
      <c r="B1031" s="53"/>
      <c r="C1031" s="53"/>
      <c r="D1031" s="53"/>
      <c r="E1031" s="54"/>
      <c r="F1031" s="55"/>
      <c r="G1031" s="55"/>
      <c r="H1031" s="55"/>
      <c r="I1031" s="56"/>
      <c r="J1031" s="53"/>
      <c r="K1031" s="53"/>
      <c r="L1031" s="57" t="str">
        <f aca="false">IF(C1031="","",IFERROR(INDEX(site_ID,MATCH(C1031,site_Name,0)),"Not on SITES"))</f>
        <v/>
      </c>
      <c r="M1031" s="58" t="str">
        <f aca="false">IF(E1031="","",DATE(YEAR(E1031),MONTH(E1031),1))</f>
        <v/>
      </c>
      <c r="N1031" s="57" t="str">
        <f aca="false">IF(E1031="","","FY"&amp;(YEAR(E1031)+IF(AND(FYStart&gt;1,MONTH(E1031)&gt;=FYStart),1,0))&amp;" Q"&amp;(INT(MOD(MONTH(E1031)-FYStart,12)/3)+1))</f>
        <v/>
      </c>
      <c r="O1031" s="59" t="str">
        <f aca="false">IF(OR(E1031="",N(F1031)=0),"",G1031/F1031)</f>
        <v/>
      </c>
      <c r="P1031" s="60" t="str">
        <f aca="false">IF(E1031="","",ROUND(N(G1031)*N(H1031)/60,1))</f>
        <v/>
      </c>
      <c r="Q1031" s="57" t="str">
        <f aca="false">IF(E1031="","",IF(COUNTIFS($C$2:C1031,C1031,$E$2:E1031,E1031,$B$2:B1031,B1031)&gt;1,"No","Yes"))</f>
        <v/>
      </c>
      <c r="R1031" s="61" t="str">
        <f aca="false">IF(E1031="","",IF(Q1031="No","Duplicate of an earlier response",IF(L1031="Not on SITES","Site not on SITES",IF(N(G1031)&gt;N(F1031),"Present is more than enrolled",IF(OR(I1031&lt;1,I1031&gt;5),"Score outside 1 to 5","")))))</f>
        <v/>
      </c>
    </row>
    <row r="1032" customFormat="false" ht="15" hidden="false" customHeight="false" outlineLevel="0" collapsed="false">
      <c r="A1032" s="52"/>
      <c r="B1032" s="53"/>
      <c r="C1032" s="53"/>
      <c r="D1032" s="53"/>
      <c r="E1032" s="54"/>
      <c r="F1032" s="55"/>
      <c r="G1032" s="55"/>
      <c r="H1032" s="55"/>
      <c r="I1032" s="56"/>
      <c r="J1032" s="53"/>
      <c r="K1032" s="53"/>
      <c r="L1032" s="57" t="str">
        <f aca="false">IF(C1032="","",IFERROR(INDEX(site_ID,MATCH(C1032,site_Name,0)),"Not on SITES"))</f>
        <v/>
      </c>
      <c r="M1032" s="58" t="str">
        <f aca="false">IF(E1032="","",DATE(YEAR(E1032),MONTH(E1032),1))</f>
        <v/>
      </c>
      <c r="N1032" s="57" t="str">
        <f aca="false">IF(E1032="","","FY"&amp;(YEAR(E1032)+IF(AND(FYStart&gt;1,MONTH(E1032)&gt;=FYStart),1,0))&amp;" Q"&amp;(INT(MOD(MONTH(E1032)-FYStart,12)/3)+1))</f>
        <v/>
      </c>
      <c r="O1032" s="59" t="str">
        <f aca="false">IF(OR(E1032="",N(F1032)=0),"",G1032/F1032)</f>
        <v/>
      </c>
      <c r="P1032" s="60" t="str">
        <f aca="false">IF(E1032="","",ROUND(N(G1032)*N(H1032)/60,1))</f>
        <v/>
      </c>
      <c r="Q1032" s="57" t="str">
        <f aca="false">IF(E1032="","",IF(COUNTIFS($C$2:C1032,C1032,$E$2:E1032,E1032,$B$2:B1032,B1032)&gt;1,"No","Yes"))</f>
        <v/>
      </c>
      <c r="R1032" s="61" t="str">
        <f aca="false">IF(E1032="","",IF(Q1032="No","Duplicate of an earlier response",IF(L1032="Not on SITES","Site not on SITES",IF(N(G1032)&gt;N(F1032),"Present is more than enrolled",IF(OR(I1032&lt;1,I1032&gt;5),"Score outside 1 to 5","")))))</f>
        <v/>
      </c>
    </row>
    <row r="1033" customFormat="false" ht="15" hidden="false" customHeight="false" outlineLevel="0" collapsed="false">
      <c r="A1033" s="52"/>
      <c r="B1033" s="53"/>
      <c r="C1033" s="53"/>
      <c r="D1033" s="53"/>
      <c r="E1033" s="54"/>
      <c r="F1033" s="55"/>
      <c r="G1033" s="55"/>
      <c r="H1033" s="55"/>
      <c r="I1033" s="56"/>
      <c r="J1033" s="53"/>
      <c r="K1033" s="53"/>
      <c r="L1033" s="57" t="str">
        <f aca="false">IF(C1033="","",IFERROR(INDEX(site_ID,MATCH(C1033,site_Name,0)),"Not on SITES"))</f>
        <v/>
      </c>
      <c r="M1033" s="58" t="str">
        <f aca="false">IF(E1033="","",DATE(YEAR(E1033),MONTH(E1033),1))</f>
        <v/>
      </c>
      <c r="N1033" s="57" t="str">
        <f aca="false">IF(E1033="","","FY"&amp;(YEAR(E1033)+IF(AND(FYStart&gt;1,MONTH(E1033)&gt;=FYStart),1,0))&amp;" Q"&amp;(INT(MOD(MONTH(E1033)-FYStart,12)/3)+1))</f>
        <v/>
      </c>
      <c r="O1033" s="59" t="str">
        <f aca="false">IF(OR(E1033="",N(F1033)=0),"",G1033/F1033)</f>
        <v/>
      </c>
      <c r="P1033" s="60" t="str">
        <f aca="false">IF(E1033="","",ROUND(N(G1033)*N(H1033)/60,1))</f>
        <v/>
      </c>
      <c r="Q1033" s="57" t="str">
        <f aca="false">IF(E1033="","",IF(COUNTIFS($C$2:C1033,C1033,$E$2:E1033,E1033,$B$2:B1033,B1033)&gt;1,"No","Yes"))</f>
        <v/>
      </c>
      <c r="R1033" s="61" t="str">
        <f aca="false">IF(E1033="","",IF(Q1033="No","Duplicate of an earlier response",IF(L1033="Not on SITES","Site not on SITES",IF(N(G1033)&gt;N(F1033),"Present is more than enrolled",IF(OR(I1033&lt;1,I1033&gt;5),"Score outside 1 to 5","")))))</f>
        <v/>
      </c>
    </row>
    <row r="1034" customFormat="false" ht="15" hidden="false" customHeight="false" outlineLevel="0" collapsed="false">
      <c r="A1034" s="52"/>
      <c r="B1034" s="53"/>
      <c r="C1034" s="53"/>
      <c r="D1034" s="53"/>
      <c r="E1034" s="54"/>
      <c r="F1034" s="55"/>
      <c r="G1034" s="55"/>
      <c r="H1034" s="55"/>
      <c r="I1034" s="56"/>
      <c r="J1034" s="53"/>
      <c r="K1034" s="53"/>
      <c r="L1034" s="57" t="str">
        <f aca="false">IF(C1034="","",IFERROR(INDEX(site_ID,MATCH(C1034,site_Name,0)),"Not on SITES"))</f>
        <v/>
      </c>
      <c r="M1034" s="58" t="str">
        <f aca="false">IF(E1034="","",DATE(YEAR(E1034),MONTH(E1034),1))</f>
        <v/>
      </c>
      <c r="N1034" s="57" t="str">
        <f aca="false">IF(E1034="","","FY"&amp;(YEAR(E1034)+IF(AND(FYStart&gt;1,MONTH(E1034)&gt;=FYStart),1,0))&amp;" Q"&amp;(INT(MOD(MONTH(E1034)-FYStart,12)/3)+1))</f>
        <v/>
      </c>
      <c r="O1034" s="59" t="str">
        <f aca="false">IF(OR(E1034="",N(F1034)=0),"",G1034/F1034)</f>
        <v/>
      </c>
      <c r="P1034" s="60" t="str">
        <f aca="false">IF(E1034="","",ROUND(N(G1034)*N(H1034)/60,1))</f>
        <v/>
      </c>
      <c r="Q1034" s="57" t="str">
        <f aca="false">IF(E1034="","",IF(COUNTIFS($C$2:C1034,C1034,$E$2:E1034,E1034,$B$2:B1034,B1034)&gt;1,"No","Yes"))</f>
        <v/>
      </c>
      <c r="R1034" s="61" t="str">
        <f aca="false">IF(E1034="","",IF(Q1034="No","Duplicate of an earlier response",IF(L1034="Not on SITES","Site not on SITES",IF(N(G1034)&gt;N(F1034),"Present is more than enrolled",IF(OR(I1034&lt;1,I1034&gt;5),"Score outside 1 to 5","")))))</f>
        <v/>
      </c>
    </row>
    <row r="1035" customFormat="false" ht="15" hidden="false" customHeight="false" outlineLevel="0" collapsed="false">
      <c r="A1035" s="52"/>
      <c r="B1035" s="53"/>
      <c r="C1035" s="53"/>
      <c r="D1035" s="53"/>
      <c r="E1035" s="54"/>
      <c r="F1035" s="55"/>
      <c r="G1035" s="55"/>
      <c r="H1035" s="55"/>
      <c r="I1035" s="56"/>
      <c r="J1035" s="53"/>
      <c r="K1035" s="53"/>
      <c r="L1035" s="57" t="str">
        <f aca="false">IF(C1035="","",IFERROR(INDEX(site_ID,MATCH(C1035,site_Name,0)),"Not on SITES"))</f>
        <v/>
      </c>
      <c r="M1035" s="58" t="str">
        <f aca="false">IF(E1035="","",DATE(YEAR(E1035),MONTH(E1035),1))</f>
        <v/>
      </c>
      <c r="N1035" s="57" t="str">
        <f aca="false">IF(E1035="","","FY"&amp;(YEAR(E1035)+IF(AND(FYStart&gt;1,MONTH(E1035)&gt;=FYStart),1,0))&amp;" Q"&amp;(INT(MOD(MONTH(E1035)-FYStart,12)/3)+1))</f>
        <v/>
      </c>
      <c r="O1035" s="59" t="str">
        <f aca="false">IF(OR(E1035="",N(F1035)=0),"",G1035/F1035)</f>
        <v/>
      </c>
      <c r="P1035" s="60" t="str">
        <f aca="false">IF(E1035="","",ROUND(N(G1035)*N(H1035)/60,1))</f>
        <v/>
      </c>
      <c r="Q1035" s="57" t="str">
        <f aca="false">IF(E1035="","",IF(COUNTIFS($C$2:C1035,C1035,$E$2:E1035,E1035,$B$2:B1035,B1035)&gt;1,"No","Yes"))</f>
        <v/>
      </c>
      <c r="R1035" s="61" t="str">
        <f aca="false">IF(E1035="","",IF(Q1035="No","Duplicate of an earlier response",IF(L1035="Not on SITES","Site not on SITES",IF(N(G1035)&gt;N(F1035),"Present is more than enrolled",IF(OR(I1035&lt;1,I1035&gt;5),"Score outside 1 to 5","")))))</f>
        <v/>
      </c>
    </row>
    <row r="1036" customFormat="false" ht="15" hidden="false" customHeight="false" outlineLevel="0" collapsed="false">
      <c r="A1036" s="52"/>
      <c r="B1036" s="53"/>
      <c r="C1036" s="53"/>
      <c r="D1036" s="53"/>
      <c r="E1036" s="54"/>
      <c r="F1036" s="55"/>
      <c r="G1036" s="55"/>
      <c r="H1036" s="55"/>
      <c r="I1036" s="56"/>
      <c r="J1036" s="53"/>
      <c r="K1036" s="53"/>
      <c r="L1036" s="57" t="str">
        <f aca="false">IF(C1036="","",IFERROR(INDEX(site_ID,MATCH(C1036,site_Name,0)),"Not on SITES"))</f>
        <v/>
      </c>
      <c r="M1036" s="58" t="str">
        <f aca="false">IF(E1036="","",DATE(YEAR(E1036),MONTH(E1036),1))</f>
        <v/>
      </c>
      <c r="N1036" s="57" t="str">
        <f aca="false">IF(E1036="","","FY"&amp;(YEAR(E1036)+IF(AND(FYStart&gt;1,MONTH(E1036)&gt;=FYStart),1,0))&amp;" Q"&amp;(INT(MOD(MONTH(E1036)-FYStart,12)/3)+1))</f>
        <v/>
      </c>
      <c r="O1036" s="59" t="str">
        <f aca="false">IF(OR(E1036="",N(F1036)=0),"",G1036/F1036)</f>
        <v/>
      </c>
      <c r="P1036" s="60" t="str">
        <f aca="false">IF(E1036="","",ROUND(N(G1036)*N(H1036)/60,1))</f>
        <v/>
      </c>
      <c r="Q1036" s="57" t="str">
        <f aca="false">IF(E1036="","",IF(COUNTIFS($C$2:C1036,C1036,$E$2:E1036,E1036,$B$2:B1036,B1036)&gt;1,"No","Yes"))</f>
        <v/>
      </c>
      <c r="R1036" s="61" t="str">
        <f aca="false">IF(E1036="","",IF(Q1036="No","Duplicate of an earlier response",IF(L1036="Not on SITES","Site not on SITES",IF(N(G1036)&gt;N(F1036),"Present is more than enrolled",IF(OR(I1036&lt;1,I1036&gt;5),"Score outside 1 to 5","")))))</f>
        <v/>
      </c>
    </row>
    <row r="1037" customFormat="false" ht="15" hidden="false" customHeight="false" outlineLevel="0" collapsed="false">
      <c r="A1037" s="52"/>
      <c r="B1037" s="53"/>
      <c r="C1037" s="53"/>
      <c r="D1037" s="53"/>
      <c r="E1037" s="54"/>
      <c r="F1037" s="55"/>
      <c r="G1037" s="55"/>
      <c r="H1037" s="55"/>
      <c r="I1037" s="56"/>
      <c r="J1037" s="53"/>
      <c r="K1037" s="53"/>
      <c r="L1037" s="57" t="str">
        <f aca="false">IF(C1037="","",IFERROR(INDEX(site_ID,MATCH(C1037,site_Name,0)),"Not on SITES"))</f>
        <v/>
      </c>
      <c r="M1037" s="58" t="str">
        <f aca="false">IF(E1037="","",DATE(YEAR(E1037),MONTH(E1037),1))</f>
        <v/>
      </c>
      <c r="N1037" s="57" t="str">
        <f aca="false">IF(E1037="","","FY"&amp;(YEAR(E1037)+IF(AND(FYStart&gt;1,MONTH(E1037)&gt;=FYStart),1,0))&amp;" Q"&amp;(INT(MOD(MONTH(E1037)-FYStart,12)/3)+1))</f>
        <v/>
      </c>
      <c r="O1037" s="59" t="str">
        <f aca="false">IF(OR(E1037="",N(F1037)=0),"",G1037/F1037)</f>
        <v/>
      </c>
      <c r="P1037" s="60" t="str">
        <f aca="false">IF(E1037="","",ROUND(N(G1037)*N(H1037)/60,1))</f>
        <v/>
      </c>
      <c r="Q1037" s="57" t="str">
        <f aca="false">IF(E1037="","",IF(COUNTIFS($C$2:C1037,C1037,$E$2:E1037,E1037,$B$2:B1037,B1037)&gt;1,"No","Yes"))</f>
        <v/>
      </c>
      <c r="R1037" s="61" t="str">
        <f aca="false">IF(E1037="","",IF(Q1037="No","Duplicate of an earlier response",IF(L1037="Not on SITES","Site not on SITES",IF(N(G1037)&gt;N(F1037),"Present is more than enrolled",IF(OR(I1037&lt;1,I1037&gt;5),"Score outside 1 to 5","")))))</f>
        <v/>
      </c>
    </row>
    <row r="1038" customFormat="false" ht="15" hidden="false" customHeight="false" outlineLevel="0" collapsed="false">
      <c r="A1038" s="52"/>
      <c r="B1038" s="53"/>
      <c r="C1038" s="53"/>
      <c r="D1038" s="53"/>
      <c r="E1038" s="54"/>
      <c r="F1038" s="55"/>
      <c r="G1038" s="55"/>
      <c r="H1038" s="55"/>
      <c r="I1038" s="56"/>
      <c r="J1038" s="53"/>
      <c r="K1038" s="53"/>
      <c r="L1038" s="57" t="str">
        <f aca="false">IF(C1038="","",IFERROR(INDEX(site_ID,MATCH(C1038,site_Name,0)),"Not on SITES"))</f>
        <v/>
      </c>
      <c r="M1038" s="58" t="str">
        <f aca="false">IF(E1038="","",DATE(YEAR(E1038),MONTH(E1038),1))</f>
        <v/>
      </c>
      <c r="N1038" s="57" t="str">
        <f aca="false">IF(E1038="","","FY"&amp;(YEAR(E1038)+IF(AND(FYStart&gt;1,MONTH(E1038)&gt;=FYStart),1,0))&amp;" Q"&amp;(INT(MOD(MONTH(E1038)-FYStart,12)/3)+1))</f>
        <v/>
      </c>
      <c r="O1038" s="59" t="str">
        <f aca="false">IF(OR(E1038="",N(F1038)=0),"",G1038/F1038)</f>
        <v/>
      </c>
      <c r="P1038" s="60" t="str">
        <f aca="false">IF(E1038="","",ROUND(N(G1038)*N(H1038)/60,1))</f>
        <v/>
      </c>
      <c r="Q1038" s="57" t="str">
        <f aca="false">IF(E1038="","",IF(COUNTIFS($C$2:C1038,C1038,$E$2:E1038,E1038,$B$2:B1038,B1038)&gt;1,"No","Yes"))</f>
        <v/>
      </c>
      <c r="R1038" s="61" t="str">
        <f aca="false">IF(E1038="","",IF(Q1038="No","Duplicate of an earlier response",IF(L1038="Not on SITES","Site not on SITES",IF(N(G1038)&gt;N(F1038),"Present is more than enrolled",IF(OR(I1038&lt;1,I1038&gt;5),"Score outside 1 to 5","")))))</f>
        <v/>
      </c>
    </row>
    <row r="1039" customFormat="false" ht="15" hidden="false" customHeight="false" outlineLevel="0" collapsed="false">
      <c r="A1039" s="52"/>
      <c r="B1039" s="53"/>
      <c r="C1039" s="53"/>
      <c r="D1039" s="53"/>
      <c r="E1039" s="54"/>
      <c r="F1039" s="55"/>
      <c r="G1039" s="55"/>
      <c r="H1039" s="55"/>
      <c r="I1039" s="56"/>
      <c r="J1039" s="53"/>
      <c r="K1039" s="53"/>
      <c r="L1039" s="57" t="str">
        <f aca="false">IF(C1039="","",IFERROR(INDEX(site_ID,MATCH(C1039,site_Name,0)),"Not on SITES"))</f>
        <v/>
      </c>
      <c r="M1039" s="58" t="str">
        <f aca="false">IF(E1039="","",DATE(YEAR(E1039),MONTH(E1039),1))</f>
        <v/>
      </c>
      <c r="N1039" s="57" t="str">
        <f aca="false">IF(E1039="","","FY"&amp;(YEAR(E1039)+IF(AND(FYStart&gt;1,MONTH(E1039)&gt;=FYStart),1,0))&amp;" Q"&amp;(INT(MOD(MONTH(E1039)-FYStart,12)/3)+1))</f>
        <v/>
      </c>
      <c r="O1039" s="59" t="str">
        <f aca="false">IF(OR(E1039="",N(F1039)=0),"",G1039/F1039)</f>
        <v/>
      </c>
      <c r="P1039" s="60" t="str">
        <f aca="false">IF(E1039="","",ROUND(N(G1039)*N(H1039)/60,1))</f>
        <v/>
      </c>
      <c r="Q1039" s="57" t="str">
        <f aca="false">IF(E1039="","",IF(COUNTIFS($C$2:C1039,C1039,$E$2:E1039,E1039,$B$2:B1039,B1039)&gt;1,"No","Yes"))</f>
        <v/>
      </c>
      <c r="R1039" s="61" t="str">
        <f aca="false">IF(E1039="","",IF(Q1039="No","Duplicate of an earlier response",IF(L1039="Not on SITES","Site not on SITES",IF(N(G1039)&gt;N(F1039),"Present is more than enrolled",IF(OR(I1039&lt;1,I1039&gt;5),"Score outside 1 to 5","")))))</f>
        <v/>
      </c>
    </row>
    <row r="1040" customFormat="false" ht="15" hidden="false" customHeight="false" outlineLevel="0" collapsed="false">
      <c r="A1040" s="52"/>
      <c r="B1040" s="53"/>
      <c r="C1040" s="53"/>
      <c r="D1040" s="53"/>
      <c r="E1040" s="54"/>
      <c r="F1040" s="55"/>
      <c r="G1040" s="55"/>
      <c r="H1040" s="55"/>
      <c r="I1040" s="56"/>
      <c r="J1040" s="53"/>
      <c r="K1040" s="53"/>
      <c r="L1040" s="57" t="str">
        <f aca="false">IF(C1040="","",IFERROR(INDEX(site_ID,MATCH(C1040,site_Name,0)),"Not on SITES"))</f>
        <v/>
      </c>
      <c r="M1040" s="58" t="str">
        <f aca="false">IF(E1040="","",DATE(YEAR(E1040),MONTH(E1040),1))</f>
        <v/>
      </c>
      <c r="N1040" s="57" t="str">
        <f aca="false">IF(E1040="","","FY"&amp;(YEAR(E1040)+IF(AND(FYStart&gt;1,MONTH(E1040)&gt;=FYStart),1,0))&amp;" Q"&amp;(INT(MOD(MONTH(E1040)-FYStart,12)/3)+1))</f>
        <v/>
      </c>
      <c r="O1040" s="59" t="str">
        <f aca="false">IF(OR(E1040="",N(F1040)=0),"",G1040/F1040)</f>
        <v/>
      </c>
      <c r="P1040" s="60" t="str">
        <f aca="false">IF(E1040="","",ROUND(N(G1040)*N(H1040)/60,1))</f>
        <v/>
      </c>
      <c r="Q1040" s="57" t="str">
        <f aca="false">IF(E1040="","",IF(COUNTIFS($C$2:C1040,C1040,$E$2:E1040,E1040,$B$2:B1040,B1040)&gt;1,"No","Yes"))</f>
        <v/>
      </c>
      <c r="R1040" s="61" t="str">
        <f aca="false">IF(E1040="","",IF(Q1040="No","Duplicate of an earlier response",IF(L1040="Not on SITES","Site not on SITES",IF(N(G1040)&gt;N(F1040),"Present is more than enrolled",IF(OR(I1040&lt;1,I1040&gt;5),"Score outside 1 to 5","")))))</f>
        <v/>
      </c>
    </row>
    <row r="1041" customFormat="false" ht="15" hidden="false" customHeight="false" outlineLevel="0" collapsed="false">
      <c r="A1041" s="52"/>
      <c r="B1041" s="53"/>
      <c r="C1041" s="53"/>
      <c r="D1041" s="53"/>
      <c r="E1041" s="54"/>
      <c r="F1041" s="55"/>
      <c r="G1041" s="55"/>
      <c r="H1041" s="55"/>
      <c r="I1041" s="56"/>
      <c r="J1041" s="53"/>
      <c r="K1041" s="53"/>
      <c r="L1041" s="57" t="str">
        <f aca="false">IF(C1041="","",IFERROR(INDEX(site_ID,MATCH(C1041,site_Name,0)),"Not on SITES"))</f>
        <v/>
      </c>
      <c r="M1041" s="58" t="str">
        <f aca="false">IF(E1041="","",DATE(YEAR(E1041),MONTH(E1041),1))</f>
        <v/>
      </c>
      <c r="N1041" s="57" t="str">
        <f aca="false">IF(E1041="","","FY"&amp;(YEAR(E1041)+IF(AND(FYStart&gt;1,MONTH(E1041)&gt;=FYStart),1,0))&amp;" Q"&amp;(INT(MOD(MONTH(E1041)-FYStart,12)/3)+1))</f>
        <v/>
      </c>
      <c r="O1041" s="59" t="str">
        <f aca="false">IF(OR(E1041="",N(F1041)=0),"",G1041/F1041)</f>
        <v/>
      </c>
      <c r="P1041" s="60" t="str">
        <f aca="false">IF(E1041="","",ROUND(N(G1041)*N(H1041)/60,1))</f>
        <v/>
      </c>
      <c r="Q1041" s="57" t="str">
        <f aca="false">IF(E1041="","",IF(COUNTIFS($C$2:C1041,C1041,$E$2:E1041,E1041,$B$2:B1041,B1041)&gt;1,"No","Yes"))</f>
        <v/>
      </c>
      <c r="R1041" s="61" t="str">
        <f aca="false">IF(E1041="","",IF(Q1041="No","Duplicate of an earlier response",IF(L1041="Not on SITES","Site not on SITES",IF(N(G1041)&gt;N(F1041),"Present is more than enrolled",IF(OR(I1041&lt;1,I1041&gt;5),"Score outside 1 to 5","")))))</f>
        <v/>
      </c>
    </row>
    <row r="1042" customFormat="false" ht="15" hidden="false" customHeight="false" outlineLevel="0" collapsed="false">
      <c r="A1042" s="52"/>
      <c r="B1042" s="53"/>
      <c r="C1042" s="53"/>
      <c r="D1042" s="53"/>
      <c r="E1042" s="54"/>
      <c r="F1042" s="55"/>
      <c r="G1042" s="55"/>
      <c r="H1042" s="55"/>
      <c r="I1042" s="56"/>
      <c r="J1042" s="53"/>
      <c r="K1042" s="53"/>
      <c r="L1042" s="57" t="str">
        <f aca="false">IF(C1042="","",IFERROR(INDEX(site_ID,MATCH(C1042,site_Name,0)),"Not on SITES"))</f>
        <v/>
      </c>
      <c r="M1042" s="58" t="str">
        <f aca="false">IF(E1042="","",DATE(YEAR(E1042),MONTH(E1042),1))</f>
        <v/>
      </c>
      <c r="N1042" s="57" t="str">
        <f aca="false">IF(E1042="","","FY"&amp;(YEAR(E1042)+IF(AND(FYStart&gt;1,MONTH(E1042)&gt;=FYStart),1,0))&amp;" Q"&amp;(INT(MOD(MONTH(E1042)-FYStart,12)/3)+1))</f>
        <v/>
      </c>
      <c r="O1042" s="59" t="str">
        <f aca="false">IF(OR(E1042="",N(F1042)=0),"",G1042/F1042)</f>
        <v/>
      </c>
      <c r="P1042" s="60" t="str">
        <f aca="false">IF(E1042="","",ROUND(N(G1042)*N(H1042)/60,1))</f>
        <v/>
      </c>
      <c r="Q1042" s="57" t="str">
        <f aca="false">IF(E1042="","",IF(COUNTIFS($C$2:C1042,C1042,$E$2:E1042,E1042,$B$2:B1042,B1042)&gt;1,"No","Yes"))</f>
        <v/>
      </c>
      <c r="R1042" s="61" t="str">
        <f aca="false">IF(E1042="","",IF(Q1042="No","Duplicate of an earlier response",IF(L1042="Not on SITES","Site not on SITES",IF(N(G1042)&gt;N(F1042),"Present is more than enrolled",IF(OR(I1042&lt;1,I1042&gt;5),"Score outside 1 to 5","")))))</f>
        <v/>
      </c>
    </row>
    <row r="1043" customFormat="false" ht="15" hidden="false" customHeight="false" outlineLevel="0" collapsed="false">
      <c r="A1043" s="52"/>
      <c r="B1043" s="53"/>
      <c r="C1043" s="53"/>
      <c r="D1043" s="53"/>
      <c r="E1043" s="54"/>
      <c r="F1043" s="55"/>
      <c r="G1043" s="55"/>
      <c r="H1043" s="55"/>
      <c r="I1043" s="56"/>
      <c r="J1043" s="53"/>
      <c r="K1043" s="53"/>
      <c r="L1043" s="57" t="str">
        <f aca="false">IF(C1043="","",IFERROR(INDEX(site_ID,MATCH(C1043,site_Name,0)),"Not on SITES"))</f>
        <v/>
      </c>
      <c r="M1043" s="58" t="str">
        <f aca="false">IF(E1043="","",DATE(YEAR(E1043),MONTH(E1043),1))</f>
        <v/>
      </c>
      <c r="N1043" s="57" t="str">
        <f aca="false">IF(E1043="","","FY"&amp;(YEAR(E1043)+IF(AND(FYStart&gt;1,MONTH(E1043)&gt;=FYStart),1,0))&amp;" Q"&amp;(INT(MOD(MONTH(E1043)-FYStart,12)/3)+1))</f>
        <v/>
      </c>
      <c r="O1043" s="59" t="str">
        <f aca="false">IF(OR(E1043="",N(F1043)=0),"",G1043/F1043)</f>
        <v/>
      </c>
      <c r="P1043" s="60" t="str">
        <f aca="false">IF(E1043="","",ROUND(N(G1043)*N(H1043)/60,1))</f>
        <v/>
      </c>
      <c r="Q1043" s="57" t="str">
        <f aca="false">IF(E1043="","",IF(COUNTIFS($C$2:C1043,C1043,$E$2:E1043,E1043,$B$2:B1043,B1043)&gt;1,"No","Yes"))</f>
        <v/>
      </c>
      <c r="R1043" s="61" t="str">
        <f aca="false">IF(E1043="","",IF(Q1043="No","Duplicate of an earlier response",IF(L1043="Not on SITES","Site not on SITES",IF(N(G1043)&gt;N(F1043),"Present is more than enrolled",IF(OR(I1043&lt;1,I1043&gt;5),"Score outside 1 to 5","")))))</f>
        <v/>
      </c>
    </row>
    <row r="1044" customFormat="false" ht="15" hidden="false" customHeight="false" outlineLevel="0" collapsed="false">
      <c r="A1044" s="52"/>
      <c r="B1044" s="53"/>
      <c r="C1044" s="53"/>
      <c r="D1044" s="53"/>
      <c r="E1044" s="54"/>
      <c r="F1044" s="55"/>
      <c r="G1044" s="55"/>
      <c r="H1044" s="55"/>
      <c r="I1044" s="56"/>
      <c r="J1044" s="53"/>
      <c r="K1044" s="53"/>
      <c r="L1044" s="57" t="str">
        <f aca="false">IF(C1044="","",IFERROR(INDEX(site_ID,MATCH(C1044,site_Name,0)),"Not on SITES"))</f>
        <v/>
      </c>
      <c r="M1044" s="58" t="str">
        <f aca="false">IF(E1044="","",DATE(YEAR(E1044),MONTH(E1044),1))</f>
        <v/>
      </c>
      <c r="N1044" s="57" t="str">
        <f aca="false">IF(E1044="","","FY"&amp;(YEAR(E1044)+IF(AND(FYStart&gt;1,MONTH(E1044)&gt;=FYStart),1,0))&amp;" Q"&amp;(INT(MOD(MONTH(E1044)-FYStart,12)/3)+1))</f>
        <v/>
      </c>
      <c r="O1044" s="59" t="str">
        <f aca="false">IF(OR(E1044="",N(F1044)=0),"",G1044/F1044)</f>
        <v/>
      </c>
      <c r="P1044" s="60" t="str">
        <f aca="false">IF(E1044="","",ROUND(N(G1044)*N(H1044)/60,1))</f>
        <v/>
      </c>
      <c r="Q1044" s="57" t="str">
        <f aca="false">IF(E1044="","",IF(COUNTIFS($C$2:C1044,C1044,$E$2:E1044,E1044,$B$2:B1044,B1044)&gt;1,"No","Yes"))</f>
        <v/>
      </c>
      <c r="R1044" s="61" t="str">
        <f aca="false">IF(E1044="","",IF(Q1044="No","Duplicate of an earlier response",IF(L1044="Not on SITES","Site not on SITES",IF(N(G1044)&gt;N(F1044),"Present is more than enrolled",IF(OR(I1044&lt;1,I1044&gt;5),"Score outside 1 to 5","")))))</f>
        <v/>
      </c>
    </row>
    <row r="1045" customFormat="false" ht="15" hidden="false" customHeight="false" outlineLevel="0" collapsed="false">
      <c r="A1045" s="52"/>
      <c r="B1045" s="53"/>
      <c r="C1045" s="53"/>
      <c r="D1045" s="53"/>
      <c r="E1045" s="54"/>
      <c r="F1045" s="55"/>
      <c r="G1045" s="55"/>
      <c r="H1045" s="55"/>
      <c r="I1045" s="56"/>
      <c r="J1045" s="53"/>
      <c r="K1045" s="53"/>
      <c r="L1045" s="57" t="str">
        <f aca="false">IF(C1045="","",IFERROR(INDEX(site_ID,MATCH(C1045,site_Name,0)),"Not on SITES"))</f>
        <v/>
      </c>
      <c r="M1045" s="58" t="str">
        <f aca="false">IF(E1045="","",DATE(YEAR(E1045),MONTH(E1045),1))</f>
        <v/>
      </c>
      <c r="N1045" s="57" t="str">
        <f aca="false">IF(E1045="","","FY"&amp;(YEAR(E1045)+IF(AND(FYStart&gt;1,MONTH(E1045)&gt;=FYStart),1,0))&amp;" Q"&amp;(INT(MOD(MONTH(E1045)-FYStart,12)/3)+1))</f>
        <v/>
      </c>
      <c r="O1045" s="59" t="str">
        <f aca="false">IF(OR(E1045="",N(F1045)=0),"",G1045/F1045)</f>
        <v/>
      </c>
      <c r="P1045" s="60" t="str">
        <f aca="false">IF(E1045="","",ROUND(N(G1045)*N(H1045)/60,1))</f>
        <v/>
      </c>
      <c r="Q1045" s="57" t="str">
        <f aca="false">IF(E1045="","",IF(COUNTIFS($C$2:C1045,C1045,$E$2:E1045,E1045,$B$2:B1045,B1045)&gt;1,"No","Yes"))</f>
        <v/>
      </c>
      <c r="R1045" s="61" t="str">
        <f aca="false">IF(E1045="","",IF(Q1045="No","Duplicate of an earlier response",IF(L1045="Not on SITES","Site not on SITES",IF(N(G1045)&gt;N(F1045),"Present is more than enrolled",IF(OR(I1045&lt;1,I1045&gt;5),"Score outside 1 to 5","")))))</f>
        <v/>
      </c>
    </row>
    <row r="1046" customFormat="false" ht="15" hidden="false" customHeight="false" outlineLevel="0" collapsed="false">
      <c r="A1046" s="52"/>
      <c r="B1046" s="53"/>
      <c r="C1046" s="53"/>
      <c r="D1046" s="53"/>
      <c r="E1046" s="54"/>
      <c r="F1046" s="55"/>
      <c r="G1046" s="55"/>
      <c r="H1046" s="55"/>
      <c r="I1046" s="56"/>
      <c r="J1046" s="53"/>
      <c r="K1046" s="53"/>
      <c r="L1046" s="57" t="str">
        <f aca="false">IF(C1046="","",IFERROR(INDEX(site_ID,MATCH(C1046,site_Name,0)),"Not on SITES"))</f>
        <v/>
      </c>
      <c r="M1046" s="58" t="str">
        <f aca="false">IF(E1046="","",DATE(YEAR(E1046),MONTH(E1046),1))</f>
        <v/>
      </c>
      <c r="N1046" s="57" t="str">
        <f aca="false">IF(E1046="","","FY"&amp;(YEAR(E1046)+IF(AND(FYStart&gt;1,MONTH(E1046)&gt;=FYStart),1,0))&amp;" Q"&amp;(INT(MOD(MONTH(E1046)-FYStart,12)/3)+1))</f>
        <v/>
      </c>
      <c r="O1046" s="59" t="str">
        <f aca="false">IF(OR(E1046="",N(F1046)=0),"",G1046/F1046)</f>
        <v/>
      </c>
      <c r="P1046" s="60" t="str">
        <f aca="false">IF(E1046="","",ROUND(N(G1046)*N(H1046)/60,1))</f>
        <v/>
      </c>
      <c r="Q1046" s="57" t="str">
        <f aca="false">IF(E1046="","",IF(COUNTIFS($C$2:C1046,C1046,$E$2:E1046,E1046,$B$2:B1046,B1046)&gt;1,"No","Yes"))</f>
        <v/>
      </c>
      <c r="R1046" s="61" t="str">
        <f aca="false">IF(E1046="","",IF(Q1046="No","Duplicate of an earlier response",IF(L1046="Not on SITES","Site not on SITES",IF(N(G1046)&gt;N(F1046),"Present is more than enrolled",IF(OR(I1046&lt;1,I1046&gt;5),"Score outside 1 to 5","")))))</f>
        <v/>
      </c>
    </row>
    <row r="1047" customFormat="false" ht="15" hidden="false" customHeight="false" outlineLevel="0" collapsed="false">
      <c r="A1047" s="52"/>
      <c r="B1047" s="53"/>
      <c r="C1047" s="53"/>
      <c r="D1047" s="53"/>
      <c r="E1047" s="54"/>
      <c r="F1047" s="55"/>
      <c r="G1047" s="55"/>
      <c r="H1047" s="55"/>
      <c r="I1047" s="56"/>
      <c r="J1047" s="53"/>
      <c r="K1047" s="53"/>
      <c r="L1047" s="57" t="str">
        <f aca="false">IF(C1047="","",IFERROR(INDEX(site_ID,MATCH(C1047,site_Name,0)),"Not on SITES"))</f>
        <v/>
      </c>
      <c r="M1047" s="58" t="str">
        <f aca="false">IF(E1047="","",DATE(YEAR(E1047),MONTH(E1047),1))</f>
        <v/>
      </c>
      <c r="N1047" s="57" t="str">
        <f aca="false">IF(E1047="","","FY"&amp;(YEAR(E1047)+IF(AND(FYStart&gt;1,MONTH(E1047)&gt;=FYStart),1,0))&amp;" Q"&amp;(INT(MOD(MONTH(E1047)-FYStart,12)/3)+1))</f>
        <v/>
      </c>
      <c r="O1047" s="59" t="str">
        <f aca="false">IF(OR(E1047="",N(F1047)=0),"",G1047/F1047)</f>
        <v/>
      </c>
      <c r="P1047" s="60" t="str">
        <f aca="false">IF(E1047="","",ROUND(N(G1047)*N(H1047)/60,1))</f>
        <v/>
      </c>
      <c r="Q1047" s="57" t="str">
        <f aca="false">IF(E1047="","",IF(COUNTIFS($C$2:C1047,C1047,$E$2:E1047,E1047,$B$2:B1047,B1047)&gt;1,"No","Yes"))</f>
        <v/>
      </c>
      <c r="R1047" s="61" t="str">
        <f aca="false">IF(E1047="","",IF(Q1047="No","Duplicate of an earlier response",IF(L1047="Not on SITES","Site not on SITES",IF(N(G1047)&gt;N(F1047),"Present is more than enrolled",IF(OR(I1047&lt;1,I1047&gt;5),"Score outside 1 to 5","")))))</f>
        <v/>
      </c>
    </row>
    <row r="1048" customFormat="false" ht="15" hidden="false" customHeight="false" outlineLevel="0" collapsed="false">
      <c r="A1048" s="52"/>
      <c r="B1048" s="53"/>
      <c r="C1048" s="53"/>
      <c r="D1048" s="53"/>
      <c r="E1048" s="54"/>
      <c r="F1048" s="55"/>
      <c r="G1048" s="55"/>
      <c r="H1048" s="55"/>
      <c r="I1048" s="56"/>
      <c r="J1048" s="53"/>
      <c r="K1048" s="53"/>
      <c r="L1048" s="57" t="str">
        <f aca="false">IF(C1048="","",IFERROR(INDEX(site_ID,MATCH(C1048,site_Name,0)),"Not on SITES"))</f>
        <v/>
      </c>
      <c r="M1048" s="58" t="str">
        <f aca="false">IF(E1048="","",DATE(YEAR(E1048),MONTH(E1048),1))</f>
        <v/>
      </c>
      <c r="N1048" s="57" t="str">
        <f aca="false">IF(E1048="","","FY"&amp;(YEAR(E1048)+IF(AND(FYStart&gt;1,MONTH(E1048)&gt;=FYStart),1,0))&amp;" Q"&amp;(INT(MOD(MONTH(E1048)-FYStart,12)/3)+1))</f>
        <v/>
      </c>
      <c r="O1048" s="59" t="str">
        <f aca="false">IF(OR(E1048="",N(F1048)=0),"",G1048/F1048)</f>
        <v/>
      </c>
      <c r="P1048" s="60" t="str">
        <f aca="false">IF(E1048="","",ROUND(N(G1048)*N(H1048)/60,1))</f>
        <v/>
      </c>
      <c r="Q1048" s="57" t="str">
        <f aca="false">IF(E1048="","",IF(COUNTIFS($C$2:C1048,C1048,$E$2:E1048,E1048,$B$2:B1048,B1048)&gt;1,"No","Yes"))</f>
        <v/>
      </c>
      <c r="R1048" s="61" t="str">
        <f aca="false">IF(E1048="","",IF(Q1048="No","Duplicate of an earlier response",IF(L1048="Not on SITES","Site not on SITES",IF(N(G1048)&gt;N(F1048),"Present is more than enrolled",IF(OR(I1048&lt;1,I1048&gt;5),"Score outside 1 to 5","")))))</f>
        <v/>
      </c>
    </row>
    <row r="1049" customFormat="false" ht="15" hidden="false" customHeight="false" outlineLevel="0" collapsed="false">
      <c r="A1049" s="52"/>
      <c r="B1049" s="53"/>
      <c r="C1049" s="53"/>
      <c r="D1049" s="53"/>
      <c r="E1049" s="54"/>
      <c r="F1049" s="55"/>
      <c r="G1049" s="55"/>
      <c r="H1049" s="55"/>
      <c r="I1049" s="56"/>
      <c r="J1049" s="53"/>
      <c r="K1049" s="53"/>
      <c r="L1049" s="57" t="str">
        <f aca="false">IF(C1049="","",IFERROR(INDEX(site_ID,MATCH(C1049,site_Name,0)),"Not on SITES"))</f>
        <v/>
      </c>
      <c r="M1049" s="58" t="str">
        <f aca="false">IF(E1049="","",DATE(YEAR(E1049),MONTH(E1049),1))</f>
        <v/>
      </c>
      <c r="N1049" s="57" t="str">
        <f aca="false">IF(E1049="","","FY"&amp;(YEAR(E1049)+IF(AND(FYStart&gt;1,MONTH(E1049)&gt;=FYStart),1,0))&amp;" Q"&amp;(INT(MOD(MONTH(E1049)-FYStart,12)/3)+1))</f>
        <v/>
      </c>
      <c r="O1049" s="59" t="str">
        <f aca="false">IF(OR(E1049="",N(F1049)=0),"",G1049/F1049)</f>
        <v/>
      </c>
      <c r="P1049" s="60" t="str">
        <f aca="false">IF(E1049="","",ROUND(N(G1049)*N(H1049)/60,1))</f>
        <v/>
      </c>
      <c r="Q1049" s="57" t="str">
        <f aca="false">IF(E1049="","",IF(COUNTIFS($C$2:C1049,C1049,$E$2:E1049,E1049,$B$2:B1049,B1049)&gt;1,"No","Yes"))</f>
        <v/>
      </c>
      <c r="R1049" s="61" t="str">
        <f aca="false">IF(E1049="","",IF(Q1049="No","Duplicate of an earlier response",IF(L1049="Not on SITES","Site not on SITES",IF(N(G1049)&gt;N(F1049),"Present is more than enrolled",IF(OR(I1049&lt;1,I1049&gt;5),"Score outside 1 to 5","")))))</f>
        <v/>
      </c>
    </row>
    <row r="1050" customFormat="false" ht="15" hidden="false" customHeight="false" outlineLevel="0" collapsed="false">
      <c r="A1050" s="52"/>
      <c r="B1050" s="53"/>
      <c r="C1050" s="53"/>
      <c r="D1050" s="53"/>
      <c r="E1050" s="54"/>
      <c r="F1050" s="55"/>
      <c r="G1050" s="55"/>
      <c r="H1050" s="55"/>
      <c r="I1050" s="56"/>
      <c r="J1050" s="53"/>
      <c r="K1050" s="53"/>
      <c r="L1050" s="57" t="str">
        <f aca="false">IF(C1050="","",IFERROR(INDEX(site_ID,MATCH(C1050,site_Name,0)),"Not on SITES"))</f>
        <v/>
      </c>
      <c r="M1050" s="58" t="str">
        <f aca="false">IF(E1050="","",DATE(YEAR(E1050),MONTH(E1050),1))</f>
        <v/>
      </c>
      <c r="N1050" s="57" t="str">
        <f aca="false">IF(E1050="","","FY"&amp;(YEAR(E1050)+IF(AND(FYStart&gt;1,MONTH(E1050)&gt;=FYStart),1,0))&amp;" Q"&amp;(INT(MOD(MONTH(E1050)-FYStart,12)/3)+1))</f>
        <v/>
      </c>
      <c r="O1050" s="59" t="str">
        <f aca="false">IF(OR(E1050="",N(F1050)=0),"",G1050/F1050)</f>
        <v/>
      </c>
      <c r="P1050" s="60" t="str">
        <f aca="false">IF(E1050="","",ROUND(N(G1050)*N(H1050)/60,1))</f>
        <v/>
      </c>
      <c r="Q1050" s="57" t="str">
        <f aca="false">IF(E1050="","",IF(COUNTIFS($C$2:C1050,C1050,$E$2:E1050,E1050,$B$2:B1050,B1050)&gt;1,"No","Yes"))</f>
        <v/>
      </c>
      <c r="R1050" s="61" t="str">
        <f aca="false">IF(E1050="","",IF(Q1050="No","Duplicate of an earlier response",IF(L1050="Not on SITES","Site not on SITES",IF(N(G1050)&gt;N(F1050),"Present is more than enrolled",IF(OR(I1050&lt;1,I1050&gt;5),"Score outside 1 to 5","")))))</f>
        <v/>
      </c>
    </row>
    <row r="1051" customFormat="false" ht="15" hidden="false" customHeight="false" outlineLevel="0" collapsed="false">
      <c r="A1051" s="52"/>
      <c r="B1051" s="53"/>
      <c r="C1051" s="53"/>
      <c r="D1051" s="53"/>
      <c r="E1051" s="54"/>
      <c r="F1051" s="55"/>
      <c r="G1051" s="55"/>
      <c r="H1051" s="55"/>
      <c r="I1051" s="56"/>
      <c r="J1051" s="53"/>
      <c r="K1051" s="53"/>
      <c r="L1051" s="57" t="str">
        <f aca="false">IF(C1051="","",IFERROR(INDEX(site_ID,MATCH(C1051,site_Name,0)),"Not on SITES"))</f>
        <v/>
      </c>
      <c r="M1051" s="58" t="str">
        <f aca="false">IF(E1051="","",DATE(YEAR(E1051),MONTH(E1051),1))</f>
        <v/>
      </c>
      <c r="N1051" s="57" t="str">
        <f aca="false">IF(E1051="","","FY"&amp;(YEAR(E1051)+IF(AND(FYStart&gt;1,MONTH(E1051)&gt;=FYStart),1,0))&amp;" Q"&amp;(INT(MOD(MONTH(E1051)-FYStart,12)/3)+1))</f>
        <v/>
      </c>
      <c r="O1051" s="59" t="str">
        <f aca="false">IF(OR(E1051="",N(F1051)=0),"",G1051/F1051)</f>
        <v/>
      </c>
      <c r="P1051" s="60" t="str">
        <f aca="false">IF(E1051="","",ROUND(N(G1051)*N(H1051)/60,1))</f>
        <v/>
      </c>
      <c r="Q1051" s="57" t="str">
        <f aca="false">IF(E1051="","",IF(COUNTIFS($C$2:C1051,C1051,$E$2:E1051,E1051,$B$2:B1051,B1051)&gt;1,"No","Yes"))</f>
        <v/>
      </c>
      <c r="R1051" s="61" t="str">
        <f aca="false">IF(E1051="","",IF(Q1051="No","Duplicate of an earlier response",IF(L1051="Not on SITES","Site not on SITES",IF(N(G1051)&gt;N(F1051),"Present is more than enrolled",IF(OR(I1051&lt;1,I1051&gt;5),"Score outside 1 to 5","")))))</f>
        <v/>
      </c>
    </row>
    <row r="1052" customFormat="false" ht="15" hidden="false" customHeight="false" outlineLevel="0" collapsed="false">
      <c r="A1052" s="52"/>
      <c r="B1052" s="53"/>
      <c r="C1052" s="53"/>
      <c r="D1052" s="53"/>
      <c r="E1052" s="54"/>
      <c r="F1052" s="55"/>
      <c r="G1052" s="55"/>
      <c r="H1052" s="55"/>
      <c r="I1052" s="56"/>
      <c r="J1052" s="53"/>
      <c r="K1052" s="53"/>
      <c r="L1052" s="57" t="str">
        <f aca="false">IF(C1052="","",IFERROR(INDEX(site_ID,MATCH(C1052,site_Name,0)),"Not on SITES"))</f>
        <v/>
      </c>
      <c r="M1052" s="58" t="str">
        <f aca="false">IF(E1052="","",DATE(YEAR(E1052),MONTH(E1052),1))</f>
        <v/>
      </c>
      <c r="N1052" s="57" t="str">
        <f aca="false">IF(E1052="","","FY"&amp;(YEAR(E1052)+IF(AND(FYStart&gt;1,MONTH(E1052)&gt;=FYStart),1,0))&amp;" Q"&amp;(INT(MOD(MONTH(E1052)-FYStart,12)/3)+1))</f>
        <v/>
      </c>
      <c r="O1052" s="59" t="str">
        <f aca="false">IF(OR(E1052="",N(F1052)=0),"",G1052/F1052)</f>
        <v/>
      </c>
      <c r="P1052" s="60" t="str">
        <f aca="false">IF(E1052="","",ROUND(N(G1052)*N(H1052)/60,1))</f>
        <v/>
      </c>
      <c r="Q1052" s="57" t="str">
        <f aca="false">IF(E1052="","",IF(COUNTIFS($C$2:C1052,C1052,$E$2:E1052,E1052,$B$2:B1052,B1052)&gt;1,"No","Yes"))</f>
        <v/>
      </c>
      <c r="R1052" s="61" t="str">
        <f aca="false">IF(E1052="","",IF(Q1052="No","Duplicate of an earlier response",IF(L1052="Not on SITES","Site not on SITES",IF(N(G1052)&gt;N(F1052),"Present is more than enrolled",IF(OR(I1052&lt;1,I1052&gt;5),"Score outside 1 to 5","")))))</f>
        <v/>
      </c>
    </row>
    <row r="1053" customFormat="false" ht="15" hidden="false" customHeight="false" outlineLevel="0" collapsed="false">
      <c r="A1053" s="52"/>
      <c r="B1053" s="53"/>
      <c r="C1053" s="53"/>
      <c r="D1053" s="53"/>
      <c r="E1053" s="54"/>
      <c r="F1053" s="55"/>
      <c r="G1053" s="55"/>
      <c r="H1053" s="55"/>
      <c r="I1053" s="56"/>
      <c r="J1053" s="53"/>
      <c r="K1053" s="53"/>
      <c r="L1053" s="57" t="str">
        <f aca="false">IF(C1053="","",IFERROR(INDEX(site_ID,MATCH(C1053,site_Name,0)),"Not on SITES"))</f>
        <v/>
      </c>
      <c r="M1053" s="58" t="str">
        <f aca="false">IF(E1053="","",DATE(YEAR(E1053),MONTH(E1053),1))</f>
        <v/>
      </c>
      <c r="N1053" s="57" t="str">
        <f aca="false">IF(E1053="","","FY"&amp;(YEAR(E1053)+IF(AND(FYStart&gt;1,MONTH(E1053)&gt;=FYStart),1,0))&amp;" Q"&amp;(INT(MOD(MONTH(E1053)-FYStart,12)/3)+1))</f>
        <v/>
      </c>
      <c r="O1053" s="59" t="str">
        <f aca="false">IF(OR(E1053="",N(F1053)=0),"",G1053/F1053)</f>
        <v/>
      </c>
      <c r="P1053" s="60" t="str">
        <f aca="false">IF(E1053="","",ROUND(N(G1053)*N(H1053)/60,1))</f>
        <v/>
      </c>
      <c r="Q1053" s="57" t="str">
        <f aca="false">IF(E1053="","",IF(COUNTIFS($C$2:C1053,C1053,$E$2:E1053,E1053,$B$2:B1053,B1053)&gt;1,"No","Yes"))</f>
        <v/>
      </c>
      <c r="R1053" s="61" t="str">
        <f aca="false">IF(E1053="","",IF(Q1053="No","Duplicate of an earlier response",IF(L1053="Not on SITES","Site not on SITES",IF(N(G1053)&gt;N(F1053),"Present is more than enrolled",IF(OR(I1053&lt;1,I1053&gt;5),"Score outside 1 to 5","")))))</f>
        <v/>
      </c>
    </row>
    <row r="1054" customFormat="false" ht="15" hidden="false" customHeight="false" outlineLevel="0" collapsed="false">
      <c r="A1054" s="52"/>
      <c r="B1054" s="53"/>
      <c r="C1054" s="53"/>
      <c r="D1054" s="53"/>
      <c r="E1054" s="54"/>
      <c r="F1054" s="55"/>
      <c r="G1054" s="55"/>
      <c r="H1054" s="55"/>
      <c r="I1054" s="56"/>
      <c r="J1054" s="53"/>
      <c r="K1054" s="53"/>
      <c r="L1054" s="57" t="str">
        <f aca="false">IF(C1054="","",IFERROR(INDEX(site_ID,MATCH(C1054,site_Name,0)),"Not on SITES"))</f>
        <v/>
      </c>
      <c r="M1054" s="58" t="str">
        <f aca="false">IF(E1054="","",DATE(YEAR(E1054),MONTH(E1054),1))</f>
        <v/>
      </c>
      <c r="N1054" s="57" t="str">
        <f aca="false">IF(E1054="","","FY"&amp;(YEAR(E1054)+IF(AND(FYStart&gt;1,MONTH(E1054)&gt;=FYStart),1,0))&amp;" Q"&amp;(INT(MOD(MONTH(E1054)-FYStart,12)/3)+1))</f>
        <v/>
      </c>
      <c r="O1054" s="59" t="str">
        <f aca="false">IF(OR(E1054="",N(F1054)=0),"",G1054/F1054)</f>
        <v/>
      </c>
      <c r="P1054" s="60" t="str">
        <f aca="false">IF(E1054="","",ROUND(N(G1054)*N(H1054)/60,1))</f>
        <v/>
      </c>
      <c r="Q1054" s="57" t="str">
        <f aca="false">IF(E1054="","",IF(COUNTIFS($C$2:C1054,C1054,$E$2:E1054,E1054,$B$2:B1054,B1054)&gt;1,"No","Yes"))</f>
        <v/>
      </c>
      <c r="R1054" s="61" t="str">
        <f aca="false">IF(E1054="","",IF(Q1054="No","Duplicate of an earlier response",IF(L1054="Not on SITES","Site not on SITES",IF(N(G1054)&gt;N(F1054),"Present is more than enrolled",IF(OR(I1054&lt;1,I1054&gt;5),"Score outside 1 to 5","")))))</f>
        <v/>
      </c>
    </row>
    <row r="1055" customFormat="false" ht="15" hidden="false" customHeight="false" outlineLevel="0" collapsed="false">
      <c r="A1055" s="52"/>
      <c r="B1055" s="53"/>
      <c r="C1055" s="53"/>
      <c r="D1055" s="53"/>
      <c r="E1055" s="54"/>
      <c r="F1055" s="55"/>
      <c r="G1055" s="55"/>
      <c r="H1055" s="55"/>
      <c r="I1055" s="56"/>
      <c r="J1055" s="53"/>
      <c r="K1055" s="53"/>
      <c r="L1055" s="57" t="str">
        <f aca="false">IF(C1055="","",IFERROR(INDEX(site_ID,MATCH(C1055,site_Name,0)),"Not on SITES"))</f>
        <v/>
      </c>
      <c r="M1055" s="58" t="str">
        <f aca="false">IF(E1055="","",DATE(YEAR(E1055),MONTH(E1055),1))</f>
        <v/>
      </c>
      <c r="N1055" s="57" t="str">
        <f aca="false">IF(E1055="","","FY"&amp;(YEAR(E1055)+IF(AND(FYStart&gt;1,MONTH(E1055)&gt;=FYStart),1,0))&amp;" Q"&amp;(INT(MOD(MONTH(E1055)-FYStart,12)/3)+1))</f>
        <v/>
      </c>
      <c r="O1055" s="59" t="str">
        <f aca="false">IF(OR(E1055="",N(F1055)=0),"",G1055/F1055)</f>
        <v/>
      </c>
      <c r="P1055" s="60" t="str">
        <f aca="false">IF(E1055="","",ROUND(N(G1055)*N(H1055)/60,1))</f>
        <v/>
      </c>
      <c r="Q1055" s="57" t="str">
        <f aca="false">IF(E1055="","",IF(COUNTIFS($C$2:C1055,C1055,$E$2:E1055,E1055,$B$2:B1055,B1055)&gt;1,"No","Yes"))</f>
        <v/>
      </c>
      <c r="R1055" s="61" t="str">
        <f aca="false">IF(E1055="","",IF(Q1055="No","Duplicate of an earlier response",IF(L1055="Not on SITES","Site not on SITES",IF(N(G1055)&gt;N(F1055),"Present is more than enrolled",IF(OR(I1055&lt;1,I1055&gt;5),"Score outside 1 to 5","")))))</f>
        <v/>
      </c>
    </row>
    <row r="1056" customFormat="false" ht="15" hidden="false" customHeight="false" outlineLevel="0" collapsed="false">
      <c r="A1056" s="52"/>
      <c r="B1056" s="53"/>
      <c r="C1056" s="53"/>
      <c r="D1056" s="53"/>
      <c r="E1056" s="54"/>
      <c r="F1056" s="55"/>
      <c r="G1056" s="55"/>
      <c r="H1056" s="55"/>
      <c r="I1056" s="56"/>
      <c r="J1056" s="53"/>
      <c r="K1056" s="53"/>
      <c r="L1056" s="57" t="str">
        <f aca="false">IF(C1056="","",IFERROR(INDEX(site_ID,MATCH(C1056,site_Name,0)),"Not on SITES"))</f>
        <v/>
      </c>
      <c r="M1056" s="58" t="str">
        <f aca="false">IF(E1056="","",DATE(YEAR(E1056),MONTH(E1056),1))</f>
        <v/>
      </c>
      <c r="N1056" s="57" t="str">
        <f aca="false">IF(E1056="","","FY"&amp;(YEAR(E1056)+IF(AND(FYStart&gt;1,MONTH(E1056)&gt;=FYStart),1,0))&amp;" Q"&amp;(INT(MOD(MONTH(E1056)-FYStart,12)/3)+1))</f>
        <v/>
      </c>
      <c r="O1056" s="59" t="str">
        <f aca="false">IF(OR(E1056="",N(F1056)=0),"",G1056/F1056)</f>
        <v/>
      </c>
      <c r="P1056" s="60" t="str">
        <f aca="false">IF(E1056="","",ROUND(N(G1056)*N(H1056)/60,1))</f>
        <v/>
      </c>
      <c r="Q1056" s="57" t="str">
        <f aca="false">IF(E1056="","",IF(COUNTIFS($C$2:C1056,C1056,$E$2:E1056,E1056,$B$2:B1056,B1056)&gt;1,"No","Yes"))</f>
        <v/>
      </c>
      <c r="R1056" s="61" t="str">
        <f aca="false">IF(E1056="","",IF(Q1056="No","Duplicate of an earlier response",IF(L1056="Not on SITES","Site not on SITES",IF(N(G1056)&gt;N(F1056),"Present is more than enrolled",IF(OR(I1056&lt;1,I1056&gt;5),"Score outside 1 to 5","")))))</f>
        <v/>
      </c>
    </row>
    <row r="1057" customFormat="false" ht="15" hidden="false" customHeight="false" outlineLevel="0" collapsed="false">
      <c r="A1057" s="52"/>
      <c r="B1057" s="53"/>
      <c r="C1057" s="53"/>
      <c r="D1057" s="53"/>
      <c r="E1057" s="54"/>
      <c r="F1057" s="55"/>
      <c r="G1057" s="55"/>
      <c r="H1057" s="55"/>
      <c r="I1057" s="56"/>
      <c r="J1057" s="53"/>
      <c r="K1057" s="53"/>
      <c r="L1057" s="57" t="str">
        <f aca="false">IF(C1057="","",IFERROR(INDEX(site_ID,MATCH(C1057,site_Name,0)),"Not on SITES"))</f>
        <v/>
      </c>
      <c r="M1057" s="58" t="str">
        <f aca="false">IF(E1057="","",DATE(YEAR(E1057),MONTH(E1057),1))</f>
        <v/>
      </c>
      <c r="N1057" s="57" t="str">
        <f aca="false">IF(E1057="","","FY"&amp;(YEAR(E1057)+IF(AND(FYStart&gt;1,MONTH(E1057)&gt;=FYStart),1,0))&amp;" Q"&amp;(INT(MOD(MONTH(E1057)-FYStart,12)/3)+1))</f>
        <v/>
      </c>
      <c r="O1057" s="59" t="str">
        <f aca="false">IF(OR(E1057="",N(F1057)=0),"",G1057/F1057)</f>
        <v/>
      </c>
      <c r="P1057" s="60" t="str">
        <f aca="false">IF(E1057="","",ROUND(N(G1057)*N(H1057)/60,1))</f>
        <v/>
      </c>
      <c r="Q1057" s="57" t="str">
        <f aca="false">IF(E1057="","",IF(COUNTIFS($C$2:C1057,C1057,$E$2:E1057,E1057,$B$2:B1057,B1057)&gt;1,"No","Yes"))</f>
        <v/>
      </c>
      <c r="R1057" s="61" t="str">
        <f aca="false">IF(E1057="","",IF(Q1057="No","Duplicate of an earlier response",IF(L1057="Not on SITES","Site not on SITES",IF(N(G1057)&gt;N(F1057),"Present is more than enrolled",IF(OR(I1057&lt;1,I1057&gt;5),"Score outside 1 to 5","")))))</f>
        <v/>
      </c>
    </row>
    <row r="1058" customFormat="false" ht="15" hidden="false" customHeight="false" outlineLevel="0" collapsed="false">
      <c r="A1058" s="52"/>
      <c r="B1058" s="53"/>
      <c r="C1058" s="53"/>
      <c r="D1058" s="53"/>
      <c r="E1058" s="54"/>
      <c r="F1058" s="55"/>
      <c r="G1058" s="55"/>
      <c r="H1058" s="55"/>
      <c r="I1058" s="56"/>
      <c r="J1058" s="53"/>
      <c r="K1058" s="53"/>
      <c r="L1058" s="57" t="str">
        <f aca="false">IF(C1058="","",IFERROR(INDEX(site_ID,MATCH(C1058,site_Name,0)),"Not on SITES"))</f>
        <v/>
      </c>
      <c r="M1058" s="58" t="str">
        <f aca="false">IF(E1058="","",DATE(YEAR(E1058),MONTH(E1058),1))</f>
        <v/>
      </c>
      <c r="N1058" s="57" t="str">
        <f aca="false">IF(E1058="","","FY"&amp;(YEAR(E1058)+IF(AND(FYStart&gt;1,MONTH(E1058)&gt;=FYStart),1,0))&amp;" Q"&amp;(INT(MOD(MONTH(E1058)-FYStart,12)/3)+1))</f>
        <v/>
      </c>
      <c r="O1058" s="59" t="str">
        <f aca="false">IF(OR(E1058="",N(F1058)=0),"",G1058/F1058)</f>
        <v/>
      </c>
      <c r="P1058" s="60" t="str">
        <f aca="false">IF(E1058="","",ROUND(N(G1058)*N(H1058)/60,1))</f>
        <v/>
      </c>
      <c r="Q1058" s="57" t="str">
        <f aca="false">IF(E1058="","",IF(COUNTIFS($C$2:C1058,C1058,$E$2:E1058,E1058,$B$2:B1058,B1058)&gt;1,"No","Yes"))</f>
        <v/>
      </c>
      <c r="R1058" s="61" t="str">
        <f aca="false">IF(E1058="","",IF(Q1058="No","Duplicate of an earlier response",IF(L1058="Not on SITES","Site not on SITES",IF(N(G1058)&gt;N(F1058),"Present is more than enrolled",IF(OR(I1058&lt;1,I1058&gt;5),"Score outside 1 to 5","")))))</f>
        <v/>
      </c>
    </row>
    <row r="1059" customFormat="false" ht="15" hidden="false" customHeight="false" outlineLevel="0" collapsed="false">
      <c r="A1059" s="52"/>
      <c r="B1059" s="53"/>
      <c r="C1059" s="53"/>
      <c r="D1059" s="53"/>
      <c r="E1059" s="54"/>
      <c r="F1059" s="55"/>
      <c r="G1059" s="55"/>
      <c r="H1059" s="55"/>
      <c r="I1059" s="56"/>
      <c r="J1059" s="53"/>
      <c r="K1059" s="53"/>
      <c r="L1059" s="57" t="str">
        <f aca="false">IF(C1059="","",IFERROR(INDEX(site_ID,MATCH(C1059,site_Name,0)),"Not on SITES"))</f>
        <v/>
      </c>
      <c r="M1059" s="58" t="str">
        <f aca="false">IF(E1059="","",DATE(YEAR(E1059),MONTH(E1059),1))</f>
        <v/>
      </c>
      <c r="N1059" s="57" t="str">
        <f aca="false">IF(E1059="","","FY"&amp;(YEAR(E1059)+IF(AND(FYStart&gt;1,MONTH(E1059)&gt;=FYStart),1,0))&amp;" Q"&amp;(INT(MOD(MONTH(E1059)-FYStart,12)/3)+1))</f>
        <v/>
      </c>
      <c r="O1059" s="59" t="str">
        <f aca="false">IF(OR(E1059="",N(F1059)=0),"",G1059/F1059)</f>
        <v/>
      </c>
      <c r="P1059" s="60" t="str">
        <f aca="false">IF(E1059="","",ROUND(N(G1059)*N(H1059)/60,1))</f>
        <v/>
      </c>
      <c r="Q1059" s="57" t="str">
        <f aca="false">IF(E1059="","",IF(COUNTIFS($C$2:C1059,C1059,$E$2:E1059,E1059,$B$2:B1059,B1059)&gt;1,"No","Yes"))</f>
        <v/>
      </c>
      <c r="R1059" s="61" t="str">
        <f aca="false">IF(E1059="","",IF(Q1059="No","Duplicate of an earlier response",IF(L1059="Not on SITES","Site not on SITES",IF(N(G1059)&gt;N(F1059),"Present is more than enrolled",IF(OR(I1059&lt;1,I1059&gt;5),"Score outside 1 to 5","")))))</f>
        <v/>
      </c>
    </row>
    <row r="1060" customFormat="false" ht="15" hidden="false" customHeight="false" outlineLevel="0" collapsed="false">
      <c r="A1060" s="52"/>
      <c r="B1060" s="53"/>
      <c r="C1060" s="53"/>
      <c r="D1060" s="53"/>
      <c r="E1060" s="54"/>
      <c r="F1060" s="55"/>
      <c r="G1060" s="55"/>
      <c r="H1060" s="55"/>
      <c r="I1060" s="56"/>
      <c r="J1060" s="53"/>
      <c r="K1060" s="53"/>
      <c r="L1060" s="57" t="str">
        <f aca="false">IF(C1060="","",IFERROR(INDEX(site_ID,MATCH(C1060,site_Name,0)),"Not on SITES"))</f>
        <v/>
      </c>
      <c r="M1060" s="58" t="str">
        <f aca="false">IF(E1060="","",DATE(YEAR(E1060),MONTH(E1060),1))</f>
        <v/>
      </c>
      <c r="N1060" s="57" t="str">
        <f aca="false">IF(E1060="","","FY"&amp;(YEAR(E1060)+IF(AND(FYStart&gt;1,MONTH(E1060)&gt;=FYStart),1,0))&amp;" Q"&amp;(INT(MOD(MONTH(E1060)-FYStart,12)/3)+1))</f>
        <v/>
      </c>
      <c r="O1060" s="59" t="str">
        <f aca="false">IF(OR(E1060="",N(F1060)=0),"",G1060/F1060)</f>
        <v/>
      </c>
      <c r="P1060" s="60" t="str">
        <f aca="false">IF(E1060="","",ROUND(N(G1060)*N(H1060)/60,1))</f>
        <v/>
      </c>
      <c r="Q1060" s="57" t="str">
        <f aca="false">IF(E1060="","",IF(COUNTIFS($C$2:C1060,C1060,$E$2:E1060,E1060,$B$2:B1060,B1060)&gt;1,"No","Yes"))</f>
        <v/>
      </c>
      <c r="R1060" s="61" t="str">
        <f aca="false">IF(E1060="","",IF(Q1060="No","Duplicate of an earlier response",IF(L1060="Not on SITES","Site not on SITES",IF(N(G1060)&gt;N(F1060),"Present is more than enrolled",IF(OR(I1060&lt;1,I1060&gt;5),"Score outside 1 to 5","")))))</f>
        <v/>
      </c>
    </row>
    <row r="1061" customFormat="false" ht="15" hidden="false" customHeight="false" outlineLevel="0" collapsed="false">
      <c r="A1061" s="52"/>
      <c r="B1061" s="53"/>
      <c r="C1061" s="53"/>
      <c r="D1061" s="53"/>
      <c r="E1061" s="54"/>
      <c r="F1061" s="55"/>
      <c r="G1061" s="55"/>
      <c r="H1061" s="55"/>
      <c r="I1061" s="56"/>
      <c r="J1061" s="53"/>
      <c r="K1061" s="53"/>
      <c r="L1061" s="57" t="str">
        <f aca="false">IF(C1061="","",IFERROR(INDEX(site_ID,MATCH(C1061,site_Name,0)),"Not on SITES"))</f>
        <v/>
      </c>
      <c r="M1061" s="58" t="str">
        <f aca="false">IF(E1061="","",DATE(YEAR(E1061),MONTH(E1061),1))</f>
        <v/>
      </c>
      <c r="N1061" s="57" t="str">
        <f aca="false">IF(E1061="","","FY"&amp;(YEAR(E1061)+IF(AND(FYStart&gt;1,MONTH(E1061)&gt;=FYStart),1,0))&amp;" Q"&amp;(INT(MOD(MONTH(E1061)-FYStart,12)/3)+1))</f>
        <v/>
      </c>
      <c r="O1061" s="59" t="str">
        <f aca="false">IF(OR(E1061="",N(F1061)=0),"",G1061/F1061)</f>
        <v/>
      </c>
      <c r="P1061" s="60" t="str">
        <f aca="false">IF(E1061="","",ROUND(N(G1061)*N(H1061)/60,1))</f>
        <v/>
      </c>
      <c r="Q1061" s="57" t="str">
        <f aca="false">IF(E1061="","",IF(COUNTIFS($C$2:C1061,C1061,$E$2:E1061,E1061,$B$2:B1061,B1061)&gt;1,"No","Yes"))</f>
        <v/>
      </c>
      <c r="R1061" s="61" t="str">
        <f aca="false">IF(E1061="","",IF(Q1061="No","Duplicate of an earlier response",IF(L1061="Not on SITES","Site not on SITES",IF(N(G1061)&gt;N(F1061),"Present is more than enrolled",IF(OR(I1061&lt;1,I1061&gt;5),"Score outside 1 to 5","")))))</f>
        <v/>
      </c>
    </row>
    <row r="1062" customFormat="false" ht="15" hidden="false" customHeight="false" outlineLevel="0" collapsed="false">
      <c r="A1062" s="52"/>
      <c r="B1062" s="53"/>
      <c r="C1062" s="53"/>
      <c r="D1062" s="53"/>
      <c r="E1062" s="54"/>
      <c r="F1062" s="55"/>
      <c r="G1062" s="55"/>
      <c r="H1062" s="55"/>
      <c r="I1062" s="56"/>
      <c r="J1062" s="53"/>
      <c r="K1062" s="53"/>
      <c r="L1062" s="57" t="str">
        <f aca="false">IF(C1062="","",IFERROR(INDEX(site_ID,MATCH(C1062,site_Name,0)),"Not on SITES"))</f>
        <v/>
      </c>
      <c r="M1062" s="58" t="str">
        <f aca="false">IF(E1062="","",DATE(YEAR(E1062),MONTH(E1062),1))</f>
        <v/>
      </c>
      <c r="N1062" s="57" t="str">
        <f aca="false">IF(E1062="","","FY"&amp;(YEAR(E1062)+IF(AND(FYStart&gt;1,MONTH(E1062)&gt;=FYStart),1,0))&amp;" Q"&amp;(INT(MOD(MONTH(E1062)-FYStart,12)/3)+1))</f>
        <v/>
      </c>
      <c r="O1062" s="59" t="str">
        <f aca="false">IF(OR(E1062="",N(F1062)=0),"",G1062/F1062)</f>
        <v/>
      </c>
      <c r="P1062" s="60" t="str">
        <f aca="false">IF(E1062="","",ROUND(N(G1062)*N(H1062)/60,1))</f>
        <v/>
      </c>
      <c r="Q1062" s="57" t="str">
        <f aca="false">IF(E1062="","",IF(COUNTIFS($C$2:C1062,C1062,$E$2:E1062,E1062,$B$2:B1062,B1062)&gt;1,"No","Yes"))</f>
        <v/>
      </c>
      <c r="R1062" s="61" t="str">
        <f aca="false">IF(E1062="","",IF(Q1062="No","Duplicate of an earlier response",IF(L1062="Not on SITES","Site not on SITES",IF(N(G1062)&gt;N(F1062),"Present is more than enrolled",IF(OR(I1062&lt;1,I1062&gt;5),"Score outside 1 to 5","")))))</f>
        <v/>
      </c>
    </row>
    <row r="1063" customFormat="false" ht="15" hidden="false" customHeight="false" outlineLevel="0" collapsed="false">
      <c r="A1063" s="52"/>
      <c r="B1063" s="53"/>
      <c r="C1063" s="53"/>
      <c r="D1063" s="53"/>
      <c r="E1063" s="54"/>
      <c r="F1063" s="55"/>
      <c r="G1063" s="55"/>
      <c r="H1063" s="55"/>
      <c r="I1063" s="56"/>
      <c r="J1063" s="53"/>
      <c r="K1063" s="53"/>
      <c r="L1063" s="57" t="str">
        <f aca="false">IF(C1063="","",IFERROR(INDEX(site_ID,MATCH(C1063,site_Name,0)),"Not on SITES"))</f>
        <v/>
      </c>
      <c r="M1063" s="58" t="str">
        <f aca="false">IF(E1063="","",DATE(YEAR(E1063),MONTH(E1063),1))</f>
        <v/>
      </c>
      <c r="N1063" s="57" t="str">
        <f aca="false">IF(E1063="","","FY"&amp;(YEAR(E1063)+IF(AND(FYStart&gt;1,MONTH(E1063)&gt;=FYStart),1,0))&amp;" Q"&amp;(INT(MOD(MONTH(E1063)-FYStart,12)/3)+1))</f>
        <v/>
      </c>
      <c r="O1063" s="59" t="str">
        <f aca="false">IF(OR(E1063="",N(F1063)=0),"",G1063/F1063)</f>
        <v/>
      </c>
      <c r="P1063" s="60" t="str">
        <f aca="false">IF(E1063="","",ROUND(N(G1063)*N(H1063)/60,1))</f>
        <v/>
      </c>
      <c r="Q1063" s="57" t="str">
        <f aca="false">IF(E1063="","",IF(COUNTIFS($C$2:C1063,C1063,$E$2:E1063,E1063,$B$2:B1063,B1063)&gt;1,"No","Yes"))</f>
        <v/>
      </c>
      <c r="R1063" s="61" t="str">
        <f aca="false">IF(E1063="","",IF(Q1063="No","Duplicate of an earlier response",IF(L1063="Not on SITES","Site not on SITES",IF(N(G1063)&gt;N(F1063),"Present is more than enrolled",IF(OR(I1063&lt;1,I1063&gt;5),"Score outside 1 to 5","")))))</f>
        <v/>
      </c>
    </row>
    <row r="1064" customFormat="false" ht="15" hidden="false" customHeight="false" outlineLevel="0" collapsed="false">
      <c r="A1064" s="52"/>
      <c r="B1064" s="53"/>
      <c r="C1064" s="53"/>
      <c r="D1064" s="53"/>
      <c r="E1064" s="54"/>
      <c r="F1064" s="55"/>
      <c r="G1064" s="55"/>
      <c r="H1064" s="55"/>
      <c r="I1064" s="56"/>
      <c r="J1064" s="53"/>
      <c r="K1064" s="53"/>
      <c r="L1064" s="57" t="str">
        <f aca="false">IF(C1064="","",IFERROR(INDEX(site_ID,MATCH(C1064,site_Name,0)),"Not on SITES"))</f>
        <v/>
      </c>
      <c r="M1064" s="58" t="str">
        <f aca="false">IF(E1064="","",DATE(YEAR(E1064),MONTH(E1064),1))</f>
        <v/>
      </c>
      <c r="N1064" s="57" t="str">
        <f aca="false">IF(E1064="","","FY"&amp;(YEAR(E1064)+IF(AND(FYStart&gt;1,MONTH(E1064)&gt;=FYStart),1,0))&amp;" Q"&amp;(INT(MOD(MONTH(E1064)-FYStart,12)/3)+1))</f>
        <v/>
      </c>
      <c r="O1064" s="59" t="str">
        <f aca="false">IF(OR(E1064="",N(F1064)=0),"",G1064/F1064)</f>
        <v/>
      </c>
      <c r="P1064" s="60" t="str">
        <f aca="false">IF(E1064="","",ROUND(N(G1064)*N(H1064)/60,1))</f>
        <v/>
      </c>
      <c r="Q1064" s="57" t="str">
        <f aca="false">IF(E1064="","",IF(COUNTIFS($C$2:C1064,C1064,$E$2:E1064,E1064,$B$2:B1064,B1064)&gt;1,"No","Yes"))</f>
        <v/>
      </c>
      <c r="R1064" s="61" t="str">
        <f aca="false">IF(E1064="","",IF(Q1064="No","Duplicate of an earlier response",IF(L1064="Not on SITES","Site not on SITES",IF(N(G1064)&gt;N(F1064),"Present is more than enrolled",IF(OR(I1064&lt;1,I1064&gt;5),"Score outside 1 to 5","")))))</f>
        <v/>
      </c>
    </row>
    <row r="1065" customFormat="false" ht="15" hidden="false" customHeight="false" outlineLevel="0" collapsed="false">
      <c r="A1065" s="52"/>
      <c r="B1065" s="53"/>
      <c r="C1065" s="53"/>
      <c r="D1065" s="53"/>
      <c r="E1065" s="54"/>
      <c r="F1065" s="55"/>
      <c r="G1065" s="55"/>
      <c r="H1065" s="55"/>
      <c r="I1065" s="56"/>
      <c r="J1065" s="53"/>
      <c r="K1065" s="53"/>
      <c r="L1065" s="57" t="str">
        <f aca="false">IF(C1065="","",IFERROR(INDEX(site_ID,MATCH(C1065,site_Name,0)),"Not on SITES"))</f>
        <v/>
      </c>
      <c r="M1065" s="58" t="str">
        <f aca="false">IF(E1065="","",DATE(YEAR(E1065),MONTH(E1065),1))</f>
        <v/>
      </c>
      <c r="N1065" s="57" t="str">
        <f aca="false">IF(E1065="","","FY"&amp;(YEAR(E1065)+IF(AND(FYStart&gt;1,MONTH(E1065)&gt;=FYStart),1,0))&amp;" Q"&amp;(INT(MOD(MONTH(E1065)-FYStart,12)/3)+1))</f>
        <v/>
      </c>
      <c r="O1065" s="59" t="str">
        <f aca="false">IF(OR(E1065="",N(F1065)=0),"",G1065/F1065)</f>
        <v/>
      </c>
      <c r="P1065" s="60" t="str">
        <f aca="false">IF(E1065="","",ROUND(N(G1065)*N(H1065)/60,1))</f>
        <v/>
      </c>
      <c r="Q1065" s="57" t="str">
        <f aca="false">IF(E1065="","",IF(COUNTIFS($C$2:C1065,C1065,$E$2:E1065,E1065,$B$2:B1065,B1065)&gt;1,"No","Yes"))</f>
        <v/>
      </c>
      <c r="R1065" s="61" t="str">
        <f aca="false">IF(E1065="","",IF(Q1065="No","Duplicate of an earlier response",IF(L1065="Not on SITES","Site not on SITES",IF(N(G1065)&gt;N(F1065),"Present is more than enrolled",IF(OR(I1065&lt;1,I1065&gt;5),"Score outside 1 to 5","")))))</f>
        <v/>
      </c>
    </row>
    <row r="1066" customFormat="false" ht="15" hidden="false" customHeight="false" outlineLevel="0" collapsed="false">
      <c r="A1066" s="52"/>
      <c r="B1066" s="53"/>
      <c r="C1066" s="53"/>
      <c r="D1066" s="53"/>
      <c r="E1066" s="54"/>
      <c r="F1066" s="55"/>
      <c r="G1066" s="55"/>
      <c r="H1066" s="55"/>
      <c r="I1066" s="56"/>
      <c r="J1066" s="53"/>
      <c r="K1066" s="53"/>
      <c r="L1066" s="57" t="str">
        <f aca="false">IF(C1066="","",IFERROR(INDEX(site_ID,MATCH(C1066,site_Name,0)),"Not on SITES"))</f>
        <v/>
      </c>
      <c r="M1066" s="58" t="str">
        <f aca="false">IF(E1066="","",DATE(YEAR(E1066),MONTH(E1066),1))</f>
        <v/>
      </c>
      <c r="N1066" s="57" t="str">
        <f aca="false">IF(E1066="","","FY"&amp;(YEAR(E1066)+IF(AND(FYStart&gt;1,MONTH(E1066)&gt;=FYStart),1,0))&amp;" Q"&amp;(INT(MOD(MONTH(E1066)-FYStart,12)/3)+1))</f>
        <v/>
      </c>
      <c r="O1066" s="59" t="str">
        <f aca="false">IF(OR(E1066="",N(F1066)=0),"",G1066/F1066)</f>
        <v/>
      </c>
      <c r="P1066" s="60" t="str">
        <f aca="false">IF(E1066="","",ROUND(N(G1066)*N(H1066)/60,1))</f>
        <v/>
      </c>
      <c r="Q1066" s="57" t="str">
        <f aca="false">IF(E1066="","",IF(COUNTIFS($C$2:C1066,C1066,$E$2:E1066,E1066,$B$2:B1066,B1066)&gt;1,"No","Yes"))</f>
        <v/>
      </c>
      <c r="R1066" s="61" t="str">
        <f aca="false">IF(E1066="","",IF(Q1066="No","Duplicate of an earlier response",IF(L1066="Not on SITES","Site not on SITES",IF(N(G1066)&gt;N(F1066),"Present is more than enrolled",IF(OR(I1066&lt;1,I1066&gt;5),"Score outside 1 to 5","")))))</f>
        <v/>
      </c>
    </row>
    <row r="1067" customFormat="false" ht="15" hidden="false" customHeight="false" outlineLevel="0" collapsed="false">
      <c r="A1067" s="52"/>
      <c r="B1067" s="53"/>
      <c r="C1067" s="53"/>
      <c r="D1067" s="53"/>
      <c r="E1067" s="54"/>
      <c r="F1067" s="55"/>
      <c r="G1067" s="55"/>
      <c r="H1067" s="55"/>
      <c r="I1067" s="56"/>
      <c r="J1067" s="53"/>
      <c r="K1067" s="53"/>
      <c r="L1067" s="57" t="str">
        <f aca="false">IF(C1067="","",IFERROR(INDEX(site_ID,MATCH(C1067,site_Name,0)),"Not on SITES"))</f>
        <v/>
      </c>
      <c r="M1067" s="58" t="str">
        <f aca="false">IF(E1067="","",DATE(YEAR(E1067),MONTH(E1067),1))</f>
        <v/>
      </c>
      <c r="N1067" s="57" t="str">
        <f aca="false">IF(E1067="","","FY"&amp;(YEAR(E1067)+IF(AND(FYStart&gt;1,MONTH(E1067)&gt;=FYStart),1,0))&amp;" Q"&amp;(INT(MOD(MONTH(E1067)-FYStart,12)/3)+1))</f>
        <v/>
      </c>
      <c r="O1067" s="59" t="str">
        <f aca="false">IF(OR(E1067="",N(F1067)=0),"",G1067/F1067)</f>
        <v/>
      </c>
      <c r="P1067" s="60" t="str">
        <f aca="false">IF(E1067="","",ROUND(N(G1067)*N(H1067)/60,1))</f>
        <v/>
      </c>
      <c r="Q1067" s="57" t="str">
        <f aca="false">IF(E1067="","",IF(COUNTIFS($C$2:C1067,C1067,$E$2:E1067,E1067,$B$2:B1067,B1067)&gt;1,"No","Yes"))</f>
        <v/>
      </c>
      <c r="R1067" s="61" t="str">
        <f aca="false">IF(E1067="","",IF(Q1067="No","Duplicate of an earlier response",IF(L1067="Not on SITES","Site not on SITES",IF(N(G1067)&gt;N(F1067),"Present is more than enrolled",IF(OR(I1067&lt;1,I1067&gt;5),"Score outside 1 to 5","")))))</f>
        <v/>
      </c>
    </row>
    <row r="1068" customFormat="false" ht="15" hidden="false" customHeight="false" outlineLevel="0" collapsed="false">
      <c r="A1068" s="52"/>
      <c r="B1068" s="53"/>
      <c r="C1068" s="53"/>
      <c r="D1068" s="53"/>
      <c r="E1068" s="54"/>
      <c r="F1068" s="55"/>
      <c r="G1068" s="55"/>
      <c r="H1068" s="55"/>
      <c r="I1068" s="56"/>
      <c r="J1068" s="53"/>
      <c r="K1068" s="53"/>
      <c r="L1068" s="57" t="str">
        <f aca="false">IF(C1068="","",IFERROR(INDEX(site_ID,MATCH(C1068,site_Name,0)),"Not on SITES"))</f>
        <v/>
      </c>
      <c r="M1068" s="58" t="str">
        <f aca="false">IF(E1068="","",DATE(YEAR(E1068),MONTH(E1068),1))</f>
        <v/>
      </c>
      <c r="N1068" s="57" t="str">
        <f aca="false">IF(E1068="","","FY"&amp;(YEAR(E1068)+IF(AND(FYStart&gt;1,MONTH(E1068)&gt;=FYStart),1,0))&amp;" Q"&amp;(INT(MOD(MONTH(E1068)-FYStart,12)/3)+1))</f>
        <v/>
      </c>
      <c r="O1068" s="59" t="str">
        <f aca="false">IF(OR(E1068="",N(F1068)=0),"",G1068/F1068)</f>
        <v/>
      </c>
      <c r="P1068" s="60" t="str">
        <f aca="false">IF(E1068="","",ROUND(N(G1068)*N(H1068)/60,1))</f>
        <v/>
      </c>
      <c r="Q1068" s="57" t="str">
        <f aca="false">IF(E1068="","",IF(COUNTIFS($C$2:C1068,C1068,$E$2:E1068,E1068,$B$2:B1068,B1068)&gt;1,"No","Yes"))</f>
        <v/>
      </c>
      <c r="R1068" s="61" t="str">
        <f aca="false">IF(E1068="","",IF(Q1068="No","Duplicate of an earlier response",IF(L1068="Not on SITES","Site not on SITES",IF(N(G1068)&gt;N(F1068),"Present is more than enrolled",IF(OR(I1068&lt;1,I1068&gt;5),"Score outside 1 to 5","")))))</f>
        <v/>
      </c>
    </row>
    <row r="1069" customFormat="false" ht="15" hidden="false" customHeight="false" outlineLevel="0" collapsed="false">
      <c r="A1069" s="52"/>
      <c r="B1069" s="53"/>
      <c r="C1069" s="53"/>
      <c r="D1069" s="53"/>
      <c r="E1069" s="54"/>
      <c r="F1069" s="55"/>
      <c r="G1069" s="55"/>
      <c r="H1069" s="55"/>
      <c r="I1069" s="56"/>
      <c r="J1069" s="53"/>
      <c r="K1069" s="53"/>
      <c r="L1069" s="57" t="str">
        <f aca="false">IF(C1069="","",IFERROR(INDEX(site_ID,MATCH(C1069,site_Name,0)),"Not on SITES"))</f>
        <v/>
      </c>
      <c r="M1069" s="58" t="str">
        <f aca="false">IF(E1069="","",DATE(YEAR(E1069),MONTH(E1069),1))</f>
        <v/>
      </c>
      <c r="N1069" s="57" t="str">
        <f aca="false">IF(E1069="","","FY"&amp;(YEAR(E1069)+IF(AND(FYStart&gt;1,MONTH(E1069)&gt;=FYStart),1,0))&amp;" Q"&amp;(INT(MOD(MONTH(E1069)-FYStart,12)/3)+1))</f>
        <v/>
      </c>
      <c r="O1069" s="59" t="str">
        <f aca="false">IF(OR(E1069="",N(F1069)=0),"",G1069/F1069)</f>
        <v/>
      </c>
      <c r="P1069" s="60" t="str">
        <f aca="false">IF(E1069="","",ROUND(N(G1069)*N(H1069)/60,1))</f>
        <v/>
      </c>
      <c r="Q1069" s="57" t="str">
        <f aca="false">IF(E1069="","",IF(COUNTIFS($C$2:C1069,C1069,$E$2:E1069,E1069,$B$2:B1069,B1069)&gt;1,"No","Yes"))</f>
        <v/>
      </c>
      <c r="R1069" s="61" t="str">
        <f aca="false">IF(E1069="","",IF(Q1069="No","Duplicate of an earlier response",IF(L1069="Not on SITES","Site not on SITES",IF(N(G1069)&gt;N(F1069),"Present is more than enrolled",IF(OR(I1069&lt;1,I1069&gt;5),"Score outside 1 to 5","")))))</f>
        <v/>
      </c>
    </row>
    <row r="1070" customFormat="false" ht="15" hidden="false" customHeight="false" outlineLevel="0" collapsed="false">
      <c r="A1070" s="52"/>
      <c r="B1070" s="53"/>
      <c r="C1070" s="53"/>
      <c r="D1070" s="53"/>
      <c r="E1070" s="54"/>
      <c r="F1070" s="55"/>
      <c r="G1070" s="55"/>
      <c r="H1070" s="55"/>
      <c r="I1070" s="56"/>
      <c r="J1070" s="53"/>
      <c r="K1070" s="53"/>
      <c r="L1070" s="57" t="str">
        <f aca="false">IF(C1070="","",IFERROR(INDEX(site_ID,MATCH(C1070,site_Name,0)),"Not on SITES"))</f>
        <v/>
      </c>
      <c r="M1070" s="58" t="str">
        <f aca="false">IF(E1070="","",DATE(YEAR(E1070),MONTH(E1070),1))</f>
        <v/>
      </c>
      <c r="N1070" s="57" t="str">
        <f aca="false">IF(E1070="","","FY"&amp;(YEAR(E1070)+IF(AND(FYStart&gt;1,MONTH(E1070)&gt;=FYStart),1,0))&amp;" Q"&amp;(INT(MOD(MONTH(E1070)-FYStart,12)/3)+1))</f>
        <v/>
      </c>
      <c r="O1070" s="59" t="str">
        <f aca="false">IF(OR(E1070="",N(F1070)=0),"",G1070/F1070)</f>
        <v/>
      </c>
      <c r="P1070" s="60" t="str">
        <f aca="false">IF(E1070="","",ROUND(N(G1070)*N(H1070)/60,1))</f>
        <v/>
      </c>
      <c r="Q1070" s="57" t="str">
        <f aca="false">IF(E1070="","",IF(COUNTIFS($C$2:C1070,C1070,$E$2:E1070,E1070,$B$2:B1070,B1070)&gt;1,"No","Yes"))</f>
        <v/>
      </c>
      <c r="R1070" s="61" t="str">
        <f aca="false">IF(E1070="","",IF(Q1070="No","Duplicate of an earlier response",IF(L1070="Not on SITES","Site not on SITES",IF(N(G1070)&gt;N(F1070),"Present is more than enrolled",IF(OR(I1070&lt;1,I1070&gt;5),"Score outside 1 to 5","")))))</f>
        <v/>
      </c>
    </row>
    <row r="1071" customFormat="false" ht="15" hidden="false" customHeight="false" outlineLevel="0" collapsed="false">
      <c r="A1071" s="52"/>
      <c r="B1071" s="53"/>
      <c r="C1071" s="53"/>
      <c r="D1071" s="53"/>
      <c r="E1071" s="54"/>
      <c r="F1071" s="55"/>
      <c r="G1071" s="55"/>
      <c r="H1071" s="55"/>
      <c r="I1071" s="56"/>
      <c r="J1071" s="53"/>
      <c r="K1071" s="53"/>
      <c r="L1071" s="57" t="str">
        <f aca="false">IF(C1071="","",IFERROR(INDEX(site_ID,MATCH(C1071,site_Name,0)),"Not on SITES"))</f>
        <v/>
      </c>
      <c r="M1071" s="58" t="str">
        <f aca="false">IF(E1071="","",DATE(YEAR(E1071),MONTH(E1071),1))</f>
        <v/>
      </c>
      <c r="N1071" s="57" t="str">
        <f aca="false">IF(E1071="","","FY"&amp;(YEAR(E1071)+IF(AND(FYStart&gt;1,MONTH(E1071)&gt;=FYStart),1,0))&amp;" Q"&amp;(INT(MOD(MONTH(E1071)-FYStart,12)/3)+1))</f>
        <v/>
      </c>
      <c r="O1071" s="59" t="str">
        <f aca="false">IF(OR(E1071="",N(F1071)=0),"",G1071/F1071)</f>
        <v/>
      </c>
      <c r="P1071" s="60" t="str">
        <f aca="false">IF(E1071="","",ROUND(N(G1071)*N(H1071)/60,1))</f>
        <v/>
      </c>
      <c r="Q1071" s="57" t="str">
        <f aca="false">IF(E1071="","",IF(COUNTIFS($C$2:C1071,C1071,$E$2:E1071,E1071,$B$2:B1071,B1071)&gt;1,"No","Yes"))</f>
        <v/>
      </c>
      <c r="R1071" s="61" t="str">
        <f aca="false">IF(E1071="","",IF(Q1071="No","Duplicate of an earlier response",IF(L1071="Not on SITES","Site not on SITES",IF(N(G1071)&gt;N(F1071),"Present is more than enrolled",IF(OR(I1071&lt;1,I1071&gt;5),"Score outside 1 to 5","")))))</f>
        <v/>
      </c>
    </row>
    <row r="1072" customFormat="false" ht="15" hidden="false" customHeight="false" outlineLevel="0" collapsed="false">
      <c r="A1072" s="52"/>
      <c r="B1072" s="53"/>
      <c r="C1072" s="53"/>
      <c r="D1072" s="53"/>
      <c r="E1072" s="54"/>
      <c r="F1072" s="55"/>
      <c r="G1072" s="55"/>
      <c r="H1072" s="55"/>
      <c r="I1072" s="56"/>
      <c r="J1072" s="53"/>
      <c r="K1072" s="53"/>
      <c r="L1072" s="57" t="str">
        <f aca="false">IF(C1072="","",IFERROR(INDEX(site_ID,MATCH(C1072,site_Name,0)),"Not on SITES"))</f>
        <v/>
      </c>
      <c r="M1072" s="58" t="str">
        <f aca="false">IF(E1072="","",DATE(YEAR(E1072),MONTH(E1072),1))</f>
        <v/>
      </c>
      <c r="N1072" s="57" t="str">
        <f aca="false">IF(E1072="","","FY"&amp;(YEAR(E1072)+IF(AND(FYStart&gt;1,MONTH(E1072)&gt;=FYStart),1,0))&amp;" Q"&amp;(INT(MOD(MONTH(E1072)-FYStart,12)/3)+1))</f>
        <v/>
      </c>
      <c r="O1072" s="59" t="str">
        <f aca="false">IF(OR(E1072="",N(F1072)=0),"",G1072/F1072)</f>
        <v/>
      </c>
      <c r="P1072" s="60" t="str">
        <f aca="false">IF(E1072="","",ROUND(N(G1072)*N(H1072)/60,1))</f>
        <v/>
      </c>
      <c r="Q1072" s="57" t="str">
        <f aca="false">IF(E1072="","",IF(COUNTIFS($C$2:C1072,C1072,$E$2:E1072,E1072,$B$2:B1072,B1072)&gt;1,"No","Yes"))</f>
        <v/>
      </c>
      <c r="R1072" s="61" t="str">
        <f aca="false">IF(E1072="","",IF(Q1072="No","Duplicate of an earlier response",IF(L1072="Not on SITES","Site not on SITES",IF(N(G1072)&gt;N(F1072),"Present is more than enrolled",IF(OR(I1072&lt;1,I1072&gt;5),"Score outside 1 to 5","")))))</f>
        <v/>
      </c>
    </row>
    <row r="1073" customFormat="false" ht="15" hidden="false" customHeight="false" outlineLevel="0" collapsed="false">
      <c r="A1073" s="52"/>
      <c r="B1073" s="53"/>
      <c r="C1073" s="53"/>
      <c r="D1073" s="53"/>
      <c r="E1073" s="54"/>
      <c r="F1073" s="55"/>
      <c r="G1073" s="55"/>
      <c r="H1073" s="55"/>
      <c r="I1073" s="56"/>
      <c r="J1073" s="53"/>
      <c r="K1073" s="53"/>
      <c r="L1073" s="57" t="str">
        <f aca="false">IF(C1073="","",IFERROR(INDEX(site_ID,MATCH(C1073,site_Name,0)),"Not on SITES"))</f>
        <v/>
      </c>
      <c r="M1073" s="58" t="str">
        <f aca="false">IF(E1073="","",DATE(YEAR(E1073),MONTH(E1073),1))</f>
        <v/>
      </c>
      <c r="N1073" s="57" t="str">
        <f aca="false">IF(E1073="","","FY"&amp;(YEAR(E1073)+IF(AND(FYStart&gt;1,MONTH(E1073)&gt;=FYStart),1,0))&amp;" Q"&amp;(INT(MOD(MONTH(E1073)-FYStart,12)/3)+1))</f>
        <v/>
      </c>
      <c r="O1073" s="59" t="str">
        <f aca="false">IF(OR(E1073="",N(F1073)=0),"",G1073/F1073)</f>
        <v/>
      </c>
      <c r="P1073" s="60" t="str">
        <f aca="false">IF(E1073="","",ROUND(N(G1073)*N(H1073)/60,1))</f>
        <v/>
      </c>
      <c r="Q1073" s="57" t="str">
        <f aca="false">IF(E1073="","",IF(COUNTIFS($C$2:C1073,C1073,$E$2:E1073,E1073,$B$2:B1073,B1073)&gt;1,"No","Yes"))</f>
        <v/>
      </c>
      <c r="R1073" s="61" t="str">
        <f aca="false">IF(E1073="","",IF(Q1073="No","Duplicate of an earlier response",IF(L1073="Not on SITES","Site not on SITES",IF(N(G1073)&gt;N(F1073),"Present is more than enrolled",IF(OR(I1073&lt;1,I1073&gt;5),"Score outside 1 to 5","")))))</f>
        <v/>
      </c>
    </row>
    <row r="1074" customFormat="false" ht="15" hidden="false" customHeight="false" outlineLevel="0" collapsed="false">
      <c r="A1074" s="52"/>
      <c r="B1074" s="53"/>
      <c r="C1074" s="53"/>
      <c r="D1074" s="53"/>
      <c r="E1074" s="54"/>
      <c r="F1074" s="55"/>
      <c r="G1074" s="55"/>
      <c r="H1074" s="55"/>
      <c r="I1074" s="56"/>
      <c r="J1074" s="53"/>
      <c r="K1074" s="53"/>
      <c r="L1074" s="57" t="str">
        <f aca="false">IF(C1074="","",IFERROR(INDEX(site_ID,MATCH(C1074,site_Name,0)),"Not on SITES"))</f>
        <v/>
      </c>
      <c r="M1074" s="58" t="str">
        <f aca="false">IF(E1074="","",DATE(YEAR(E1074),MONTH(E1074),1))</f>
        <v/>
      </c>
      <c r="N1074" s="57" t="str">
        <f aca="false">IF(E1074="","","FY"&amp;(YEAR(E1074)+IF(AND(FYStart&gt;1,MONTH(E1074)&gt;=FYStart),1,0))&amp;" Q"&amp;(INT(MOD(MONTH(E1074)-FYStart,12)/3)+1))</f>
        <v/>
      </c>
      <c r="O1074" s="59" t="str">
        <f aca="false">IF(OR(E1074="",N(F1074)=0),"",G1074/F1074)</f>
        <v/>
      </c>
      <c r="P1074" s="60" t="str">
        <f aca="false">IF(E1074="","",ROUND(N(G1074)*N(H1074)/60,1))</f>
        <v/>
      </c>
      <c r="Q1074" s="57" t="str">
        <f aca="false">IF(E1074="","",IF(COUNTIFS($C$2:C1074,C1074,$E$2:E1074,E1074,$B$2:B1074,B1074)&gt;1,"No","Yes"))</f>
        <v/>
      </c>
      <c r="R1074" s="61" t="str">
        <f aca="false">IF(E1074="","",IF(Q1074="No","Duplicate of an earlier response",IF(L1074="Not on SITES","Site not on SITES",IF(N(G1074)&gt;N(F1074),"Present is more than enrolled",IF(OR(I1074&lt;1,I1074&gt;5),"Score outside 1 to 5","")))))</f>
        <v/>
      </c>
    </row>
    <row r="1075" customFormat="false" ht="15" hidden="false" customHeight="false" outlineLevel="0" collapsed="false">
      <c r="A1075" s="52"/>
      <c r="B1075" s="53"/>
      <c r="C1075" s="53"/>
      <c r="D1075" s="53"/>
      <c r="E1075" s="54"/>
      <c r="F1075" s="55"/>
      <c r="G1075" s="55"/>
      <c r="H1075" s="55"/>
      <c r="I1075" s="56"/>
      <c r="J1075" s="53"/>
      <c r="K1075" s="53"/>
      <c r="L1075" s="57" t="str">
        <f aca="false">IF(C1075="","",IFERROR(INDEX(site_ID,MATCH(C1075,site_Name,0)),"Not on SITES"))</f>
        <v/>
      </c>
      <c r="M1075" s="58" t="str">
        <f aca="false">IF(E1075="","",DATE(YEAR(E1075),MONTH(E1075),1))</f>
        <v/>
      </c>
      <c r="N1075" s="57" t="str">
        <f aca="false">IF(E1075="","","FY"&amp;(YEAR(E1075)+IF(AND(FYStart&gt;1,MONTH(E1075)&gt;=FYStart),1,0))&amp;" Q"&amp;(INT(MOD(MONTH(E1075)-FYStart,12)/3)+1))</f>
        <v/>
      </c>
      <c r="O1075" s="59" t="str">
        <f aca="false">IF(OR(E1075="",N(F1075)=0),"",G1075/F1075)</f>
        <v/>
      </c>
      <c r="P1075" s="60" t="str">
        <f aca="false">IF(E1075="","",ROUND(N(G1075)*N(H1075)/60,1))</f>
        <v/>
      </c>
      <c r="Q1075" s="57" t="str">
        <f aca="false">IF(E1075="","",IF(COUNTIFS($C$2:C1075,C1075,$E$2:E1075,E1075,$B$2:B1075,B1075)&gt;1,"No","Yes"))</f>
        <v/>
      </c>
      <c r="R1075" s="61" t="str">
        <f aca="false">IF(E1075="","",IF(Q1075="No","Duplicate of an earlier response",IF(L1075="Not on SITES","Site not on SITES",IF(N(G1075)&gt;N(F1075),"Present is more than enrolled",IF(OR(I1075&lt;1,I1075&gt;5),"Score outside 1 to 5","")))))</f>
        <v/>
      </c>
    </row>
    <row r="1076" customFormat="false" ht="15" hidden="false" customHeight="false" outlineLevel="0" collapsed="false">
      <c r="A1076" s="52"/>
      <c r="B1076" s="53"/>
      <c r="C1076" s="53"/>
      <c r="D1076" s="53"/>
      <c r="E1076" s="54"/>
      <c r="F1076" s="55"/>
      <c r="G1076" s="55"/>
      <c r="H1076" s="55"/>
      <c r="I1076" s="56"/>
      <c r="J1076" s="53"/>
      <c r="K1076" s="53"/>
      <c r="L1076" s="57" t="str">
        <f aca="false">IF(C1076="","",IFERROR(INDEX(site_ID,MATCH(C1076,site_Name,0)),"Not on SITES"))</f>
        <v/>
      </c>
      <c r="M1076" s="58" t="str">
        <f aca="false">IF(E1076="","",DATE(YEAR(E1076),MONTH(E1076),1))</f>
        <v/>
      </c>
      <c r="N1076" s="57" t="str">
        <f aca="false">IF(E1076="","","FY"&amp;(YEAR(E1076)+IF(AND(FYStart&gt;1,MONTH(E1076)&gt;=FYStart),1,0))&amp;" Q"&amp;(INT(MOD(MONTH(E1076)-FYStart,12)/3)+1))</f>
        <v/>
      </c>
      <c r="O1076" s="59" t="str">
        <f aca="false">IF(OR(E1076="",N(F1076)=0),"",G1076/F1076)</f>
        <v/>
      </c>
      <c r="P1076" s="60" t="str">
        <f aca="false">IF(E1076="","",ROUND(N(G1076)*N(H1076)/60,1))</f>
        <v/>
      </c>
      <c r="Q1076" s="57" t="str">
        <f aca="false">IF(E1076="","",IF(COUNTIFS($C$2:C1076,C1076,$E$2:E1076,E1076,$B$2:B1076,B1076)&gt;1,"No","Yes"))</f>
        <v/>
      </c>
      <c r="R1076" s="61" t="str">
        <f aca="false">IF(E1076="","",IF(Q1076="No","Duplicate of an earlier response",IF(L1076="Not on SITES","Site not on SITES",IF(N(G1076)&gt;N(F1076),"Present is more than enrolled",IF(OR(I1076&lt;1,I1076&gt;5),"Score outside 1 to 5","")))))</f>
        <v/>
      </c>
    </row>
    <row r="1077" customFormat="false" ht="15" hidden="false" customHeight="false" outlineLevel="0" collapsed="false">
      <c r="A1077" s="52"/>
      <c r="B1077" s="53"/>
      <c r="C1077" s="53"/>
      <c r="D1077" s="53"/>
      <c r="E1077" s="54"/>
      <c r="F1077" s="55"/>
      <c r="G1077" s="55"/>
      <c r="H1077" s="55"/>
      <c r="I1077" s="56"/>
      <c r="J1077" s="53"/>
      <c r="K1077" s="53"/>
      <c r="L1077" s="57" t="str">
        <f aca="false">IF(C1077="","",IFERROR(INDEX(site_ID,MATCH(C1077,site_Name,0)),"Not on SITES"))</f>
        <v/>
      </c>
      <c r="M1077" s="58" t="str">
        <f aca="false">IF(E1077="","",DATE(YEAR(E1077),MONTH(E1077),1))</f>
        <v/>
      </c>
      <c r="N1077" s="57" t="str">
        <f aca="false">IF(E1077="","","FY"&amp;(YEAR(E1077)+IF(AND(FYStart&gt;1,MONTH(E1077)&gt;=FYStart),1,0))&amp;" Q"&amp;(INT(MOD(MONTH(E1077)-FYStart,12)/3)+1))</f>
        <v/>
      </c>
      <c r="O1077" s="59" t="str">
        <f aca="false">IF(OR(E1077="",N(F1077)=0),"",G1077/F1077)</f>
        <v/>
      </c>
      <c r="P1077" s="60" t="str">
        <f aca="false">IF(E1077="","",ROUND(N(G1077)*N(H1077)/60,1))</f>
        <v/>
      </c>
      <c r="Q1077" s="57" t="str">
        <f aca="false">IF(E1077="","",IF(COUNTIFS($C$2:C1077,C1077,$E$2:E1077,E1077,$B$2:B1077,B1077)&gt;1,"No","Yes"))</f>
        <v/>
      </c>
      <c r="R1077" s="61" t="str">
        <f aca="false">IF(E1077="","",IF(Q1077="No","Duplicate of an earlier response",IF(L1077="Not on SITES","Site not on SITES",IF(N(G1077)&gt;N(F1077),"Present is more than enrolled",IF(OR(I1077&lt;1,I1077&gt;5),"Score outside 1 to 5","")))))</f>
        <v/>
      </c>
    </row>
    <row r="1078" customFormat="false" ht="15" hidden="false" customHeight="false" outlineLevel="0" collapsed="false">
      <c r="A1078" s="52"/>
      <c r="B1078" s="53"/>
      <c r="C1078" s="53"/>
      <c r="D1078" s="53"/>
      <c r="E1078" s="54"/>
      <c r="F1078" s="55"/>
      <c r="G1078" s="55"/>
      <c r="H1078" s="55"/>
      <c r="I1078" s="56"/>
      <c r="J1078" s="53"/>
      <c r="K1078" s="53"/>
      <c r="L1078" s="57" t="str">
        <f aca="false">IF(C1078="","",IFERROR(INDEX(site_ID,MATCH(C1078,site_Name,0)),"Not on SITES"))</f>
        <v/>
      </c>
      <c r="M1078" s="58" t="str">
        <f aca="false">IF(E1078="","",DATE(YEAR(E1078),MONTH(E1078),1))</f>
        <v/>
      </c>
      <c r="N1078" s="57" t="str">
        <f aca="false">IF(E1078="","","FY"&amp;(YEAR(E1078)+IF(AND(FYStart&gt;1,MONTH(E1078)&gt;=FYStart),1,0))&amp;" Q"&amp;(INT(MOD(MONTH(E1078)-FYStart,12)/3)+1))</f>
        <v/>
      </c>
      <c r="O1078" s="59" t="str">
        <f aca="false">IF(OR(E1078="",N(F1078)=0),"",G1078/F1078)</f>
        <v/>
      </c>
      <c r="P1078" s="60" t="str">
        <f aca="false">IF(E1078="","",ROUND(N(G1078)*N(H1078)/60,1))</f>
        <v/>
      </c>
      <c r="Q1078" s="57" t="str">
        <f aca="false">IF(E1078="","",IF(COUNTIFS($C$2:C1078,C1078,$E$2:E1078,E1078,$B$2:B1078,B1078)&gt;1,"No","Yes"))</f>
        <v/>
      </c>
      <c r="R1078" s="61" t="str">
        <f aca="false">IF(E1078="","",IF(Q1078="No","Duplicate of an earlier response",IF(L1078="Not on SITES","Site not on SITES",IF(N(G1078)&gt;N(F1078),"Present is more than enrolled",IF(OR(I1078&lt;1,I1078&gt;5),"Score outside 1 to 5","")))))</f>
        <v/>
      </c>
    </row>
    <row r="1079" customFormat="false" ht="15" hidden="false" customHeight="false" outlineLevel="0" collapsed="false">
      <c r="A1079" s="52"/>
      <c r="B1079" s="53"/>
      <c r="C1079" s="53"/>
      <c r="D1079" s="53"/>
      <c r="E1079" s="54"/>
      <c r="F1079" s="55"/>
      <c r="G1079" s="55"/>
      <c r="H1079" s="55"/>
      <c r="I1079" s="56"/>
      <c r="J1079" s="53"/>
      <c r="K1079" s="53"/>
      <c r="L1079" s="57" t="str">
        <f aca="false">IF(C1079="","",IFERROR(INDEX(site_ID,MATCH(C1079,site_Name,0)),"Not on SITES"))</f>
        <v/>
      </c>
      <c r="M1079" s="58" t="str">
        <f aca="false">IF(E1079="","",DATE(YEAR(E1079),MONTH(E1079),1))</f>
        <v/>
      </c>
      <c r="N1079" s="57" t="str">
        <f aca="false">IF(E1079="","","FY"&amp;(YEAR(E1079)+IF(AND(FYStart&gt;1,MONTH(E1079)&gt;=FYStart),1,0))&amp;" Q"&amp;(INT(MOD(MONTH(E1079)-FYStart,12)/3)+1))</f>
        <v/>
      </c>
      <c r="O1079" s="59" t="str">
        <f aca="false">IF(OR(E1079="",N(F1079)=0),"",G1079/F1079)</f>
        <v/>
      </c>
      <c r="P1079" s="60" t="str">
        <f aca="false">IF(E1079="","",ROUND(N(G1079)*N(H1079)/60,1))</f>
        <v/>
      </c>
      <c r="Q1079" s="57" t="str">
        <f aca="false">IF(E1079="","",IF(COUNTIFS($C$2:C1079,C1079,$E$2:E1079,E1079,$B$2:B1079,B1079)&gt;1,"No","Yes"))</f>
        <v/>
      </c>
      <c r="R1079" s="61" t="str">
        <f aca="false">IF(E1079="","",IF(Q1079="No","Duplicate of an earlier response",IF(L1079="Not on SITES","Site not on SITES",IF(N(G1079)&gt;N(F1079),"Present is more than enrolled",IF(OR(I1079&lt;1,I1079&gt;5),"Score outside 1 to 5","")))))</f>
        <v/>
      </c>
    </row>
    <row r="1080" customFormat="false" ht="15" hidden="false" customHeight="false" outlineLevel="0" collapsed="false">
      <c r="A1080" s="52"/>
      <c r="B1080" s="53"/>
      <c r="C1080" s="53"/>
      <c r="D1080" s="53"/>
      <c r="E1080" s="54"/>
      <c r="F1080" s="55"/>
      <c r="G1080" s="55"/>
      <c r="H1080" s="55"/>
      <c r="I1080" s="56"/>
      <c r="J1080" s="53"/>
      <c r="K1080" s="53"/>
      <c r="L1080" s="57" t="str">
        <f aca="false">IF(C1080="","",IFERROR(INDEX(site_ID,MATCH(C1080,site_Name,0)),"Not on SITES"))</f>
        <v/>
      </c>
      <c r="M1080" s="58" t="str">
        <f aca="false">IF(E1080="","",DATE(YEAR(E1080),MONTH(E1080),1))</f>
        <v/>
      </c>
      <c r="N1080" s="57" t="str">
        <f aca="false">IF(E1080="","","FY"&amp;(YEAR(E1080)+IF(AND(FYStart&gt;1,MONTH(E1080)&gt;=FYStart),1,0))&amp;" Q"&amp;(INT(MOD(MONTH(E1080)-FYStart,12)/3)+1))</f>
        <v/>
      </c>
      <c r="O1080" s="59" t="str">
        <f aca="false">IF(OR(E1080="",N(F1080)=0),"",G1080/F1080)</f>
        <v/>
      </c>
      <c r="P1080" s="60" t="str">
        <f aca="false">IF(E1080="","",ROUND(N(G1080)*N(H1080)/60,1))</f>
        <v/>
      </c>
      <c r="Q1080" s="57" t="str">
        <f aca="false">IF(E1080="","",IF(COUNTIFS($C$2:C1080,C1080,$E$2:E1080,E1080,$B$2:B1080,B1080)&gt;1,"No","Yes"))</f>
        <v/>
      </c>
      <c r="R1080" s="61" t="str">
        <f aca="false">IF(E1080="","",IF(Q1080="No","Duplicate of an earlier response",IF(L1080="Not on SITES","Site not on SITES",IF(N(G1080)&gt;N(F1080),"Present is more than enrolled",IF(OR(I1080&lt;1,I1080&gt;5),"Score outside 1 to 5","")))))</f>
        <v/>
      </c>
    </row>
    <row r="1081" customFormat="false" ht="15" hidden="false" customHeight="false" outlineLevel="0" collapsed="false">
      <c r="A1081" s="52"/>
      <c r="B1081" s="53"/>
      <c r="C1081" s="53"/>
      <c r="D1081" s="53"/>
      <c r="E1081" s="54"/>
      <c r="F1081" s="55"/>
      <c r="G1081" s="55"/>
      <c r="H1081" s="55"/>
      <c r="I1081" s="56"/>
      <c r="J1081" s="53"/>
      <c r="K1081" s="53"/>
      <c r="L1081" s="57" t="str">
        <f aca="false">IF(C1081="","",IFERROR(INDEX(site_ID,MATCH(C1081,site_Name,0)),"Not on SITES"))</f>
        <v/>
      </c>
      <c r="M1081" s="58" t="str">
        <f aca="false">IF(E1081="","",DATE(YEAR(E1081),MONTH(E1081),1))</f>
        <v/>
      </c>
      <c r="N1081" s="57" t="str">
        <f aca="false">IF(E1081="","","FY"&amp;(YEAR(E1081)+IF(AND(FYStart&gt;1,MONTH(E1081)&gt;=FYStart),1,0))&amp;" Q"&amp;(INT(MOD(MONTH(E1081)-FYStart,12)/3)+1))</f>
        <v/>
      </c>
      <c r="O1081" s="59" t="str">
        <f aca="false">IF(OR(E1081="",N(F1081)=0),"",G1081/F1081)</f>
        <v/>
      </c>
      <c r="P1081" s="60" t="str">
        <f aca="false">IF(E1081="","",ROUND(N(G1081)*N(H1081)/60,1))</f>
        <v/>
      </c>
      <c r="Q1081" s="57" t="str">
        <f aca="false">IF(E1081="","",IF(COUNTIFS($C$2:C1081,C1081,$E$2:E1081,E1081,$B$2:B1081,B1081)&gt;1,"No","Yes"))</f>
        <v/>
      </c>
      <c r="R1081" s="61" t="str">
        <f aca="false">IF(E1081="","",IF(Q1081="No","Duplicate of an earlier response",IF(L1081="Not on SITES","Site not on SITES",IF(N(G1081)&gt;N(F1081),"Present is more than enrolled",IF(OR(I1081&lt;1,I1081&gt;5),"Score outside 1 to 5","")))))</f>
        <v/>
      </c>
    </row>
    <row r="1082" customFormat="false" ht="15" hidden="false" customHeight="false" outlineLevel="0" collapsed="false">
      <c r="A1082" s="52"/>
      <c r="B1082" s="53"/>
      <c r="C1082" s="53"/>
      <c r="D1082" s="53"/>
      <c r="E1082" s="54"/>
      <c r="F1082" s="55"/>
      <c r="G1082" s="55"/>
      <c r="H1082" s="55"/>
      <c r="I1082" s="56"/>
      <c r="J1082" s="53"/>
      <c r="K1082" s="53"/>
      <c r="L1082" s="57" t="str">
        <f aca="false">IF(C1082="","",IFERROR(INDEX(site_ID,MATCH(C1082,site_Name,0)),"Not on SITES"))</f>
        <v/>
      </c>
      <c r="M1082" s="58" t="str">
        <f aca="false">IF(E1082="","",DATE(YEAR(E1082),MONTH(E1082),1))</f>
        <v/>
      </c>
      <c r="N1082" s="57" t="str">
        <f aca="false">IF(E1082="","","FY"&amp;(YEAR(E1082)+IF(AND(FYStart&gt;1,MONTH(E1082)&gt;=FYStart),1,0))&amp;" Q"&amp;(INT(MOD(MONTH(E1082)-FYStart,12)/3)+1))</f>
        <v/>
      </c>
      <c r="O1082" s="59" t="str">
        <f aca="false">IF(OR(E1082="",N(F1082)=0),"",G1082/F1082)</f>
        <v/>
      </c>
      <c r="P1082" s="60" t="str">
        <f aca="false">IF(E1082="","",ROUND(N(G1082)*N(H1082)/60,1))</f>
        <v/>
      </c>
      <c r="Q1082" s="57" t="str">
        <f aca="false">IF(E1082="","",IF(COUNTIFS($C$2:C1082,C1082,$E$2:E1082,E1082,$B$2:B1082,B1082)&gt;1,"No","Yes"))</f>
        <v/>
      </c>
      <c r="R1082" s="61" t="str">
        <f aca="false">IF(E1082="","",IF(Q1082="No","Duplicate of an earlier response",IF(L1082="Not on SITES","Site not on SITES",IF(N(G1082)&gt;N(F1082),"Present is more than enrolled",IF(OR(I1082&lt;1,I1082&gt;5),"Score outside 1 to 5","")))))</f>
        <v/>
      </c>
    </row>
    <row r="1083" customFormat="false" ht="15" hidden="false" customHeight="false" outlineLevel="0" collapsed="false">
      <c r="A1083" s="52"/>
      <c r="B1083" s="53"/>
      <c r="C1083" s="53"/>
      <c r="D1083" s="53"/>
      <c r="E1083" s="54"/>
      <c r="F1083" s="55"/>
      <c r="G1083" s="55"/>
      <c r="H1083" s="55"/>
      <c r="I1083" s="56"/>
      <c r="J1083" s="53"/>
      <c r="K1083" s="53"/>
      <c r="L1083" s="57" t="str">
        <f aca="false">IF(C1083="","",IFERROR(INDEX(site_ID,MATCH(C1083,site_Name,0)),"Not on SITES"))</f>
        <v/>
      </c>
      <c r="M1083" s="58" t="str">
        <f aca="false">IF(E1083="","",DATE(YEAR(E1083),MONTH(E1083),1))</f>
        <v/>
      </c>
      <c r="N1083" s="57" t="str">
        <f aca="false">IF(E1083="","","FY"&amp;(YEAR(E1083)+IF(AND(FYStart&gt;1,MONTH(E1083)&gt;=FYStart),1,0))&amp;" Q"&amp;(INT(MOD(MONTH(E1083)-FYStart,12)/3)+1))</f>
        <v/>
      </c>
      <c r="O1083" s="59" t="str">
        <f aca="false">IF(OR(E1083="",N(F1083)=0),"",G1083/F1083)</f>
        <v/>
      </c>
      <c r="P1083" s="60" t="str">
        <f aca="false">IF(E1083="","",ROUND(N(G1083)*N(H1083)/60,1))</f>
        <v/>
      </c>
      <c r="Q1083" s="57" t="str">
        <f aca="false">IF(E1083="","",IF(COUNTIFS($C$2:C1083,C1083,$E$2:E1083,E1083,$B$2:B1083,B1083)&gt;1,"No","Yes"))</f>
        <v/>
      </c>
      <c r="R1083" s="61" t="str">
        <f aca="false">IF(E1083="","",IF(Q1083="No","Duplicate of an earlier response",IF(L1083="Not on SITES","Site not on SITES",IF(N(G1083)&gt;N(F1083),"Present is more than enrolled",IF(OR(I1083&lt;1,I1083&gt;5),"Score outside 1 to 5","")))))</f>
        <v/>
      </c>
    </row>
    <row r="1084" customFormat="false" ht="15" hidden="false" customHeight="false" outlineLevel="0" collapsed="false">
      <c r="A1084" s="52"/>
      <c r="B1084" s="53"/>
      <c r="C1084" s="53"/>
      <c r="D1084" s="53"/>
      <c r="E1084" s="54"/>
      <c r="F1084" s="55"/>
      <c r="G1084" s="55"/>
      <c r="H1084" s="55"/>
      <c r="I1084" s="56"/>
      <c r="J1084" s="53"/>
      <c r="K1084" s="53"/>
      <c r="L1084" s="57" t="str">
        <f aca="false">IF(C1084="","",IFERROR(INDEX(site_ID,MATCH(C1084,site_Name,0)),"Not on SITES"))</f>
        <v/>
      </c>
      <c r="M1084" s="58" t="str">
        <f aca="false">IF(E1084="","",DATE(YEAR(E1084),MONTH(E1084),1))</f>
        <v/>
      </c>
      <c r="N1084" s="57" t="str">
        <f aca="false">IF(E1084="","","FY"&amp;(YEAR(E1084)+IF(AND(FYStart&gt;1,MONTH(E1084)&gt;=FYStart),1,0))&amp;" Q"&amp;(INT(MOD(MONTH(E1084)-FYStart,12)/3)+1))</f>
        <v/>
      </c>
      <c r="O1084" s="59" t="str">
        <f aca="false">IF(OR(E1084="",N(F1084)=0),"",G1084/F1084)</f>
        <v/>
      </c>
      <c r="P1084" s="60" t="str">
        <f aca="false">IF(E1084="","",ROUND(N(G1084)*N(H1084)/60,1))</f>
        <v/>
      </c>
      <c r="Q1084" s="57" t="str">
        <f aca="false">IF(E1084="","",IF(COUNTIFS($C$2:C1084,C1084,$E$2:E1084,E1084,$B$2:B1084,B1084)&gt;1,"No","Yes"))</f>
        <v/>
      </c>
      <c r="R1084" s="61" t="str">
        <f aca="false">IF(E1084="","",IF(Q1084="No","Duplicate of an earlier response",IF(L1084="Not on SITES","Site not on SITES",IF(N(G1084)&gt;N(F1084),"Present is more than enrolled",IF(OR(I1084&lt;1,I1084&gt;5),"Score outside 1 to 5","")))))</f>
        <v/>
      </c>
    </row>
    <row r="1085" customFormat="false" ht="15" hidden="false" customHeight="false" outlineLevel="0" collapsed="false">
      <c r="A1085" s="52"/>
      <c r="B1085" s="53"/>
      <c r="C1085" s="53"/>
      <c r="D1085" s="53"/>
      <c r="E1085" s="54"/>
      <c r="F1085" s="55"/>
      <c r="G1085" s="55"/>
      <c r="H1085" s="55"/>
      <c r="I1085" s="56"/>
      <c r="J1085" s="53"/>
      <c r="K1085" s="53"/>
      <c r="L1085" s="57" t="str">
        <f aca="false">IF(C1085="","",IFERROR(INDEX(site_ID,MATCH(C1085,site_Name,0)),"Not on SITES"))</f>
        <v/>
      </c>
      <c r="M1085" s="58" t="str">
        <f aca="false">IF(E1085="","",DATE(YEAR(E1085),MONTH(E1085),1))</f>
        <v/>
      </c>
      <c r="N1085" s="57" t="str">
        <f aca="false">IF(E1085="","","FY"&amp;(YEAR(E1085)+IF(AND(FYStart&gt;1,MONTH(E1085)&gt;=FYStart),1,0))&amp;" Q"&amp;(INT(MOD(MONTH(E1085)-FYStart,12)/3)+1))</f>
        <v/>
      </c>
      <c r="O1085" s="59" t="str">
        <f aca="false">IF(OR(E1085="",N(F1085)=0),"",G1085/F1085)</f>
        <v/>
      </c>
      <c r="P1085" s="60" t="str">
        <f aca="false">IF(E1085="","",ROUND(N(G1085)*N(H1085)/60,1))</f>
        <v/>
      </c>
      <c r="Q1085" s="57" t="str">
        <f aca="false">IF(E1085="","",IF(COUNTIFS($C$2:C1085,C1085,$E$2:E1085,E1085,$B$2:B1085,B1085)&gt;1,"No","Yes"))</f>
        <v/>
      </c>
      <c r="R1085" s="61" t="str">
        <f aca="false">IF(E1085="","",IF(Q1085="No","Duplicate of an earlier response",IF(L1085="Not on SITES","Site not on SITES",IF(N(G1085)&gt;N(F1085),"Present is more than enrolled",IF(OR(I1085&lt;1,I1085&gt;5),"Score outside 1 to 5","")))))</f>
        <v/>
      </c>
    </row>
    <row r="1086" customFormat="false" ht="15" hidden="false" customHeight="false" outlineLevel="0" collapsed="false">
      <c r="A1086" s="52"/>
      <c r="B1086" s="53"/>
      <c r="C1086" s="53"/>
      <c r="D1086" s="53"/>
      <c r="E1086" s="54"/>
      <c r="F1086" s="55"/>
      <c r="G1086" s="55"/>
      <c r="H1086" s="55"/>
      <c r="I1086" s="56"/>
      <c r="J1086" s="53"/>
      <c r="K1086" s="53"/>
      <c r="L1086" s="57" t="str">
        <f aca="false">IF(C1086="","",IFERROR(INDEX(site_ID,MATCH(C1086,site_Name,0)),"Not on SITES"))</f>
        <v/>
      </c>
      <c r="M1086" s="58" t="str">
        <f aca="false">IF(E1086="","",DATE(YEAR(E1086),MONTH(E1086),1))</f>
        <v/>
      </c>
      <c r="N1086" s="57" t="str">
        <f aca="false">IF(E1086="","","FY"&amp;(YEAR(E1086)+IF(AND(FYStart&gt;1,MONTH(E1086)&gt;=FYStart),1,0))&amp;" Q"&amp;(INT(MOD(MONTH(E1086)-FYStart,12)/3)+1))</f>
        <v/>
      </c>
      <c r="O1086" s="59" t="str">
        <f aca="false">IF(OR(E1086="",N(F1086)=0),"",G1086/F1086)</f>
        <v/>
      </c>
      <c r="P1086" s="60" t="str">
        <f aca="false">IF(E1086="","",ROUND(N(G1086)*N(H1086)/60,1))</f>
        <v/>
      </c>
      <c r="Q1086" s="57" t="str">
        <f aca="false">IF(E1086="","",IF(COUNTIFS($C$2:C1086,C1086,$E$2:E1086,E1086,$B$2:B1086,B1086)&gt;1,"No","Yes"))</f>
        <v/>
      </c>
      <c r="R1086" s="61" t="str">
        <f aca="false">IF(E1086="","",IF(Q1086="No","Duplicate of an earlier response",IF(L1086="Not on SITES","Site not on SITES",IF(N(G1086)&gt;N(F1086),"Present is more than enrolled",IF(OR(I1086&lt;1,I1086&gt;5),"Score outside 1 to 5","")))))</f>
        <v/>
      </c>
    </row>
    <row r="1087" customFormat="false" ht="15" hidden="false" customHeight="false" outlineLevel="0" collapsed="false">
      <c r="A1087" s="52"/>
      <c r="B1087" s="53"/>
      <c r="C1087" s="53"/>
      <c r="D1087" s="53"/>
      <c r="E1087" s="54"/>
      <c r="F1087" s="55"/>
      <c r="G1087" s="55"/>
      <c r="H1087" s="55"/>
      <c r="I1087" s="56"/>
      <c r="J1087" s="53"/>
      <c r="K1087" s="53"/>
      <c r="L1087" s="57" t="str">
        <f aca="false">IF(C1087="","",IFERROR(INDEX(site_ID,MATCH(C1087,site_Name,0)),"Not on SITES"))</f>
        <v/>
      </c>
      <c r="M1087" s="58" t="str">
        <f aca="false">IF(E1087="","",DATE(YEAR(E1087),MONTH(E1087),1))</f>
        <v/>
      </c>
      <c r="N1087" s="57" t="str">
        <f aca="false">IF(E1087="","","FY"&amp;(YEAR(E1087)+IF(AND(FYStart&gt;1,MONTH(E1087)&gt;=FYStart),1,0))&amp;" Q"&amp;(INT(MOD(MONTH(E1087)-FYStart,12)/3)+1))</f>
        <v/>
      </c>
      <c r="O1087" s="59" t="str">
        <f aca="false">IF(OR(E1087="",N(F1087)=0),"",G1087/F1087)</f>
        <v/>
      </c>
      <c r="P1087" s="60" t="str">
        <f aca="false">IF(E1087="","",ROUND(N(G1087)*N(H1087)/60,1))</f>
        <v/>
      </c>
      <c r="Q1087" s="57" t="str">
        <f aca="false">IF(E1087="","",IF(COUNTIFS($C$2:C1087,C1087,$E$2:E1087,E1087,$B$2:B1087,B1087)&gt;1,"No","Yes"))</f>
        <v/>
      </c>
      <c r="R1087" s="61" t="str">
        <f aca="false">IF(E1087="","",IF(Q1087="No","Duplicate of an earlier response",IF(L1087="Not on SITES","Site not on SITES",IF(N(G1087)&gt;N(F1087),"Present is more than enrolled",IF(OR(I1087&lt;1,I1087&gt;5),"Score outside 1 to 5","")))))</f>
        <v/>
      </c>
    </row>
    <row r="1088" customFormat="false" ht="15" hidden="false" customHeight="false" outlineLevel="0" collapsed="false">
      <c r="A1088" s="52"/>
      <c r="B1088" s="53"/>
      <c r="C1088" s="53"/>
      <c r="D1088" s="53"/>
      <c r="E1088" s="54"/>
      <c r="F1088" s="55"/>
      <c r="G1088" s="55"/>
      <c r="H1088" s="55"/>
      <c r="I1088" s="56"/>
      <c r="J1088" s="53"/>
      <c r="K1088" s="53"/>
      <c r="L1088" s="57" t="str">
        <f aca="false">IF(C1088="","",IFERROR(INDEX(site_ID,MATCH(C1088,site_Name,0)),"Not on SITES"))</f>
        <v/>
      </c>
      <c r="M1088" s="58" t="str">
        <f aca="false">IF(E1088="","",DATE(YEAR(E1088),MONTH(E1088),1))</f>
        <v/>
      </c>
      <c r="N1088" s="57" t="str">
        <f aca="false">IF(E1088="","","FY"&amp;(YEAR(E1088)+IF(AND(FYStart&gt;1,MONTH(E1088)&gt;=FYStart),1,0))&amp;" Q"&amp;(INT(MOD(MONTH(E1088)-FYStart,12)/3)+1))</f>
        <v/>
      </c>
      <c r="O1088" s="59" t="str">
        <f aca="false">IF(OR(E1088="",N(F1088)=0),"",G1088/F1088)</f>
        <v/>
      </c>
      <c r="P1088" s="60" t="str">
        <f aca="false">IF(E1088="","",ROUND(N(G1088)*N(H1088)/60,1))</f>
        <v/>
      </c>
      <c r="Q1088" s="57" t="str">
        <f aca="false">IF(E1088="","",IF(COUNTIFS($C$2:C1088,C1088,$E$2:E1088,E1088,$B$2:B1088,B1088)&gt;1,"No","Yes"))</f>
        <v/>
      </c>
      <c r="R1088" s="61" t="str">
        <f aca="false">IF(E1088="","",IF(Q1088="No","Duplicate of an earlier response",IF(L1088="Not on SITES","Site not on SITES",IF(N(G1088)&gt;N(F1088),"Present is more than enrolled",IF(OR(I1088&lt;1,I1088&gt;5),"Score outside 1 to 5","")))))</f>
        <v/>
      </c>
    </row>
    <row r="1089" customFormat="false" ht="15" hidden="false" customHeight="false" outlineLevel="0" collapsed="false">
      <c r="A1089" s="52"/>
      <c r="B1089" s="53"/>
      <c r="C1089" s="53"/>
      <c r="D1089" s="53"/>
      <c r="E1089" s="54"/>
      <c r="F1089" s="55"/>
      <c r="G1089" s="55"/>
      <c r="H1089" s="55"/>
      <c r="I1089" s="56"/>
      <c r="J1089" s="53"/>
      <c r="K1089" s="53"/>
      <c r="L1089" s="57" t="str">
        <f aca="false">IF(C1089="","",IFERROR(INDEX(site_ID,MATCH(C1089,site_Name,0)),"Not on SITES"))</f>
        <v/>
      </c>
      <c r="M1089" s="58" t="str">
        <f aca="false">IF(E1089="","",DATE(YEAR(E1089),MONTH(E1089),1))</f>
        <v/>
      </c>
      <c r="N1089" s="57" t="str">
        <f aca="false">IF(E1089="","","FY"&amp;(YEAR(E1089)+IF(AND(FYStart&gt;1,MONTH(E1089)&gt;=FYStart),1,0))&amp;" Q"&amp;(INT(MOD(MONTH(E1089)-FYStart,12)/3)+1))</f>
        <v/>
      </c>
      <c r="O1089" s="59" t="str">
        <f aca="false">IF(OR(E1089="",N(F1089)=0),"",G1089/F1089)</f>
        <v/>
      </c>
      <c r="P1089" s="60" t="str">
        <f aca="false">IF(E1089="","",ROUND(N(G1089)*N(H1089)/60,1))</f>
        <v/>
      </c>
      <c r="Q1089" s="57" t="str">
        <f aca="false">IF(E1089="","",IF(COUNTIFS($C$2:C1089,C1089,$E$2:E1089,E1089,$B$2:B1089,B1089)&gt;1,"No","Yes"))</f>
        <v/>
      </c>
      <c r="R1089" s="61" t="str">
        <f aca="false">IF(E1089="","",IF(Q1089="No","Duplicate of an earlier response",IF(L1089="Not on SITES","Site not on SITES",IF(N(G1089)&gt;N(F1089),"Present is more than enrolled",IF(OR(I1089&lt;1,I1089&gt;5),"Score outside 1 to 5","")))))</f>
        <v/>
      </c>
    </row>
    <row r="1090" customFormat="false" ht="15" hidden="false" customHeight="false" outlineLevel="0" collapsed="false">
      <c r="A1090" s="52"/>
      <c r="B1090" s="53"/>
      <c r="C1090" s="53"/>
      <c r="D1090" s="53"/>
      <c r="E1090" s="54"/>
      <c r="F1090" s="55"/>
      <c r="G1090" s="55"/>
      <c r="H1090" s="55"/>
      <c r="I1090" s="56"/>
      <c r="J1090" s="53"/>
      <c r="K1090" s="53"/>
      <c r="L1090" s="57" t="str">
        <f aca="false">IF(C1090="","",IFERROR(INDEX(site_ID,MATCH(C1090,site_Name,0)),"Not on SITES"))</f>
        <v/>
      </c>
      <c r="M1090" s="58" t="str">
        <f aca="false">IF(E1090="","",DATE(YEAR(E1090),MONTH(E1090),1))</f>
        <v/>
      </c>
      <c r="N1090" s="57" t="str">
        <f aca="false">IF(E1090="","","FY"&amp;(YEAR(E1090)+IF(AND(FYStart&gt;1,MONTH(E1090)&gt;=FYStart),1,0))&amp;" Q"&amp;(INT(MOD(MONTH(E1090)-FYStart,12)/3)+1))</f>
        <v/>
      </c>
      <c r="O1090" s="59" t="str">
        <f aca="false">IF(OR(E1090="",N(F1090)=0),"",G1090/F1090)</f>
        <v/>
      </c>
      <c r="P1090" s="60" t="str">
        <f aca="false">IF(E1090="","",ROUND(N(G1090)*N(H1090)/60,1))</f>
        <v/>
      </c>
      <c r="Q1090" s="57" t="str">
        <f aca="false">IF(E1090="","",IF(COUNTIFS($C$2:C1090,C1090,$E$2:E1090,E1090,$B$2:B1090,B1090)&gt;1,"No","Yes"))</f>
        <v/>
      </c>
      <c r="R1090" s="61" t="str">
        <f aca="false">IF(E1090="","",IF(Q1090="No","Duplicate of an earlier response",IF(L1090="Not on SITES","Site not on SITES",IF(N(G1090)&gt;N(F1090),"Present is more than enrolled",IF(OR(I1090&lt;1,I1090&gt;5),"Score outside 1 to 5","")))))</f>
        <v/>
      </c>
    </row>
    <row r="1091" customFormat="false" ht="15" hidden="false" customHeight="false" outlineLevel="0" collapsed="false">
      <c r="A1091" s="52"/>
      <c r="B1091" s="53"/>
      <c r="C1091" s="53"/>
      <c r="D1091" s="53"/>
      <c r="E1091" s="54"/>
      <c r="F1091" s="55"/>
      <c r="G1091" s="55"/>
      <c r="H1091" s="55"/>
      <c r="I1091" s="56"/>
      <c r="J1091" s="53"/>
      <c r="K1091" s="53"/>
      <c r="L1091" s="57" t="str">
        <f aca="false">IF(C1091="","",IFERROR(INDEX(site_ID,MATCH(C1091,site_Name,0)),"Not on SITES"))</f>
        <v/>
      </c>
      <c r="M1091" s="58" t="str">
        <f aca="false">IF(E1091="","",DATE(YEAR(E1091),MONTH(E1091),1))</f>
        <v/>
      </c>
      <c r="N1091" s="57" t="str">
        <f aca="false">IF(E1091="","","FY"&amp;(YEAR(E1091)+IF(AND(FYStart&gt;1,MONTH(E1091)&gt;=FYStart),1,0))&amp;" Q"&amp;(INT(MOD(MONTH(E1091)-FYStart,12)/3)+1))</f>
        <v/>
      </c>
      <c r="O1091" s="59" t="str">
        <f aca="false">IF(OR(E1091="",N(F1091)=0),"",G1091/F1091)</f>
        <v/>
      </c>
      <c r="P1091" s="60" t="str">
        <f aca="false">IF(E1091="","",ROUND(N(G1091)*N(H1091)/60,1))</f>
        <v/>
      </c>
      <c r="Q1091" s="57" t="str">
        <f aca="false">IF(E1091="","",IF(COUNTIFS($C$2:C1091,C1091,$E$2:E1091,E1091,$B$2:B1091,B1091)&gt;1,"No","Yes"))</f>
        <v/>
      </c>
      <c r="R1091" s="61" t="str">
        <f aca="false">IF(E1091="","",IF(Q1091="No","Duplicate of an earlier response",IF(L1091="Not on SITES","Site not on SITES",IF(N(G1091)&gt;N(F1091),"Present is more than enrolled",IF(OR(I1091&lt;1,I1091&gt;5),"Score outside 1 to 5","")))))</f>
        <v/>
      </c>
    </row>
    <row r="1092" customFormat="false" ht="15" hidden="false" customHeight="false" outlineLevel="0" collapsed="false">
      <c r="A1092" s="52"/>
      <c r="B1092" s="53"/>
      <c r="C1092" s="53"/>
      <c r="D1092" s="53"/>
      <c r="E1092" s="54"/>
      <c r="F1092" s="55"/>
      <c r="G1092" s="55"/>
      <c r="H1092" s="55"/>
      <c r="I1092" s="56"/>
      <c r="J1092" s="53"/>
      <c r="K1092" s="53"/>
      <c r="L1092" s="57" t="str">
        <f aca="false">IF(C1092="","",IFERROR(INDEX(site_ID,MATCH(C1092,site_Name,0)),"Not on SITES"))</f>
        <v/>
      </c>
      <c r="M1092" s="58" t="str">
        <f aca="false">IF(E1092="","",DATE(YEAR(E1092),MONTH(E1092),1))</f>
        <v/>
      </c>
      <c r="N1092" s="57" t="str">
        <f aca="false">IF(E1092="","","FY"&amp;(YEAR(E1092)+IF(AND(FYStart&gt;1,MONTH(E1092)&gt;=FYStart),1,0))&amp;" Q"&amp;(INT(MOD(MONTH(E1092)-FYStart,12)/3)+1))</f>
        <v/>
      </c>
      <c r="O1092" s="59" t="str">
        <f aca="false">IF(OR(E1092="",N(F1092)=0),"",G1092/F1092)</f>
        <v/>
      </c>
      <c r="P1092" s="60" t="str">
        <f aca="false">IF(E1092="","",ROUND(N(G1092)*N(H1092)/60,1))</f>
        <v/>
      </c>
      <c r="Q1092" s="57" t="str">
        <f aca="false">IF(E1092="","",IF(COUNTIFS($C$2:C1092,C1092,$E$2:E1092,E1092,$B$2:B1092,B1092)&gt;1,"No","Yes"))</f>
        <v/>
      </c>
      <c r="R1092" s="61" t="str">
        <f aca="false">IF(E1092="","",IF(Q1092="No","Duplicate of an earlier response",IF(L1092="Not on SITES","Site not on SITES",IF(N(G1092)&gt;N(F1092),"Present is more than enrolled",IF(OR(I1092&lt;1,I1092&gt;5),"Score outside 1 to 5","")))))</f>
        <v/>
      </c>
    </row>
    <row r="1093" customFormat="false" ht="15" hidden="false" customHeight="false" outlineLevel="0" collapsed="false">
      <c r="A1093" s="52"/>
      <c r="B1093" s="53"/>
      <c r="C1093" s="53"/>
      <c r="D1093" s="53"/>
      <c r="E1093" s="54"/>
      <c r="F1093" s="55"/>
      <c r="G1093" s="55"/>
      <c r="H1093" s="55"/>
      <c r="I1093" s="56"/>
      <c r="J1093" s="53"/>
      <c r="K1093" s="53"/>
      <c r="L1093" s="57" t="str">
        <f aca="false">IF(C1093="","",IFERROR(INDEX(site_ID,MATCH(C1093,site_Name,0)),"Not on SITES"))</f>
        <v/>
      </c>
      <c r="M1093" s="58" t="str">
        <f aca="false">IF(E1093="","",DATE(YEAR(E1093),MONTH(E1093),1))</f>
        <v/>
      </c>
      <c r="N1093" s="57" t="str">
        <f aca="false">IF(E1093="","","FY"&amp;(YEAR(E1093)+IF(AND(FYStart&gt;1,MONTH(E1093)&gt;=FYStart),1,0))&amp;" Q"&amp;(INT(MOD(MONTH(E1093)-FYStart,12)/3)+1))</f>
        <v/>
      </c>
      <c r="O1093" s="59" t="str">
        <f aca="false">IF(OR(E1093="",N(F1093)=0),"",G1093/F1093)</f>
        <v/>
      </c>
      <c r="P1093" s="60" t="str">
        <f aca="false">IF(E1093="","",ROUND(N(G1093)*N(H1093)/60,1))</f>
        <v/>
      </c>
      <c r="Q1093" s="57" t="str">
        <f aca="false">IF(E1093="","",IF(COUNTIFS($C$2:C1093,C1093,$E$2:E1093,E1093,$B$2:B1093,B1093)&gt;1,"No","Yes"))</f>
        <v/>
      </c>
      <c r="R1093" s="61" t="str">
        <f aca="false">IF(E1093="","",IF(Q1093="No","Duplicate of an earlier response",IF(L1093="Not on SITES","Site not on SITES",IF(N(G1093)&gt;N(F1093),"Present is more than enrolled",IF(OR(I1093&lt;1,I1093&gt;5),"Score outside 1 to 5","")))))</f>
        <v/>
      </c>
    </row>
    <row r="1094" customFormat="false" ht="15" hidden="false" customHeight="false" outlineLevel="0" collapsed="false">
      <c r="A1094" s="52"/>
      <c r="B1094" s="53"/>
      <c r="C1094" s="53"/>
      <c r="D1094" s="53"/>
      <c r="E1094" s="54"/>
      <c r="F1094" s="55"/>
      <c r="G1094" s="55"/>
      <c r="H1094" s="55"/>
      <c r="I1094" s="56"/>
      <c r="J1094" s="53"/>
      <c r="K1094" s="53"/>
      <c r="L1094" s="57" t="str">
        <f aca="false">IF(C1094="","",IFERROR(INDEX(site_ID,MATCH(C1094,site_Name,0)),"Not on SITES"))</f>
        <v/>
      </c>
      <c r="M1094" s="58" t="str">
        <f aca="false">IF(E1094="","",DATE(YEAR(E1094),MONTH(E1094),1))</f>
        <v/>
      </c>
      <c r="N1094" s="57" t="str">
        <f aca="false">IF(E1094="","","FY"&amp;(YEAR(E1094)+IF(AND(FYStart&gt;1,MONTH(E1094)&gt;=FYStart),1,0))&amp;" Q"&amp;(INT(MOD(MONTH(E1094)-FYStart,12)/3)+1))</f>
        <v/>
      </c>
      <c r="O1094" s="59" t="str">
        <f aca="false">IF(OR(E1094="",N(F1094)=0),"",G1094/F1094)</f>
        <v/>
      </c>
      <c r="P1094" s="60" t="str">
        <f aca="false">IF(E1094="","",ROUND(N(G1094)*N(H1094)/60,1))</f>
        <v/>
      </c>
      <c r="Q1094" s="57" t="str">
        <f aca="false">IF(E1094="","",IF(COUNTIFS($C$2:C1094,C1094,$E$2:E1094,E1094,$B$2:B1094,B1094)&gt;1,"No","Yes"))</f>
        <v/>
      </c>
      <c r="R1094" s="61" t="str">
        <f aca="false">IF(E1094="","",IF(Q1094="No","Duplicate of an earlier response",IF(L1094="Not on SITES","Site not on SITES",IF(N(G1094)&gt;N(F1094),"Present is more than enrolled",IF(OR(I1094&lt;1,I1094&gt;5),"Score outside 1 to 5","")))))</f>
        <v/>
      </c>
    </row>
    <row r="1095" customFormat="false" ht="15" hidden="false" customHeight="false" outlineLevel="0" collapsed="false">
      <c r="A1095" s="52"/>
      <c r="B1095" s="53"/>
      <c r="C1095" s="53"/>
      <c r="D1095" s="53"/>
      <c r="E1095" s="54"/>
      <c r="F1095" s="55"/>
      <c r="G1095" s="55"/>
      <c r="H1095" s="55"/>
      <c r="I1095" s="56"/>
      <c r="J1095" s="53"/>
      <c r="K1095" s="53"/>
      <c r="L1095" s="57" t="str">
        <f aca="false">IF(C1095="","",IFERROR(INDEX(site_ID,MATCH(C1095,site_Name,0)),"Not on SITES"))</f>
        <v/>
      </c>
      <c r="M1095" s="58" t="str">
        <f aca="false">IF(E1095="","",DATE(YEAR(E1095),MONTH(E1095),1))</f>
        <v/>
      </c>
      <c r="N1095" s="57" t="str">
        <f aca="false">IF(E1095="","","FY"&amp;(YEAR(E1095)+IF(AND(FYStart&gt;1,MONTH(E1095)&gt;=FYStart),1,0))&amp;" Q"&amp;(INT(MOD(MONTH(E1095)-FYStart,12)/3)+1))</f>
        <v/>
      </c>
      <c r="O1095" s="59" t="str">
        <f aca="false">IF(OR(E1095="",N(F1095)=0),"",G1095/F1095)</f>
        <v/>
      </c>
      <c r="P1095" s="60" t="str">
        <f aca="false">IF(E1095="","",ROUND(N(G1095)*N(H1095)/60,1))</f>
        <v/>
      </c>
      <c r="Q1095" s="57" t="str">
        <f aca="false">IF(E1095="","",IF(COUNTIFS($C$2:C1095,C1095,$E$2:E1095,E1095,$B$2:B1095,B1095)&gt;1,"No","Yes"))</f>
        <v/>
      </c>
      <c r="R1095" s="61" t="str">
        <f aca="false">IF(E1095="","",IF(Q1095="No","Duplicate of an earlier response",IF(L1095="Not on SITES","Site not on SITES",IF(N(G1095)&gt;N(F1095),"Present is more than enrolled",IF(OR(I1095&lt;1,I1095&gt;5),"Score outside 1 to 5","")))))</f>
        <v/>
      </c>
    </row>
    <row r="1096" customFormat="false" ht="15" hidden="false" customHeight="false" outlineLevel="0" collapsed="false">
      <c r="A1096" s="52"/>
      <c r="B1096" s="53"/>
      <c r="C1096" s="53"/>
      <c r="D1096" s="53"/>
      <c r="E1096" s="54"/>
      <c r="F1096" s="55"/>
      <c r="G1096" s="55"/>
      <c r="H1096" s="55"/>
      <c r="I1096" s="56"/>
      <c r="J1096" s="53"/>
      <c r="K1096" s="53"/>
      <c r="L1096" s="57" t="str">
        <f aca="false">IF(C1096="","",IFERROR(INDEX(site_ID,MATCH(C1096,site_Name,0)),"Not on SITES"))</f>
        <v/>
      </c>
      <c r="M1096" s="58" t="str">
        <f aca="false">IF(E1096="","",DATE(YEAR(E1096),MONTH(E1096),1))</f>
        <v/>
      </c>
      <c r="N1096" s="57" t="str">
        <f aca="false">IF(E1096="","","FY"&amp;(YEAR(E1096)+IF(AND(FYStart&gt;1,MONTH(E1096)&gt;=FYStart),1,0))&amp;" Q"&amp;(INT(MOD(MONTH(E1096)-FYStart,12)/3)+1))</f>
        <v/>
      </c>
      <c r="O1096" s="59" t="str">
        <f aca="false">IF(OR(E1096="",N(F1096)=0),"",G1096/F1096)</f>
        <v/>
      </c>
      <c r="P1096" s="60" t="str">
        <f aca="false">IF(E1096="","",ROUND(N(G1096)*N(H1096)/60,1))</f>
        <v/>
      </c>
      <c r="Q1096" s="57" t="str">
        <f aca="false">IF(E1096="","",IF(COUNTIFS($C$2:C1096,C1096,$E$2:E1096,E1096,$B$2:B1096,B1096)&gt;1,"No","Yes"))</f>
        <v/>
      </c>
      <c r="R1096" s="61" t="str">
        <f aca="false">IF(E1096="","",IF(Q1096="No","Duplicate of an earlier response",IF(L1096="Not on SITES","Site not on SITES",IF(N(G1096)&gt;N(F1096),"Present is more than enrolled",IF(OR(I1096&lt;1,I1096&gt;5),"Score outside 1 to 5","")))))</f>
        <v/>
      </c>
    </row>
    <row r="1097" customFormat="false" ht="15" hidden="false" customHeight="false" outlineLevel="0" collapsed="false">
      <c r="A1097" s="52"/>
      <c r="B1097" s="53"/>
      <c r="C1097" s="53"/>
      <c r="D1097" s="53"/>
      <c r="E1097" s="54"/>
      <c r="F1097" s="55"/>
      <c r="G1097" s="55"/>
      <c r="H1097" s="55"/>
      <c r="I1097" s="56"/>
      <c r="J1097" s="53"/>
      <c r="K1097" s="53"/>
      <c r="L1097" s="57" t="str">
        <f aca="false">IF(C1097="","",IFERROR(INDEX(site_ID,MATCH(C1097,site_Name,0)),"Not on SITES"))</f>
        <v/>
      </c>
      <c r="M1097" s="58" t="str">
        <f aca="false">IF(E1097="","",DATE(YEAR(E1097),MONTH(E1097),1))</f>
        <v/>
      </c>
      <c r="N1097" s="57" t="str">
        <f aca="false">IF(E1097="","","FY"&amp;(YEAR(E1097)+IF(AND(FYStart&gt;1,MONTH(E1097)&gt;=FYStart),1,0))&amp;" Q"&amp;(INT(MOD(MONTH(E1097)-FYStart,12)/3)+1))</f>
        <v/>
      </c>
      <c r="O1097" s="59" t="str">
        <f aca="false">IF(OR(E1097="",N(F1097)=0),"",G1097/F1097)</f>
        <v/>
      </c>
      <c r="P1097" s="60" t="str">
        <f aca="false">IF(E1097="","",ROUND(N(G1097)*N(H1097)/60,1))</f>
        <v/>
      </c>
      <c r="Q1097" s="57" t="str">
        <f aca="false">IF(E1097="","",IF(COUNTIFS($C$2:C1097,C1097,$E$2:E1097,E1097,$B$2:B1097,B1097)&gt;1,"No","Yes"))</f>
        <v/>
      </c>
      <c r="R1097" s="61" t="str">
        <f aca="false">IF(E1097="","",IF(Q1097="No","Duplicate of an earlier response",IF(L1097="Not on SITES","Site not on SITES",IF(N(G1097)&gt;N(F1097),"Present is more than enrolled",IF(OR(I1097&lt;1,I1097&gt;5),"Score outside 1 to 5","")))))</f>
        <v/>
      </c>
    </row>
    <row r="1098" customFormat="false" ht="15" hidden="false" customHeight="false" outlineLevel="0" collapsed="false">
      <c r="A1098" s="52"/>
      <c r="B1098" s="53"/>
      <c r="C1098" s="53"/>
      <c r="D1098" s="53"/>
      <c r="E1098" s="54"/>
      <c r="F1098" s="55"/>
      <c r="G1098" s="55"/>
      <c r="H1098" s="55"/>
      <c r="I1098" s="56"/>
      <c r="J1098" s="53"/>
      <c r="K1098" s="53"/>
      <c r="L1098" s="57" t="str">
        <f aca="false">IF(C1098="","",IFERROR(INDEX(site_ID,MATCH(C1098,site_Name,0)),"Not on SITES"))</f>
        <v/>
      </c>
      <c r="M1098" s="58" t="str">
        <f aca="false">IF(E1098="","",DATE(YEAR(E1098),MONTH(E1098),1))</f>
        <v/>
      </c>
      <c r="N1098" s="57" t="str">
        <f aca="false">IF(E1098="","","FY"&amp;(YEAR(E1098)+IF(AND(FYStart&gt;1,MONTH(E1098)&gt;=FYStart),1,0))&amp;" Q"&amp;(INT(MOD(MONTH(E1098)-FYStart,12)/3)+1))</f>
        <v/>
      </c>
      <c r="O1098" s="59" t="str">
        <f aca="false">IF(OR(E1098="",N(F1098)=0),"",G1098/F1098)</f>
        <v/>
      </c>
      <c r="P1098" s="60" t="str">
        <f aca="false">IF(E1098="","",ROUND(N(G1098)*N(H1098)/60,1))</f>
        <v/>
      </c>
      <c r="Q1098" s="57" t="str">
        <f aca="false">IF(E1098="","",IF(COUNTIFS($C$2:C1098,C1098,$E$2:E1098,E1098,$B$2:B1098,B1098)&gt;1,"No","Yes"))</f>
        <v/>
      </c>
      <c r="R1098" s="61" t="str">
        <f aca="false">IF(E1098="","",IF(Q1098="No","Duplicate of an earlier response",IF(L1098="Not on SITES","Site not on SITES",IF(N(G1098)&gt;N(F1098),"Present is more than enrolled",IF(OR(I1098&lt;1,I1098&gt;5),"Score outside 1 to 5","")))))</f>
        <v/>
      </c>
    </row>
    <row r="1099" customFormat="false" ht="15" hidden="false" customHeight="false" outlineLevel="0" collapsed="false">
      <c r="A1099" s="52"/>
      <c r="B1099" s="53"/>
      <c r="C1099" s="53"/>
      <c r="D1099" s="53"/>
      <c r="E1099" s="54"/>
      <c r="F1099" s="55"/>
      <c r="G1099" s="55"/>
      <c r="H1099" s="55"/>
      <c r="I1099" s="56"/>
      <c r="J1099" s="53"/>
      <c r="K1099" s="53"/>
      <c r="L1099" s="57" t="str">
        <f aca="false">IF(C1099="","",IFERROR(INDEX(site_ID,MATCH(C1099,site_Name,0)),"Not on SITES"))</f>
        <v/>
      </c>
      <c r="M1099" s="58" t="str">
        <f aca="false">IF(E1099="","",DATE(YEAR(E1099),MONTH(E1099),1))</f>
        <v/>
      </c>
      <c r="N1099" s="57" t="str">
        <f aca="false">IF(E1099="","","FY"&amp;(YEAR(E1099)+IF(AND(FYStart&gt;1,MONTH(E1099)&gt;=FYStart),1,0))&amp;" Q"&amp;(INT(MOD(MONTH(E1099)-FYStart,12)/3)+1))</f>
        <v/>
      </c>
      <c r="O1099" s="59" t="str">
        <f aca="false">IF(OR(E1099="",N(F1099)=0),"",G1099/F1099)</f>
        <v/>
      </c>
      <c r="P1099" s="60" t="str">
        <f aca="false">IF(E1099="","",ROUND(N(G1099)*N(H1099)/60,1))</f>
        <v/>
      </c>
      <c r="Q1099" s="57" t="str">
        <f aca="false">IF(E1099="","",IF(COUNTIFS($C$2:C1099,C1099,$E$2:E1099,E1099,$B$2:B1099,B1099)&gt;1,"No","Yes"))</f>
        <v/>
      </c>
      <c r="R1099" s="61" t="str">
        <f aca="false">IF(E1099="","",IF(Q1099="No","Duplicate of an earlier response",IF(L1099="Not on SITES","Site not on SITES",IF(N(G1099)&gt;N(F1099),"Present is more than enrolled",IF(OR(I1099&lt;1,I1099&gt;5),"Score outside 1 to 5","")))))</f>
        <v/>
      </c>
    </row>
    <row r="1100" customFormat="false" ht="15" hidden="false" customHeight="false" outlineLevel="0" collapsed="false">
      <c r="A1100" s="52"/>
      <c r="B1100" s="53"/>
      <c r="C1100" s="53"/>
      <c r="D1100" s="53"/>
      <c r="E1100" s="54"/>
      <c r="F1100" s="55"/>
      <c r="G1100" s="55"/>
      <c r="H1100" s="55"/>
      <c r="I1100" s="56"/>
      <c r="J1100" s="53"/>
      <c r="K1100" s="53"/>
      <c r="L1100" s="57" t="str">
        <f aca="false">IF(C1100="","",IFERROR(INDEX(site_ID,MATCH(C1100,site_Name,0)),"Not on SITES"))</f>
        <v/>
      </c>
      <c r="M1100" s="58" t="str">
        <f aca="false">IF(E1100="","",DATE(YEAR(E1100),MONTH(E1100),1))</f>
        <v/>
      </c>
      <c r="N1100" s="57" t="str">
        <f aca="false">IF(E1100="","","FY"&amp;(YEAR(E1100)+IF(AND(FYStart&gt;1,MONTH(E1100)&gt;=FYStart),1,0))&amp;" Q"&amp;(INT(MOD(MONTH(E1100)-FYStart,12)/3)+1))</f>
        <v/>
      </c>
      <c r="O1100" s="59" t="str">
        <f aca="false">IF(OR(E1100="",N(F1100)=0),"",G1100/F1100)</f>
        <v/>
      </c>
      <c r="P1100" s="60" t="str">
        <f aca="false">IF(E1100="","",ROUND(N(G1100)*N(H1100)/60,1))</f>
        <v/>
      </c>
      <c r="Q1100" s="57" t="str">
        <f aca="false">IF(E1100="","",IF(COUNTIFS($C$2:C1100,C1100,$E$2:E1100,E1100,$B$2:B1100,B1100)&gt;1,"No","Yes"))</f>
        <v/>
      </c>
      <c r="R1100" s="61" t="str">
        <f aca="false">IF(E1100="","",IF(Q1100="No","Duplicate of an earlier response",IF(L1100="Not on SITES","Site not on SITES",IF(N(G1100)&gt;N(F1100),"Present is more than enrolled",IF(OR(I1100&lt;1,I1100&gt;5),"Score outside 1 to 5","")))))</f>
        <v/>
      </c>
    </row>
    <row r="1101" customFormat="false" ht="15" hidden="false" customHeight="false" outlineLevel="0" collapsed="false">
      <c r="A1101" s="52"/>
      <c r="B1101" s="53"/>
      <c r="C1101" s="53"/>
      <c r="D1101" s="53"/>
      <c r="E1101" s="54"/>
      <c r="F1101" s="55"/>
      <c r="G1101" s="55"/>
      <c r="H1101" s="55"/>
      <c r="I1101" s="56"/>
      <c r="J1101" s="53"/>
      <c r="K1101" s="53"/>
      <c r="L1101" s="57" t="str">
        <f aca="false">IF(C1101="","",IFERROR(INDEX(site_ID,MATCH(C1101,site_Name,0)),"Not on SITES"))</f>
        <v/>
      </c>
      <c r="M1101" s="58" t="str">
        <f aca="false">IF(E1101="","",DATE(YEAR(E1101),MONTH(E1101),1))</f>
        <v/>
      </c>
      <c r="N1101" s="57" t="str">
        <f aca="false">IF(E1101="","","FY"&amp;(YEAR(E1101)+IF(AND(FYStart&gt;1,MONTH(E1101)&gt;=FYStart),1,0))&amp;" Q"&amp;(INT(MOD(MONTH(E1101)-FYStart,12)/3)+1))</f>
        <v/>
      </c>
      <c r="O1101" s="59" t="str">
        <f aca="false">IF(OR(E1101="",N(F1101)=0),"",G1101/F1101)</f>
        <v/>
      </c>
      <c r="P1101" s="60" t="str">
        <f aca="false">IF(E1101="","",ROUND(N(G1101)*N(H1101)/60,1))</f>
        <v/>
      </c>
      <c r="Q1101" s="57" t="str">
        <f aca="false">IF(E1101="","",IF(COUNTIFS($C$2:C1101,C1101,$E$2:E1101,E1101,$B$2:B1101,B1101)&gt;1,"No","Yes"))</f>
        <v/>
      </c>
      <c r="R1101" s="61" t="str">
        <f aca="false">IF(E1101="","",IF(Q1101="No","Duplicate of an earlier response",IF(L1101="Not on SITES","Site not on SITES",IF(N(G1101)&gt;N(F1101),"Present is more than enrolled",IF(OR(I1101&lt;1,I1101&gt;5),"Score outside 1 to 5","")))))</f>
        <v/>
      </c>
    </row>
    <row r="1102" customFormat="false" ht="15" hidden="false" customHeight="false" outlineLevel="0" collapsed="false">
      <c r="A1102" s="52"/>
      <c r="B1102" s="53"/>
      <c r="C1102" s="53"/>
      <c r="D1102" s="53"/>
      <c r="E1102" s="54"/>
      <c r="F1102" s="55"/>
      <c r="G1102" s="55"/>
      <c r="H1102" s="55"/>
      <c r="I1102" s="56"/>
      <c r="J1102" s="53"/>
      <c r="K1102" s="53"/>
      <c r="L1102" s="57" t="str">
        <f aca="false">IF(C1102="","",IFERROR(INDEX(site_ID,MATCH(C1102,site_Name,0)),"Not on SITES"))</f>
        <v/>
      </c>
      <c r="M1102" s="58" t="str">
        <f aca="false">IF(E1102="","",DATE(YEAR(E1102),MONTH(E1102),1))</f>
        <v/>
      </c>
      <c r="N1102" s="57" t="str">
        <f aca="false">IF(E1102="","","FY"&amp;(YEAR(E1102)+IF(AND(FYStart&gt;1,MONTH(E1102)&gt;=FYStart),1,0))&amp;" Q"&amp;(INT(MOD(MONTH(E1102)-FYStart,12)/3)+1))</f>
        <v/>
      </c>
      <c r="O1102" s="59" t="str">
        <f aca="false">IF(OR(E1102="",N(F1102)=0),"",G1102/F1102)</f>
        <v/>
      </c>
      <c r="P1102" s="60" t="str">
        <f aca="false">IF(E1102="","",ROUND(N(G1102)*N(H1102)/60,1))</f>
        <v/>
      </c>
      <c r="Q1102" s="57" t="str">
        <f aca="false">IF(E1102="","",IF(COUNTIFS($C$2:C1102,C1102,$E$2:E1102,E1102,$B$2:B1102,B1102)&gt;1,"No","Yes"))</f>
        <v/>
      </c>
      <c r="R1102" s="61" t="str">
        <f aca="false">IF(E1102="","",IF(Q1102="No","Duplicate of an earlier response",IF(L1102="Not on SITES","Site not on SITES",IF(N(G1102)&gt;N(F1102),"Present is more than enrolled",IF(OR(I1102&lt;1,I1102&gt;5),"Score outside 1 to 5","")))))</f>
        <v/>
      </c>
    </row>
    <row r="1103" customFormat="false" ht="15" hidden="false" customHeight="false" outlineLevel="0" collapsed="false">
      <c r="A1103" s="52"/>
      <c r="B1103" s="53"/>
      <c r="C1103" s="53"/>
      <c r="D1103" s="53"/>
      <c r="E1103" s="54"/>
      <c r="F1103" s="55"/>
      <c r="G1103" s="55"/>
      <c r="H1103" s="55"/>
      <c r="I1103" s="56"/>
      <c r="J1103" s="53"/>
      <c r="K1103" s="53"/>
      <c r="L1103" s="57" t="str">
        <f aca="false">IF(C1103="","",IFERROR(INDEX(site_ID,MATCH(C1103,site_Name,0)),"Not on SITES"))</f>
        <v/>
      </c>
      <c r="M1103" s="58" t="str">
        <f aca="false">IF(E1103="","",DATE(YEAR(E1103),MONTH(E1103),1))</f>
        <v/>
      </c>
      <c r="N1103" s="57" t="str">
        <f aca="false">IF(E1103="","","FY"&amp;(YEAR(E1103)+IF(AND(FYStart&gt;1,MONTH(E1103)&gt;=FYStart),1,0))&amp;" Q"&amp;(INT(MOD(MONTH(E1103)-FYStart,12)/3)+1))</f>
        <v/>
      </c>
      <c r="O1103" s="59" t="str">
        <f aca="false">IF(OR(E1103="",N(F1103)=0),"",G1103/F1103)</f>
        <v/>
      </c>
      <c r="P1103" s="60" t="str">
        <f aca="false">IF(E1103="","",ROUND(N(G1103)*N(H1103)/60,1))</f>
        <v/>
      </c>
      <c r="Q1103" s="57" t="str">
        <f aca="false">IF(E1103="","",IF(COUNTIFS($C$2:C1103,C1103,$E$2:E1103,E1103,$B$2:B1103,B1103)&gt;1,"No","Yes"))</f>
        <v/>
      </c>
      <c r="R1103" s="61" t="str">
        <f aca="false">IF(E1103="","",IF(Q1103="No","Duplicate of an earlier response",IF(L1103="Not on SITES","Site not on SITES",IF(N(G1103)&gt;N(F1103),"Present is more than enrolled",IF(OR(I1103&lt;1,I1103&gt;5),"Score outside 1 to 5","")))))</f>
        <v/>
      </c>
    </row>
    <row r="1104" customFormat="false" ht="15" hidden="false" customHeight="false" outlineLevel="0" collapsed="false">
      <c r="A1104" s="52"/>
      <c r="B1104" s="53"/>
      <c r="C1104" s="53"/>
      <c r="D1104" s="53"/>
      <c r="E1104" s="54"/>
      <c r="F1104" s="55"/>
      <c r="G1104" s="55"/>
      <c r="H1104" s="55"/>
      <c r="I1104" s="56"/>
      <c r="J1104" s="53"/>
      <c r="K1104" s="53"/>
      <c r="L1104" s="57" t="str">
        <f aca="false">IF(C1104="","",IFERROR(INDEX(site_ID,MATCH(C1104,site_Name,0)),"Not on SITES"))</f>
        <v/>
      </c>
      <c r="M1104" s="58" t="str">
        <f aca="false">IF(E1104="","",DATE(YEAR(E1104),MONTH(E1104),1))</f>
        <v/>
      </c>
      <c r="N1104" s="57" t="str">
        <f aca="false">IF(E1104="","","FY"&amp;(YEAR(E1104)+IF(AND(FYStart&gt;1,MONTH(E1104)&gt;=FYStart),1,0))&amp;" Q"&amp;(INT(MOD(MONTH(E1104)-FYStart,12)/3)+1))</f>
        <v/>
      </c>
      <c r="O1104" s="59" t="str">
        <f aca="false">IF(OR(E1104="",N(F1104)=0),"",G1104/F1104)</f>
        <v/>
      </c>
      <c r="P1104" s="60" t="str">
        <f aca="false">IF(E1104="","",ROUND(N(G1104)*N(H1104)/60,1))</f>
        <v/>
      </c>
      <c r="Q1104" s="57" t="str">
        <f aca="false">IF(E1104="","",IF(COUNTIFS($C$2:C1104,C1104,$E$2:E1104,E1104,$B$2:B1104,B1104)&gt;1,"No","Yes"))</f>
        <v/>
      </c>
      <c r="R1104" s="61" t="str">
        <f aca="false">IF(E1104="","",IF(Q1104="No","Duplicate of an earlier response",IF(L1104="Not on SITES","Site not on SITES",IF(N(G1104)&gt;N(F1104),"Present is more than enrolled",IF(OR(I1104&lt;1,I1104&gt;5),"Score outside 1 to 5","")))))</f>
        <v/>
      </c>
    </row>
    <row r="1105" customFormat="false" ht="15" hidden="false" customHeight="false" outlineLevel="0" collapsed="false">
      <c r="A1105" s="52"/>
      <c r="B1105" s="53"/>
      <c r="C1105" s="53"/>
      <c r="D1105" s="53"/>
      <c r="E1105" s="54"/>
      <c r="F1105" s="55"/>
      <c r="G1105" s="55"/>
      <c r="H1105" s="55"/>
      <c r="I1105" s="56"/>
      <c r="J1105" s="53"/>
      <c r="K1105" s="53"/>
      <c r="L1105" s="57" t="str">
        <f aca="false">IF(C1105="","",IFERROR(INDEX(site_ID,MATCH(C1105,site_Name,0)),"Not on SITES"))</f>
        <v/>
      </c>
      <c r="M1105" s="58" t="str">
        <f aca="false">IF(E1105="","",DATE(YEAR(E1105),MONTH(E1105),1))</f>
        <v/>
      </c>
      <c r="N1105" s="57" t="str">
        <f aca="false">IF(E1105="","","FY"&amp;(YEAR(E1105)+IF(AND(FYStart&gt;1,MONTH(E1105)&gt;=FYStart),1,0))&amp;" Q"&amp;(INT(MOD(MONTH(E1105)-FYStart,12)/3)+1))</f>
        <v/>
      </c>
      <c r="O1105" s="59" t="str">
        <f aca="false">IF(OR(E1105="",N(F1105)=0),"",G1105/F1105)</f>
        <v/>
      </c>
      <c r="P1105" s="60" t="str">
        <f aca="false">IF(E1105="","",ROUND(N(G1105)*N(H1105)/60,1))</f>
        <v/>
      </c>
      <c r="Q1105" s="57" t="str">
        <f aca="false">IF(E1105="","",IF(COUNTIFS($C$2:C1105,C1105,$E$2:E1105,E1105,$B$2:B1105,B1105)&gt;1,"No","Yes"))</f>
        <v/>
      </c>
      <c r="R1105" s="61" t="str">
        <f aca="false">IF(E1105="","",IF(Q1105="No","Duplicate of an earlier response",IF(L1105="Not on SITES","Site not on SITES",IF(N(G1105)&gt;N(F1105),"Present is more than enrolled",IF(OR(I1105&lt;1,I1105&gt;5),"Score outside 1 to 5","")))))</f>
        <v/>
      </c>
    </row>
    <row r="1106" customFormat="false" ht="15" hidden="false" customHeight="false" outlineLevel="0" collapsed="false">
      <c r="A1106" s="52"/>
      <c r="B1106" s="53"/>
      <c r="C1106" s="53"/>
      <c r="D1106" s="53"/>
      <c r="E1106" s="54"/>
      <c r="F1106" s="55"/>
      <c r="G1106" s="55"/>
      <c r="H1106" s="55"/>
      <c r="I1106" s="56"/>
      <c r="J1106" s="53"/>
      <c r="K1106" s="53"/>
      <c r="L1106" s="57" t="str">
        <f aca="false">IF(C1106="","",IFERROR(INDEX(site_ID,MATCH(C1106,site_Name,0)),"Not on SITES"))</f>
        <v/>
      </c>
      <c r="M1106" s="58" t="str">
        <f aca="false">IF(E1106="","",DATE(YEAR(E1106),MONTH(E1106),1))</f>
        <v/>
      </c>
      <c r="N1106" s="57" t="str">
        <f aca="false">IF(E1106="","","FY"&amp;(YEAR(E1106)+IF(AND(FYStart&gt;1,MONTH(E1106)&gt;=FYStart),1,0))&amp;" Q"&amp;(INT(MOD(MONTH(E1106)-FYStart,12)/3)+1))</f>
        <v/>
      </c>
      <c r="O1106" s="59" t="str">
        <f aca="false">IF(OR(E1106="",N(F1106)=0),"",G1106/F1106)</f>
        <v/>
      </c>
      <c r="P1106" s="60" t="str">
        <f aca="false">IF(E1106="","",ROUND(N(G1106)*N(H1106)/60,1))</f>
        <v/>
      </c>
      <c r="Q1106" s="57" t="str">
        <f aca="false">IF(E1106="","",IF(COUNTIFS($C$2:C1106,C1106,$E$2:E1106,E1106,$B$2:B1106,B1106)&gt;1,"No","Yes"))</f>
        <v/>
      </c>
      <c r="R1106" s="61" t="str">
        <f aca="false">IF(E1106="","",IF(Q1106="No","Duplicate of an earlier response",IF(L1106="Not on SITES","Site not on SITES",IF(N(G1106)&gt;N(F1106),"Present is more than enrolled",IF(OR(I1106&lt;1,I1106&gt;5),"Score outside 1 to 5","")))))</f>
        <v/>
      </c>
    </row>
    <row r="1107" customFormat="false" ht="15" hidden="false" customHeight="false" outlineLevel="0" collapsed="false">
      <c r="A1107" s="52"/>
      <c r="B1107" s="53"/>
      <c r="C1107" s="53"/>
      <c r="D1107" s="53"/>
      <c r="E1107" s="54"/>
      <c r="F1107" s="55"/>
      <c r="G1107" s="55"/>
      <c r="H1107" s="55"/>
      <c r="I1107" s="56"/>
      <c r="J1107" s="53"/>
      <c r="K1107" s="53"/>
      <c r="L1107" s="57" t="str">
        <f aca="false">IF(C1107="","",IFERROR(INDEX(site_ID,MATCH(C1107,site_Name,0)),"Not on SITES"))</f>
        <v/>
      </c>
      <c r="M1107" s="58" t="str">
        <f aca="false">IF(E1107="","",DATE(YEAR(E1107),MONTH(E1107),1))</f>
        <v/>
      </c>
      <c r="N1107" s="57" t="str">
        <f aca="false">IF(E1107="","","FY"&amp;(YEAR(E1107)+IF(AND(FYStart&gt;1,MONTH(E1107)&gt;=FYStart),1,0))&amp;" Q"&amp;(INT(MOD(MONTH(E1107)-FYStart,12)/3)+1))</f>
        <v/>
      </c>
      <c r="O1107" s="59" t="str">
        <f aca="false">IF(OR(E1107="",N(F1107)=0),"",G1107/F1107)</f>
        <v/>
      </c>
      <c r="P1107" s="60" t="str">
        <f aca="false">IF(E1107="","",ROUND(N(G1107)*N(H1107)/60,1))</f>
        <v/>
      </c>
      <c r="Q1107" s="57" t="str">
        <f aca="false">IF(E1107="","",IF(COUNTIFS($C$2:C1107,C1107,$E$2:E1107,E1107,$B$2:B1107,B1107)&gt;1,"No","Yes"))</f>
        <v/>
      </c>
      <c r="R1107" s="61" t="str">
        <f aca="false">IF(E1107="","",IF(Q1107="No","Duplicate of an earlier response",IF(L1107="Not on SITES","Site not on SITES",IF(N(G1107)&gt;N(F1107),"Present is more than enrolled",IF(OR(I1107&lt;1,I1107&gt;5),"Score outside 1 to 5","")))))</f>
        <v/>
      </c>
    </row>
    <row r="1108" customFormat="false" ht="15" hidden="false" customHeight="false" outlineLevel="0" collapsed="false">
      <c r="A1108" s="52"/>
      <c r="B1108" s="53"/>
      <c r="C1108" s="53"/>
      <c r="D1108" s="53"/>
      <c r="E1108" s="54"/>
      <c r="F1108" s="55"/>
      <c r="G1108" s="55"/>
      <c r="H1108" s="55"/>
      <c r="I1108" s="56"/>
      <c r="J1108" s="53"/>
      <c r="K1108" s="53"/>
      <c r="L1108" s="57" t="str">
        <f aca="false">IF(C1108="","",IFERROR(INDEX(site_ID,MATCH(C1108,site_Name,0)),"Not on SITES"))</f>
        <v/>
      </c>
      <c r="M1108" s="58" t="str">
        <f aca="false">IF(E1108="","",DATE(YEAR(E1108),MONTH(E1108),1))</f>
        <v/>
      </c>
      <c r="N1108" s="57" t="str">
        <f aca="false">IF(E1108="","","FY"&amp;(YEAR(E1108)+IF(AND(FYStart&gt;1,MONTH(E1108)&gt;=FYStart),1,0))&amp;" Q"&amp;(INT(MOD(MONTH(E1108)-FYStart,12)/3)+1))</f>
        <v/>
      </c>
      <c r="O1108" s="59" t="str">
        <f aca="false">IF(OR(E1108="",N(F1108)=0),"",G1108/F1108)</f>
        <v/>
      </c>
      <c r="P1108" s="60" t="str">
        <f aca="false">IF(E1108="","",ROUND(N(G1108)*N(H1108)/60,1))</f>
        <v/>
      </c>
      <c r="Q1108" s="57" t="str">
        <f aca="false">IF(E1108="","",IF(COUNTIFS($C$2:C1108,C1108,$E$2:E1108,E1108,$B$2:B1108,B1108)&gt;1,"No","Yes"))</f>
        <v/>
      </c>
      <c r="R1108" s="61" t="str">
        <f aca="false">IF(E1108="","",IF(Q1108="No","Duplicate of an earlier response",IF(L1108="Not on SITES","Site not on SITES",IF(N(G1108)&gt;N(F1108),"Present is more than enrolled",IF(OR(I1108&lt;1,I1108&gt;5),"Score outside 1 to 5","")))))</f>
        <v/>
      </c>
    </row>
    <row r="1109" customFormat="false" ht="15" hidden="false" customHeight="false" outlineLevel="0" collapsed="false">
      <c r="A1109" s="52"/>
      <c r="B1109" s="53"/>
      <c r="C1109" s="53"/>
      <c r="D1109" s="53"/>
      <c r="E1109" s="54"/>
      <c r="F1109" s="55"/>
      <c r="G1109" s="55"/>
      <c r="H1109" s="55"/>
      <c r="I1109" s="56"/>
      <c r="J1109" s="53"/>
      <c r="K1109" s="53"/>
      <c r="L1109" s="57" t="str">
        <f aca="false">IF(C1109="","",IFERROR(INDEX(site_ID,MATCH(C1109,site_Name,0)),"Not on SITES"))</f>
        <v/>
      </c>
      <c r="M1109" s="58" t="str">
        <f aca="false">IF(E1109="","",DATE(YEAR(E1109),MONTH(E1109),1))</f>
        <v/>
      </c>
      <c r="N1109" s="57" t="str">
        <f aca="false">IF(E1109="","","FY"&amp;(YEAR(E1109)+IF(AND(FYStart&gt;1,MONTH(E1109)&gt;=FYStart),1,0))&amp;" Q"&amp;(INT(MOD(MONTH(E1109)-FYStart,12)/3)+1))</f>
        <v/>
      </c>
      <c r="O1109" s="59" t="str">
        <f aca="false">IF(OR(E1109="",N(F1109)=0),"",G1109/F1109)</f>
        <v/>
      </c>
      <c r="P1109" s="60" t="str">
        <f aca="false">IF(E1109="","",ROUND(N(G1109)*N(H1109)/60,1))</f>
        <v/>
      </c>
      <c r="Q1109" s="57" t="str">
        <f aca="false">IF(E1109="","",IF(COUNTIFS($C$2:C1109,C1109,$E$2:E1109,E1109,$B$2:B1109,B1109)&gt;1,"No","Yes"))</f>
        <v/>
      </c>
      <c r="R1109" s="61" t="str">
        <f aca="false">IF(E1109="","",IF(Q1109="No","Duplicate of an earlier response",IF(L1109="Not on SITES","Site not on SITES",IF(N(G1109)&gt;N(F1109),"Present is more than enrolled",IF(OR(I1109&lt;1,I1109&gt;5),"Score outside 1 to 5","")))))</f>
        <v/>
      </c>
    </row>
    <row r="1110" customFormat="false" ht="15" hidden="false" customHeight="false" outlineLevel="0" collapsed="false">
      <c r="A1110" s="52"/>
      <c r="B1110" s="53"/>
      <c r="C1110" s="53"/>
      <c r="D1110" s="53"/>
      <c r="E1110" s="54"/>
      <c r="F1110" s="55"/>
      <c r="G1110" s="55"/>
      <c r="H1110" s="55"/>
      <c r="I1110" s="56"/>
      <c r="J1110" s="53"/>
      <c r="K1110" s="53"/>
      <c r="L1110" s="57" t="str">
        <f aca="false">IF(C1110="","",IFERROR(INDEX(site_ID,MATCH(C1110,site_Name,0)),"Not on SITES"))</f>
        <v/>
      </c>
      <c r="M1110" s="58" t="str">
        <f aca="false">IF(E1110="","",DATE(YEAR(E1110),MONTH(E1110),1))</f>
        <v/>
      </c>
      <c r="N1110" s="57" t="str">
        <f aca="false">IF(E1110="","","FY"&amp;(YEAR(E1110)+IF(AND(FYStart&gt;1,MONTH(E1110)&gt;=FYStart),1,0))&amp;" Q"&amp;(INT(MOD(MONTH(E1110)-FYStart,12)/3)+1))</f>
        <v/>
      </c>
      <c r="O1110" s="59" t="str">
        <f aca="false">IF(OR(E1110="",N(F1110)=0),"",G1110/F1110)</f>
        <v/>
      </c>
      <c r="P1110" s="60" t="str">
        <f aca="false">IF(E1110="","",ROUND(N(G1110)*N(H1110)/60,1))</f>
        <v/>
      </c>
      <c r="Q1110" s="57" t="str">
        <f aca="false">IF(E1110="","",IF(COUNTIFS($C$2:C1110,C1110,$E$2:E1110,E1110,$B$2:B1110,B1110)&gt;1,"No","Yes"))</f>
        <v/>
      </c>
      <c r="R1110" s="61" t="str">
        <f aca="false">IF(E1110="","",IF(Q1110="No","Duplicate of an earlier response",IF(L1110="Not on SITES","Site not on SITES",IF(N(G1110)&gt;N(F1110),"Present is more than enrolled",IF(OR(I1110&lt;1,I1110&gt;5),"Score outside 1 to 5","")))))</f>
        <v/>
      </c>
    </row>
    <row r="1111" customFormat="false" ht="15" hidden="false" customHeight="false" outlineLevel="0" collapsed="false">
      <c r="A1111" s="52"/>
      <c r="B1111" s="53"/>
      <c r="C1111" s="53"/>
      <c r="D1111" s="53"/>
      <c r="E1111" s="54"/>
      <c r="F1111" s="55"/>
      <c r="G1111" s="55"/>
      <c r="H1111" s="55"/>
      <c r="I1111" s="56"/>
      <c r="J1111" s="53"/>
      <c r="K1111" s="53"/>
      <c r="L1111" s="57" t="str">
        <f aca="false">IF(C1111="","",IFERROR(INDEX(site_ID,MATCH(C1111,site_Name,0)),"Not on SITES"))</f>
        <v/>
      </c>
      <c r="M1111" s="58" t="str">
        <f aca="false">IF(E1111="","",DATE(YEAR(E1111),MONTH(E1111),1))</f>
        <v/>
      </c>
      <c r="N1111" s="57" t="str">
        <f aca="false">IF(E1111="","","FY"&amp;(YEAR(E1111)+IF(AND(FYStart&gt;1,MONTH(E1111)&gt;=FYStart),1,0))&amp;" Q"&amp;(INT(MOD(MONTH(E1111)-FYStart,12)/3)+1))</f>
        <v/>
      </c>
      <c r="O1111" s="59" t="str">
        <f aca="false">IF(OR(E1111="",N(F1111)=0),"",G1111/F1111)</f>
        <v/>
      </c>
      <c r="P1111" s="60" t="str">
        <f aca="false">IF(E1111="","",ROUND(N(G1111)*N(H1111)/60,1))</f>
        <v/>
      </c>
      <c r="Q1111" s="57" t="str">
        <f aca="false">IF(E1111="","",IF(COUNTIFS($C$2:C1111,C1111,$E$2:E1111,E1111,$B$2:B1111,B1111)&gt;1,"No","Yes"))</f>
        <v/>
      </c>
      <c r="R1111" s="61" t="str">
        <f aca="false">IF(E1111="","",IF(Q1111="No","Duplicate of an earlier response",IF(L1111="Not on SITES","Site not on SITES",IF(N(G1111)&gt;N(F1111),"Present is more than enrolled",IF(OR(I1111&lt;1,I1111&gt;5),"Score outside 1 to 5","")))))</f>
        <v/>
      </c>
    </row>
    <row r="1112" customFormat="false" ht="15" hidden="false" customHeight="false" outlineLevel="0" collapsed="false">
      <c r="A1112" s="52"/>
      <c r="B1112" s="53"/>
      <c r="C1112" s="53"/>
      <c r="D1112" s="53"/>
      <c r="E1112" s="54"/>
      <c r="F1112" s="55"/>
      <c r="G1112" s="55"/>
      <c r="H1112" s="55"/>
      <c r="I1112" s="56"/>
      <c r="J1112" s="53"/>
      <c r="K1112" s="53"/>
      <c r="L1112" s="57" t="str">
        <f aca="false">IF(C1112="","",IFERROR(INDEX(site_ID,MATCH(C1112,site_Name,0)),"Not on SITES"))</f>
        <v/>
      </c>
      <c r="M1112" s="58" t="str">
        <f aca="false">IF(E1112="","",DATE(YEAR(E1112),MONTH(E1112),1))</f>
        <v/>
      </c>
      <c r="N1112" s="57" t="str">
        <f aca="false">IF(E1112="","","FY"&amp;(YEAR(E1112)+IF(AND(FYStart&gt;1,MONTH(E1112)&gt;=FYStart),1,0))&amp;" Q"&amp;(INT(MOD(MONTH(E1112)-FYStart,12)/3)+1))</f>
        <v/>
      </c>
      <c r="O1112" s="59" t="str">
        <f aca="false">IF(OR(E1112="",N(F1112)=0),"",G1112/F1112)</f>
        <v/>
      </c>
      <c r="P1112" s="60" t="str">
        <f aca="false">IF(E1112="","",ROUND(N(G1112)*N(H1112)/60,1))</f>
        <v/>
      </c>
      <c r="Q1112" s="57" t="str">
        <f aca="false">IF(E1112="","",IF(COUNTIFS($C$2:C1112,C1112,$E$2:E1112,E1112,$B$2:B1112,B1112)&gt;1,"No","Yes"))</f>
        <v/>
      </c>
      <c r="R1112" s="61" t="str">
        <f aca="false">IF(E1112="","",IF(Q1112="No","Duplicate of an earlier response",IF(L1112="Not on SITES","Site not on SITES",IF(N(G1112)&gt;N(F1112),"Present is more than enrolled",IF(OR(I1112&lt;1,I1112&gt;5),"Score outside 1 to 5","")))))</f>
        <v/>
      </c>
    </row>
    <row r="1113" customFormat="false" ht="15" hidden="false" customHeight="false" outlineLevel="0" collapsed="false">
      <c r="A1113" s="52"/>
      <c r="B1113" s="53"/>
      <c r="C1113" s="53"/>
      <c r="D1113" s="53"/>
      <c r="E1113" s="54"/>
      <c r="F1113" s="55"/>
      <c r="G1113" s="55"/>
      <c r="H1113" s="55"/>
      <c r="I1113" s="56"/>
      <c r="J1113" s="53"/>
      <c r="K1113" s="53"/>
      <c r="L1113" s="57" t="str">
        <f aca="false">IF(C1113="","",IFERROR(INDEX(site_ID,MATCH(C1113,site_Name,0)),"Not on SITES"))</f>
        <v/>
      </c>
      <c r="M1113" s="58" t="str">
        <f aca="false">IF(E1113="","",DATE(YEAR(E1113),MONTH(E1113),1))</f>
        <v/>
      </c>
      <c r="N1113" s="57" t="str">
        <f aca="false">IF(E1113="","","FY"&amp;(YEAR(E1113)+IF(AND(FYStart&gt;1,MONTH(E1113)&gt;=FYStart),1,0))&amp;" Q"&amp;(INT(MOD(MONTH(E1113)-FYStart,12)/3)+1))</f>
        <v/>
      </c>
      <c r="O1113" s="59" t="str">
        <f aca="false">IF(OR(E1113="",N(F1113)=0),"",G1113/F1113)</f>
        <v/>
      </c>
      <c r="P1113" s="60" t="str">
        <f aca="false">IF(E1113="","",ROUND(N(G1113)*N(H1113)/60,1))</f>
        <v/>
      </c>
      <c r="Q1113" s="57" t="str">
        <f aca="false">IF(E1113="","",IF(COUNTIFS($C$2:C1113,C1113,$E$2:E1113,E1113,$B$2:B1113,B1113)&gt;1,"No","Yes"))</f>
        <v/>
      </c>
      <c r="R1113" s="61" t="str">
        <f aca="false">IF(E1113="","",IF(Q1113="No","Duplicate of an earlier response",IF(L1113="Not on SITES","Site not on SITES",IF(N(G1113)&gt;N(F1113),"Present is more than enrolled",IF(OR(I1113&lt;1,I1113&gt;5),"Score outside 1 to 5","")))))</f>
        <v/>
      </c>
    </row>
    <row r="1114" customFormat="false" ht="15" hidden="false" customHeight="false" outlineLevel="0" collapsed="false">
      <c r="A1114" s="52"/>
      <c r="B1114" s="53"/>
      <c r="C1114" s="53"/>
      <c r="D1114" s="53"/>
      <c r="E1114" s="54"/>
      <c r="F1114" s="55"/>
      <c r="G1114" s="55"/>
      <c r="H1114" s="55"/>
      <c r="I1114" s="56"/>
      <c r="J1114" s="53"/>
      <c r="K1114" s="53"/>
      <c r="L1114" s="57" t="str">
        <f aca="false">IF(C1114="","",IFERROR(INDEX(site_ID,MATCH(C1114,site_Name,0)),"Not on SITES"))</f>
        <v/>
      </c>
      <c r="M1114" s="58" t="str">
        <f aca="false">IF(E1114="","",DATE(YEAR(E1114),MONTH(E1114),1))</f>
        <v/>
      </c>
      <c r="N1114" s="57" t="str">
        <f aca="false">IF(E1114="","","FY"&amp;(YEAR(E1114)+IF(AND(FYStart&gt;1,MONTH(E1114)&gt;=FYStart),1,0))&amp;" Q"&amp;(INT(MOD(MONTH(E1114)-FYStart,12)/3)+1))</f>
        <v/>
      </c>
      <c r="O1114" s="59" t="str">
        <f aca="false">IF(OR(E1114="",N(F1114)=0),"",G1114/F1114)</f>
        <v/>
      </c>
      <c r="P1114" s="60" t="str">
        <f aca="false">IF(E1114="","",ROUND(N(G1114)*N(H1114)/60,1))</f>
        <v/>
      </c>
      <c r="Q1114" s="57" t="str">
        <f aca="false">IF(E1114="","",IF(COUNTIFS($C$2:C1114,C1114,$E$2:E1114,E1114,$B$2:B1114,B1114)&gt;1,"No","Yes"))</f>
        <v/>
      </c>
      <c r="R1114" s="61" t="str">
        <f aca="false">IF(E1114="","",IF(Q1114="No","Duplicate of an earlier response",IF(L1114="Not on SITES","Site not on SITES",IF(N(G1114)&gt;N(F1114),"Present is more than enrolled",IF(OR(I1114&lt;1,I1114&gt;5),"Score outside 1 to 5","")))))</f>
        <v/>
      </c>
    </row>
    <row r="1115" customFormat="false" ht="15" hidden="false" customHeight="false" outlineLevel="0" collapsed="false">
      <c r="A1115" s="52"/>
      <c r="B1115" s="53"/>
      <c r="C1115" s="53"/>
      <c r="D1115" s="53"/>
      <c r="E1115" s="54"/>
      <c r="F1115" s="55"/>
      <c r="G1115" s="55"/>
      <c r="H1115" s="55"/>
      <c r="I1115" s="56"/>
      <c r="J1115" s="53"/>
      <c r="K1115" s="53"/>
      <c r="L1115" s="57" t="str">
        <f aca="false">IF(C1115="","",IFERROR(INDEX(site_ID,MATCH(C1115,site_Name,0)),"Not on SITES"))</f>
        <v/>
      </c>
      <c r="M1115" s="58" t="str">
        <f aca="false">IF(E1115="","",DATE(YEAR(E1115),MONTH(E1115),1))</f>
        <v/>
      </c>
      <c r="N1115" s="57" t="str">
        <f aca="false">IF(E1115="","","FY"&amp;(YEAR(E1115)+IF(AND(FYStart&gt;1,MONTH(E1115)&gt;=FYStart),1,0))&amp;" Q"&amp;(INT(MOD(MONTH(E1115)-FYStart,12)/3)+1))</f>
        <v/>
      </c>
      <c r="O1115" s="59" t="str">
        <f aca="false">IF(OR(E1115="",N(F1115)=0),"",G1115/F1115)</f>
        <v/>
      </c>
      <c r="P1115" s="60" t="str">
        <f aca="false">IF(E1115="","",ROUND(N(G1115)*N(H1115)/60,1))</f>
        <v/>
      </c>
      <c r="Q1115" s="57" t="str">
        <f aca="false">IF(E1115="","",IF(COUNTIFS($C$2:C1115,C1115,$E$2:E1115,E1115,$B$2:B1115,B1115)&gt;1,"No","Yes"))</f>
        <v/>
      </c>
      <c r="R1115" s="61" t="str">
        <f aca="false">IF(E1115="","",IF(Q1115="No","Duplicate of an earlier response",IF(L1115="Not on SITES","Site not on SITES",IF(N(G1115)&gt;N(F1115),"Present is more than enrolled",IF(OR(I1115&lt;1,I1115&gt;5),"Score outside 1 to 5","")))))</f>
        <v/>
      </c>
    </row>
    <row r="1116" customFormat="false" ht="15" hidden="false" customHeight="false" outlineLevel="0" collapsed="false">
      <c r="A1116" s="52"/>
      <c r="B1116" s="53"/>
      <c r="C1116" s="53"/>
      <c r="D1116" s="53"/>
      <c r="E1116" s="54"/>
      <c r="F1116" s="55"/>
      <c r="G1116" s="55"/>
      <c r="H1116" s="55"/>
      <c r="I1116" s="56"/>
      <c r="J1116" s="53"/>
      <c r="K1116" s="53"/>
      <c r="L1116" s="57" t="str">
        <f aca="false">IF(C1116="","",IFERROR(INDEX(site_ID,MATCH(C1116,site_Name,0)),"Not on SITES"))</f>
        <v/>
      </c>
      <c r="M1116" s="58" t="str">
        <f aca="false">IF(E1116="","",DATE(YEAR(E1116),MONTH(E1116),1))</f>
        <v/>
      </c>
      <c r="N1116" s="57" t="str">
        <f aca="false">IF(E1116="","","FY"&amp;(YEAR(E1116)+IF(AND(FYStart&gt;1,MONTH(E1116)&gt;=FYStart),1,0))&amp;" Q"&amp;(INT(MOD(MONTH(E1116)-FYStart,12)/3)+1))</f>
        <v/>
      </c>
      <c r="O1116" s="59" t="str">
        <f aca="false">IF(OR(E1116="",N(F1116)=0),"",G1116/F1116)</f>
        <v/>
      </c>
      <c r="P1116" s="60" t="str">
        <f aca="false">IF(E1116="","",ROUND(N(G1116)*N(H1116)/60,1))</f>
        <v/>
      </c>
      <c r="Q1116" s="57" t="str">
        <f aca="false">IF(E1116="","",IF(COUNTIFS($C$2:C1116,C1116,$E$2:E1116,E1116,$B$2:B1116,B1116)&gt;1,"No","Yes"))</f>
        <v/>
      </c>
      <c r="R1116" s="61" t="str">
        <f aca="false">IF(E1116="","",IF(Q1116="No","Duplicate of an earlier response",IF(L1116="Not on SITES","Site not on SITES",IF(N(G1116)&gt;N(F1116),"Present is more than enrolled",IF(OR(I1116&lt;1,I1116&gt;5),"Score outside 1 to 5","")))))</f>
        <v/>
      </c>
    </row>
    <row r="1117" customFormat="false" ht="15" hidden="false" customHeight="false" outlineLevel="0" collapsed="false">
      <c r="A1117" s="52"/>
      <c r="B1117" s="53"/>
      <c r="C1117" s="53"/>
      <c r="D1117" s="53"/>
      <c r="E1117" s="54"/>
      <c r="F1117" s="55"/>
      <c r="G1117" s="55"/>
      <c r="H1117" s="55"/>
      <c r="I1117" s="56"/>
      <c r="J1117" s="53"/>
      <c r="K1117" s="53"/>
      <c r="L1117" s="57" t="str">
        <f aca="false">IF(C1117="","",IFERROR(INDEX(site_ID,MATCH(C1117,site_Name,0)),"Not on SITES"))</f>
        <v/>
      </c>
      <c r="M1117" s="58" t="str">
        <f aca="false">IF(E1117="","",DATE(YEAR(E1117),MONTH(E1117),1))</f>
        <v/>
      </c>
      <c r="N1117" s="57" t="str">
        <f aca="false">IF(E1117="","","FY"&amp;(YEAR(E1117)+IF(AND(FYStart&gt;1,MONTH(E1117)&gt;=FYStart),1,0))&amp;" Q"&amp;(INT(MOD(MONTH(E1117)-FYStart,12)/3)+1))</f>
        <v/>
      </c>
      <c r="O1117" s="59" t="str">
        <f aca="false">IF(OR(E1117="",N(F1117)=0),"",G1117/F1117)</f>
        <v/>
      </c>
      <c r="P1117" s="60" t="str">
        <f aca="false">IF(E1117="","",ROUND(N(G1117)*N(H1117)/60,1))</f>
        <v/>
      </c>
      <c r="Q1117" s="57" t="str">
        <f aca="false">IF(E1117="","",IF(COUNTIFS($C$2:C1117,C1117,$E$2:E1117,E1117,$B$2:B1117,B1117)&gt;1,"No","Yes"))</f>
        <v/>
      </c>
      <c r="R1117" s="61" t="str">
        <f aca="false">IF(E1117="","",IF(Q1117="No","Duplicate of an earlier response",IF(L1117="Not on SITES","Site not on SITES",IF(N(G1117)&gt;N(F1117),"Present is more than enrolled",IF(OR(I1117&lt;1,I1117&gt;5),"Score outside 1 to 5","")))))</f>
        <v/>
      </c>
    </row>
    <row r="1118" customFormat="false" ht="15" hidden="false" customHeight="false" outlineLevel="0" collapsed="false">
      <c r="A1118" s="52"/>
      <c r="B1118" s="53"/>
      <c r="C1118" s="53"/>
      <c r="D1118" s="53"/>
      <c r="E1118" s="54"/>
      <c r="F1118" s="55"/>
      <c r="G1118" s="55"/>
      <c r="H1118" s="55"/>
      <c r="I1118" s="56"/>
      <c r="J1118" s="53"/>
      <c r="K1118" s="53"/>
      <c r="L1118" s="57" t="str">
        <f aca="false">IF(C1118="","",IFERROR(INDEX(site_ID,MATCH(C1118,site_Name,0)),"Not on SITES"))</f>
        <v/>
      </c>
      <c r="M1118" s="58" t="str">
        <f aca="false">IF(E1118="","",DATE(YEAR(E1118),MONTH(E1118),1))</f>
        <v/>
      </c>
      <c r="N1118" s="57" t="str">
        <f aca="false">IF(E1118="","","FY"&amp;(YEAR(E1118)+IF(AND(FYStart&gt;1,MONTH(E1118)&gt;=FYStart),1,0))&amp;" Q"&amp;(INT(MOD(MONTH(E1118)-FYStart,12)/3)+1))</f>
        <v/>
      </c>
      <c r="O1118" s="59" t="str">
        <f aca="false">IF(OR(E1118="",N(F1118)=0),"",G1118/F1118)</f>
        <v/>
      </c>
      <c r="P1118" s="60" t="str">
        <f aca="false">IF(E1118="","",ROUND(N(G1118)*N(H1118)/60,1))</f>
        <v/>
      </c>
      <c r="Q1118" s="57" t="str">
        <f aca="false">IF(E1118="","",IF(COUNTIFS($C$2:C1118,C1118,$E$2:E1118,E1118,$B$2:B1118,B1118)&gt;1,"No","Yes"))</f>
        <v/>
      </c>
      <c r="R1118" s="61" t="str">
        <f aca="false">IF(E1118="","",IF(Q1118="No","Duplicate of an earlier response",IF(L1118="Not on SITES","Site not on SITES",IF(N(G1118)&gt;N(F1118),"Present is more than enrolled",IF(OR(I1118&lt;1,I1118&gt;5),"Score outside 1 to 5","")))))</f>
        <v/>
      </c>
    </row>
    <row r="1119" customFormat="false" ht="15" hidden="false" customHeight="false" outlineLevel="0" collapsed="false">
      <c r="A1119" s="52"/>
      <c r="B1119" s="53"/>
      <c r="C1119" s="53"/>
      <c r="D1119" s="53"/>
      <c r="E1119" s="54"/>
      <c r="F1119" s="55"/>
      <c r="G1119" s="55"/>
      <c r="H1119" s="55"/>
      <c r="I1119" s="56"/>
      <c r="J1119" s="53"/>
      <c r="K1119" s="53"/>
      <c r="L1119" s="57" t="str">
        <f aca="false">IF(C1119="","",IFERROR(INDEX(site_ID,MATCH(C1119,site_Name,0)),"Not on SITES"))</f>
        <v/>
      </c>
      <c r="M1119" s="58" t="str">
        <f aca="false">IF(E1119="","",DATE(YEAR(E1119),MONTH(E1119),1))</f>
        <v/>
      </c>
      <c r="N1119" s="57" t="str">
        <f aca="false">IF(E1119="","","FY"&amp;(YEAR(E1119)+IF(AND(FYStart&gt;1,MONTH(E1119)&gt;=FYStart),1,0))&amp;" Q"&amp;(INT(MOD(MONTH(E1119)-FYStart,12)/3)+1))</f>
        <v/>
      </c>
      <c r="O1119" s="59" t="str">
        <f aca="false">IF(OR(E1119="",N(F1119)=0),"",G1119/F1119)</f>
        <v/>
      </c>
      <c r="P1119" s="60" t="str">
        <f aca="false">IF(E1119="","",ROUND(N(G1119)*N(H1119)/60,1))</f>
        <v/>
      </c>
      <c r="Q1119" s="57" t="str">
        <f aca="false">IF(E1119="","",IF(COUNTIFS($C$2:C1119,C1119,$E$2:E1119,E1119,$B$2:B1119,B1119)&gt;1,"No","Yes"))</f>
        <v/>
      </c>
      <c r="R1119" s="61" t="str">
        <f aca="false">IF(E1119="","",IF(Q1119="No","Duplicate of an earlier response",IF(L1119="Not on SITES","Site not on SITES",IF(N(G1119)&gt;N(F1119),"Present is more than enrolled",IF(OR(I1119&lt;1,I1119&gt;5),"Score outside 1 to 5","")))))</f>
        <v/>
      </c>
    </row>
    <row r="1120" customFormat="false" ht="15" hidden="false" customHeight="false" outlineLevel="0" collapsed="false">
      <c r="A1120" s="52"/>
      <c r="B1120" s="53"/>
      <c r="C1120" s="53"/>
      <c r="D1120" s="53"/>
      <c r="E1120" s="54"/>
      <c r="F1120" s="55"/>
      <c r="G1120" s="55"/>
      <c r="H1120" s="55"/>
      <c r="I1120" s="56"/>
      <c r="J1120" s="53"/>
      <c r="K1120" s="53"/>
      <c r="L1120" s="57" t="str">
        <f aca="false">IF(C1120="","",IFERROR(INDEX(site_ID,MATCH(C1120,site_Name,0)),"Not on SITES"))</f>
        <v/>
      </c>
      <c r="M1120" s="58" t="str">
        <f aca="false">IF(E1120="","",DATE(YEAR(E1120),MONTH(E1120),1))</f>
        <v/>
      </c>
      <c r="N1120" s="57" t="str">
        <f aca="false">IF(E1120="","","FY"&amp;(YEAR(E1120)+IF(AND(FYStart&gt;1,MONTH(E1120)&gt;=FYStart),1,0))&amp;" Q"&amp;(INT(MOD(MONTH(E1120)-FYStart,12)/3)+1))</f>
        <v/>
      </c>
      <c r="O1120" s="59" t="str">
        <f aca="false">IF(OR(E1120="",N(F1120)=0),"",G1120/F1120)</f>
        <v/>
      </c>
      <c r="P1120" s="60" t="str">
        <f aca="false">IF(E1120="","",ROUND(N(G1120)*N(H1120)/60,1))</f>
        <v/>
      </c>
      <c r="Q1120" s="57" t="str">
        <f aca="false">IF(E1120="","",IF(COUNTIFS($C$2:C1120,C1120,$E$2:E1120,E1120,$B$2:B1120,B1120)&gt;1,"No","Yes"))</f>
        <v/>
      </c>
      <c r="R1120" s="61" t="str">
        <f aca="false">IF(E1120="","",IF(Q1120="No","Duplicate of an earlier response",IF(L1120="Not on SITES","Site not on SITES",IF(N(G1120)&gt;N(F1120),"Present is more than enrolled",IF(OR(I1120&lt;1,I1120&gt;5),"Score outside 1 to 5","")))))</f>
        <v/>
      </c>
    </row>
    <row r="1121" customFormat="false" ht="15" hidden="false" customHeight="false" outlineLevel="0" collapsed="false">
      <c r="A1121" s="52"/>
      <c r="B1121" s="53"/>
      <c r="C1121" s="53"/>
      <c r="D1121" s="53"/>
      <c r="E1121" s="54"/>
      <c r="F1121" s="55"/>
      <c r="G1121" s="55"/>
      <c r="H1121" s="55"/>
      <c r="I1121" s="56"/>
      <c r="J1121" s="53"/>
      <c r="K1121" s="53"/>
      <c r="L1121" s="57" t="str">
        <f aca="false">IF(C1121="","",IFERROR(INDEX(site_ID,MATCH(C1121,site_Name,0)),"Not on SITES"))</f>
        <v/>
      </c>
      <c r="M1121" s="58" t="str">
        <f aca="false">IF(E1121="","",DATE(YEAR(E1121),MONTH(E1121),1))</f>
        <v/>
      </c>
      <c r="N1121" s="57" t="str">
        <f aca="false">IF(E1121="","","FY"&amp;(YEAR(E1121)+IF(AND(FYStart&gt;1,MONTH(E1121)&gt;=FYStart),1,0))&amp;" Q"&amp;(INT(MOD(MONTH(E1121)-FYStart,12)/3)+1))</f>
        <v/>
      </c>
      <c r="O1121" s="59" t="str">
        <f aca="false">IF(OR(E1121="",N(F1121)=0),"",G1121/F1121)</f>
        <v/>
      </c>
      <c r="P1121" s="60" t="str">
        <f aca="false">IF(E1121="","",ROUND(N(G1121)*N(H1121)/60,1))</f>
        <v/>
      </c>
      <c r="Q1121" s="57" t="str">
        <f aca="false">IF(E1121="","",IF(COUNTIFS($C$2:C1121,C1121,$E$2:E1121,E1121,$B$2:B1121,B1121)&gt;1,"No","Yes"))</f>
        <v/>
      </c>
      <c r="R1121" s="61" t="str">
        <f aca="false">IF(E1121="","",IF(Q1121="No","Duplicate of an earlier response",IF(L1121="Not on SITES","Site not on SITES",IF(N(G1121)&gt;N(F1121),"Present is more than enrolled",IF(OR(I1121&lt;1,I1121&gt;5),"Score outside 1 to 5","")))))</f>
        <v/>
      </c>
    </row>
    <row r="1122" customFormat="false" ht="15" hidden="false" customHeight="false" outlineLevel="0" collapsed="false">
      <c r="A1122" s="52"/>
      <c r="B1122" s="53"/>
      <c r="C1122" s="53"/>
      <c r="D1122" s="53"/>
      <c r="E1122" s="54"/>
      <c r="F1122" s="55"/>
      <c r="G1122" s="55"/>
      <c r="H1122" s="55"/>
      <c r="I1122" s="56"/>
      <c r="J1122" s="53"/>
      <c r="K1122" s="53"/>
      <c r="L1122" s="57" t="str">
        <f aca="false">IF(C1122="","",IFERROR(INDEX(site_ID,MATCH(C1122,site_Name,0)),"Not on SITES"))</f>
        <v/>
      </c>
      <c r="M1122" s="58" t="str">
        <f aca="false">IF(E1122="","",DATE(YEAR(E1122),MONTH(E1122),1))</f>
        <v/>
      </c>
      <c r="N1122" s="57" t="str">
        <f aca="false">IF(E1122="","","FY"&amp;(YEAR(E1122)+IF(AND(FYStart&gt;1,MONTH(E1122)&gt;=FYStart),1,0))&amp;" Q"&amp;(INT(MOD(MONTH(E1122)-FYStart,12)/3)+1))</f>
        <v/>
      </c>
      <c r="O1122" s="59" t="str">
        <f aca="false">IF(OR(E1122="",N(F1122)=0),"",G1122/F1122)</f>
        <v/>
      </c>
      <c r="P1122" s="60" t="str">
        <f aca="false">IF(E1122="","",ROUND(N(G1122)*N(H1122)/60,1))</f>
        <v/>
      </c>
      <c r="Q1122" s="57" t="str">
        <f aca="false">IF(E1122="","",IF(COUNTIFS($C$2:C1122,C1122,$E$2:E1122,E1122,$B$2:B1122,B1122)&gt;1,"No","Yes"))</f>
        <v/>
      </c>
      <c r="R1122" s="61" t="str">
        <f aca="false">IF(E1122="","",IF(Q1122="No","Duplicate of an earlier response",IF(L1122="Not on SITES","Site not on SITES",IF(N(G1122)&gt;N(F1122),"Present is more than enrolled",IF(OR(I1122&lt;1,I1122&gt;5),"Score outside 1 to 5","")))))</f>
        <v/>
      </c>
    </row>
    <row r="1123" customFormat="false" ht="15" hidden="false" customHeight="false" outlineLevel="0" collapsed="false">
      <c r="A1123" s="52"/>
      <c r="B1123" s="53"/>
      <c r="C1123" s="53"/>
      <c r="D1123" s="53"/>
      <c r="E1123" s="54"/>
      <c r="F1123" s="55"/>
      <c r="G1123" s="55"/>
      <c r="H1123" s="55"/>
      <c r="I1123" s="56"/>
      <c r="J1123" s="53"/>
      <c r="K1123" s="53"/>
      <c r="L1123" s="57" t="str">
        <f aca="false">IF(C1123="","",IFERROR(INDEX(site_ID,MATCH(C1123,site_Name,0)),"Not on SITES"))</f>
        <v/>
      </c>
      <c r="M1123" s="58" t="str">
        <f aca="false">IF(E1123="","",DATE(YEAR(E1123),MONTH(E1123),1))</f>
        <v/>
      </c>
      <c r="N1123" s="57" t="str">
        <f aca="false">IF(E1123="","","FY"&amp;(YEAR(E1123)+IF(AND(FYStart&gt;1,MONTH(E1123)&gt;=FYStart),1,0))&amp;" Q"&amp;(INT(MOD(MONTH(E1123)-FYStart,12)/3)+1))</f>
        <v/>
      </c>
      <c r="O1123" s="59" t="str">
        <f aca="false">IF(OR(E1123="",N(F1123)=0),"",G1123/F1123)</f>
        <v/>
      </c>
      <c r="P1123" s="60" t="str">
        <f aca="false">IF(E1123="","",ROUND(N(G1123)*N(H1123)/60,1))</f>
        <v/>
      </c>
      <c r="Q1123" s="57" t="str">
        <f aca="false">IF(E1123="","",IF(COUNTIFS($C$2:C1123,C1123,$E$2:E1123,E1123,$B$2:B1123,B1123)&gt;1,"No","Yes"))</f>
        <v/>
      </c>
      <c r="R1123" s="61" t="str">
        <f aca="false">IF(E1123="","",IF(Q1123="No","Duplicate of an earlier response",IF(L1123="Not on SITES","Site not on SITES",IF(N(G1123)&gt;N(F1123),"Present is more than enrolled",IF(OR(I1123&lt;1,I1123&gt;5),"Score outside 1 to 5","")))))</f>
        <v/>
      </c>
    </row>
    <row r="1124" customFormat="false" ht="15" hidden="false" customHeight="false" outlineLevel="0" collapsed="false">
      <c r="A1124" s="52"/>
      <c r="B1124" s="53"/>
      <c r="C1124" s="53"/>
      <c r="D1124" s="53"/>
      <c r="E1124" s="54"/>
      <c r="F1124" s="55"/>
      <c r="G1124" s="55"/>
      <c r="H1124" s="55"/>
      <c r="I1124" s="56"/>
      <c r="J1124" s="53"/>
      <c r="K1124" s="53"/>
      <c r="L1124" s="57" t="str">
        <f aca="false">IF(C1124="","",IFERROR(INDEX(site_ID,MATCH(C1124,site_Name,0)),"Not on SITES"))</f>
        <v/>
      </c>
      <c r="M1124" s="58" t="str">
        <f aca="false">IF(E1124="","",DATE(YEAR(E1124),MONTH(E1124),1))</f>
        <v/>
      </c>
      <c r="N1124" s="57" t="str">
        <f aca="false">IF(E1124="","","FY"&amp;(YEAR(E1124)+IF(AND(FYStart&gt;1,MONTH(E1124)&gt;=FYStart),1,0))&amp;" Q"&amp;(INT(MOD(MONTH(E1124)-FYStart,12)/3)+1))</f>
        <v/>
      </c>
      <c r="O1124" s="59" t="str">
        <f aca="false">IF(OR(E1124="",N(F1124)=0),"",G1124/F1124)</f>
        <v/>
      </c>
      <c r="P1124" s="60" t="str">
        <f aca="false">IF(E1124="","",ROUND(N(G1124)*N(H1124)/60,1))</f>
        <v/>
      </c>
      <c r="Q1124" s="57" t="str">
        <f aca="false">IF(E1124="","",IF(COUNTIFS($C$2:C1124,C1124,$E$2:E1124,E1124,$B$2:B1124,B1124)&gt;1,"No","Yes"))</f>
        <v/>
      </c>
      <c r="R1124" s="61" t="str">
        <f aca="false">IF(E1124="","",IF(Q1124="No","Duplicate of an earlier response",IF(L1124="Not on SITES","Site not on SITES",IF(N(G1124)&gt;N(F1124),"Present is more than enrolled",IF(OR(I1124&lt;1,I1124&gt;5),"Score outside 1 to 5","")))))</f>
        <v/>
      </c>
    </row>
    <row r="1125" customFormat="false" ht="15" hidden="false" customHeight="false" outlineLevel="0" collapsed="false">
      <c r="A1125" s="52"/>
      <c r="B1125" s="53"/>
      <c r="C1125" s="53"/>
      <c r="D1125" s="53"/>
      <c r="E1125" s="54"/>
      <c r="F1125" s="55"/>
      <c r="G1125" s="55"/>
      <c r="H1125" s="55"/>
      <c r="I1125" s="56"/>
      <c r="J1125" s="53"/>
      <c r="K1125" s="53"/>
      <c r="L1125" s="57" t="str">
        <f aca="false">IF(C1125="","",IFERROR(INDEX(site_ID,MATCH(C1125,site_Name,0)),"Not on SITES"))</f>
        <v/>
      </c>
      <c r="M1125" s="58" t="str">
        <f aca="false">IF(E1125="","",DATE(YEAR(E1125),MONTH(E1125),1))</f>
        <v/>
      </c>
      <c r="N1125" s="57" t="str">
        <f aca="false">IF(E1125="","","FY"&amp;(YEAR(E1125)+IF(AND(FYStart&gt;1,MONTH(E1125)&gt;=FYStart),1,0))&amp;" Q"&amp;(INT(MOD(MONTH(E1125)-FYStart,12)/3)+1))</f>
        <v/>
      </c>
      <c r="O1125" s="59" t="str">
        <f aca="false">IF(OR(E1125="",N(F1125)=0),"",G1125/F1125)</f>
        <v/>
      </c>
      <c r="P1125" s="60" t="str">
        <f aca="false">IF(E1125="","",ROUND(N(G1125)*N(H1125)/60,1))</f>
        <v/>
      </c>
      <c r="Q1125" s="57" t="str">
        <f aca="false">IF(E1125="","",IF(COUNTIFS($C$2:C1125,C1125,$E$2:E1125,E1125,$B$2:B1125,B1125)&gt;1,"No","Yes"))</f>
        <v/>
      </c>
      <c r="R1125" s="61" t="str">
        <f aca="false">IF(E1125="","",IF(Q1125="No","Duplicate of an earlier response",IF(L1125="Not on SITES","Site not on SITES",IF(N(G1125)&gt;N(F1125),"Present is more than enrolled",IF(OR(I1125&lt;1,I1125&gt;5),"Score outside 1 to 5","")))))</f>
        <v/>
      </c>
    </row>
    <row r="1126" customFormat="false" ht="15" hidden="false" customHeight="false" outlineLevel="0" collapsed="false">
      <c r="A1126" s="52"/>
      <c r="B1126" s="53"/>
      <c r="C1126" s="53"/>
      <c r="D1126" s="53"/>
      <c r="E1126" s="54"/>
      <c r="F1126" s="55"/>
      <c r="G1126" s="55"/>
      <c r="H1126" s="55"/>
      <c r="I1126" s="56"/>
      <c r="J1126" s="53"/>
      <c r="K1126" s="53"/>
      <c r="L1126" s="57" t="str">
        <f aca="false">IF(C1126="","",IFERROR(INDEX(site_ID,MATCH(C1126,site_Name,0)),"Not on SITES"))</f>
        <v/>
      </c>
      <c r="M1126" s="58" t="str">
        <f aca="false">IF(E1126="","",DATE(YEAR(E1126),MONTH(E1126),1))</f>
        <v/>
      </c>
      <c r="N1126" s="57" t="str">
        <f aca="false">IF(E1126="","","FY"&amp;(YEAR(E1126)+IF(AND(FYStart&gt;1,MONTH(E1126)&gt;=FYStart),1,0))&amp;" Q"&amp;(INT(MOD(MONTH(E1126)-FYStart,12)/3)+1))</f>
        <v/>
      </c>
      <c r="O1126" s="59" t="str">
        <f aca="false">IF(OR(E1126="",N(F1126)=0),"",G1126/F1126)</f>
        <v/>
      </c>
      <c r="P1126" s="60" t="str">
        <f aca="false">IF(E1126="","",ROUND(N(G1126)*N(H1126)/60,1))</f>
        <v/>
      </c>
      <c r="Q1126" s="57" t="str">
        <f aca="false">IF(E1126="","",IF(COUNTIFS($C$2:C1126,C1126,$E$2:E1126,E1126,$B$2:B1126,B1126)&gt;1,"No","Yes"))</f>
        <v/>
      </c>
      <c r="R1126" s="61" t="str">
        <f aca="false">IF(E1126="","",IF(Q1126="No","Duplicate of an earlier response",IF(L1126="Not on SITES","Site not on SITES",IF(N(G1126)&gt;N(F1126),"Present is more than enrolled",IF(OR(I1126&lt;1,I1126&gt;5),"Score outside 1 to 5","")))))</f>
        <v/>
      </c>
    </row>
    <row r="1127" customFormat="false" ht="15" hidden="false" customHeight="false" outlineLevel="0" collapsed="false">
      <c r="A1127" s="52"/>
      <c r="B1127" s="53"/>
      <c r="C1127" s="53"/>
      <c r="D1127" s="53"/>
      <c r="E1127" s="54"/>
      <c r="F1127" s="55"/>
      <c r="G1127" s="55"/>
      <c r="H1127" s="55"/>
      <c r="I1127" s="56"/>
      <c r="J1127" s="53"/>
      <c r="K1127" s="53"/>
      <c r="L1127" s="57" t="str">
        <f aca="false">IF(C1127="","",IFERROR(INDEX(site_ID,MATCH(C1127,site_Name,0)),"Not on SITES"))</f>
        <v/>
      </c>
      <c r="M1127" s="58" t="str">
        <f aca="false">IF(E1127="","",DATE(YEAR(E1127),MONTH(E1127),1))</f>
        <v/>
      </c>
      <c r="N1127" s="57" t="str">
        <f aca="false">IF(E1127="","","FY"&amp;(YEAR(E1127)+IF(AND(FYStart&gt;1,MONTH(E1127)&gt;=FYStart),1,0))&amp;" Q"&amp;(INT(MOD(MONTH(E1127)-FYStart,12)/3)+1))</f>
        <v/>
      </c>
      <c r="O1127" s="59" t="str">
        <f aca="false">IF(OR(E1127="",N(F1127)=0),"",G1127/F1127)</f>
        <v/>
      </c>
      <c r="P1127" s="60" t="str">
        <f aca="false">IF(E1127="","",ROUND(N(G1127)*N(H1127)/60,1))</f>
        <v/>
      </c>
      <c r="Q1127" s="57" t="str">
        <f aca="false">IF(E1127="","",IF(COUNTIFS($C$2:C1127,C1127,$E$2:E1127,E1127,$B$2:B1127,B1127)&gt;1,"No","Yes"))</f>
        <v/>
      </c>
      <c r="R1127" s="61" t="str">
        <f aca="false">IF(E1127="","",IF(Q1127="No","Duplicate of an earlier response",IF(L1127="Not on SITES","Site not on SITES",IF(N(G1127)&gt;N(F1127),"Present is more than enrolled",IF(OR(I1127&lt;1,I1127&gt;5),"Score outside 1 to 5","")))))</f>
        <v/>
      </c>
    </row>
    <row r="1128" customFormat="false" ht="15" hidden="false" customHeight="false" outlineLevel="0" collapsed="false">
      <c r="A1128" s="52"/>
      <c r="B1128" s="53"/>
      <c r="C1128" s="53"/>
      <c r="D1128" s="53"/>
      <c r="E1128" s="54"/>
      <c r="F1128" s="55"/>
      <c r="G1128" s="55"/>
      <c r="H1128" s="55"/>
      <c r="I1128" s="56"/>
      <c r="J1128" s="53"/>
      <c r="K1128" s="53"/>
      <c r="L1128" s="57" t="str">
        <f aca="false">IF(C1128="","",IFERROR(INDEX(site_ID,MATCH(C1128,site_Name,0)),"Not on SITES"))</f>
        <v/>
      </c>
      <c r="M1128" s="58" t="str">
        <f aca="false">IF(E1128="","",DATE(YEAR(E1128),MONTH(E1128),1))</f>
        <v/>
      </c>
      <c r="N1128" s="57" t="str">
        <f aca="false">IF(E1128="","","FY"&amp;(YEAR(E1128)+IF(AND(FYStart&gt;1,MONTH(E1128)&gt;=FYStart),1,0))&amp;" Q"&amp;(INT(MOD(MONTH(E1128)-FYStart,12)/3)+1))</f>
        <v/>
      </c>
      <c r="O1128" s="59" t="str">
        <f aca="false">IF(OR(E1128="",N(F1128)=0),"",G1128/F1128)</f>
        <v/>
      </c>
      <c r="P1128" s="60" t="str">
        <f aca="false">IF(E1128="","",ROUND(N(G1128)*N(H1128)/60,1))</f>
        <v/>
      </c>
      <c r="Q1128" s="57" t="str">
        <f aca="false">IF(E1128="","",IF(COUNTIFS($C$2:C1128,C1128,$E$2:E1128,E1128,$B$2:B1128,B1128)&gt;1,"No","Yes"))</f>
        <v/>
      </c>
      <c r="R1128" s="61" t="str">
        <f aca="false">IF(E1128="","",IF(Q1128="No","Duplicate of an earlier response",IF(L1128="Not on SITES","Site not on SITES",IF(N(G1128)&gt;N(F1128),"Present is more than enrolled",IF(OR(I1128&lt;1,I1128&gt;5),"Score outside 1 to 5","")))))</f>
        <v/>
      </c>
    </row>
    <row r="1129" customFormat="false" ht="15" hidden="false" customHeight="false" outlineLevel="0" collapsed="false">
      <c r="A1129" s="52"/>
      <c r="B1129" s="53"/>
      <c r="C1129" s="53"/>
      <c r="D1129" s="53"/>
      <c r="E1129" s="54"/>
      <c r="F1129" s="55"/>
      <c r="G1129" s="55"/>
      <c r="H1129" s="55"/>
      <c r="I1129" s="56"/>
      <c r="J1129" s="53"/>
      <c r="K1129" s="53"/>
      <c r="L1129" s="57" t="str">
        <f aca="false">IF(C1129="","",IFERROR(INDEX(site_ID,MATCH(C1129,site_Name,0)),"Not on SITES"))</f>
        <v/>
      </c>
      <c r="M1129" s="58" t="str">
        <f aca="false">IF(E1129="","",DATE(YEAR(E1129),MONTH(E1129),1))</f>
        <v/>
      </c>
      <c r="N1129" s="57" t="str">
        <f aca="false">IF(E1129="","","FY"&amp;(YEAR(E1129)+IF(AND(FYStart&gt;1,MONTH(E1129)&gt;=FYStart),1,0))&amp;" Q"&amp;(INT(MOD(MONTH(E1129)-FYStart,12)/3)+1))</f>
        <v/>
      </c>
      <c r="O1129" s="59" t="str">
        <f aca="false">IF(OR(E1129="",N(F1129)=0),"",G1129/F1129)</f>
        <v/>
      </c>
      <c r="P1129" s="60" t="str">
        <f aca="false">IF(E1129="","",ROUND(N(G1129)*N(H1129)/60,1))</f>
        <v/>
      </c>
      <c r="Q1129" s="57" t="str">
        <f aca="false">IF(E1129="","",IF(COUNTIFS($C$2:C1129,C1129,$E$2:E1129,E1129,$B$2:B1129,B1129)&gt;1,"No","Yes"))</f>
        <v/>
      </c>
      <c r="R1129" s="61" t="str">
        <f aca="false">IF(E1129="","",IF(Q1129="No","Duplicate of an earlier response",IF(L1129="Not on SITES","Site not on SITES",IF(N(G1129)&gt;N(F1129),"Present is more than enrolled",IF(OR(I1129&lt;1,I1129&gt;5),"Score outside 1 to 5","")))))</f>
        <v/>
      </c>
    </row>
    <row r="1130" customFormat="false" ht="15" hidden="false" customHeight="false" outlineLevel="0" collapsed="false">
      <c r="A1130" s="52"/>
      <c r="B1130" s="53"/>
      <c r="C1130" s="53"/>
      <c r="D1130" s="53"/>
      <c r="E1130" s="54"/>
      <c r="F1130" s="55"/>
      <c r="G1130" s="55"/>
      <c r="H1130" s="55"/>
      <c r="I1130" s="56"/>
      <c r="J1130" s="53"/>
      <c r="K1130" s="53"/>
      <c r="L1130" s="57" t="str">
        <f aca="false">IF(C1130="","",IFERROR(INDEX(site_ID,MATCH(C1130,site_Name,0)),"Not on SITES"))</f>
        <v/>
      </c>
      <c r="M1130" s="58" t="str">
        <f aca="false">IF(E1130="","",DATE(YEAR(E1130),MONTH(E1130),1))</f>
        <v/>
      </c>
      <c r="N1130" s="57" t="str">
        <f aca="false">IF(E1130="","","FY"&amp;(YEAR(E1130)+IF(AND(FYStart&gt;1,MONTH(E1130)&gt;=FYStart),1,0))&amp;" Q"&amp;(INT(MOD(MONTH(E1130)-FYStart,12)/3)+1))</f>
        <v/>
      </c>
      <c r="O1130" s="59" t="str">
        <f aca="false">IF(OR(E1130="",N(F1130)=0),"",G1130/F1130)</f>
        <v/>
      </c>
      <c r="P1130" s="60" t="str">
        <f aca="false">IF(E1130="","",ROUND(N(G1130)*N(H1130)/60,1))</f>
        <v/>
      </c>
      <c r="Q1130" s="57" t="str">
        <f aca="false">IF(E1130="","",IF(COUNTIFS($C$2:C1130,C1130,$E$2:E1130,E1130,$B$2:B1130,B1130)&gt;1,"No","Yes"))</f>
        <v/>
      </c>
      <c r="R1130" s="61" t="str">
        <f aca="false">IF(E1130="","",IF(Q1130="No","Duplicate of an earlier response",IF(L1130="Not on SITES","Site not on SITES",IF(N(G1130)&gt;N(F1130),"Present is more than enrolled",IF(OR(I1130&lt;1,I1130&gt;5),"Score outside 1 to 5","")))))</f>
        <v/>
      </c>
    </row>
    <row r="1131" customFormat="false" ht="15" hidden="false" customHeight="false" outlineLevel="0" collapsed="false">
      <c r="A1131" s="52"/>
      <c r="B1131" s="53"/>
      <c r="C1131" s="53"/>
      <c r="D1131" s="53"/>
      <c r="E1131" s="54"/>
      <c r="F1131" s="55"/>
      <c r="G1131" s="55"/>
      <c r="H1131" s="55"/>
      <c r="I1131" s="56"/>
      <c r="J1131" s="53"/>
      <c r="K1131" s="53"/>
      <c r="L1131" s="57" t="str">
        <f aca="false">IF(C1131="","",IFERROR(INDEX(site_ID,MATCH(C1131,site_Name,0)),"Not on SITES"))</f>
        <v/>
      </c>
      <c r="M1131" s="58" t="str">
        <f aca="false">IF(E1131="","",DATE(YEAR(E1131),MONTH(E1131),1))</f>
        <v/>
      </c>
      <c r="N1131" s="57" t="str">
        <f aca="false">IF(E1131="","","FY"&amp;(YEAR(E1131)+IF(AND(FYStart&gt;1,MONTH(E1131)&gt;=FYStart),1,0))&amp;" Q"&amp;(INT(MOD(MONTH(E1131)-FYStart,12)/3)+1))</f>
        <v/>
      </c>
      <c r="O1131" s="59" t="str">
        <f aca="false">IF(OR(E1131="",N(F1131)=0),"",G1131/F1131)</f>
        <v/>
      </c>
      <c r="P1131" s="60" t="str">
        <f aca="false">IF(E1131="","",ROUND(N(G1131)*N(H1131)/60,1))</f>
        <v/>
      </c>
      <c r="Q1131" s="57" t="str">
        <f aca="false">IF(E1131="","",IF(COUNTIFS($C$2:C1131,C1131,$E$2:E1131,E1131,$B$2:B1131,B1131)&gt;1,"No","Yes"))</f>
        <v/>
      </c>
      <c r="R1131" s="61" t="str">
        <f aca="false">IF(E1131="","",IF(Q1131="No","Duplicate of an earlier response",IF(L1131="Not on SITES","Site not on SITES",IF(N(G1131)&gt;N(F1131),"Present is more than enrolled",IF(OR(I1131&lt;1,I1131&gt;5),"Score outside 1 to 5","")))))</f>
        <v/>
      </c>
    </row>
    <row r="1132" customFormat="false" ht="15" hidden="false" customHeight="false" outlineLevel="0" collapsed="false">
      <c r="A1132" s="52"/>
      <c r="B1132" s="53"/>
      <c r="C1132" s="53"/>
      <c r="D1132" s="53"/>
      <c r="E1132" s="54"/>
      <c r="F1132" s="55"/>
      <c r="G1132" s="55"/>
      <c r="H1132" s="55"/>
      <c r="I1132" s="56"/>
      <c r="J1132" s="53"/>
      <c r="K1132" s="53"/>
      <c r="L1132" s="57" t="str">
        <f aca="false">IF(C1132="","",IFERROR(INDEX(site_ID,MATCH(C1132,site_Name,0)),"Not on SITES"))</f>
        <v/>
      </c>
      <c r="M1132" s="58" t="str">
        <f aca="false">IF(E1132="","",DATE(YEAR(E1132),MONTH(E1132),1))</f>
        <v/>
      </c>
      <c r="N1132" s="57" t="str">
        <f aca="false">IF(E1132="","","FY"&amp;(YEAR(E1132)+IF(AND(FYStart&gt;1,MONTH(E1132)&gt;=FYStart),1,0))&amp;" Q"&amp;(INT(MOD(MONTH(E1132)-FYStart,12)/3)+1))</f>
        <v/>
      </c>
      <c r="O1132" s="59" t="str">
        <f aca="false">IF(OR(E1132="",N(F1132)=0),"",G1132/F1132)</f>
        <v/>
      </c>
      <c r="P1132" s="60" t="str">
        <f aca="false">IF(E1132="","",ROUND(N(G1132)*N(H1132)/60,1))</f>
        <v/>
      </c>
      <c r="Q1132" s="57" t="str">
        <f aca="false">IF(E1132="","",IF(COUNTIFS($C$2:C1132,C1132,$E$2:E1132,E1132,$B$2:B1132,B1132)&gt;1,"No","Yes"))</f>
        <v/>
      </c>
      <c r="R1132" s="61" t="str">
        <f aca="false">IF(E1132="","",IF(Q1132="No","Duplicate of an earlier response",IF(L1132="Not on SITES","Site not on SITES",IF(N(G1132)&gt;N(F1132),"Present is more than enrolled",IF(OR(I1132&lt;1,I1132&gt;5),"Score outside 1 to 5","")))))</f>
        <v/>
      </c>
    </row>
    <row r="1133" customFormat="false" ht="15" hidden="false" customHeight="false" outlineLevel="0" collapsed="false">
      <c r="A1133" s="52"/>
      <c r="B1133" s="53"/>
      <c r="C1133" s="53"/>
      <c r="D1133" s="53"/>
      <c r="E1133" s="54"/>
      <c r="F1133" s="55"/>
      <c r="G1133" s="55"/>
      <c r="H1133" s="55"/>
      <c r="I1133" s="56"/>
      <c r="J1133" s="53"/>
      <c r="K1133" s="53"/>
      <c r="L1133" s="57" t="str">
        <f aca="false">IF(C1133="","",IFERROR(INDEX(site_ID,MATCH(C1133,site_Name,0)),"Not on SITES"))</f>
        <v/>
      </c>
      <c r="M1133" s="58" t="str">
        <f aca="false">IF(E1133="","",DATE(YEAR(E1133),MONTH(E1133),1))</f>
        <v/>
      </c>
      <c r="N1133" s="57" t="str">
        <f aca="false">IF(E1133="","","FY"&amp;(YEAR(E1133)+IF(AND(FYStart&gt;1,MONTH(E1133)&gt;=FYStart),1,0))&amp;" Q"&amp;(INT(MOD(MONTH(E1133)-FYStart,12)/3)+1))</f>
        <v/>
      </c>
      <c r="O1133" s="59" t="str">
        <f aca="false">IF(OR(E1133="",N(F1133)=0),"",G1133/F1133)</f>
        <v/>
      </c>
      <c r="P1133" s="60" t="str">
        <f aca="false">IF(E1133="","",ROUND(N(G1133)*N(H1133)/60,1))</f>
        <v/>
      </c>
      <c r="Q1133" s="57" t="str">
        <f aca="false">IF(E1133="","",IF(COUNTIFS($C$2:C1133,C1133,$E$2:E1133,E1133,$B$2:B1133,B1133)&gt;1,"No","Yes"))</f>
        <v/>
      </c>
      <c r="R1133" s="61" t="str">
        <f aca="false">IF(E1133="","",IF(Q1133="No","Duplicate of an earlier response",IF(L1133="Not on SITES","Site not on SITES",IF(N(G1133)&gt;N(F1133),"Present is more than enrolled",IF(OR(I1133&lt;1,I1133&gt;5),"Score outside 1 to 5","")))))</f>
        <v/>
      </c>
    </row>
    <row r="1134" customFormat="false" ht="15" hidden="false" customHeight="false" outlineLevel="0" collapsed="false">
      <c r="A1134" s="52"/>
      <c r="B1134" s="53"/>
      <c r="C1134" s="53"/>
      <c r="D1134" s="53"/>
      <c r="E1134" s="54"/>
      <c r="F1134" s="55"/>
      <c r="G1134" s="55"/>
      <c r="H1134" s="55"/>
      <c r="I1134" s="56"/>
      <c r="J1134" s="53"/>
      <c r="K1134" s="53"/>
      <c r="L1134" s="57" t="str">
        <f aca="false">IF(C1134="","",IFERROR(INDEX(site_ID,MATCH(C1134,site_Name,0)),"Not on SITES"))</f>
        <v/>
      </c>
      <c r="M1134" s="58" t="str">
        <f aca="false">IF(E1134="","",DATE(YEAR(E1134),MONTH(E1134),1))</f>
        <v/>
      </c>
      <c r="N1134" s="57" t="str">
        <f aca="false">IF(E1134="","","FY"&amp;(YEAR(E1134)+IF(AND(FYStart&gt;1,MONTH(E1134)&gt;=FYStart),1,0))&amp;" Q"&amp;(INT(MOD(MONTH(E1134)-FYStart,12)/3)+1))</f>
        <v/>
      </c>
      <c r="O1134" s="59" t="str">
        <f aca="false">IF(OR(E1134="",N(F1134)=0),"",G1134/F1134)</f>
        <v/>
      </c>
      <c r="P1134" s="60" t="str">
        <f aca="false">IF(E1134="","",ROUND(N(G1134)*N(H1134)/60,1))</f>
        <v/>
      </c>
      <c r="Q1134" s="57" t="str">
        <f aca="false">IF(E1134="","",IF(COUNTIFS($C$2:C1134,C1134,$E$2:E1134,E1134,$B$2:B1134,B1134)&gt;1,"No","Yes"))</f>
        <v/>
      </c>
      <c r="R1134" s="61" t="str">
        <f aca="false">IF(E1134="","",IF(Q1134="No","Duplicate of an earlier response",IF(L1134="Not on SITES","Site not on SITES",IF(N(G1134)&gt;N(F1134),"Present is more than enrolled",IF(OR(I1134&lt;1,I1134&gt;5),"Score outside 1 to 5","")))))</f>
        <v/>
      </c>
    </row>
    <row r="1135" customFormat="false" ht="15" hidden="false" customHeight="false" outlineLevel="0" collapsed="false">
      <c r="A1135" s="52"/>
      <c r="B1135" s="53"/>
      <c r="C1135" s="53"/>
      <c r="D1135" s="53"/>
      <c r="E1135" s="54"/>
      <c r="F1135" s="55"/>
      <c r="G1135" s="55"/>
      <c r="H1135" s="55"/>
      <c r="I1135" s="56"/>
      <c r="J1135" s="53"/>
      <c r="K1135" s="53"/>
      <c r="L1135" s="57" t="str">
        <f aca="false">IF(C1135="","",IFERROR(INDEX(site_ID,MATCH(C1135,site_Name,0)),"Not on SITES"))</f>
        <v/>
      </c>
      <c r="M1135" s="58" t="str">
        <f aca="false">IF(E1135="","",DATE(YEAR(E1135),MONTH(E1135),1))</f>
        <v/>
      </c>
      <c r="N1135" s="57" t="str">
        <f aca="false">IF(E1135="","","FY"&amp;(YEAR(E1135)+IF(AND(FYStart&gt;1,MONTH(E1135)&gt;=FYStart),1,0))&amp;" Q"&amp;(INT(MOD(MONTH(E1135)-FYStart,12)/3)+1))</f>
        <v/>
      </c>
      <c r="O1135" s="59" t="str">
        <f aca="false">IF(OR(E1135="",N(F1135)=0),"",G1135/F1135)</f>
        <v/>
      </c>
      <c r="P1135" s="60" t="str">
        <f aca="false">IF(E1135="","",ROUND(N(G1135)*N(H1135)/60,1))</f>
        <v/>
      </c>
      <c r="Q1135" s="57" t="str">
        <f aca="false">IF(E1135="","",IF(COUNTIFS($C$2:C1135,C1135,$E$2:E1135,E1135,$B$2:B1135,B1135)&gt;1,"No","Yes"))</f>
        <v/>
      </c>
      <c r="R1135" s="61" t="str">
        <f aca="false">IF(E1135="","",IF(Q1135="No","Duplicate of an earlier response",IF(L1135="Not on SITES","Site not on SITES",IF(N(G1135)&gt;N(F1135),"Present is more than enrolled",IF(OR(I1135&lt;1,I1135&gt;5),"Score outside 1 to 5","")))))</f>
        <v/>
      </c>
    </row>
    <row r="1136" customFormat="false" ht="15" hidden="false" customHeight="false" outlineLevel="0" collapsed="false">
      <c r="A1136" s="52"/>
      <c r="B1136" s="53"/>
      <c r="C1136" s="53"/>
      <c r="D1136" s="53"/>
      <c r="E1136" s="54"/>
      <c r="F1136" s="55"/>
      <c r="G1136" s="55"/>
      <c r="H1136" s="55"/>
      <c r="I1136" s="56"/>
      <c r="J1136" s="53"/>
      <c r="K1136" s="53"/>
      <c r="L1136" s="57" t="str">
        <f aca="false">IF(C1136="","",IFERROR(INDEX(site_ID,MATCH(C1136,site_Name,0)),"Not on SITES"))</f>
        <v/>
      </c>
      <c r="M1136" s="58" t="str">
        <f aca="false">IF(E1136="","",DATE(YEAR(E1136),MONTH(E1136),1))</f>
        <v/>
      </c>
      <c r="N1136" s="57" t="str">
        <f aca="false">IF(E1136="","","FY"&amp;(YEAR(E1136)+IF(AND(FYStart&gt;1,MONTH(E1136)&gt;=FYStart),1,0))&amp;" Q"&amp;(INT(MOD(MONTH(E1136)-FYStart,12)/3)+1))</f>
        <v/>
      </c>
      <c r="O1136" s="59" t="str">
        <f aca="false">IF(OR(E1136="",N(F1136)=0),"",G1136/F1136)</f>
        <v/>
      </c>
      <c r="P1136" s="60" t="str">
        <f aca="false">IF(E1136="","",ROUND(N(G1136)*N(H1136)/60,1))</f>
        <v/>
      </c>
      <c r="Q1136" s="57" t="str">
        <f aca="false">IF(E1136="","",IF(COUNTIFS($C$2:C1136,C1136,$E$2:E1136,E1136,$B$2:B1136,B1136)&gt;1,"No","Yes"))</f>
        <v/>
      </c>
      <c r="R1136" s="61" t="str">
        <f aca="false">IF(E1136="","",IF(Q1136="No","Duplicate of an earlier response",IF(L1136="Not on SITES","Site not on SITES",IF(N(G1136)&gt;N(F1136),"Present is more than enrolled",IF(OR(I1136&lt;1,I1136&gt;5),"Score outside 1 to 5","")))))</f>
        <v/>
      </c>
    </row>
    <row r="1137" customFormat="false" ht="15" hidden="false" customHeight="false" outlineLevel="0" collapsed="false">
      <c r="A1137" s="52"/>
      <c r="B1137" s="53"/>
      <c r="C1137" s="53"/>
      <c r="D1137" s="53"/>
      <c r="E1137" s="54"/>
      <c r="F1137" s="55"/>
      <c r="G1137" s="55"/>
      <c r="H1137" s="55"/>
      <c r="I1137" s="56"/>
      <c r="J1137" s="53"/>
      <c r="K1137" s="53"/>
      <c r="L1137" s="57" t="str">
        <f aca="false">IF(C1137="","",IFERROR(INDEX(site_ID,MATCH(C1137,site_Name,0)),"Not on SITES"))</f>
        <v/>
      </c>
      <c r="M1137" s="58" t="str">
        <f aca="false">IF(E1137="","",DATE(YEAR(E1137),MONTH(E1137),1))</f>
        <v/>
      </c>
      <c r="N1137" s="57" t="str">
        <f aca="false">IF(E1137="","","FY"&amp;(YEAR(E1137)+IF(AND(FYStart&gt;1,MONTH(E1137)&gt;=FYStart),1,0))&amp;" Q"&amp;(INT(MOD(MONTH(E1137)-FYStart,12)/3)+1))</f>
        <v/>
      </c>
      <c r="O1137" s="59" t="str">
        <f aca="false">IF(OR(E1137="",N(F1137)=0),"",G1137/F1137)</f>
        <v/>
      </c>
      <c r="P1137" s="60" t="str">
        <f aca="false">IF(E1137="","",ROUND(N(G1137)*N(H1137)/60,1))</f>
        <v/>
      </c>
      <c r="Q1137" s="57" t="str">
        <f aca="false">IF(E1137="","",IF(COUNTIFS($C$2:C1137,C1137,$E$2:E1137,E1137,$B$2:B1137,B1137)&gt;1,"No","Yes"))</f>
        <v/>
      </c>
      <c r="R1137" s="61" t="str">
        <f aca="false">IF(E1137="","",IF(Q1137="No","Duplicate of an earlier response",IF(L1137="Not on SITES","Site not on SITES",IF(N(G1137)&gt;N(F1137),"Present is more than enrolled",IF(OR(I1137&lt;1,I1137&gt;5),"Score outside 1 to 5","")))))</f>
        <v/>
      </c>
    </row>
    <row r="1138" customFormat="false" ht="15" hidden="false" customHeight="false" outlineLevel="0" collapsed="false">
      <c r="A1138" s="52"/>
      <c r="B1138" s="53"/>
      <c r="C1138" s="53"/>
      <c r="D1138" s="53"/>
      <c r="E1138" s="54"/>
      <c r="F1138" s="55"/>
      <c r="G1138" s="55"/>
      <c r="H1138" s="55"/>
      <c r="I1138" s="56"/>
      <c r="J1138" s="53"/>
      <c r="K1138" s="53"/>
      <c r="L1138" s="57" t="str">
        <f aca="false">IF(C1138="","",IFERROR(INDEX(site_ID,MATCH(C1138,site_Name,0)),"Not on SITES"))</f>
        <v/>
      </c>
      <c r="M1138" s="58" t="str">
        <f aca="false">IF(E1138="","",DATE(YEAR(E1138),MONTH(E1138),1))</f>
        <v/>
      </c>
      <c r="N1138" s="57" t="str">
        <f aca="false">IF(E1138="","","FY"&amp;(YEAR(E1138)+IF(AND(FYStart&gt;1,MONTH(E1138)&gt;=FYStart),1,0))&amp;" Q"&amp;(INT(MOD(MONTH(E1138)-FYStart,12)/3)+1))</f>
        <v/>
      </c>
      <c r="O1138" s="59" t="str">
        <f aca="false">IF(OR(E1138="",N(F1138)=0),"",G1138/F1138)</f>
        <v/>
      </c>
      <c r="P1138" s="60" t="str">
        <f aca="false">IF(E1138="","",ROUND(N(G1138)*N(H1138)/60,1))</f>
        <v/>
      </c>
      <c r="Q1138" s="57" t="str">
        <f aca="false">IF(E1138="","",IF(COUNTIFS($C$2:C1138,C1138,$E$2:E1138,E1138,$B$2:B1138,B1138)&gt;1,"No","Yes"))</f>
        <v/>
      </c>
      <c r="R1138" s="61" t="str">
        <f aca="false">IF(E1138="","",IF(Q1138="No","Duplicate of an earlier response",IF(L1138="Not on SITES","Site not on SITES",IF(N(G1138)&gt;N(F1138),"Present is more than enrolled",IF(OR(I1138&lt;1,I1138&gt;5),"Score outside 1 to 5","")))))</f>
        <v/>
      </c>
    </row>
    <row r="1139" customFormat="false" ht="15" hidden="false" customHeight="false" outlineLevel="0" collapsed="false">
      <c r="A1139" s="52"/>
      <c r="B1139" s="53"/>
      <c r="C1139" s="53"/>
      <c r="D1139" s="53"/>
      <c r="E1139" s="54"/>
      <c r="F1139" s="55"/>
      <c r="G1139" s="55"/>
      <c r="H1139" s="55"/>
      <c r="I1139" s="56"/>
      <c r="J1139" s="53"/>
      <c r="K1139" s="53"/>
      <c r="L1139" s="57" t="str">
        <f aca="false">IF(C1139="","",IFERROR(INDEX(site_ID,MATCH(C1139,site_Name,0)),"Not on SITES"))</f>
        <v/>
      </c>
      <c r="M1139" s="58" t="str">
        <f aca="false">IF(E1139="","",DATE(YEAR(E1139),MONTH(E1139),1))</f>
        <v/>
      </c>
      <c r="N1139" s="57" t="str">
        <f aca="false">IF(E1139="","","FY"&amp;(YEAR(E1139)+IF(AND(FYStart&gt;1,MONTH(E1139)&gt;=FYStart),1,0))&amp;" Q"&amp;(INT(MOD(MONTH(E1139)-FYStart,12)/3)+1))</f>
        <v/>
      </c>
      <c r="O1139" s="59" t="str">
        <f aca="false">IF(OR(E1139="",N(F1139)=0),"",G1139/F1139)</f>
        <v/>
      </c>
      <c r="P1139" s="60" t="str">
        <f aca="false">IF(E1139="","",ROUND(N(G1139)*N(H1139)/60,1))</f>
        <v/>
      </c>
      <c r="Q1139" s="57" t="str">
        <f aca="false">IF(E1139="","",IF(COUNTIFS($C$2:C1139,C1139,$E$2:E1139,E1139,$B$2:B1139,B1139)&gt;1,"No","Yes"))</f>
        <v/>
      </c>
      <c r="R1139" s="61" t="str">
        <f aca="false">IF(E1139="","",IF(Q1139="No","Duplicate of an earlier response",IF(L1139="Not on SITES","Site not on SITES",IF(N(G1139)&gt;N(F1139),"Present is more than enrolled",IF(OR(I1139&lt;1,I1139&gt;5),"Score outside 1 to 5","")))))</f>
        <v/>
      </c>
    </row>
    <row r="1140" customFormat="false" ht="15" hidden="false" customHeight="false" outlineLevel="0" collapsed="false">
      <c r="A1140" s="52"/>
      <c r="B1140" s="53"/>
      <c r="C1140" s="53"/>
      <c r="D1140" s="53"/>
      <c r="E1140" s="54"/>
      <c r="F1140" s="55"/>
      <c r="G1140" s="55"/>
      <c r="H1140" s="55"/>
      <c r="I1140" s="56"/>
      <c r="J1140" s="53"/>
      <c r="K1140" s="53"/>
      <c r="L1140" s="57" t="str">
        <f aca="false">IF(C1140="","",IFERROR(INDEX(site_ID,MATCH(C1140,site_Name,0)),"Not on SITES"))</f>
        <v/>
      </c>
      <c r="M1140" s="58" t="str">
        <f aca="false">IF(E1140="","",DATE(YEAR(E1140),MONTH(E1140),1))</f>
        <v/>
      </c>
      <c r="N1140" s="57" t="str">
        <f aca="false">IF(E1140="","","FY"&amp;(YEAR(E1140)+IF(AND(FYStart&gt;1,MONTH(E1140)&gt;=FYStart),1,0))&amp;" Q"&amp;(INT(MOD(MONTH(E1140)-FYStart,12)/3)+1))</f>
        <v/>
      </c>
      <c r="O1140" s="59" t="str">
        <f aca="false">IF(OR(E1140="",N(F1140)=0),"",G1140/F1140)</f>
        <v/>
      </c>
      <c r="P1140" s="60" t="str">
        <f aca="false">IF(E1140="","",ROUND(N(G1140)*N(H1140)/60,1))</f>
        <v/>
      </c>
      <c r="Q1140" s="57" t="str">
        <f aca="false">IF(E1140="","",IF(COUNTIFS($C$2:C1140,C1140,$E$2:E1140,E1140,$B$2:B1140,B1140)&gt;1,"No","Yes"))</f>
        <v/>
      </c>
      <c r="R1140" s="61" t="str">
        <f aca="false">IF(E1140="","",IF(Q1140="No","Duplicate of an earlier response",IF(L1140="Not on SITES","Site not on SITES",IF(N(G1140)&gt;N(F1140),"Present is more than enrolled",IF(OR(I1140&lt;1,I1140&gt;5),"Score outside 1 to 5","")))))</f>
        <v/>
      </c>
    </row>
    <row r="1141" customFormat="false" ht="15" hidden="false" customHeight="false" outlineLevel="0" collapsed="false">
      <c r="A1141" s="52"/>
      <c r="B1141" s="53"/>
      <c r="C1141" s="53"/>
      <c r="D1141" s="53"/>
      <c r="E1141" s="54"/>
      <c r="F1141" s="55"/>
      <c r="G1141" s="55"/>
      <c r="H1141" s="55"/>
      <c r="I1141" s="56"/>
      <c r="J1141" s="53"/>
      <c r="K1141" s="53"/>
      <c r="L1141" s="57" t="str">
        <f aca="false">IF(C1141="","",IFERROR(INDEX(site_ID,MATCH(C1141,site_Name,0)),"Not on SITES"))</f>
        <v/>
      </c>
      <c r="M1141" s="58" t="str">
        <f aca="false">IF(E1141="","",DATE(YEAR(E1141),MONTH(E1141),1))</f>
        <v/>
      </c>
      <c r="N1141" s="57" t="str">
        <f aca="false">IF(E1141="","","FY"&amp;(YEAR(E1141)+IF(AND(FYStart&gt;1,MONTH(E1141)&gt;=FYStart),1,0))&amp;" Q"&amp;(INT(MOD(MONTH(E1141)-FYStart,12)/3)+1))</f>
        <v/>
      </c>
      <c r="O1141" s="59" t="str">
        <f aca="false">IF(OR(E1141="",N(F1141)=0),"",G1141/F1141)</f>
        <v/>
      </c>
      <c r="P1141" s="60" t="str">
        <f aca="false">IF(E1141="","",ROUND(N(G1141)*N(H1141)/60,1))</f>
        <v/>
      </c>
      <c r="Q1141" s="57" t="str">
        <f aca="false">IF(E1141="","",IF(COUNTIFS($C$2:C1141,C1141,$E$2:E1141,E1141,$B$2:B1141,B1141)&gt;1,"No","Yes"))</f>
        <v/>
      </c>
      <c r="R1141" s="61" t="str">
        <f aca="false">IF(E1141="","",IF(Q1141="No","Duplicate of an earlier response",IF(L1141="Not on SITES","Site not on SITES",IF(N(G1141)&gt;N(F1141),"Present is more than enrolled",IF(OR(I1141&lt;1,I1141&gt;5),"Score outside 1 to 5","")))))</f>
        <v/>
      </c>
    </row>
    <row r="1142" customFormat="false" ht="15" hidden="false" customHeight="false" outlineLevel="0" collapsed="false">
      <c r="A1142" s="52"/>
      <c r="B1142" s="53"/>
      <c r="C1142" s="53"/>
      <c r="D1142" s="53"/>
      <c r="E1142" s="54"/>
      <c r="F1142" s="55"/>
      <c r="G1142" s="55"/>
      <c r="H1142" s="55"/>
      <c r="I1142" s="56"/>
      <c r="J1142" s="53"/>
      <c r="K1142" s="53"/>
      <c r="L1142" s="57" t="str">
        <f aca="false">IF(C1142="","",IFERROR(INDEX(site_ID,MATCH(C1142,site_Name,0)),"Not on SITES"))</f>
        <v/>
      </c>
      <c r="M1142" s="58" t="str">
        <f aca="false">IF(E1142="","",DATE(YEAR(E1142),MONTH(E1142),1))</f>
        <v/>
      </c>
      <c r="N1142" s="57" t="str">
        <f aca="false">IF(E1142="","","FY"&amp;(YEAR(E1142)+IF(AND(FYStart&gt;1,MONTH(E1142)&gt;=FYStart),1,0))&amp;" Q"&amp;(INT(MOD(MONTH(E1142)-FYStart,12)/3)+1))</f>
        <v/>
      </c>
      <c r="O1142" s="59" t="str">
        <f aca="false">IF(OR(E1142="",N(F1142)=0),"",G1142/F1142)</f>
        <v/>
      </c>
      <c r="P1142" s="60" t="str">
        <f aca="false">IF(E1142="","",ROUND(N(G1142)*N(H1142)/60,1))</f>
        <v/>
      </c>
      <c r="Q1142" s="57" t="str">
        <f aca="false">IF(E1142="","",IF(COUNTIFS($C$2:C1142,C1142,$E$2:E1142,E1142,$B$2:B1142,B1142)&gt;1,"No","Yes"))</f>
        <v/>
      </c>
      <c r="R1142" s="61" t="str">
        <f aca="false">IF(E1142="","",IF(Q1142="No","Duplicate of an earlier response",IF(L1142="Not on SITES","Site not on SITES",IF(N(G1142)&gt;N(F1142),"Present is more than enrolled",IF(OR(I1142&lt;1,I1142&gt;5),"Score outside 1 to 5","")))))</f>
        <v/>
      </c>
    </row>
    <row r="1143" customFormat="false" ht="15" hidden="false" customHeight="false" outlineLevel="0" collapsed="false">
      <c r="A1143" s="52"/>
      <c r="B1143" s="53"/>
      <c r="C1143" s="53"/>
      <c r="D1143" s="53"/>
      <c r="E1143" s="54"/>
      <c r="F1143" s="55"/>
      <c r="G1143" s="55"/>
      <c r="H1143" s="55"/>
      <c r="I1143" s="56"/>
      <c r="J1143" s="53"/>
      <c r="K1143" s="53"/>
      <c r="L1143" s="57" t="str">
        <f aca="false">IF(C1143="","",IFERROR(INDEX(site_ID,MATCH(C1143,site_Name,0)),"Not on SITES"))</f>
        <v/>
      </c>
      <c r="M1143" s="58" t="str">
        <f aca="false">IF(E1143="","",DATE(YEAR(E1143),MONTH(E1143),1))</f>
        <v/>
      </c>
      <c r="N1143" s="57" t="str">
        <f aca="false">IF(E1143="","","FY"&amp;(YEAR(E1143)+IF(AND(FYStart&gt;1,MONTH(E1143)&gt;=FYStart),1,0))&amp;" Q"&amp;(INT(MOD(MONTH(E1143)-FYStart,12)/3)+1))</f>
        <v/>
      </c>
      <c r="O1143" s="59" t="str">
        <f aca="false">IF(OR(E1143="",N(F1143)=0),"",G1143/F1143)</f>
        <v/>
      </c>
      <c r="P1143" s="60" t="str">
        <f aca="false">IF(E1143="","",ROUND(N(G1143)*N(H1143)/60,1))</f>
        <v/>
      </c>
      <c r="Q1143" s="57" t="str">
        <f aca="false">IF(E1143="","",IF(COUNTIFS($C$2:C1143,C1143,$E$2:E1143,E1143,$B$2:B1143,B1143)&gt;1,"No","Yes"))</f>
        <v/>
      </c>
      <c r="R1143" s="61" t="str">
        <f aca="false">IF(E1143="","",IF(Q1143="No","Duplicate of an earlier response",IF(L1143="Not on SITES","Site not on SITES",IF(N(G1143)&gt;N(F1143),"Present is more than enrolled",IF(OR(I1143&lt;1,I1143&gt;5),"Score outside 1 to 5","")))))</f>
        <v/>
      </c>
    </row>
    <row r="1144" customFormat="false" ht="15" hidden="false" customHeight="false" outlineLevel="0" collapsed="false">
      <c r="A1144" s="52"/>
      <c r="B1144" s="53"/>
      <c r="C1144" s="53"/>
      <c r="D1144" s="53"/>
      <c r="E1144" s="54"/>
      <c r="F1144" s="55"/>
      <c r="G1144" s="55"/>
      <c r="H1144" s="55"/>
      <c r="I1144" s="56"/>
      <c r="J1144" s="53"/>
      <c r="K1144" s="53"/>
      <c r="L1144" s="57" t="str">
        <f aca="false">IF(C1144="","",IFERROR(INDEX(site_ID,MATCH(C1144,site_Name,0)),"Not on SITES"))</f>
        <v/>
      </c>
      <c r="M1144" s="58" t="str">
        <f aca="false">IF(E1144="","",DATE(YEAR(E1144),MONTH(E1144),1))</f>
        <v/>
      </c>
      <c r="N1144" s="57" t="str">
        <f aca="false">IF(E1144="","","FY"&amp;(YEAR(E1144)+IF(AND(FYStart&gt;1,MONTH(E1144)&gt;=FYStart),1,0))&amp;" Q"&amp;(INT(MOD(MONTH(E1144)-FYStart,12)/3)+1))</f>
        <v/>
      </c>
      <c r="O1144" s="59" t="str">
        <f aca="false">IF(OR(E1144="",N(F1144)=0),"",G1144/F1144)</f>
        <v/>
      </c>
      <c r="P1144" s="60" t="str">
        <f aca="false">IF(E1144="","",ROUND(N(G1144)*N(H1144)/60,1))</f>
        <v/>
      </c>
      <c r="Q1144" s="57" t="str">
        <f aca="false">IF(E1144="","",IF(COUNTIFS($C$2:C1144,C1144,$E$2:E1144,E1144,$B$2:B1144,B1144)&gt;1,"No","Yes"))</f>
        <v/>
      </c>
      <c r="R1144" s="61" t="str">
        <f aca="false">IF(E1144="","",IF(Q1144="No","Duplicate of an earlier response",IF(L1144="Not on SITES","Site not on SITES",IF(N(G1144)&gt;N(F1144),"Present is more than enrolled",IF(OR(I1144&lt;1,I1144&gt;5),"Score outside 1 to 5","")))))</f>
        <v/>
      </c>
    </row>
    <row r="1145" customFormat="false" ht="15" hidden="false" customHeight="false" outlineLevel="0" collapsed="false">
      <c r="A1145" s="52"/>
      <c r="B1145" s="53"/>
      <c r="C1145" s="53"/>
      <c r="D1145" s="53"/>
      <c r="E1145" s="54"/>
      <c r="F1145" s="55"/>
      <c r="G1145" s="55"/>
      <c r="H1145" s="55"/>
      <c r="I1145" s="56"/>
      <c r="J1145" s="53"/>
      <c r="K1145" s="53"/>
      <c r="L1145" s="57" t="str">
        <f aca="false">IF(C1145="","",IFERROR(INDEX(site_ID,MATCH(C1145,site_Name,0)),"Not on SITES"))</f>
        <v/>
      </c>
      <c r="M1145" s="58" t="str">
        <f aca="false">IF(E1145="","",DATE(YEAR(E1145),MONTH(E1145),1))</f>
        <v/>
      </c>
      <c r="N1145" s="57" t="str">
        <f aca="false">IF(E1145="","","FY"&amp;(YEAR(E1145)+IF(AND(FYStart&gt;1,MONTH(E1145)&gt;=FYStart),1,0))&amp;" Q"&amp;(INT(MOD(MONTH(E1145)-FYStart,12)/3)+1))</f>
        <v/>
      </c>
      <c r="O1145" s="59" t="str">
        <f aca="false">IF(OR(E1145="",N(F1145)=0),"",G1145/F1145)</f>
        <v/>
      </c>
      <c r="P1145" s="60" t="str">
        <f aca="false">IF(E1145="","",ROUND(N(G1145)*N(H1145)/60,1))</f>
        <v/>
      </c>
      <c r="Q1145" s="57" t="str">
        <f aca="false">IF(E1145="","",IF(COUNTIFS($C$2:C1145,C1145,$E$2:E1145,E1145,$B$2:B1145,B1145)&gt;1,"No","Yes"))</f>
        <v/>
      </c>
      <c r="R1145" s="61" t="str">
        <f aca="false">IF(E1145="","",IF(Q1145="No","Duplicate of an earlier response",IF(L1145="Not on SITES","Site not on SITES",IF(N(G1145)&gt;N(F1145),"Present is more than enrolled",IF(OR(I1145&lt;1,I1145&gt;5),"Score outside 1 to 5","")))))</f>
        <v/>
      </c>
    </row>
    <row r="1146" customFormat="false" ht="15" hidden="false" customHeight="false" outlineLevel="0" collapsed="false">
      <c r="A1146" s="52"/>
      <c r="B1146" s="53"/>
      <c r="C1146" s="53"/>
      <c r="D1146" s="53"/>
      <c r="E1146" s="54"/>
      <c r="F1146" s="55"/>
      <c r="G1146" s="55"/>
      <c r="H1146" s="55"/>
      <c r="I1146" s="56"/>
      <c r="J1146" s="53"/>
      <c r="K1146" s="53"/>
      <c r="L1146" s="57" t="str">
        <f aca="false">IF(C1146="","",IFERROR(INDEX(site_ID,MATCH(C1146,site_Name,0)),"Not on SITES"))</f>
        <v/>
      </c>
      <c r="M1146" s="58" t="str">
        <f aca="false">IF(E1146="","",DATE(YEAR(E1146),MONTH(E1146),1))</f>
        <v/>
      </c>
      <c r="N1146" s="57" t="str">
        <f aca="false">IF(E1146="","","FY"&amp;(YEAR(E1146)+IF(AND(FYStart&gt;1,MONTH(E1146)&gt;=FYStart),1,0))&amp;" Q"&amp;(INT(MOD(MONTH(E1146)-FYStart,12)/3)+1))</f>
        <v/>
      </c>
      <c r="O1146" s="59" t="str">
        <f aca="false">IF(OR(E1146="",N(F1146)=0),"",G1146/F1146)</f>
        <v/>
      </c>
      <c r="P1146" s="60" t="str">
        <f aca="false">IF(E1146="","",ROUND(N(G1146)*N(H1146)/60,1))</f>
        <v/>
      </c>
      <c r="Q1146" s="57" t="str">
        <f aca="false">IF(E1146="","",IF(COUNTIFS($C$2:C1146,C1146,$E$2:E1146,E1146,$B$2:B1146,B1146)&gt;1,"No","Yes"))</f>
        <v/>
      </c>
      <c r="R1146" s="61" t="str">
        <f aca="false">IF(E1146="","",IF(Q1146="No","Duplicate of an earlier response",IF(L1146="Not on SITES","Site not on SITES",IF(N(G1146)&gt;N(F1146),"Present is more than enrolled",IF(OR(I1146&lt;1,I1146&gt;5),"Score outside 1 to 5","")))))</f>
        <v/>
      </c>
    </row>
    <row r="1147" customFormat="false" ht="15" hidden="false" customHeight="false" outlineLevel="0" collapsed="false">
      <c r="A1147" s="52"/>
      <c r="B1147" s="53"/>
      <c r="C1147" s="53"/>
      <c r="D1147" s="53"/>
      <c r="E1147" s="54"/>
      <c r="F1147" s="55"/>
      <c r="G1147" s="55"/>
      <c r="H1147" s="55"/>
      <c r="I1147" s="56"/>
      <c r="J1147" s="53"/>
      <c r="K1147" s="53"/>
      <c r="L1147" s="57" t="str">
        <f aca="false">IF(C1147="","",IFERROR(INDEX(site_ID,MATCH(C1147,site_Name,0)),"Not on SITES"))</f>
        <v/>
      </c>
      <c r="M1147" s="58" t="str">
        <f aca="false">IF(E1147="","",DATE(YEAR(E1147),MONTH(E1147),1))</f>
        <v/>
      </c>
      <c r="N1147" s="57" t="str">
        <f aca="false">IF(E1147="","","FY"&amp;(YEAR(E1147)+IF(AND(FYStart&gt;1,MONTH(E1147)&gt;=FYStart),1,0))&amp;" Q"&amp;(INT(MOD(MONTH(E1147)-FYStart,12)/3)+1))</f>
        <v/>
      </c>
      <c r="O1147" s="59" t="str">
        <f aca="false">IF(OR(E1147="",N(F1147)=0),"",G1147/F1147)</f>
        <v/>
      </c>
      <c r="P1147" s="60" t="str">
        <f aca="false">IF(E1147="","",ROUND(N(G1147)*N(H1147)/60,1))</f>
        <v/>
      </c>
      <c r="Q1147" s="57" t="str">
        <f aca="false">IF(E1147="","",IF(COUNTIFS($C$2:C1147,C1147,$E$2:E1147,E1147,$B$2:B1147,B1147)&gt;1,"No","Yes"))</f>
        <v/>
      </c>
      <c r="R1147" s="61" t="str">
        <f aca="false">IF(E1147="","",IF(Q1147="No","Duplicate of an earlier response",IF(L1147="Not on SITES","Site not on SITES",IF(N(G1147)&gt;N(F1147),"Present is more than enrolled",IF(OR(I1147&lt;1,I1147&gt;5),"Score outside 1 to 5","")))))</f>
        <v/>
      </c>
    </row>
    <row r="1148" customFormat="false" ht="15" hidden="false" customHeight="false" outlineLevel="0" collapsed="false">
      <c r="A1148" s="52"/>
      <c r="B1148" s="53"/>
      <c r="C1148" s="53"/>
      <c r="D1148" s="53"/>
      <c r="E1148" s="54"/>
      <c r="F1148" s="55"/>
      <c r="G1148" s="55"/>
      <c r="H1148" s="55"/>
      <c r="I1148" s="56"/>
      <c r="J1148" s="53"/>
      <c r="K1148" s="53"/>
      <c r="L1148" s="57" t="str">
        <f aca="false">IF(C1148="","",IFERROR(INDEX(site_ID,MATCH(C1148,site_Name,0)),"Not on SITES"))</f>
        <v/>
      </c>
      <c r="M1148" s="58" t="str">
        <f aca="false">IF(E1148="","",DATE(YEAR(E1148),MONTH(E1148),1))</f>
        <v/>
      </c>
      <c r="N1148" s="57" t="str">
        <f aca="false">IF(E1148="","","FY"&amp;(YEAR(E1148)+IF(AND(FYStart&gt;1,MONTH(E1148)&gt;=FYStart),1,0))&amp;" Q"&amp;(INT(MOD(MONTH(E1148)-FYStart,12)/3)+1))</f>
        <v/>
      </c>
      <c r="O1148" s="59" t="str">
        <f aca="false">IF(OR(E1148="",N(F1148)=0),"",G1148/F1148)</f>
        <v/>
      </c>
      <c r="P1148" s="60" t="str">
        <f aca="false">IF(E1148="","",ROUND(N(G1148)*N(H1148)/60,1))</f>
        <v/>
      </c>
      <c r="Q1148" s="57" t="str">
        <f aca="false">IF(E1148="","",IF(COUNTIFS($C$2:C1148,C1148,$E$2:E1148,E1148,$B$2:B1148,B1148)&gt;1,"No","Yes"))</f>
        <v/>
      </c>
      <c r="R1148" s="61" t="str">
        <f aca="false">IF(E1148="","",IF(Q1148="No","Duplicate of an earlier response",IF(L1148="Not on SITES","Site not on SITES",IF(N(G1148)&gt;N(F1148),"Present is more than enrolled",IF(OR(I1148&lt;1,I1148&gt;5),"Score outside 1 to 5","")))))</f>
        <v/>
      </c>
    </row>
    <row r="1149" customFormat="false" ht="15" hidden="false" customHeight="false" outlineLevel="0" collapsed="false">
      <c r="A1149" s="52"/>
      <c r="B1149" s="53"/>
      <c r="C1149" s="53"/>
      <c r="D1149" s="53"/>
      <c r="E1149" s="54"/>
      <c r="F1149" s="55"/>
      <c r="G1149" s="55"/>
      <c r="H1149" s="55"/>
      <c r="I1149" s="56"/>
      <c r="J1149" s="53"/>
      <c r="K1149" s="53"/>
      <c r="L1149" s="57" t="str">
        <f aca="false">IF(C1149="","",IFERROR(INDEX(site_ID,MATCH(C1149,site_Name,0)),"Not on SITES"))</f>
        <v/>
      </c>
      <c r="M1149" s="58" t="str">
        <f aca="false">IF(E1149="","",DATE(YEAR(E1149),MONTH(E1149),1))</f>
        <v/>
      </c>
      <c r="N1149" s="57" t="str">
        <f aca="false">IF(E1149="","","FY"&amp;(YEAR(E1149)+IF(AND(FYStart&gt;1,MONTH(E1149)&gt;=FYStart),1,0))&amp;" Q"&amp;(INT(MOD(MONTH(E1149)-FYStart,12)/3)+1))</f>
        <v/>
      </c>
      <c r="O1149" s="59" t="str">
        <f aca="false">IF(OR(E1149="",N(F1149)=0),"",G1149/F1149)</f>
        <v/>
      </c>
      <c r="P1149" s="60" t="str">
        <f aca="false">IF(E1149="","",ROUND(N(G1149)*N(H1149)/60,1))</f>
        <v/>
      </c>
      <c r="Q1149" s="57" t="str">
        <f aca="false">IF(E1149="","",IF(COUNTIFS($C$2:C1149,C1149,$E$2:E1149,E1149,$B$2:B1149,B1149)&gt;1,"No","Yes"))</f>
        <v/>
      </c>
      <c r="R1149" s="61" t="str">
        <f aca="false">IF(E1149="","",IF(Q1149="No","Duplicate of an earlier response",IF(L1149="Not on SITES","Site not on SITES",IF(N(G1149)&gt;N(F1149),"Present is more than enrolled",IF(OR(I1149&lt;1,I1149&gt;5),"Score outside 1 to 5","")))))</f>
        <v/>
      </c>
    </row>
    <row r="1150" customFormat="false" ht="15" hidden="false" customHeight="false" outlineLevel="0" collapsed="false">
      <c r="A1150" s="52"/>
      <c r="B1150" s="53"/>
      <c r="C1150" s="53"/>
      <c r="D1150" s="53"/>
      <c r="E1150" s="54"/>
      <c r="F1150" s="55"/>
      <c r="G1150" s="55"/>
      <c r="H1150" s="55"/>
      <c r="I1150" s="56"/>
      <c r="J1150" s="53"/>
      <c r="K1150" s="53"/>
      <c r="L1150" s="57" t="str">
        <f aca="false">IF(C1150="","",IFERROR(INDEX(site_ID,MATCH(C1150,site_Name,0)),"Not on SITES"))</f>
        <v/>
      </c>
      <c r="M1150" s="58" t="str">
        <f aca="false">IF(E1150="","",DATE(YEAR(E1150),MONTH(E1150),1))</f>
        <v/>
      </c>
      <c r="N1150" s="57" t="str">
        <f aca="false">IF(E1150="","","FY"&amp;(YEAR(E1150)+IF(AND(FYStart&gt;1,MONTH(E1150)&gt;=FYStart),1,0))&amp;" Q"&amp;(INT(MOD(MONTH(E1150)-FYStart,12)/3)+1))</f>
        <v/>
      </c>
      <c r="O1150" s="59" t="str">
        <f aca="false">IF(OR(E1150="",N(F1150)=0),"",G1150/F1150)</f>
        <v/>
      </c>
      <c r="P1150" s="60" t="str">
        <f aca="false">IF(E1150="","",ROUND(N(G1150)*N(H1150)/60,1))</f>
        <v/>
      </c>
      <c r="Q1150" s="57" t="str">
        <f aca="false">IF(E1150="","",IF(COUNTIFS($C$2:C1150,C1150,$E$2:E1150,E1150,$B$2:B1150,B1150)&gt;1,"No","Yes"))</f>
        <v/>
      </c>
      <c r="R1150" s="61" t="str">
        <f aca="false">IF(E1150="","",IF(Q1150="No","Duplicate of an earlier response",IF(L1150="Not on SITES","Site not on SITES",IF(N(G1150)&gt;N(F1150),"Present is more than enrolled",IF(OR(I1150&lt;1,I1150&gt;5),"Score outside 1 to 5","")))))</f>
        <v/>
      </c>
    </row>
    <row r="1151" customFormat="false" ht="15" hidden="false" customHeight="false" outlineLevel="0" collapsed="false">
      <c r="A1151" s="52"/>
      <c r="B1151" s="53"/>
      <c r="C1151" s="53"/>
      <c r="D1151" s="53"/>
      <c r="E1151" s="54"/>
      <c r="F1151" s="55"/>
      <c r="G1151" s="55"/>
      <c r="H1151" s="55"/>
      <c r="I1151" s="56"/>
      <c r="J1151" s="53"/>
      <c r="K1151" s="53"/>
      <c r="L1151" s="57" t="str">
        <f aca="false">IF(C1151="","",IFERROR(INDEX(site_ID,MATCH(C1151,site_Name,0)),"Not on SITES"))</f>
        <v/>
      </c>
      <c r="M1151" s="58" t="str">
        <f aca="false">IF(E1151="","",DATE(YEAR(E1151),MONTH(E1151),1))</f>
        <v/>
      </c>
      <c r="N1151" s="57" t="str">
        <f aca="false">IF(E1151="","","FY"&amp;(YEAR(E1151)+IF(AND(FYStart&gt;1,MONTH(E1151)&gt;=FYStart),1,0))&amp;" Q"&amp;(INT(MOD(MONTH(E1151)-FYStart,12)/3)+1))</f>
        <v/>
      </c>
      <c r="O1151" s="59" t="str">
        <f aca="false">IF(OR(E1151="",N(F1151)=0),"",G1151/F1151)</f>
        <v/>
      </c>
      <c r="P1151" s="60" t="str">
        <f aca="false">IF(E1151="","",ROUND(N(G1151)*N(H1151)/60,1))</f>
        <v/>
      </c>
      <c r="Q1151" s="57" t="str">
        <f aca="false">IF(E1151="","",IF(COUNTIFS($C$2:C1151,C1151,$E$2:E1151,E1151,$B$2:B1151,B1151)&gt;1,"No","Yes"))</f>
        <v/>
      </c>
      <c r="R1151" s="61" t="str">
        <f aca="false">IF(E1151="","",IF(Q1151="No","Duplicate of an earlier response",IF(L1151="Not on SITES","Site not on SITES",IF(N(G1151)&gt;N(F1151),"Present is more than enrolled",IF(OR(I1151&lt;1,I1151&gt;5),"Score outside 1 to 5","")))))</f>
        <v/>
      </c>
    </row>
    <row r="1152" customFormat="false" ht="15" hidden="false" customHeight="false" outlineLevel="0" collapsed="false">
      <c r="A1152" s="52"/>
      <c r="B1152" s="53"/>
      <c r="C1152" s="53"/>
      <c r="D1152" s="53"/>
      <c r="E1152" s="54"/>
      <c r="F1152" s="55"/>
      <c r="G1152" s="55"/>
      <c r="H1152" s="55"/>
      <c r="I1152" s="56"/>
      <c r="J1152" s="53"/>
      <c r="K1152" s="53"/>
      <c r="L1152" s="57" t="str">
        <f aca="false">IF(C1152="","",IFERROR(INDEX(site_ID,MATCH(C1152,site_Name,0)),"Not on SITES"))</f>
        <v/>
      </c>
      <c r="M1152" s="58" t="str">
        <f aca="false">IF(E1152="","",DATE(YEAR(E1152),MONTH(E1152),1))</f>
        <v/>
      </c>
      <c r="N1152" s="57" t="str">
        <f aca="false">IF(E1152="","","FY"&amp;(YEAR(E1152)+IF(AND(FYStart&gt;1,MONTH(E1152)&gt;=FYStart),1,0))&amp;" Q"&amp;(INT(MOD(MONTH(E1152)-FYStart,12)/3)+1))</f>
        <v/>
      </c>
      <c r="O1152" s="59" t="str">
        <f aca="false">IF(OR(E1152="",N(F1152)=0),"",G1152/F1152)</f>
        <v/>
      </c>
      <c r="P1152" s="60" t="str">
        <f aca="false">IF(E1152="","",ROUND(N(G1152)*N(H1152)/60,1))</f>
        <v/>
      </c>
      <c r="Q1152" s="57" t="str">
        <f aca="false">IF(E1152="","",IF(COUNTIFS($C$2:C1152,C1152,$E$2:E1152,E1152,$B$2:B1152,B1152)&gt;1,"No","Yes"))</f>
        <v/>
      </c>
      <c r="R1152" s="61" t="str">
        <f aca="false">IF(E1152="","",IF(Q1152="No","Duplicate of an earlier response",IF(L1152="Not on SITES","Site not on SITES",IF(N(G1152)&gt;N(F1152),"Present is more than enrolled",IF(OR(I1152&lt;1,I1152&gt;5),"Score outside 1 to 5","")))))</f>
        <v/>
      </c>
    </row>
    <row r="1153" customFormat="false" ht="15" hidden="false" customHeight="false" outlineLevel="0" collapsed="false">
      <c r="A1153" s="52"/>
      <c r="B1153" s="53"/>
      <c r="C1153" s="53"/>
      <c r="D1153" s="53"/>
      <c r="E1153" s="54"/>
      <c r="F1153" s="55"/>
      <c r="G1153" s="55"/>
      <c r="H1153" s="55"/>
      <c r="I1153" s="56"/>
      <c r="J1153" s="53"/>
      <c r="K1153" s="53"/>
      <c r="L1153" s="57" t="str">
        <f aca="false">IF(C1153="","",IFERROR(INDEX(site_ID,MATCH(C1153,site_Name,0)),"Not on SITES"))</f>
        <v/>
      </c>
      <c r="M1153" s="58" t="str">
        <f aca="false">IF(E1153="","",DATE(YEAR(E1153),MONTH(E1153),1))</f>
        <v/>
      </c>
      <c r="N1153" s="57" t="str">
        <f aca="false">IF(E1153="","","FY"&amp;(YEAR(E1153)+IF(AND(FYStart&gt;1,MONTH(E1153)&gt;=FYStart),1,0))&amp;" Q"&amp;(INT(MOD(MONTH(E1153)-FYStart,12)/3)+1))</f>
        <v/>
      </c>
      <c r="O1153" s="59" t="str">
        <f aca="false">IF(OR(E1153="",N(F1153)=0),"",G1153/F1153)</f>
        <v/>
      </c>
      <c r="P1153" s="60" t="str">
        <f aca="false">IF(E1153="","",ROUND(N(G1153)*N(H1153)/60,1))</f>
        <v/>
      </c>
      <c r="Q1153" s="57" t="str">
        <f aca="false">IF(E1153="","",IF(COUNTIFS($C$2:C1153,C1153,$E$2:E1153,E1153,$B$2:B1153,B1153)&gt;1,"No","Yes"))</f>
        <v/>
      </c>
      <c r="R1153" s="61" t="str">
        <f aca="false">IF(E1153="","",IF(Q1153="No","Duplicate of an earlier response",IF(L1153="Not on SITES","Site not on SITES",IF(N(G1153)&gt;N(F1153),"Present is more than enrolled",IF(OR(I1153&lt;1,I1153&gt;5),"Score outside 1 to 5","")))))</f>
        <v/>
      </c>
    </row>
    <row r="1154" customFormat="false" ht="15" hidden="false" customHeight="false" outlineLevel="0" collapsed="false">
      <c r="A1154" s="52"/>
      <c r="B1154" s="53"/>
      <c r="C1154" s="53"/>
      <c r="D1154" s="53"/>
      <c r="E1154" s="54"/>
      <c r="F1154" s="55"/>
      <c r="G1154" s="55"/>
      <c r="H1154" s="55"/>
      <c r="I1154" s="56"/>
      <c r="J1154" s="53"/>
      <c r="K1154" s="53"/>
      <c r="L1154" s="57" t="str">
        <f aca="false">IF(C1154="","",IFERROR(INDEX(site_ID,MATCH(C1154,site_Name,0)),"Not on SITES"))</f>
        <v/>
      </c>
      <c r="M1154" s="58" t="str">
        <f aca="false">IF(E1154="","",DATE(YEAR(E1154),MONTH(E1154),1))</f>
        <v/>
      </c>
      <c r="N1154" s="57" t="str">
        <f aca="false">IF(E1154="","","FY"&amp;(YEAR(E1154)+IF(AND(FYStart&gt;1,MONTH(E1154)&gt;=FYStart),1,0))&amp;" Q"&amp;(INT(MOD(MONTH(E1154)-FYStart,12)/3)+1))</f>
        <v/>
      </c>
      <c r="O1154" s="59" t="str">
        <f aca="false">IF(OR(E1154="",N(F1154)=0),"",G1154/F1154)</f>
        <v/>
      </c>
      <c r="P1154" s="60" t="str">
        <f aca="false">IF(E1154="","",ROUND(N(G1154)*N(H1154)/60,1))</f>
        <v/>
      </c>
      <c r="Q1154" s="57" t="str">
        <f aca="false">IF(E1154="","",IF(COUNTIFS($C$2:C1154,C1154,$E$2:E1154,E1154,$B$2:B1154,B1154)&gt;1,"No","Yes"))</f>
        <v/>
      </c>
      <c r="R1154" s="61" t="str">
        <f aca="false">IF(E1154="","",IF(Q1154="No","Duplicate of an earlier response",IF(L1154="Not on SITES","Site not on SITES",IF(N(G1154)&gt;N(F1154),"Present is more than enrolled",IF(OR(I1154&lt;1,I1154&gt;5),"Score outside 1 to 5","")))))</f>
        <v/>
      </c>
    </row>
    <row r="1155" customFormat="false" ht="15" hidden="false" customHeight="false" outlineLevel="0" collapsed="false">
      <c r="A1155" s="52"/>
      <c r="B1155" s="53"/>
      <c r="C1155" s="53"/>
      <c r="D1155" s="53"/>
      <c r="E1155" s="54"/>
      <c r="F1155" s="55"/>
      <c r="G1155" s="55"/>
      <c r="H1155" s="55"/>
      <c r="I1155" s="56"/>
      <c r="J1155" s="53"/>
      <c r="K1155" s="53"/>
      <c r="L1155" s="57" t="str">
        <f aca="false">IF(C1155="","",IFERROR(INDEX(site_ID,MATCH(C1155,site_Name,0)),"Not on SITES"))</f>
        <v/>
      </c>
      <c r="M1155" s="58" t="str">
        <f aca="false">IF(E1155="","",DATE(YEAR(E1155),MONTH(E1155),1))</f>
        <v/>
      </c>
      <c r="N1155" s="57" t="str">
        <f aca="false">IF(E1155="","","FY"&amp;(YEAR(E1155)+IF(AND(FYStart&gt;1,MONTH(E1155)&gt;=FYStart),1,0))&amp;" Q"&amp;(INT(MOD(MONTH(E1155)-FYStart,12)/3)+1))</f>
        <v/>
      </c>
      <c r="O1155" s="59" t="str">
        <f aca="false">IF(OR(E1155="",N(F1155)=0),"",G1155/F1155)</f>
        <v/>
      </c>
      <c r="P1155" s="60" t="str">
        <f aca="false">IF(E1155="","",ROUND(N(G1155)*N(H1155)/60,1))</f>
        <v/>
      </c>
      <c r="Q1155" s="57" t="str">
        <f aca="false">IF(E1155="","",IF(COUNTIFS($C$2:C1155,C1155,$E$2:E1155,E1155,$B$2:B1155,B1155)&gt;1,"No","Yes"))</f>
        <v/>
      </c>
      <c r="R1155" s="61" t="str">
        <f aca="false">IF(E1155="","",IF(Q1155="No","Duplicate of an earlier response",IF(L1155="Not on SITES","Site not on SITES",IF(N(G1155)&gt;N(F1155),"Present is more than enrolled",IF(OR(I1155&lt;1,I1155&gt;5),"Score outside 1 to 5","")))))</f>
        <v/>
      </c>
    </row>
    <row r="1156" customFormat="false" ht="15" hidden="false" customHeight="false" outlineLevel="0" collapsed="false">
      <c r="A1156" s="52"/>
      <c r="B1156" s="53"/>
      <c r="C1156" s="53"/>
      <c r="D1156" s="53"/>
      <c r="E1156" s="54"/>
      <c r="F1156" s="55"/>
      <c r="G1156" s="55"/>
      <c r="H1156" s="55"/>
      <c r="I1156" s="56"/>
      <c r="J1156" s="53"/>
      <c r="K1156" s="53"/>
      <c r="L1156" s="57" t="str">
        <f aca="false">IF(C1156="","",IFERROR(INDEX(site_ID,MATCH(C1156,site_Name,0)),"Not on SITES"))</f>
        <v/>
      </c>
      <c r="M1156" s="58" t="str">
        <f aca="false">IF(E1156="","",DATE(YEAR(E1156),MONTH(E1156),1))</f>
        <v/>
      </c>
      <c r="N1156" s="57" t="str">
        <f aca="false">IF(E1156="","","FY"&amp;(YEAR(E1156)+IF(AND(FYStart&gt;1,MONTH(E1156)&gt;=FYStart),1,0))&amp;" Q"&amp;(INT(MOD(MONTH(E1156)-FYStart,12)/3)+1))</f>
        <v/>
      </c>
      <c r="O1156" s="59" t="str">
        <f aca="false">IF(OR(E1156="",N(F1156)=0),"",G1156/F1156)</f>
        <v/>
      </c>
      <c r="P1156" s="60" t="str">
        <f aca="false">IF(E1156="","",ROUND(N(G1156)*N(H1156)/60,1))</f>
        <v/>
      </c>
      <c r="Q1156" s="57" t="str">
        <f aca="false">IF(E1156="","",IF(COUNTIFS($C$2:C1156,C1156,$E$2:E1156,E1156,$B$2:B1156,B1156)&gt;1,"No","Yes"))</f>
        <v/>
      </c>
      <c r="R1156" s="61" t="str">
        <f aca="false">IF(E1156="","",IF(Q1156="No","Duplicate of an earlier response",IF(L1156="Not on SITES","Site not on SITES",IF(N(G1156)&gt;N(F1156),"Present is more than enrolled",IF(OR(I1156&lt;1,I1156&gt;5),"Score outside 1 to 5","")))))</f>
        <v/>
      </c>
    </row>
    <row r="1157" customFormat="false" ht="15" hidden="false" customHeight="false" outlineLevel="0" collapsed="false">
      <c r="A1157" s="52"/>
      <c r="B1157" s="53"/>
      <c r="C1157" s="53"/>
      <c r="D1157" s="53"/>
      <c r="E1157" s="54"/>
      <c r="F1157" s="55"/>
      <c r="G1157" s="55"/>
      <c r="H1157" s="55"/>
      <c r="I1157" s="56"/>
      <c r="J1157" s="53"/>
      <c r="K1157" s="53"/>
      <c r="L1157" s="57" t="str">
        <f aca="false">IF(C1157="","",IFERROR(INDEX(site_ID,MATCH(C1157,site_Name,0)),"Not on SITES"))</f>
        <v/>
      </c>
      <c r="M1157" s="58" t="str">
        <f aca="false">IF(E1157="","",DATE(YEAR(E1157),MONTH(E1157),1))</f>
        <v/>
      </c>
      <c r="N1157" s="57" t="str">
        <f aca="false">IF(E1157="","","FY"&amp;(YEAR(E1157)+IF(AND(FYStart&gt;1,MONTH(E1157)&gt;=FYStart),1,0))&amp;" Q"&amp;(INT(MOD(MONTH(E1157)-FYStart,12)/3)+1))</f>
        <v/>
      </c>
      <c r="O1157" s="59" t="str">
        <f aca="false">IF(OR(E1157="",N(F1157)=0),"",G1157/F1157)</f>
        <v/>
      </c>
      <c r="P1157" s="60" t="str">
        <f aca="false">IF(E1157="","",ROUND(N(G1157)*N(H1157)/60,1))</f>
        <v/>
      </c>
      <c r="Q1157" s="57" t="str">
        <f aca="false">IF(E1157="","",IF(COUNTIFS($C$2:C1157,C1157,$E$2:E1157,E1157,$B$2:B1157,B1157)&gt;1,"No","Yes"))</f>
        <v/>
      </c>
      <c r="R1157" s="61" t="str">
        <f aca="false">IF(E1157="","",IF(Q1157="No","Duplicate of an earlier response",IF(L1157="Not on SITES","Site not on SITES",IF(N(G1157)&gt;N(F1157),"Present is more than enrolled",IF(OR(I1157&lt;1,I1157&gt;5),"Score outside 1 to 5","")))))</f>
        <v/>
      </c>
    </row>
    <row r="1158" customFormat="false" ht="15" hidden="false" customHeight="false" outlineLevel="0" collapsed="false">
      <c r="A1158" s="52"/>
      <c r="B1158" s="53"/>
      <c r="C1158" s="53"/>
      <c r="D1158" s="53"/>
      <c r="E1158" s="54"/>
      <c r="F1158" s="55"/>
      <c r="G1158" s="55"/>
      <c r="H1158" s="55"/>
      <c r="I1158" s="56"/>
      <c r="J1158" s="53"/>
      <c r="K1158" s="53"/>
      <c r="L1158" s="57" t="str">
        <f aca="false">IF(C1158="","",IFERROR(INDEX(site_ID,MATCH(C1158,site_Name,0)),"Not on SITES"))</f>
        <v/>
      </c>
      <c r="M1158" s="58" t="str">
        <f aca="false">IF(E1158="","",DATE(YEAR(E1158),MONTH(E1158),1))</f>
        <v/>
      </c>
      <c r="N1158" s="57" t="str">
        <f aca="false">IF(E1158="","","FY"&amp;(YEAR(E1158)+IF(AND(FYStart&gt;1,MONTH(E1158)&gt;=FYStart),1,0))&amp;" Q"&amp;(INT(MOD(MONTH(E1158)-FYStart,12)/3)+1))</f>
        <v/>
      </c>
      <c r="O1158" s="59" t="str">
        <f aca="false">IF(OR(E1158="",N(F1158)=0),"",G1158/F1158)</f>
        <v/>
      </c>
      <c r="P1158" s="60" t="str">
        <f aca="false">IF(E1158="","",ROUND(N(G1158)*N(H1158)/60,1))</f>
        <v/>
      </c>
      <c r="Q1158" s="57" t="str">
        <f aca="false">IF(E1158="","",IF(COUNTIFS($C$2:C1158,C1158,$E$2:E1158,E1158,$B$2:B1158,B1158)&gt;1,"No","Yes"))</f>
        <v/>
      </c>
      <c r="R1158" s="61" t="str">
        <f aca="false">IF(E1158="","",IF(Q1158="No","Duplicate of an earlier response",IF(L1158="Not on SITES","Site not on SITES",IF(N(G1158)&gt;N(F1158),"Present is more than enrolled",IF(OR(I1158&lt;1,I1158&gt;5),"Score outside 1 to 5","")))))</f>
        <v/>
      </c>
    </row>
    <row r="1159" customFormat="false" ht="15" hidden="false" customHeight="false" outlineLevel="0" collapsed="false">
      <c r="A1159" s="52"/>
      <c r="B1159" s="53"/>
      <c r="C1159" s="53"/>
      <c r="D1159" s="53"/>
      <c r="E1159" s="54"/>
      <c r="F1159" s="55"/>
      <c r="G1159" s="55"/>
      <c r="H1159" s="55"/>
      <c r="I1159" s="56"/>
      <c r="J1159" s="53"/>
      <c r="K1159" s="53"/>
      <c r="L1159" s="57" t="str">
        <f aca="false">IF(C1159="","",IFERROR(INDEX(site_ID,MATCH(C1159,site_Name,0)),"Not on SITES"))</f>
        <v/>
      </c>
      <c r="M1159" s="58" t="str">
        <f aca="false">IF(E1159="","",DATE(YEAR(E1159),MONTH(E1159),1))</f>
        <v/>
      </c>
      <c r="N1159" s="57" t="str">
        <f aca="false">IF(E1159="","","FY"&amp;(YEAR(E1159)+IF(AND(FYStart&gt;1,MONTH(E1159)&gt;=FYStart),1,0))&amp;" Q"&amp;(INT(MOD(MONTH(E1159)-FYStart,12)/3)+1))</f>
        <v/>
      </c>
      <c r="O1159" s="59" t="str">
        <f aca="false">IF(OR(E1159="",N(F1159)=0),"",G1159/F1159)</f>
        <v/>
      </c>
      <c r="P1159" s="60" t="str">
        <f aca="false">IF(E1159="","",ROUND(N(G1159)*N(H1159)/60,1))</f>
        <v/>
      </c>
      <c r="Q1159" s="57" t="str">
        <f aca="false">IF(E1159="","",IF(COUNTIFS($C$2:C1159,C1159,$E$2:E1159,E1159,$B$2:B1159,B1159)&gt;1,"No","Yes"))</f>
        <v/>
      </c>
      <c r="R1159" s="61" t="str">
        <f aca="false">IF(E1159="","",IF(Q1159="No","Duplicate of an earlier response",IF(L1159="Not on SITES","Site not on SITES",IF(N(G1159)&gt;N(F1159),"Present is more than enrolled",IF(OR(I1159&lt;1,I1159&gt;5),"Score outside 1 to 5","")))))</f>
        <v/>
      </c>
    </row>
    <row r="1160" customFormat="false" ht="15" hidden="false" customHeight="false" outlineLevel="0" collapsed="false">
      <c r="A1160" s="52"/>
      <c r="B1160" s="53"/>
      <c r="C1160" s="53"/>
      <c r="D1160" s="53"/>
      <c r="E1160" s="54"/>
      <c r="F1160" s="55"/>
      <c r="G1160" s="55"/>
      <c r="H1160" s="55"/>
      <c r="I1160" s="56"/>
      <c r="J1160" s="53"/>
      <c r="K1160" s="53"/>
      <c r="L1160" s="57" t="str">
        <f aca="false">IF(C1160="","",IFERROR(INDEX(site_ID,MATCH(C1160,site_Name,0)),"Not on SITES"))</f>
        <v/>
      </c>
      <c r="M1160" s="58" t="str">
        <f aca="false">IF(E1160="","",DATE(YEAR(E1160),MONTH(E1160),1))</f>
        <v/>
      </c>
      <c r="N1160" s="57" t="str">
        <f aca="false">IF(E1160="","","FY"&amp;(YEAR(E1160)+IF(AND(FYStart&gt;1,MONTH(E1160)&gt;=FYStart),1,0))&amp;" Q"&amp;(INT(MOD(MONTH(E1160)-FYStart,12)/3)+1))</f>
        <v/>
      </c>
      <c r="O1160" s="59" t="str">
        <f aca="false">IF(OR(E1160="",N(F1160)=0),"",G1160/F1160)</f>
        <v/>
      </c>
      <c r="P1160" s="60" t="str">
        <f aca="false">IF(E1160="","",ROUND(N(G1160)*N(H1160)/60,1))</f>
        <v/>
      </c>
      <c r="Q1160" s="57" t="str">
        <f aca="false">IF(E1160="","",IF(COUNTIFS($C$2:C1160,C1160,$E$2:E1160,E1160,$B$2:B1160,B1160)&gt;1,"No","Yes"))</f>
        <v/>
      </c>
      <c r="R1160" s="61" t="str">
        <f aca="false">IF(E1160="","",IF(Q1160="No","Duplicate of an earlier response",IF(L1160="Not on SITES","Site not on SITES",IF(N(G1160)&gt;N(F1160),"Present is more than enrolled",IF(OR(I1160&lt;1,I1160&gt;5),"Score outside 1 to 5","")))))</f>
        <v/>
      </c>
    </row>
    <row r="1161" customFormat="false" ht="15" hidden="false" customHeight="false" outlineLevel="0" collapsed="false">
      <c r="A1161" s="52"/>
      <c r="B1161" s="53"/>
      <c r="C1161" s="53"/>
      <c r="D1161" s="53"/>
      <c r="E1161" s="54"/>
      <c r="F1161" s="55"/>
      <c r="G1161" s="55"/>
      <c r="H1161" s="55"/>
      <c r="I1161" s="56"/>
      <c r="J1161" s="53"/>
      <c r="K1161" s="53"/>
      <c r="L1161" s="57" t="str">
        <f aca="false">IF(C1161="","",IFERROR(INDEX(site_ID,MATCH(C1161,site_Name,0)),"Not on SITES"))</f>
        <v/>
      </c>
      <c r="M1161" s="58" t="str">
        <f aca="false">IF(E1161="","",DATE(YEAR(E1161),MONTH(E1161),1))</f>
        <v/>
      </c>
      <c r="N1161" s="57" t="str">
        <f aca="false">IF(E1161="","","FY"&amp;(YEAR(E1161)+IF(AND(FYStart&gt;1,MONTH(E1161)&gt;=FYStart),1,0))&amp;" Q"&amp;(INT(MOD(MONTH(E1161)-FYStart,12)/3)+1))</f>
        <v/>
      </c>
      <c r="O1161" s="59" t="str">
        <f aca="false">IF(OR(E1161="",N(F1161)=0),"",G1161/F1161)</f>
        <v/>
      </c>
      <c r="P1161" s="60" t="str">
        <f aca="false">IF(E1161="","",ROUND(N(G1161)*N(H1161)/60,1))</f>
        <v/>
      </c>
      <c r="Q1161" s="57" t="str">
        <f aca="false">IF(E1161="","",IF(COUNTIFS($C$2:C1161,C1161,$E$2:E1161,E1161,$B$2:B1161,B1161)&gt;1,"No","Yes"))</f>
        <v/>
      </c>
      <c r="R1161" s="61" t="str">
        <f aca="false">IF(E1161="","",IF(Q1161="No","Duplicate of an earlier response",IF(L1161="Not on SITES","Site not on SITES",IF(N(G1161)&gt;N(F1161),"Present is more than enrolled",IF(OR(I1161&lt;1,I1161&gt;5),"Score outside 1 to 5","")))))</f>
        <v/>
      </c>
    </row>
    <row r="1162" customFormat="false" ht="15" hidden="false" customHeight="false" outlineLevel="0" collapsed="false">
      <c r="A1162" s="52"/>
      <c r="B1162" s="53"/>
      <c r="C1162" s="53"/>
      <c r="D1162" s="53"/>
      <c r="E1162" s="54"/>
      <c r="F1162" s="55"/>
      <c r="G1162" s="55"/>
      <c r="H1162" s="55"/>
      <c r="I1162" s="56"/>
      <c r="J1162" s="53"/>
      <c r="K1162" s="53"/>
      <c r="L1162" s="57" t="str">
        <f aca="false">IF(C1162="","",IFERROR(INDEX(site_ID,MATCH(C1162,site_Name,0)),"Not on SITES"))</f>
        <v/>
      </c>
      <c r="M1162" s="58" t="str">
        <f aca="false">IF(E1162="","",DATE(YEAR(E1162),MONTH(E1162),1))</f>
        <v/>
      </c>
      <c r="N1162" s="57" t="str">
        <f aca="false">IF(E1162="","","FY"&amp;(YEAR(E1162)+IF(AND(FYStart&gt;1,MONTH(E1162)&gt;=FYStart),1,0))&amp;" Q"&amp;(INT(MOD(MONTH(E1162)-FYStart,12)/3)+1))</f>
        <v/>
      </c>
      <c r="O1162" s="59" t="str">
        <f aca="false">IF(OR(E1162="",N(F1162)=0),"",G1162/F1162)</f>
        <v/>
      </c>
      <c r="P1162" s="60" t="str">
        <f aca="false">IF(E1162="","",ROUND(N(G1162)*N(H1162)/60,1))</f>
        <v/>
      </c>
      <c r="Q1162" s="57" t="str">
        <f aca="false">IF(E1162="","",IF(COUNTIFS($C$2:C1162,C1162,$E$2:E1162,E1162,$B$2:B1162,B1162)&gt;1,"No","Yes"))</f>
        <v/>
      </c>
      <c r="R1162" s="61" t="str">
        <f aca="false">IF(E1162="","",IF(Q1162="No","Duplicate of an earlier response",IF(L1162="Not on SITES","Site not on SITES",IF(N(G1162)&gt;N(F1162),"Present is more than enrolled",IF(OR(I1162&lt;1,I1162&gt;5),"Score outside 1 to 5","")))))</f>
        <v/>
      </c>
    </row>
    <row r="1163" customFormat="false" ht="15" hidden="false" customHeight="false" outlineLevel="0" collapsed="false">
      <c r="A1163" s="52"/>
      <c r="B1163" s="53"/>
      <c r="C1163" s="53"/>
      <c r="D1163" s="53"/>
      <c r="E1163" s="54"/>
      <c r="F1163" s="55"/>
      <c r="G1163" s="55"/>
      <c r="H1163" s="55"/>
      <c r="I1163" s="56"/>
      <c r="J1163" s="53"/>
      <c r="K1163" s="53"/>
      <c r="L1163" s="57" t="str">
        <f aca="false">IF(C1163="","",IFERROR(INDEX(site_ID,MATCH(C1163,site_Name,0)),"Not on SITES"))</f>
        <v/>
      </c>
      <c r="M1163" s="58" t="str">
        <f aca="false">IF(E1163="","",DATE(YEAR(E1163),MONTH(E1163),1))</f>
        <v/>
      </c>
      <c r="N1163" s="57" t="str">
        <f aca="false">IF(E1163="","","FY"&amp;(YEAR(E1163)+IF(AND(FYStart&gt;1,MONTH(E1163)&gt;=FYStart),1,0))&amp;" Q"&amp;(INT(MOD(MONTH(E1163)-FYStart,12)/3)+1))</f>
        <v/>
      </c>
      <c r="O1163" s="59" t="str">
        <f aca="false">IF(OR(E1163="",N(F1163)=0),"",G1163/F1163)</f>
        <v/>
      </c>
      <c r="P1163" s="60" t="str">
        <f aca="false">IF(E1163="","",ROUND(N(G1163)*N(H1163)/60,1))</f>
        <v/>
      </c>
      <c r="Q1163" s="57" t="str">
        <f aca="false">IF(E1163="","",IF(COUNTIFS($C$2:C1163,C1163,$E$2:E1163,E1163,$B$2:B1163,B1163)&gt;1,"No","Yes"))</f>
        <v/>
      </c>
      <c r="R1163" s="61" t="str">
        <f aca="false">IF(E1163="","",IF(Q1163="No","Duplicate of an earlier response",IF(L1163="Not on SITES","Site not on SITES",IF(N(G1163)&gt;N(F1163),"Present is more than enrolled",IF(OR(I1163&lt;1,I1163&gt;5),"Score outside 1 to 5","")))))</f>
        <v/>
      </c>
    </row>
    <row r="1164" customFormat="false" ht="15" hidden="false" customHeight="false" outlineLevel="0" collapsed="false">
      <c r="A1164" s="52"/>
      <c r="B1164" s="53"/>
      <c r="C1164" s="53"/>
      <c r="D1164" s="53"/>
      <c r="E1164" s="54"/>
      <c r="F1164" s="55"/>
      <c r="G1164" s="55"/>
      <c r="H1164" s="55"/>
      <c r="I1164" s="56"/>
      <c r="J1164" s="53"/>
      <c r="K1164" s="53"/>
      <c r="L1164" s="57" t="str">
        <f aca="false">IF(C1164="","",IFERROR(INDEX(site_ID,MATCH(C1164,site_Name,0)),"Not on SITES"))</f>
        <v/>
      </c>
      <c r="M1164" s="58" t="str">
        <f aca="false">IF(E1164="","",DATE(YEAR(E1164),MONTH(E1164),1))</f>
        <v/>
      </c>
      <c r="N1164" s="57" t="str">
        <f aca="false">IF(E1164="","","FY"&amp;(YEAR(E1164)+IF(AND(FYStart&gt;1,MONTH(E1164)&gt;=FYStart),1,0))&amp;" Q"&amp;(INT(MOD(MONTH(E1164)-FYStart,12)/3)+1))</f>
        <v/>
      </c>
      <c r="O1164" s="59" t="str">
        <f aca="false">IF(OR(E1164="",N(F1164)=0),"",G1164/F1164)</f>
        <v/>
      </c>
      <c r="P1164" s="60" t="str">
        <f aca="false">IF(E1164="","",ROUND(N(G1164)*N(H1164)/60,1))</f>
        <v/>
      </c>
      <c r="Q1164" s="57" t="str">
        <f aca="false">IF(E1164="","",IF(COUNTIFS($C$2:C1164,C1164,$E$2:E1164,E1164,$B$2:B1164,B1164)&gt;1,"No","Yes"))</f>
        <v/>
      </c>
      <c r="R1164" s="61" t="str">
        <f aca="false">IF(E1164="","",IF(Q1164="No","Duplicate of an earlier response",IF(L1164="Not on SITES","Site not on SITES",IF(N(G1164)&gt;N(F1164),"Present is more than enrolled",IF(OR(I1164&lt;1,I1164&gt;5),"Score outside 1 to 5","")))))</f>
        <v/>
      </c>
    </row>
    <row r="1165" customFormat="false" ht="15" hidden="false" customHeight="false" outlineLevel="0" collapsed="false">
      <c r="A1165" s="52"/>
      <c r="B1165" s="53"/>
      <c r="C1165" s="53"/>
      <c r="D1165" s="53"/>
      <c r="E1165" s="54"/>
      <c r="F1165" s="55"/>
      <c r="G1165" s="55"/>
      <c r="H1165" s="55"/>
      <c r="I1165" s="56"/>
      <c r="J1165" s="53"/>
      <c r="K1165" s="53"/>
      <c r="L1165" s="57" t="str">
        <f aca="false">IF(C1165="","",IFERROR(INDEX(site_ID,MATCH(C1165,site_Name,0)),"Not on SITES"))</f>
        <v/>
      </c>
      <c r="M1165" s="58" t="str">
        <f aca="false">IF(E1165="","",DATE(YEAR(E1165),MONTH(E1165),1))</f>
        <v/>
      </c>
      <c r="N1165" s="57" t="str">
        <f aca="false">IF(E1165="","","FY"&amp;(YEAR(E1165)+IF(AND(FYStart&gt;1,MONTH(E1165)&gt;=FYStart),1,0))&amp;" Q"&amp;(INT(MOD(MONTH(E1165)-FYStart,12)/3)+1))</f>
        <v/>
      </c>
      <c r="O1165" s="59" t="str">
        <f aca="false">IF(OR(E1165="",N(F1165)=0),"",G1165/F1165)</f>
        <v/>
      </c>
      <c r="P1165" s="60" t="str">
        <f aca="false">IF(E1165="","",ROUND(N(G1165)*N(H1165)/60,1))</f>
        <v/>
      </c>
      <c r="Q1165" s="57" t="str">
        <f aca="false">IF(E1165="","",IF(COUNTIFS($C$2:C1165,C1165,$E$2:E1165,E1165,$B$2:B1165,B1165)&gt;1,"No","Yes"))</f>
        <v/>
      </c>
      <c r="R1165" s="61" t="str">
        <f aca="false">IF(E1165="","",IF(Q1165="No","Duplicate of an earlier response",IF(L1165="Not on SITES","Site not on SITES",IF(N(G1165)&gt;N(F1165),"Present is more than enrolled",IF(OR(I1165&lt;1,I1165&gt;5),"Score outside 1 to 5","")))))</f>
        <v/>
      </c>
    </row>
    <row r="1166" customFormat="false" ht="15" hidden="false" customHeight="false" outlineLevel="0" collapsed="false">
      <c r="A1166" s="52"/>
      <c r="B1166" s="53"/>
      <c r="C1166" s="53"/>
      <c r="D1166" s="53"/>
      <c r="E1166" s="54"/>
      <c r="F1166" s="55"/>
      <c r="G1166" s="55"/>
      <c r="H1166" s="55"/>
      <c r="I1166" s="56"/>
      <c r="J1166" s="53"/>
      <c r="K1166" s="53"/>
      <c r="L1166" s="57" t="str">
        <f aca="false">IF(C1166="","",IFERROR(INDEX(site_ID,MATCH(C1166,site_Name,0)),"Not on SITES"))</f>
        <v/>
      </c>
      <c r="M1166" s="58" t="str">
        <f aca="false">IF(E1166="","",DATE(YEAR(E1166),MONTH(E1166),1))</f>
        <v/>
      </c>
      <c r="N1166" s="57" t="str">
        <f aca="false">IF(E1166="","","FY"&amp;(YEAR(E1166)+IF(AND(FYStart&gt;1,MONTH(E1166)&gt;=FYStart),1,0))&amp;" Q"&amp;(INT(MOD(MONTH(E1166)-FYStart,12)/3)+1))</f>
        <v/>
      </c>
      <c r="O1166" s="59" t="str">
        <f aca="false">IF(OR(E1166="",N(F1166)=0),"",G1166/F1166)</f>
        <v/>
      </c>
      <c r="P1166" s="60" t="str">
        <f aca="false">IF(E1166="","",ROUND(N(G1166)*N(H1166)/60,1))</f>
        <v/>
      </c>
      <c r="Q1166" s="57" t="str">
        <f aca="false">IF(E1166="","",IF(COUNTIFS($C$2:C1166,C1166,$E$2:E1166,E1166,$B$2:B1166,B1166)&gt;1,"No","Yes"))</f>
        <v/>
      </c>
      <c r="R1166" s="61" t="str">
        <f aca="false">IF(E1166="","",IF(Q1166="No","Duplicate of an earlier response",IF(L1166="Not on SITES","Site not on SITES",IF(N(G1166)&gt;N(F1166),"Present is more than enrolled",IF(OR(I1166&lt;1,I1166&gt;5),"Score outside 1 to 5","")))))</f>
        <v/>
      </c>
    </row>
    <row r="1167" customFormat="false" ht="15" hidden="false" customHeight="false" outlineLevel="0" collapsed="false">
      <c r="A1167" s="52"/>
      <c r="B1167" s="53"/>
      <c r="C1167" s="53"/>
      <c r="D1167" s="53"/>
      <c r="E1167" s="54"/>
      <c r="F1167" s="55"/>
      <c r="G1167" s="55"/>
      <c r="H1167" s="55"/>
      <c r="I1167" s="56"/>
      <c r="J1167" s="53"/>
      <c r="K1167" s="53"/>
      <c r="L1167" s="57" t="str">
        <f aca="false">IF(C1167="","",IFERROR(INDEX(site_ID,MATCH(C1167,site_Name,0)),"Not on SITES"))</f>
        <v/>
      </c>
      <c r="M1167" s="58" t="str">
        <f aca="false">IF(E1167="","",DATE(YEAR(E1167),MONTH(E1167),1))</f>
        <v/>
      </c>
      <c r="N1167" s="57" t="str">
        <f aca="false">IF(E1167="","","FY"&amp;(YEAR(E1167)+IF(AND(FYStart&gt;1,MONTH(E1167)&gt;=FYStart),1,0))&amp;" Q"&amp;(INT(MOD(MONTH(E1167)-FYStart,12)/3)+1))</f>
        <v/>
      </c>
      <c r="O1167" s="59" t="str">
        <f aca="false">IF(OR(E1167="",N(F1167)=0),"",G1167/F1167)</f>
        <v/>
      </c>
      <c r="P1167" s="60" t="str">
        <f aca="false">IF(E1167="","",ROUND(N(G1167)*N(H1167)/60,1))</f>
        <v/>
      </c>
      <c r="Q1167" s="57" t="str">
        <f aca="false">IF(E1167="","",IF(COUNTIFS($C$2:C1167,C1167,$E$2:E1167,E1167,$B$2:B1167,B1167)&gt;1,"No","Yes"))</f>
        <v/>
      </c>
      <c r="R1167" s="61" t="str">
        <f aca="false">IF(E1167="","",IF(Q1167="No","Duplicate of an earlier response",IF(L1167="Not on SITES","Site not on SITES",IF(N(G1167)&gt;N(F1167),"Present is more than enrolled",IF(OR(I1167&lt;1,I1167&gt;5),"Score outside 1 to 5","")))))</f>
        <v/>
      </c>
    </row>
    <row r="1168" customFormat="false" ht="15" hidden="false" customHeight="false" outlineLevel="0" collapsed="false">
      <c r="A1168" s="52"/>
      <c r="B1168" s="53"/>
      <c r="C1168" s="53"/>
      <c r="D1168" s="53"/>
      <c r="E1168" s="54"/>
      <c r="F1168" s="55"/>
      <c r="G1168" s="55"/>
      <c r="H1168" s="55"/>
      <c r="I1168" s="56"/>
      <c r="J1168" s="53"/>
      <c r="K1168" s="53"/>
      <c r="L1168" s="57" t="str">
        <f aca="false">IF(C1168="","",IFERROR(INDEX(site_ID,MATCH(C1168,site_Name,0)),"Not on SITES"))</f>
        <v/>
      </c>
      <c r="M1168" s="58" t="str">
        <f aca="false">IF(E1168="","",DATE(YEAR(E1168),MONTH(E1168),1))</f>
        <v/>
      </c>
      <c r="N1168" s="57" t="str">
        <f aca="false">IF(E1168="","","FY"&amp;(YEAR(E1168)+IF(AND(FYStart&gt;1,MONTH(E1168)&gt;=FYStart),1,0))&amp;" Q"&amp;(INT(MOD(MONTH(E1168)-FYStart,12)/3)+1))</f>
        <v/>
      </c>
      <c r="O1168" s="59" t="str">
        <f aca="false">IF(OR(E1168="",N(F1168)=0),"",G1168/F1168)</f>
        <v/>
      </c>
      <c r="P1168" s="60" t="str">
        <f aca="false">IF(E1168="","",ROUND(N(G1168)*N(H1168)/60,1))</f>
        <v/>
      </c>
      <c r="Q1168" s="57" t="str">
        <f aca="false">IF(E1168="","",IF(COUNTIFS($C$2:C1168,C1168,$E$2:E1168,E1168,$B$2:B1168,B1168)&gt;1,"No","Yes"))</f>
        <v/>
      </c>
      <c r="R1168" s="61" t="str">
        <f aca="false">IF(E1168="","",IF(Q1168="No","Duplicate of an earlier response",IF(L1168="Not on SITES","Site not on SITES",IF(N(G1168)&gt;N(F1168),"Present is more than enrolled",IF(OR(I1168&lt;1,I1168&gt;5),"Score outside 1 to 5","")))))</f>
        <v/>
      </c>
    </row>
    <row r="1169" customFormat="false" ht="15" hidden="false" customHeight="false" outlineLevel="0" collapsed="false">
      <c r="A1169" s="52"/>
      <c r="B1169" s="53"/>
      <c r="C1169" s="53"/>
      <c r="D1169" s="53"/>
      <c r="E1169" s="54"/>
      <c r="F1169" s="55"/>
      <c r="G1169" s="55"/>
      <c r="H1169" s="55"/>
      <c r="I1169" s="56"/>
      <c r="J1169" s="53"/>
      <c r="K1169" s="53"/>
      <c r="L1169" s="57" t="str">
        <f aca="false">IF(C1169="","",IFERROR(INDEX(site_ID,MATCH(C1169,site_Name,0)),"Not on SITES"))</f>
        <v/>
      </c>
      <c r="M1169" s="58" t="str">
        <f aca="false">IF(E1169="","",DATE(YEAR(E1169),MONTH(E1169),1))</f>
        <v/>
      </c>
      <c r="N1169" s="57" t="str">
        <f aca="false">IF(E1169="","","FY"&amp;(YEAR(E1169)+IF(AND(FYStart&gt;1,MONTH(E1169)&gt;=FYStart),1,0))&amp;" Q"&amp;(INT(MOD(MONTH(E1169)-FYStart,12)/3)+1))</f>
        <v/>
      </c>
      <c r="O1169" s="59" t="str">
        <f aca="false">IF(OR(E1169="",N(F1169)=0),"",G1169/F1169)</f>
        <v/>
      </c>
      <c r="P1169" s="60" t="str">
        <f aca="false">IF(E1169="","",ROUND(N(G1169)*N(H1169)/60,1))</f>
        <v/>
      </c>
      <c r="Q1169" s="57" t="str">
        <f aca="false">IF(E1169="","",IF(COUNTIFS($C$2:C1169,C1169,$E$2:E1169,E1169,$B$2:B1169,B1169)&gt;1,"No","Yes"))</f>
        <v/>
      </c>
      <c r="R1169" s="61" t="str">
        <f aca="false">IF(E1169="","",IF(Q1169="No","Duplicate of an earlier response",IF(L1169="Not on SITES","Site not on SITES",IF(N(G1169)&gt;N(F1169),"Present is more than enrolled",IF(OR(I1169&lt;1,I1169&gt;5),"Score outside 1 to 5","")))))</f>
        <v/>
      </c>
    </row>
    <row r="1170" customFormat="false" ht="15" hidden="false" customHeight="false" outlineLevel="0" collapsed="false">
      <c r="A1170" s="52"/>
      <c r="B1170" s="53"/>
      <c r="C1170" s="53"/>
      <c r="D1170" s="53"/>
      <c r="E1170" s="54"/>
      <c r="F1170" s="55"/>
      <c r="G1170" s="55"/>
      <c r="H1170" s="55"/>
      <c r="I1170" s="56"/>
      <c r="J1170" s="53"/>
      <c r="K1170" s="53"/>
      <c r="L1170" s="57" t="str">
        <f aca="false">IF(C1170="","",IFERROR(INDEX(site_ID,MATCH(C1170,site_Name,0)),"Not on SITES"))</f>
        <v/>
      </c>
      <c r="M1170" s="58" t="str">
        <f aca="false">IF(E1170="","",DATE(YEAR(E1170),MONTH(E1170),1))</f>
        <v/>
      </c>
      <c r="N1170" s="57" t="str">
        <f aca="false">IF(E1170="","","FY"&amp;(YEAR(E1170)+IF(AND(FYStart&gt;1,MONTH(E1170)&gt;=FYStart),1,0))&amp;" Q"&amp;(INT(MOD(MONTH(E1170)-FYStart,12)/3)+1))</f>
        <v/>
      </c>
      <c r="O1170" s="59" t="str">
        <f aca="false">IF(OR(E1170="",N(F1170)=0),"",G1170/F1170)</f>
        <v/>
      </c>
      <c r="P1170" s="60" t="str">
        <f aca="false">IF(E1170="","",ROUND(N(G1170)*N(H1170)/60,1))</f>
        <v/>
      </c>
      <c r="Q1170" s="57" t="str">
        <f aca="false">IF(E1170="","",IF(COUNTIFS($C$2:C1170,C1170,$E$2:E1170,E1170,$B$2:B1170,B1170)&gt;1,"No","Yes"))</f>
        <v/>
      </c>
      <c r="R1170" s="61" t="str">
        <f aca="false">IF(E1170="","",IF(Q1170="No","Duplicate of an earlier response",IF(L1170="Not on SITES","Site not on SITES",IF(N(G1170)&gt;N(F1170),"Present is more than enrolled",IF(OR(I1170&lt;1,I1170&gt;5),"Score outside 1 to 5","")))))</f>
        <v/>
      </c>
    </row>
    <row r="1171" customFormat="false" ht="15" hidden="false" customHeight="false" outlineLevel="0" collapsed="false">
      <c r="A1171" s="52"/>
      <c r="B1171" s="53"/>
      <c r="C1171" s="53"/>
      <c r="D1171" s="53"/>
      <c r="E1171" s="54"/>
      <c r="F1171" s="55"/>
      <c r="G1171" s="55"/>
      <c r="H1171" s="55"/>
      <c r="I1171" s="56"/>
      <c r="J1171" s="53"/>
      <c r="K1171" s="53"/>
      <c r="L1171" s="57" t="str">
        <f aca="false">IF(C1171="","",IFERROR(INDEX(site_ID,MATCH(C1171,site_Name,0)),"Not on SITES"))</f>
        <v/>
      </c>
      <c r="M1171" s="58" t="str">
        <f aca="false">IF(E1171="","",DATE(YEAR(E1171),MONTH(E1171),1))</f>
        <v/>
      </c>
      <c r="N1171" s="57" t="str">
        <f aca="false">IF(E1171="","","FY"&amp;(YEAR(E1171)+IF(AND(FYStart&gt;1,MONTH(E1171)&gt;=FYStart),1,0))&amp;" Q"&amp;(INT(MOD(MONTH(E1171)-FYStart,12)/3)+1))</f>
        <v/>
      </c>
      <c r="O1171" s="59" t="str">
        <f aca="false">IF(OR(E1171="",N(F1171)=0),"",G1171/F1171)</f>
        <v/>
      </c>
      <c r="P1171" s="60" t="str">
        <f aca="false">IF(E1171="","",ROUND(N(G1171)*N(H1171)/60,1))</f>
        <v/>
      </c>
      <c r="Q1171" s="57" t="str">
        <f aca="false">IF(E1171="","",IF(COUNTIFS($C$2:C1171,C1171,$E$2:E1171,E1171,$B$2:B1171,B1171)&gt;1,"No","Yes"))</f>
        <v/>
      </c>
      <c r="R1171" s="61" t="str">
        <f aca="false">IF(E1171="","",IF(Q1171="No","Duplicate of an earlier response",IF(L1171="Not on SITES","Site not on SITES",IF(N(G1171)&gt;N(F1171),"Present is more than enrolled",IF(OR(I1171&lt;1,I1171&gt;5),"Score outside 1 to 5","")))))</f>
        <v/>
      </c>
    </row>
    <row r="1172" customFormat="false" ht="15" hidden="false" customHeight="false" outlineLevel="0" collapsed="false">
      <c r="A1172" s="52"/>
      <c r="B1172" s="53"/>
      <c r="C1172" s="53"/>
      <c r="D1172" s="53"/>
      <c r="E1172" s="54"/>
      <c r="F1172" s="55"/>
      <c r="G1172" s="55"/>
      <c r="H1172" s="55"/>
      <c r="I1172" s="56"/>
      <c r="J1172" s="53"/>
      <c r="K1172" s="53"/>
      <c r="L1172" s="57" t="str">
        <f aca="false">IF(C1172="","",IFERROR(INDEX(site_ID,MATCH(C1172,site_Name,0)),"Not on SITES"))</f>
        <v/>
      </c>
      <c r="M1172" s="58" t="str">
        <f aca="false">IF(E1172="","",DATE(YEAR(E1172),MONTH(E1172),1))</f>
        <v/>
      </c>
      <c r="N1172" s="57" t="str">
        <f aca="false">IF(E1172="","","FY"&amp;(YEAR(E1172)+IF(AND(FYStart&gt;1,MONTH(E1172)&gt;=FYStart),1,0))&amp;" Q"&amp;(INT(MOD(MONTH(E1172)-FYStart,12)/3)+1))</f>
        <v/>
      </c>
      <c r="O1172" s="59" t="str">
        <f aca="false">IF(OR(E1172="",N(F1172)=0),"",G1172/F1172)</f>
        <v/>
      </c>
      <c r="P1172" s="60" t="str">
        <f aca="false">IF(E1172="","",ROUND(N(G1172)*N(H1172)/60,1))</f>
        <v/>
      </c>
      <c r="Q1172" s="57" t="str">
        <f aca="false">IF(E1172="","",IF(COUNTIFS($C$2:C1172,C1172,$E$2:E1172,E1172,$B$2:B1172,B1172)&gt;1,"No","Yes"))</f>
        <v/>
      </c>
      <c r="R1172" s="61" t="str">
        <f aca="false">IF(E1172="","",IF(Q1172="No","Duplicate of an earlier response",IF(L1172="Not on SITES","Site not on SITES",IF(N(G1172)&gt;N(F1172),"Present is more than enrolled",IF(OR(I1172&lt;1,I1172&gt;5),"Score outside 1 to 5","")))))</f>
        <v/>
      </c>
    </row>
    <row r="1173" customFormat="false" ht="15" hidden="false" customHeight="false" outlineLevel="0" collapsed="false">
      <c r="A1173" s="52"/>
      <c r="B1173" s="53"/>
      <c r="C1173" s="53"/>
      <c r="D1173" s="53"/>
      <c r="E1173" s="54"/>
      <c r="F1173" s="55"/>
      <c r="G1173" s="55"/>
      <c r="H1173" s="55"/>
      <c r="I1173" s="56"/>
      <c r="J1173" s="53"/>
      <c r="K1173" s="53"/>
      <c r="L1173" s="57" t="str">
        <f aca="false">IF(C1173="","",IFERROR(INDEX(site_ID,MATCH(C1173,site_Name,0)),"Not on SITES"))</f>
        <v/>
      </c>
      <c r="M1173" s="58" t="str">
        <f aca="false">IF(E1173="","",DATE(YEAR(E1173),MONTH(E1173),1))</f>
        <v/>
      </c>
      <c r="N1173" s="57" t="str">
        <f aca="false">IF(E1173="","","FY"&amp;(YEAR(E1173)+IF(AND(FYStart&gt;1,MONTH(E1173)&gt;=FYStart),1,0))&amp;" Q"&amp;(INT(MOD(MONTH(E1173)-FYStart,12)/3)+1))</f>
        <v/>
      </c>
      <c r="O1173" s="59" t="str">
        <f aca="false">IF(OR(E1173="",N(F1173)=0),"",G1173/F1173)</f>
        <v/>
      </c>
      <c r="P1173" s="60" t="str">
        <f aca="false">IF(E1173="","",ROUND(N(G1173)*N(H1173)/60,1))</f>
        <v/>
      </c>
      <c r="Q1173" s="57" t="str">
        <f aca="false">IF(E1173="","",IF(COUNTIFS($C$2:C1173,C1173,$E$2:E1173,E1173,$B$2:B1173,B1173)&gt;1,"No","Yes"))</f>
        <v/>
      </c>
      <c r="R1173" s="61" t="str">
        <f aca="false">IF(E1173="","",IF(Q1173="No","Duplicate of an earlier response",IF(L1173="Not on SITES","Site not on SITES",IF(N(G1173)&gt;N(F1173),"Present is more than enrolled",IF(OR(I1173&lt;1,I1173&gt;5),"Score outside 1 to 5","")))))</f>
        <v/>
      </c>
    </row>
    <row r="1174" customFormat="false" ht="15" hidden="false" customHeight="false" outlineLevel="0" collapsed="false">
      <c r="A1174" s="52"/>
      <c r="B1174" s="53"/>
      <c r="C1174" s="53"/>
      <c r="D1174" s="53"/>
      <c r="E1174" s="54"/>
      <c r="F1174" s="55"/>
      <c r="G1174" s="55"/>
      <c r="H1174" s="55"/>
      <c r="I1174" s="56"/>
      <c r="J1174" s="53"/>
      <c r="K1174" s="53"/>
      <c r="L1174" s="57" t="str">
        <f aca="false">IF(C1174="","",IFERROR(INDEX(site_ID,MATCH(C1174,site_Name,0)),"Not on SITES"))</f>
        <v/>
      </c>
      <c r="M1174" s="58" t="str">
        <f aca="false">IF(E1174="","",DATE(YEAR(E1174),MONTH(E1174),1))</f>
        <v/>
      </c>
      <c r="N1174" s="57" t="str">
        <f aca="false">IF(E1174="","","FY"&amp;(YEAR(E1174)+IF(AND(FYStart&gt;1,MONTH(E1174)&gt;=FYStart),1,0))&amp;" Q"&amp;(INT(MOD(MONTH(E1174)-FYStart,12)/3)+1))</f>
        <v/>
      </c>
      <c r="O1174" s="59" t="str">
        <f aca="false">IF(OR(E1174="",N(F1174)=0),"",G1174/F1174)</f>
        <v/>
      </c>
      <c r="P1174" s="60" t="str">
        <f aca="false">IF(E1174="","",ROUND(N(G1174)*N(H1174)/60,1))</f>
        <v/>
      </c>
      <c r="Q1174" s="57" t="str">
        <f aca="false">IF(E1174="","",IF(COUNTIFS($C$2:C1174,C1174,$E$2:E1174,E1174,$B$2:B1174,B1174)&gt;1,"No","Yes"))</f>
        <v/>
      </c>
      <c r="R1174" s="61" t="str">
        <f aca="false">IF(E1174="","",IF(Q1174="No","Duplicate of an earlier response",IF(L1174="Not on SITES","Site not on SITES",IF(N(G1174)&gt;N(F1174),"Present is more than enrolled",IF(OR(I1174&lt;1,I1174&gt;5),"Score outside 1 to 5","")))))</f>
        <v/>
      </c>
    </row>
    <row r="1175" customFormat="false" ht="15" hidden="false" customHeight="false" outlineLevel="0" collapsed="false">
      <c r="A1175" s="52"/>
      <c r="B1175" s="53"/>
      <c r="C1175" s="53"/>
      <c r="D1175" s="53"/>
      <c r="E1175" s="54"/>
      <c r="F1175" s="55"/>
      <c r="G1175" s="55"/>
      <c r="H1175" s="55"/>
      <c r="I1175" s="56"/>
      <c r="J1175" s="53"/>
      <c r="K1175" s="53"/>
      <c r="L1175" s="57" t="str">
        <f aca="false">IF(C1175="","",IFERROR(INDEX(site_ID,MATCH(C1175,site_Name,0)),"Not on SITES"))</f>
        <v/>
      </c>
      <c r="M1175" s="58" t="str">
        <f aca="false">IF(E1175="","",DATE(YEAR(E1175),MONTH(E1175),1))</f>
        <v/>
      </c>
      <c r="N1175" s="57" t="str">
        <f aca="false">IF(E1175="","","FY"&amp;(YEAR(E1175)+IF(AND(FYStart&gt;1,MONTH(E1175)&gt;=FYStart),1,0))&amp;" Q"&amp;(INT(MOD(MONTH(E1175)-FYStart,12)/3)+1))</f>
        <v/>
      </c>
      <c r="O1175" s="59" t="str">
        <f aca="false">IF(OR(E1175="",N(F1175)=0),"",G1175/F1175)</f>
        <v/>
      </c>
      <c r="P1175" s="60" t="str">
        <f aca="false">IF(E1175="","",ROUND(N(G1175)*N(H1175)/60,1))</f>
        <v/>
      </c>
      <c r="Q1175" s="57" t="str">
        <f aca="false">IF(E1175="","",IF(COUNTIFS($C$2:C1175,C1175,$E$2:E1175,E1175,$B$2:B1175,B1175)&gt;1,"No","Yes"))</f>
        <v/>
      </c>
      <c r="R1175" s="61" t="str">
        <f aca="false">IF(E1175="","",IF(Q1175="No","Duplicate of an earlier response",IF(L1175="Not on SITES","Site not on SITES",IF(N(G1175)&gt;N(F1175),"Present is more than enrolled",IF(OR(I1175&lt;1,I1175&gt;5),"Score outside 1 to 5","")))))</f>
        <v/>
      </c>
    </row>
    <row r="1176" customFormat="false" ht="15" hidden="false" customHeight="false" outlineLevel="0" collapsed="false">
      <c r="A1176" s="52"/>
      <c r="B1176" s="53"/>
      <c r="C1176" s="53"/>
      <c r="D1176" s="53"/>
      <c r="E1176" s="54"/>
      <c r="F1176" s="55"/>
      <c r="G1176" s="55"/>
      <c r="H1176" s="55"/>
      <c r="I1176" s="56"/>
      <c r="J1176" s="53"/>
      <c r="K1176" s="53"/>
      <c r="L1176" s="57" t="str">
        <f aca="false">IF(C1176="","",IFERROR(INDEX(site_ID,MATCH(C1176,site_Name,0)),"Not on SITES"))</f>
        <v/>
      </c>
      <c r="M1176" s="58" t="str">
        <f aca="false">IF(E1176="","",DATE(YEAR(E1176),MONTH(E1176),1))</f>
        <v/>
      </c>
      <c r="N1176" s="57" t="str">
        <f aca="false">IF(E1176="","","FY"&amp;(YEAR(E1176)+IF(AND(FYStart&gt;1,MONTH(E1176)&gt;=FYStart),1,0))&amp;" Q"&amp;(INT(MOD(MONTH(E1176)-FYStart,12)/3)+1))</f>
        <v/>
      </c>
      <c r="O1176" s="59" t="str">
        <f aca="false">IF(OR(E1176="",N(F1176)=0),"",G1176/F1176)</f>
        <v/>
      </c>
      <c r="P1176" s="60" t="str">
        <f aca="false">IF(E1176="","",ROUND(N(G1176)*N(H1176)/60,1))</f>
        <v/>
      </c>
      <c r="Q1176" s="57" t="str">
        <f aca="false">IF(E1176="","",IF(COUNTIFS($C$2:C1176,C1176,$E$2:E1176,E1176,$B$2:B1176,B1176)&gt;1,"No","Yes"))</f>
        <v/>
      </c>
      <c r="R1176" s="61" t="str">
        <f aca="false">IF(E1176="","",IF(Q1176="No","Duplicate of an earlier response",IF(L1176="Not on SITES","Site not on SITES",IF(N(G1176)&gt;N(F1176),"Present is more than enrolled",IF(OR(I1176&lt;1,I1176&gt;5),"Score outside 1 to 5","")))))</f>
        <v/>
      </c>
    </row>
    <row r="1177" customFormat="false" ht="15" hidden="false" customHeight="false" outlineLevel="0" collapsed="false">
      <c r="A1177" s="52"/>
      <c r="B1177" s="53"/>
      <c r="C1177" s="53"/>
      <c r="D1177" s="53"/>
      <c r="E1177" s="54"/>
      <c r="F1177" s="55"/>
      <c r="G1177" s="55"/>
      <c r="H1177" s="55"/>
      <c r="I1177" s="56"/>
      <c r="J1177" s="53"/>
      <c r="K1177" s="53"/>
      <c r="L1177" s="57" t="str">
        <f aca="false">IF(C1177="","",IFERROR(INDEX(site_ID,MATCH(C1177,site_Name,0)),"Not on SITES"))</f>
        <v/>
      </c>
      <c r="M1177" s="58" t="str">
        <f aca="false">IF(E1177="","",DATE(YEAR(E1177),MONTH(E1177),1))</f>
        <v/>
      </c>
      <c r="N1177" s="57" t="str">
        <f aca="false">IF(E1177="","","FY"&amp;(YEAR(E1177)+IF(AND(FYStart&gt;1,MONTH(E1177)&gt;=FYStart),1,0))&amp;" Q"&amp;(INT(MOD(MONTH(E1177)-FYStart,12)/3)+1))</f>
        <v/>
      </c>
      <c r="O1177" s="59" t="str">
        <f aca="false">IF(OR(E1177="",N(F1177)=0),"",G1177/F1177)</f>
        <v/>
      </c>
      <c r="P1177" s="60" t="str">
        <f aca="false">IF(E1177="","",ROUND(N(G1177)*N(H1177)/60,1))</f>
        <v/>
      </c>
      <c r="Q1177" s="57" t="str">
        <f aca="false">IF(E1177="","",IF(COUNTIFS($C$2:C1177,C1177,$E$2:E1177,E1177,$B$2:B1177,B1177)&gt;1,"No","Yes"))</f>
        <v/>
      </c>
      <c r="R1177" s="61" t="str">
        <f aca="false">IF(E1177="","",IF(Q1177="No","Duplicate of an earlier response",IF(L1177="Not on SITES","Site not on SITES",IF(N(G1177)&gt;N(F1177),"Present is more than enrolled",IF(OR(I1177&lt;1,I1177&gt;5),"Score outside 1 to 5","")))))</f>
        <v/>
      </c>
    </row>
    <row r="1178" customFormat="false" ht="15" hidden="false" customHeight="false" outlineLevel="0" collapsed="false">
      <c r="A1178" s="52"/>
      <c r="B1178" s="53"/>
      <c r="C1178" s="53"/>
      <c r="D1178" s="53"/>
      <c r="E1178" s="54"/>
      <c r="F1178" s="55"/>
      <c r="G1178" s="55"/>
      <c r="H1178" s="55"/>
      <c r="I1178" s="56"/>
      <c r="J1178" s="53"/>
      <c r="K1178" s="53"/>
      <c r="L1178" s="57" t="str">
        <f aca="false">IF(C1178="","",IFERROR(INDEX(site_ID,MATCH(C1178,site_Name,0)),"Not on SITES"))</f>
        <v/>
      </c>
      <c r="M1178" s="58" t="str">
        <f aca="false">IF(E1178="","",DATE(YEAR(E1178),MONTH(E1178),1))</f>
        <v/>
      </c>
      <c r="N1178" s="57" t="str">
        <f aca="false">IF(E1178="","","FY"&amp;(YEAR(E1178)+IF(AND(FYStart&gt;1,MONTH(E1178)&gt;=FYStart),1,0))&amp;" Q"&amp;(INT(MOD(MONTH(E1178)-FYStart,12)/3)+1))</f>
        <v/>
      </c>
      <c r="O1178" s="59" t="str">
        <f aca="false">IF(OR(E1178="",N(F1178)=0),"",G1178/F1178)</f>
        <v/>
      </c>
      <c r="P1178" s="60" t="str">
        <f aca="false">IF(E1178="","",ROUND(N(G1178)*N(H1178)/60,1))</f>
        <v/>
      </c>
      <c r="Q1178" s="57" t="str">
        <f aca="false">IF(E1178="","",IF(COUNTIFS($C$2:C1178,C1178,$E$2:E1178,E1178,$B$2:B1178,B1178)&gt;1,"No","Yes"))</f>
        <v/>
      </c>
      <c r="R1178" s="61" t="str">
        <f aca="false">IF(E1178="","",IF(Q1178="No","Duplicate of an earlier response",IF(L1178="Not on SITES","Site not on SITES",IF(N(G1178)&gt;N(F1178),"Present is more than enrolled",IF(OR(I1178&lt;1,I1178&gt;5),"Score outside 1 to 5","")))))</f>
        <v/>
      </c>
    </row>
    <row r="1179" customFormat="false" ht="15" hidden="false" customHeight="false" outlineLevel="0" collapsed="false">
      <c r="A1179" s="52"/>
      <c r="B1179" s="53"/>
      <c r="C1179" s="53"/>
      <c r="D1179" s="53"/>
      <c r="E1179" s="54"/>
      <c r="F1179" s="55"/>
      <c r="G1179" s="55"/>
      <c r="H1179" s="55"/>
      <c r="I1179" s="56"/>
      <c r="J1179" s="53"/>
      <c r="K1179" s="53"/>
      <c r="L1179" s="57" t="str">
        <f aca="false">IF(C1179="","",IFERROR(INDEX(site_ID,MATCH(C1179,site_Name,0)),"Not on SITES"))</f>
        <v/>
      </c>
      <c r="M1179" s="58" t="str">
        <f aca="false">IF(E1179="","",DATE(YEAR(E1179),MONTH(E1179),1))</f>
        <v/>
      </c>
      <c r="N1179" s="57" t="str">
        <f aca="false">IF(E1179="","","FY"&amp;(YEAR(E1179)+IF(AND(FYStart&gt;1,MONTH(E1179)&gt;=FYStart),1,0))&amp;" Q"&amp;(INT(MOD(MONTH(E1179)-FYStart,12)/3)+1))</f>
        <v/>
      </c>
      <c r="O1179" s="59" t="str">
        <f aca="false">IF(OR(E1179="",N(F1179)=0),"",G1179/F1179)</f>
        <v/>
      </c>
      <c r="P1179" s="60" t="str">
        <f aca="false">IF(E1179="","",ROUND(N(G1179)*N(H1179)/60,1))</f>
        <v/>
      </c>
      <c r="Q1179" s="57" t="str">
        <f aca="false">IF(E1179="","",IF(COUNTIFS($C$2:C1179,C1179,$E$2:E1179,E1179,$B$2:B1179,B1179)&gt;1,"No","Yes"))</f>
        <v/>
      </c>
      <c r="R1179" s="61" t="str">
        <f aca="false">IF(E1179="","",IF(Q1179="No","Duplicate of an earlier response",IF(L1179="Not on SITES","Site not on SITES",IF(N(G1179)&gt;N(F1179),"Present is more than enrolled",IF(OR(I1179&lt;1,I1179&gt;5),"Score outside 1 to 5","")))))</f>
        <v/>
      </c>
    </row>
    <row r="1180" customFormat="false" ht="15" hidden="false" customHeight="false" outlineLevel="0" collapsed="false">
      <c r="A1180" s="52"/>
      <c r="B1180" s="53"/>
      <c r="C1180" s="53"/>
      <c r="D1180" s="53"/>
      <c r="E1180" s="54"/>
      <c r="F1180" s="55"/>
      <c r="G1180" s="55"/>
      <c r="H1180" s="55"/>
      <c r="I1180" s="56"/>
      <c r="J1180" s="53"/>
      <c r="K1180" s="53"/>
      <c r="L1180" s="57" t="str">
        <f aca="false">IF(C1180="","",IFERROR(INDEX(site_ID,MATCH(C1180,site_Name,0)),"Not on SITES"))</f>
        <v/>
      </c>
      <c r="M1180" s="58" t="str">
        <f aca="false">IF(E1180="","",DATE(YEAR(E1180),MONTH(E1180),1))</f>
        <v/>
      </c>
      <c r="N1180" s="57" t="str">
        <f aca="false">IF(E1180="","","FY"&amp;(YEAR(E1180)+IF(AND(FYStart&gt;1,MONTH(E1180)&gt;=FYStart),1,0))&amp;" Q"&amp;(INT(MOD(MONTH(E1180)-FYStart,12)/3)+1))</f>
        <v/>
      </c>
      <c r="O1180" s="59" t="str">
        <f aca="false">IF(OR(E1180="",N(F1180)=0),"",G1180/F1180)</f>
        <v/>
      </c>
      <c r="P1180" s="60" t="str">
        <f aca="false">IF(E1180="","",ROUND(N(G1180)*N(H1180)/60,1))</f>
        <v/>
      </c>
      <c r="Q1180" s="57" t="str">
        <f aca="false">IF(E1180="","",IF(COUNTIFS($C$2:C1180,C1180,$E$2:E1180,E1180,$B$2:B1180,B1180)&gt;1,"No","Yes"))</f>
        <v/>
      </c>
      <c r="R1180" s="61" t="str">
        <f aca="false">IF(E1180="","",IF(Q1180="No","Duplicate of an earlier response",IF(L1180="Not on SITES","Site not on SITES",IF(N(G1180)&gt;N(F1180),"Present is more than enrolled",IF(OR(I1180&lt;1,I1180&gt;5),"Score outside 1 to 5","")))))</f>
        <v/>
      </c>
    </row>
    <row r="1181" customFormat="false" ht="15" hidden="false" customHeight="false" outlineLevel="0" collapsed="false">
      <c r="A1181" s="52"/>
      <c r="B1181" s="53"/>
      <c r="C1181" s="53"/>
      <c r="D1181" s="53"/>
      <c r="E1181" s="54"/>
      <c r="F1181" s="55"/>
      <c r="G1181" s="55"/>
      <c r="H1181" s="55"/>
      <c r="I1181" s="56"/>
      <c r="J1181" s="53"/>
      <c r="K1181" s="53"/>
      <c r="L1181" s="57" t="str">
        <f aca="false">IF(C1181="","",IFERROR(INDEX(site_ID,MATCH(C1181,site_Name,0)),"Not on SITES"))</f>
        <v/>
      </c>
      <c r="M1181" s="58" t="str">
        <f aca="false">IF(E1181="","",DATE(YEAR(E1181),MONTH(E1181),1))</f>
        <v/>
      </c>
      <c r="N1181" s="57" t="str">
        <f aca="false">IF(E1181="","","FY"&amp;(YEAR(E1181)+IF(AND(FYStart&gt;1,MONTH(E1181)&gt;=FYStart),1,0))&amp;" Q"&amp;(INT(MOD(MONTH(E1181)-FYStart,12)/3)+1))</f>
        <v/>
      </c>
      <c r="O1181" s="59" t="str">
        <f aca="false">IF(OR(E1181="",N(F1181)=0),"",G1181/F1181)</f>
        <v/>
      </c>
      <c r="P1181" s="60" t="str">
        <f aca="false">IF(E1181="","",ROUND(N(G1181)*N(H1181)/60,1))</f>
        <v/>
      </c>
      <c r="Q1181" s="57" t="str">
        <f aca="false">IF(E1181="","",IF(COUNTIFS($C$2:C1181,C1181,$E$2:E1181,E1181,$B$2:B1181,B1181)&gt;1,"No","Yes"))</f>
        <v/>
      </c>
      <c r="R1181" s="61" t="str">
        <f aca="false">IF(E1181="","",IF(Q1181="No","Duplicate of an earlier response",IF(L1181="Not on SITES","Site not on SITES",IF(N(G1181)&gt;N(F1181),"Present is more than enrolled",IF(OR(I1181&lt;1,I1181&gt;5),"Score outside 1 to 5","")))))</f>
        <v/>
      </c>
    </row>
    <row r="1182" customFormat="false" ht="15" hidden="false" customHeight="false" outlineLevel="0" collapsed="false">
      <c r="A1182" s="52"/>
      <c r="B1182" s="53"/>
      <c r="C1182" s="53"/>
      <c r="D1182" s="53"/>
      <c r="E1182" s="54"/>
      <c r="F1182" s="55"/>
      <c r="G1182" s="55"/>
      <c r="H1182" s="55"/>
      <c r="I1182" s="56"/>
      <c r="J1182" s="53"/>
      <c r="K1182" s="53"/>
      <c r="L1182" s="57" t="str">
        <f aca="false">IF(C1182="","",IFERROR(INDEX(site_ID,MATCH(C1182,site_Name,0)),"Not on SITES"))</f>
        <v/>
      </c>
      <c r="M1182" s="58" t="str">
        <f aca="false">IF(E1182="","",DATE(YEAR(E1182),MONTH(E1182),1))</f>
        <v/>
      </c>
      <c r="N1182" s="57" t="str">
        <f aca="false">IF(E1182="","","FY"&amp;(YEAR(E1182)+IF(AND(FYStart&gt;1,MONTH(E1182)&gt;=FYStart),1,0))&amp;" Q"&amp;(INT(MOD(MONTH(E1182)-FYStart,12)/3)+1))</f>
        <v/>
      </c>
      <c r="O1182" s="59" t="str">
        <f aca="false">IF(OR(E1182="",N(F1182)=0),"",G1182/F1182)</f>
        <v/>
      </c>
      <c r="P1182" s="60" t="str">
        <f aca="false">IF(E1182="","",ROUND(N(G1182)*N(H1182)/60,1))</f>
        <v/>
      </c>
      <c r="Q1182" s="57" t="str">
        <f aca="false">IF(E1182="","",IF(COUNTIFS($C$2:C1182,C1182,$E$2:E1182,E1182,$B$2:B1182,B1182)&gt;1,"No","Yes"))</f>
        <v/>
      </c>
      <c r="R1182" s="61" t="str">
        <f aca="false">IF(E1182="","",IF(Q1182="No","Duplicate of an earlier response",IF(L1182="Not on SITES","Site not on SITES",IF(N(G1182)&gt;N(F1182),"Present is more than enrolled",IF(OR(I1182&lt;1,I1182&gt;5),"Score outside 1 to 5","")))))</f>
        <v/>
      </c>
    </row>
    <row r="1183" customFormat="false" ht="15" hidden="false" customHeight="false" outlineLevel="0" collapsed="false">
      <c r="A1183" s="52"/>
      <c r="B1183" s="53"/>
      <c r="C1183" s="53"/>
      <c r="D1183" s="53"/>
      <c r="E1183" s="54"/>
      <c r="F1183" s="55"/>
      <c r="G1183" s="55"/>
      <c r="H1183" s="55"/>
      <c r="I1183" s="56"/>
      <c r="J1183" s="53"/>
      <c r="K1183" s="53"/>
      <c r="L1183" s="57" t="str">
        <f aca="false">IF(C1183="","",IFERROR(INDEX(site_ID,MATCH(C1183,site_Name,0)),"Not on SITES"))</f>
        <v/>
      </c>
      <c r="M1183" s="58" t="str">
        <f aca="false">IF(E1183="","",DATE(YEAR(E1183),MONTH(E1183),1))</f>
        <v/>
      </c>
      <c r="N1183" s="57" t="str">
        <f aca="false">IF(E1183="","","FY"&amp;(YEAR(E1183)+IF(AND(FYStart&gt;1,MONTH(E1183)&gt;=FYStart),1,0))&amp;" Q"&amp;(INT(MOD(MONTH(E1183)-FYStart,12)/3)+1))</f>
        <v/>
      </c>
      <c r="O1183" s="59" t="str">
        <f aca="false">IF(OR(E1183="",N(F1183)=0),"",G1183/F1183)</f>
        <v/>
      </c>
      <c r="P1183" s="60" t="str">
        <f aca="false">IF(E1183="","",ROUND(N(G1183)*N(H1183)/60,1))</f>
        <v/>
      </c>
      <c r="Q1183" s="57" t="str">
        <f aca="false">IF(E1183="","",IF(COUNTIFS($C$2:C1183,C1183,$E$2:E1183,E1183,$B$2:B1183,B1183)&gt;1,"No","Yes"))</f>
        <v/>
      </c>
      <c r="R1183" s="61" t="str">
        <f aca="false">IF(E1183="","",IF(Q1183="No","Duplicate of an earlier response",IF(L1183="Not on SITES","Site not on SITES",IF(N(G1183)&gt;N(F1183),"Present is more than enrolled",IF(OR(I1183&lt;1,I1183&gt;5),"Score outside 1 to 5","")))))</f>
        <v/>
      </c>
    </row>
    <row r="1184" customFormat="false" ht="15" hidden="false" customHeight="false" outlineLevel="0" collapsed="false">
      <c r="A1184" s="52"/>
      <c r="B1184" s="53"/>
      <c r="C1184" s="53"/>
      <c r="D1184" s="53"/>
      <c r="E1184" s="54"/>
      <c r="F1184" s="55"/>
      <c r="G1184" s="55"/>
      <c r="H1184" s="55"/>
      <c r="I1184" s="56"/>
      <c r="J1184" s="53"/>
      <c r="K1184" s="53"/>
      <c r="L1184" s="57" t="str">
        <f aca="false">IF(C1184="","",IFERROR(INDEX(site_ID,MATCH(C1184,site_Name,0)),"Not on SITES"))</f>
        <v/>
      </c>
      <c r="M1184" s="58" t="str">
        <f aca="false">IF(E1184="","",DATE(YEAR(E1184),MONTH(E1184),1))</f>
        <v/>
      </c>
      <c r="N1184" s="57" t="str">
        <f aca="false">IF(E1184="","","FY"&amp;(YEAR(E1184)+IF(AND(FYStart&gt;1,MONTH(E1184)&gt;=FYStart),1,0))&amp;" Q"&amp;(INT(MOD(MONTH(E1184)-FYStart,12)/3)+1))</f>
        <v/>
      </c>
      <c r="O1184" s="59" t="str">
        <f aca="false">IF(OR(E1184="",N(F1184)=0),"",G1184/F1184)</f>
        <v/>
      </c>
      <c r="P1184" s="60" t="str">
        <f aca="false">IF(E1184="","",ROUND(N(G1184)*N(H1184)/60,1))</f>
        <v/>
      </c>
      <c r="Q1184" s="57" t="str">
        <f aca="false">IF(E1184="","",IF(COUNTIFS($C$2:C1184,C1184,$E$2:E1184,E1184,$B$2:B1184,B1184)&gt;1,"No","Yes"))</f>
        <v/>
      </c>
      <c r="R1184" s="61" t="str">
        <f aca="false">IF(E1184="","",IF(Q1184="No","Duplicate of an earlier response",IF(L1184="Not on SITES","Site not on SITES",IF(N(G1184)&gt;N(F1184),"Present is more than enrolled",IF(OR(I1184&lt;1,I1184&gt;5),"Score outside 1 to 5","")))))</f>
        <v/>
      </c>
    </row>
    <row r="1185" customFormat="false" ht="15" hidden="false" customHeight="false" outlineLevel="0" collapsed="false">
      <c r="A1185" s="52"/>
      <c r="B1185" s="53"/>
      <c r="C1185" s="53"/>
      <c r="D1185" s="53"/>
      <c r="E1185" s="54"/>
      <c r="F1185" s="55"/>
      <c r="G1185" s="55"/>
      <c r="H1185" s="55"/>
      <c r="I1185" s="56"/>
      <c r="J1185" s="53"/>
      <c r="K1185" s="53"/>
      <c r="L1185" s="57" t="str">
        <f aca="false">IF(C1185="","",IFERROR(INDEX(site_ID,MATCH(C1185,site_Name,0)),"Not on SITES"))</f>
        <v/>
      </c>
      <c r="M1185" s="58" t="str">
        <f aca="false">IF(E1185="","",DATE(YEAR(E1185),MONTH(E1185),1))</f>
        <v/>
      </c>
      <c r="N1185" s="57" t="str">
        <f aca="false">IF(E1185="","","FY"&amp;(YEAR(E1185)+IF(AND(FYStart&gt;1,MONTH(E1185)&gt;=FYStart),1,0))&amp;" Q"&amp;(INT(MOD(MONTH(E1185)-FYStart,12)/3)+1))</f>
        <v/>
      </c>
      <c r="O1185" s="59" t="str">
        <f aca="false">IF(OR(E1185="",N(F1185)=0),"",G1185/F1185)</f>
        <v/>
      </c>
      <c r="P1185" s="60" t="str">
        <f aca="false">IF(E1185="","",ROUND(N(G1185)*N(H1185)/60,1))</f>
        <v/>
      </c>
      <c r="Q1185" s="57" t="str">
        <f aca="false">IF(E1185="","",IF(COUNTIFS($C$2:C1185,C1185,$E$2:E1185,E1185,$B$2:B1185,B1185)&gt;1,"No","Yes"))</f>
        <v/>
      </c>
      <c r="R1185" s="61" t="str">
        <f aca="false">IF(E1185="","",IF(Q1185="No","Duplicate of an earlier response",IF(L1185="Not on SITES","Site not on SITES",IF(N(G1185)&gt;N(F1185),"Present is more than enrolled",IF(OR(I1185&lt;1,I1185&gt;5),"Score outside 1 to 5","")))))</f>
        <v/>
      </c>
    </row>
    <row r="1186" customFormat="false" ht="15" hidden="false" customHeight="false" outlineLevel="0" collapsed="false">
      <c r="A1186" s="52"/>
      <c r="B1186" s="53"/>
      <c r="C1186" s="53"/>
      <c r="D1186" s="53"/>
      <c r="E1186" s="54"/>
      <c r="F1186" s="55"/>
      <c r="G1186" s="55"/>
      <c r="H1186" s="55"/>
      <c r="I1186" s="56"/>
      <c r="J1186" s="53"/>
      <c r="K1186" s="53"/>
      <c r="L1186" s="57" t="str">
        <f aca="false">IF(C1186="","",IFERROR(INDEX(site_ID,MATCH(C1186,site_Name,0)),"Not on SITES"))</f>
        <v/>
      </c>
      <c r="M1186" s="58" t="str">
        <f aca="false">IF(E1186="","",DATE(YEAR(E1186),MONTH(E1186),1))</f>
        <v/>
      </c>
      <c r="N1186" s="57" t="str">
        <f aca="false">IF(E1186="","","FY"&amp;(YEAR(E1186)+IF(AND(FYStart&gt;1,MONTH(E1186)&gt;=FYStart),1,0))&amp;" Q"&amp;(INT(MOD(MONTH(E1186)-FYStart,12)/3)+1))</f>
        <v/>
      </c>
      <c r="O1186" s="59" t="str">
        <f aca="false">IF(OR(E1186="",N(F1186)=0),"",G1186/F1186)</f>
        <v/>
      </c>
      <c r="P1186" s="60" t="str">
        <f aca="false">IF(E1186="","",ROUND(N(G1186)*N(H1186)/60,1))</f>
        <v/>
      </c>
      <c r="Q1186" s="57" t="str">
        <f aca="false">IF(E1186="","",IF(COUNTIFS($C$2:C1186,C1186,$E$2:E1186,E1186,$B$2:B1186,B1186)&gt;1,"No","Yes"))</f>
        <v/>
      </c>
      <c r="R1186" s="61" t="str">
        <f aca="false">IF(E1186="","",IF(Q1186="No","Duplicate of an earlier response",IF(L1186="Not on SITES","Site not on SITES",IF(N(G1186)&gt;N(F1186),"Present is more than enrolled",IF(OR(I1186&lt;1,I1186&gt;5),"Score outside 1 to 5","")))))</f>
        <v/>
      </c>
    </row>
    <row r="1187" customFormat="false" ht="15" hidden="false" customHeight="false" outlineLevel="0" collapsed="false">
      <c r="A1187" s="52"/>
      <c r="B1187" s="53"/>
      <c r="C1187" s="53"/>
      <c r="D1187" s="53"/>
      <c r="E1187" s="54"/>
      <c r="F1187" s="55"/>
      <c r="G1187" s="55"/>
      <c r="H1187" s="55"/>
      <c r="I1187" s="56"/>
      <c r="J1187" s="53"/>
      <c r="K1187" s="53"/>
      <c r="L1187" s="57" t="str">
        <f aca="false">IF(C1187="","",IFERROR(INDEX(site_ID,MATCH(C1187,site_Name,0)),"Not on SITES"))</f>
        <v/>
      </c>
      <c r="M1187" s="58" t="str">
        <f aca="false">IF(E1187="","",DATE(YEAR(E1187),MONTH(E1187),1))</f>
        <v/>
      </c>
      <c r="N1187" s="57" t="str">
        <f aca="false">IF(E1187="","","FY"&amp;(YEAR(E1187)+IF(AND(FYStart&gt;1,MONTH(E1187)&gt;=FYStart),1,0))&amp;" Q"&amp;(INT(MOD(MONTH(E1187)-FYStart,12)/3)+1))</f>
        <v/>
      </c>
      <c r="O1187" s="59" t="str">
        <f aca="false">IF(OR(E1187="",N(F1187)=0),"",G1187/F1187)</f>
        <v/>
      </c>
      <c r="P1187" s="60" t="str">
        <f aca="false">IF(E1187="","",ROUND(N(G1187)*N(H1187)/60,1))</f>
        <v/>
      </c>
      <c r="Q1187" s="57" t="str">
        <f aca="false">IF(E1187="","",IF(COUNTIFS($C$2:C1187,C1187,$E$2:E1187,E1187,$B$2:B1187,B1187)&gt;1,"No","Yes"))</f>
        <v/>
      </c>
      <c r="R1187" s="61" t="str">
        <f aca="false">IF(E1187="","",IF(Q1187="No","Duplicate of an earlier response",IF(L1187="Not on SITES","Site not on SITES",IF(N(G1187)&gt;N(F1187),"Present is more than enrolled",IF(OR(I1187&lt;1,I1187&gt;5),"Score outside 1 to 5","")))))</f>
        <v/>
      </c>
    </row>
    <row r="1188" customFormat="false" ht="15" hidden="false" customHeight="false" outlineLevel="0" collapsed="false">
      <c r="A1188" s="52"/>
      <c r="B1188" s="53"/>
      <c r="C1188" s="53"/>
      <c r="D1188" s="53"/>
      <c r="E1188" s="54"/>
      <c r="F1188" s="55"/>
      <c r="G1188" s="55"/>
      <c r="H1188" s="55"/>
      <c r="I1188" s="56"/>
      <c r="J1188" s="53"/>
      <c r="K1188" s="53"/>
      <c r="L1188" s="57" t="str">
        <f aca="false">IF(C1188="","",IFERROR(INDEX(site_ID,MATCH(C1188,site_Name,0)),"Not on SITES"))</f>
        <v/>
      </c>
      <c r="M1188" s="58" t="str">
        <f aca="false">IF(E1188="","",DATE(YEAR(E1188),MONTH(E1188),1))</f>
        <v/>
      </c>
      <c r="N1188" s="57" t="str">
        <f aca="false">IF(E1188="","","FY"&amp;(YEAR(E1188)+IF(AND(FYStart&gt;1,MONTH(E1188)&gt;=FYStart),1,0))&amp;" Q"&amp;(INT(MOD(MONTH(E1188)-FYStart,12)/3)+1))</f>
        <v/>
      </c>
      <c r="O1188" s="59" t="str">
        <f aca="false">IF(OR(E1188="",N(F1188)=0),"",G1188/F1188)</f>
        <v/>
      </c>
      <c r="P1188" s="60" t="str">
        <f aca="false">IF(E1188="","",ROUND(N(G1188)*N(H1188)/60,1))</f>
        <v/>
      </c>
      <c r="Q1188" s="57" t="str">
        <f aca="false">IF(E1188="","",IF(COUNTIFS($C$2:C1188,C1188,$E$2:E1188,E1188,$B$2:B1188,B1188)&gt;1,"No","Yes"))</f>
        <v/>
      </c>
      <c r="R1188" s="61" t="str">
        <f aca="false">IF(E1188="","",IF(Q1188="No","Duplicate of an earlier response",IF(L1188="Not on SITES","Site not on SITES",IF(N(G1188)&gt;N(F1188),"Present is more than enrolled",IF(OR(I1188&lt;1,I1188&gt;5),"Score outside 1 to 5","")))))</f>
        <v/>
      </c>
    </row>
    <row r="1189" customFormat="false" ht="15" hidden="false" customHeight="false" outlineLevel="0" collapsed="false">
      <c r="A1189" s="52"/>
      <c r="B1189" s="53"/>
      <c r="C1189" s="53"/>
      <c r="D1189" s="53"/>
      <c r="E1189" s="54"/>
      <c r="F1189" s="55"/>
      <c r="G1189" s="55"/>
      <c r="H1189" s="55"/>
      <c r="I1189" s="56"/>
      <c r="J1189" s="53"/>
      <c r="K1189" s="53"/>
      <c r="L1189" s="57" t="str">
        <f aca="false">IF(C1189="","",IFERROR(INDEX(site_ID,MATCH(C1189,site_Name,0)),"Not on SITES"))</f>
        <v/>
      </c>
      <c r="M1189" s="58" t="str">
        <f aca="false">IF(E1189="","",DATE(YEAR(E1189),MONTH(E1189),1))</f>
        <v/>
      </c>
      <c r="N1189" s="57" t="str">
        <f aca="false">IF(E1189="","","FY"&amp;(YEAR(E1189)+IF(AND(FYStart&gt;1,MONTH(E1189)&gt;=FYStart),1,0))&amp;" Q"&amp;(INT(MOD(MONTH(E1189)-FYStart,12)/3)+1))</f>
        <v/>
      </c>
      <c r="O1189" s="59" t="str">
        <f aca="false">IF(OR(E1189="",N(F1189)=0),"",G1189/F1189)</f>
        <v/>
      </c>
      <c r="P1189" s="60" t="str">
        <f aca="false">IF(E1189="","",ROUND(N(G1189)*N(H1189)/60,1))</f>
        <v/>
      </c>
      <c r="Q1189" s="57" t="str">
        <f aca="false">IF(E1189="","",IF(COUNTIFS($C$2:C1189,C1189,$E$2:E1189,E1189,$B$2:B1189,B1189)&gt;1,"No","Yes"))</f>
        <v/>
      </c>
      <c r="R1189" s="61" t="str">
        <f aca="false">IF(E1189="","",IF(Q1189="No","Duplicate of an earlier response",IF(L1189="Not on SITES","Site not on SITES",IF(N(G1189)&gt;N(F1189),"Present is more than enrolled",IF(OR(I1189&lt;1,I1189&gt;5),"Score outside 1 to 5","")))))</f>
        <v/>
      </c>
    </row>
    <row r="1190" customFormat="false" ht="15" hidden="false" customHeight="false" outlineLevel="0" collapsed="false">
      <c r="A1190" s="52"/>
      <c r="B1190" s="53"/>
      <c r="C1190" s="53"/>
      <c r="D1190" s="53"/>
      <c r="E1190" s="54"/>
      <c r="F1190" s="55"/>
      <c r="G1190" s="55"/>
      <c r="H1190" s="55"/>
      <c r="I1190" s="56"/>
      <c r="J1190" s="53"/>
      <c r="K1190" s="53"/>
      <c r="L1190" s="57" t="str">
        <f aca="false">IF(C1190="","",IFERROR(INDEX(site_ID,MATCH(C1190,site_Name,0)),"Not on SITES"))</f>
        <v/>
      </c>
      <c r="M1190" s="58" t="str">
        <f aca="false">IF(E1190="","",DATE(YEAR(E1190),MONTH(E1190),1))</f>
        <v/>
      </c>
      <c r="N1190" s="57" t="str">
        <f aca="false">IF(E1190="","","FY"&amp;(YEAR(E1190)+IF(AND(FYStart&gt;1,MONTH(E1190)&gt;=FYStart),1,0))&amp;" Q"&amp;(INT(MOD(MONTH(E1190)-FYStart,12)/3)+1))</f>
        <v/>
      </c>
      <c r="O1190" s="59" t="str">
        <f aca="false">IF(OR(E1190="",N(F1190)=0),"",G1190/F1190)</f>
        <v/>
      </c>
      <c r="P1190" s="60" t="str">
        <f aca="false">IF(E1190="","",ROUND(N(G1190)*N(H1190)/60,1))</f>
        <v/>
      </c>
      <c r="Q1190" s="57" t="str">
        <f aca="false">IF(E1190="","",IF(COUNTIFS($C$2:C1190,C1190,$E$2:E1190,E1190,$B$2:B1190,B1190)&gt;1,"No","Yes"))</f>
        <v/>
      </c>
      <c r="R1190" s="61" t="str">
        <f aca="false">IF(E1190="","",IF(Q1190="No","Duplicate of an earlier response",IF(L1190="Not on SITES","Site not on SITES",IF(N(G1190)&gt;N(F1190),"Present is more than enrolled",IF(OR(I1190&lt;1,I1190&gt;5),"Score outside 1 to 5","")))))</f>
        <v/>
      </c>
    </row>
    <row r="1191" customFormat="false" ht="15" hidden="false" customHeight="false" outlineLevel="0" collapsed="false">
      <c r="A1191" s="52"/>
      <c r="B1191" s="53"/>
      <c r="C1191" s="53"/>
      <c r="D1191" s="53"/>
      <c r="E1191" s="54"/>
      <c r="F1191" s="55"/>
      <c r="G1191" s="55"/>
      <c r="H1191" s="55"/>
      <c r="I1191" s="56"/>
      <c r="J1191" s="53"/>
      <c r="K1191" s="53"/>
      <c r="L1191" s="57" t="str">
        <f aca="false">IF(C1191="","",IFERROR(INDEX(site_ID,MATCH(C1191,site_Name,0)),"Not on SITES"))</f>
        <v/>
      </c>
      <c r="M1191" s="58" t="str">
        <f aca="false">IF(E1191="","",DATE(YEAR(E1191),MONTH(E1191),1))</f>
        <v/>
      </c>
      <c r="N1191" s="57" t="str">
        <f aca="false">IF(E1191="","","FY"&amp;(YEAR(E1191)+IF(AND(FYStart&gt;1,MONTH(E1191)&gt;=FYStart),1,0))&amp;" Q"&amp;(INT(MOD(MONTH(E1191)-FYStart,12)/3)+1))</f>
        <v/>
      </c>
      <c r="O1191" s="59" t="str">
        <f aca="false">IF(OR(E1191="",N(F1191)=0),"",G1191/F1191)</f>
        <v/>
      </c>
      <c r="P1191" s="60" t="str">
        <f aca="false">IF(E1191="","",ROUND(N(G1191)*N(H1191)/60,1))</f>
        <v/>
      </c>
      <c r="Q1191" s="57" t="str">
        <f aca="false">IF(E1191="","",IF(COUNTIFS($C$2:C1191,C1191,$E$2:E1191,E1191,$B$2:B1191,B1191)&gt;1,"No","Yes"))</f>
        <v/>
      </c>
      <c r="R1191" s="61" t="str">
        <f aca="false">IF(E1191="","",IF(Q1191="No","Duplicate of an earlier response",IF(L1191="Not on SITES","Site not on SITES",IF(N(G1191)&gt;N(F1191),"Present is more than enrolled",IF(OR(I1191&lt;1,I1191&gt;5),"Score outside 1 to 5","")))))</f>
        <v/>
      </c>
    </row>
    <row r="1192" customFormat="false" ht="15" hidden="false" customHeight="false" outlineLevel="0" collapsed="false">
      <c r="A1192" s="52"/>
      <c r="B1192" s="53"/>
      <c r="C1192" s="53"/>
      <c r="D1192" s="53"/>
      <c r="E1192" s="54"/>
      <c r="F1192" s="55"/>
      <c r="G1192" s="55"/>
      <c r="H1192" s="55"/>
      <c r="I1192" s="56"/>
      <c r="J1192" s="53"/>
      <c r="K1192" s="53"/>
      <c r="L1192" s="57" t="str">
        <f aca="false">IF(C1192="","",IFERROR(INDEX(site_ID,MATCH(C1192,site_Name,0)),"Not on SITES"))</f>
        <v/>
      </c>
      <c r="M1192" s="58" t="str">
        <f aca="false">IF(E1192="","",DATE(YEAR(E1192),MONTH(E1192),1))</f>
        <v/>
      </c>
      <c r="N1192" s="57" t="str">
        <f aca="false">IF(E1192="","","FY"&amp;(YEAR(E1192)+IF(AND(FYStart&gt;1,MONTH(E1192)&gt;=FYStart),1,0))&amp;" Q"&amp;(INT(MOD(MONTH(E1192)-FYStart,12)/3)+1))</f>
        <v/>
      </c>
      <c r="O1192" s="59" t="str">
        <f aca="false">IF(OR(E1192="",N(F1192)=0),"",G1192/F1192)</f>
        <v/>
      </c>
      <c r="P1192" s="60" t="str">
        <f aca="false">IF(E1192="","",ROUND(N(G1192)*N(H1192)/60,1))</f>
        <v/>
      </c>
      <c r="Q1192" s="57" t="str">
        <f aca="false">IF(E1192="","",IF(COUNTIFS($C$2:C1192,C1192,$E$2:E1192,E1192,$B$2:B1192,B1192)&gt;1,"No","Yes"))</f>
        <v/>
      </c>
      <c r="R1192" s="61" t="str">
        <f aca="false">IF(E1192="","",IF(Q1192="No","Duplicate of an earlier response",IF(L1192="Not on SITES","Site not on SITES",IF(N(G1192)&gt;N(F1192),"Present is more than enrolled",IF(OR(I1192&lt;1,I1192&gt;5),"Score outside 1 to 5","")))))</f>
        <v/>
      </c>
    </row>
    <row r="1193" customFormat="false" ht="15" hidden="false" customHeight="false" outlineLevel="0" collapsed="false">
      <c r="A1193" s="52"/>
      <c r="B1193" s="53"/>
      <c r="C1193" s="53"/>
      <c r="D1193" s="53"/>
      <c r="E1193" s="54"/>
      <c r="F1193" s="55"/>
      <c r="G1193" s="55"/>
      <c r="H1193" s="55"/>
      <c r="I1193" s="56"/>
      <c r="J1193" s="53"/>
      <c r="K1193" s="53"/>
      <c r="L1193" s="57" t="str">
        <f aca="false">IF(C1193="","",IFERROR(INDEX(site_ID,MATCH(C1193,site_Name,0)),"Not on SITES"))</f>
        <v/>
      </c>
      <c r="M1193" s="58" t="str">
        <f aca="false">IF(E1193="","",DATE(YEAR(E1193),MONTH(E1193),1))</f>
        <v/>
      </c>
      <c r="N1193" s="57" t="str">
        <f aca="false">IF(E1193="","","FY"&amp;(YEAR(E1193)+IF(AND(FYStart&gt;1,MONTH(E1193)&gt;=FYStart),1,0))&amp;" Q"&amp;(INT(MOD(MONTH(E1193)-FYStart,12)/3)+1))</f>
        <v/>
      </c>
      <c r="O1193" s="59" t="str">
        <f aca="false">IF(OR(E1193="",N(F1193)=0),"",G1193/F1193)</f>
        <v/>
      </c>
      <c r="P1193" s="60" t="str">
        <f aca="false">IF(E1193="","",ROUND(N(G1193)*N(H1193)/60,1))</f>
        <v/>
      </c>
      <c r="Q1193" s="57" t="str">
        <f aca="false">IF(E1193="","",IF(COUNTIFS($C$2:C1193,C1193,$E$2:E1193,E1193,$B$2:B1193,B1193)&gt;1,"No","Yes"))</f>
        <v/>
      </c>
      <c r="R1193" s="61" t="str">
        <f aca="false">IF(E1193="","",IF(Q1193="No","Duplicate of an earlier response",IF(L1193="Not on SITES","Site not on SITES",IF(N(G1193)&gt;N(F1193),"Present is more than enrolled",IF(OR(I1193&lt;1,I1193&gt;5),"Score outside 1 to 5","")))))</f>
        <v/>
      </c>
    </row>
    <row r="1194" customFormat="false" ht="15" hidden="false" customHeight="false" outlineLevel="0" collapsed="false">
      <c r="A1194" s="52"/>
      <c r="B1194" s="53"/>
      <c r="C1194" s="53"/>
      <c r="D1194" s="53"/>
      <c r="E1194" s="54"/>
      <c r="F1194" s="55"/>
      <c r="G1194" s="55"/>
      <c r="H1194" s="55"/>
      <c r="I1194" s="56"/>
      <c r="J1194" s="53"/>
      <c r="K1194" s="53"/>
      <c r="L1194" s="57" t="str">
        <f aca="false">IF(C1194="","",IFERROR(INDEX(site_ID,MATCH(C1194,site_Name,0)),"Not on SITES"))</f>
        <v/>
      </c>
      <c r="M1194" s="58" t="str">
        <f aca="false">IF(E1194="","",DATE(YEAR(E1194),MONTH(E1194),1))</f>
        <v/>
      </c>
      <c r="N1194" s="57" t="str">
        <f aca="false">IF(E1194="","","FY"&amp;(YEAR(E1194)+IF(AND(FYStart&gt;1,MONTH(E1194)&gt;=FYStart),1,0))&amp;" Q"&amp;(INT(MOD(MONTH(E1194)-FYStart,12)/3)+1))</f>
        <v/>
      </c>
      <c r="O1194" s="59" t="str">
        <f aca="false">IF(OR(E1194="",N(F1194)=0),"",G1194/F1194)</f>
        <v/>
      </c>
      <c r="P1194" s="60" t="str">
        <f aca="false">IF(E1194="","",ROUND(N(G1194)*N(H1194)/60,1))</f>
        <v/>
      </c>
      <c r="Q1194" s="57" t="str">
        <f aca="false">IF(E1194="","",IF(COUNTIFS($C$2:C1194,C1194,$E$2:E1194,E1194,$B$2:B1194,B1194)&gt;1,"No","Yes"))</f>
        <v/>
      </c>
      <c r="R1194" s="61" t="str">
        <f aca="false">IF(E1194="","",IF(Q1194="No","Duplicate of an earlier response",IF(L1194="Not on SITES","Site not on SITES",IF(N(G1194)&gt;N(F1194),"Present is more than enrolled",IF(OR(I1194&lt;1,I1194&gt;5),"Score outside 1 to 5","")))))</f>
        <v/>
      </c>
    </row>
    <row r="1195" customFormat="false" ht="15" hidden="false" customHeight="false" outlineLevel="0" collapsed="false">
      <c r="A1195" s="52"/>
      <c r="B1195" s="53"/>
      <c r="C1195" s="53"/>
      <c r="D1195" s="53"/>
      <c r="E1195" s="54"/>
      <c r="F1195" s="55"/>
      <c r="G1195" s="55"/>
      <c r="H1195" s="55"/>
      <c r="I1195" s="56"/>
      <c r="J1195" s="53"/>
      <c r="K1195" s="53"/>
      <c r="L1195" s="57" t="str">
        <f aca="false">IF(C1195="","",IFERROR(INDEX(site_ID,MATCH(C1195,site_Name,0)),"Not on SITES"))</f>
        <v/>
      </c>
      <c r="M1195" s="58" t="str">
        <f aca="false">IF(E1195="","",DATE(YEAR(E1195),MONTH(E1195),1))</f>
        <v/>
      </c>
      <c r="N1195" s="57" t="str">
        <f aca="false">IF(E1195="","","FY"&amp;(YEAR(E1195)+IF(AND(FYStart&gt;1,MONTH(E1195)&gt;=FYStart),1,0))&amp;" Q"&amp;(INT(MOD(MONTH(E1195)-FYStart,12)/3)+1))</f>
        <v/>
      </c>
      <c r="O1195" s="59" t="str">
        <f aca="false">IF(OR(E1195="",N(F1195)=0),"",G1195/F1195)</f>
        <v/>
      </c>
      <c r="P1195" s="60" t="str">
        <f aca="false">IF(E1195="","",ROUND(N(G1195)*N(H1195)/60,1))</f>
        <v/>
      </c>
      <c r="Q1195" s="57" t="str">
        <f aca="false">IF(E1195="","",IF(COUNTIFS($C$2:C1195,C1195,$E$2:E1195,E1195,$B$2:B1195,B1195)&gt;1,"No","Yes"))</f>
        <v/>
      </c>
      <c r="R1195" s="61" t="str">
        <f aca="false">IF(E1195="","",IF(Q1195="No","Duplicate of an earlier response",IF(L1195="Not on SITES","Site not on SITES",IF(N(G1195)&gt;N(F1195),"Present is more than enrolled",IF(OR(I1195&lt;1,I1195&gt;5),"Score outside 1 to 5","")))))</f>
        <v/>
      </c>
    </row>
    <row r="1196" customFormat="false" ht="15" hidden="false" customHeight="false" outlineLevel="0" collapsed="false">
      <c r="A1196" s="52"/>
      <c r="B1196" s="53"/>
      <c r="C1196" s="53"/>
      <c r="D1196" s="53"/>
      <c r="E1196" s="54"/>
      <c r="F1196" s="55"/>
      <c r="G1196" s="55"/>
      <c r="H1196" s="55"/>
      <c r="I1196" s="56"/>
      <c r="J1196" s="53"/>
      <c r="K1196" s="53"/>
      <c r="L1196" s="57" t="str">
        <f aca="false">IF(C1196="","",IFERROR(INDEX(site_ID,MATCH(C1196,site_Name,0)),"Not on SITES"))</f>
        <v/>
      </c>
      <c r="M1196" s="58" t="str">
        <f aca="false">IF(E1196="","",DATE(YEAR(E1196),MONTH(E1196),1))</f>
        <v/>
      </c>
      <c r="N1196" s="57" t="str">
        <f aca="false">IF(E1196="","","FY"&amp;(YEAR(E1196)+IF(AND(FYStart&gt;1,MONTH(E1196)&gt;=FYStart),1,0))&amp;" Q"&amp;(INT(MOD(MONTH(E1196)-FYStart,12)/3)+1))</f>
        <v/>
      </c>
      <c r="O1196" s="59" t="str">
        <f aca="false">IF(OR(E1196="",N(F1196)=0),"",G1196/F1196)</f>
        <v/>
      </c>
      <c r="P1196" s="60" t="str">
        <f aca="false">IF(E1196="","",ROUND(N(G1196)*N(H1196)/60,1))</f>
        <v/>
      </c>
      <c r="Q1196" s="57" t="str">
        <f aca="false">IF(E1196="","",IF(COUNTIFS($C$2:C1196,C1196,$E$2:E1196,E1196,$B$2:B1196,B1196)&gt;1,"No","Yes"))</f>
        <v/>
      </c>
      <c r="R1196" s="61" t="str">
        <f aca="false">IF(E1196="","",IF(Q1196="No","Duplicate of an earlier response",IF(L1196="Not on SITES","Site not on SITES",IF(N(G1196)&gt;N(F1196),"Present is more than enrolled",IF(OR(I1196&lt;1,I1196&gt;5),"Score outside 1 to 5","")))))</f>
        <v/>
      </c>
    </row>
    <row r="1197" customFormat="false" ht="15" hidden="false" customHeight="false" outlineLevel="0" collapsed="false">
      <c r="A1197" s="52"/>
      <c r="B1197" s="53"/>
      <c r="C1197" s="53"/>
      <c r="D1197" s="53"/>
      <c r="E1197" s="54"/>
      <c r="F1197" s="55"/>
      <c r="G1197" s="55"/>
      <c r="H1197" s="55"/>
      <c r="I1197" s="56"/>
      <c r="J1197" s="53"/>
      <c r="K1197" s="53"/>
      <c r="L1197" s="57" t="str">
        <f aca="false">IF(C1197="","",IFERROR(INDEX(site_ID,MATCH(C1197,site_Name,0)),"Not on SITES"))</f>
        <v/>
      </c>
      <c r="M1197" s="58" t="str">
        <f aca="false">IF(E1197="","",DATE(YEAR(E1197),MONTH(E1197),1))</f>
        <v/>
      </c>
      <c r="N1197" s="57" t="str">
        <f aca="false">IF(E1197="","","FY"&amp;(YEAR(E1197)+IF(AND(FYStart&gt;1,MONTH(E1197)&gt;=FYStart),1,0))&amp;" Q"&amp;(INT(MOD(MONTH(E1197)-FYStart,12)/3)+1))</f>
        <v/>
      </c>
      <c r="O1197" s="59" t="str">
        <f aca="false">IF(OR(E1197="",N(F1197)=0),"",G1197/F1197)</f>
        <v/>
      </c>
      <c r="P1197" s="60" t="str">
        <f aca="false">IF(E1197="","",ROUND(N(G1197)*N(H1197)/60,1))</f>
        <v/>
      </c>
      <c r="Q1197" s="57" t="str">
        <f aca="false">IF(E1197="","",IF(COUNTIFS($C$2:C1197,C1197,$E$2:E1197,E1197,$B$2:B1197,B1197)&gt;1,"No","Yes"))</f>
        <v/>
      </c>
      <c r="R1197" s="61" t="str">
        <f aca="false">IF(E1197="","",IF(Q1197="No","Duplicate of an earlier response",IF(L1197="Not on SITES","Site not on SITES",IF(N(G1197)&gt;N(F1197),"Present is more than enrolled",IF(OR(I1197&lt;1,I1197&gt;5),"Score outside 1 to 5","")))))</f>
        <v/>
      </c>
    </row>
    <row r="1198" customFormat="false" ht="15" hidden="false" customHeight="false" outlineLevel="0" collapsed="false">
      <c r="A1198" s="52"/>
      <c r="B1198" s="53"/>
      <c r="C1198" s="53"/>
      <c r="D1198" s="53"/>
      <c r="E1198" s="54"/>
      <c r="F1198" s="55"/>
      <c r="G1198" s="55"/>
      <c r="H1198" s="55"/>
      <c r="I1198" s="56"/>
      <c r="J1198" s="53"/>
      <c r="K1198" s="53"/>
      <c r="L1198" s="57" t="str">
        <f aca="false">IF(C1198="","",IFERROR(INDEX(site_ID,MATCH(C1198,site_Name,0)),"Not on SITES"))</f>
        <v/>
      </c>
      <c r="M1198" s="58" t="str">
        <f aca="false">IF(E1198="","",DATE(YEAR(E1198),MONTH(E1198),1))</f>
        <v/>
      </c>
      <c r="N1198" s="57" t="str">
        <f aca="false">IF(E1198="","","FY"&amp;(YEAR(E1198)+IF(AND(FYStart&gt;1,MONTH(E1198)&gt;=FYStart),1,0))&amp;" Q"&amp;(INT(MOD(MONTH(E1198)-FYStart,12)/3)+1))</f>
        <v/>
      </c>
      <c r="O1198" s="59" t="str">
        <f aca="false">IF(OR(E1198="",N(F1198)=0),"",G1198/F1198)</f>
        <v/>
      </c>
      <c r="P1198" s="60" t="str">
        <f aca="false">IF(E1198="","",ROUND(N(G1198)*N(H1198)/60,1))</f>
        <v/>
      </c>
      <c r="Q1198" s="57" t="str">
        <f aca="false">IF(E1198="","",IF(COUNTIFS($C$2:C1198,C1198,$E$2:E1198,E1198,$B$2:B1198,B1198)&gt;1,"No","Yes"))</f>
        <v/>
      </c>
      <c r="R1198" s="61" t="str">
        <f aca="false">IF(E1198="","",IF(Q1198="No","Duplicate of an earlier response",IF(L1198="Not on SITES","Site not on SITES",IF(N(G1198)&gt;N(F1198),"Present is more than enrolled",IF(OR(I1198&lt;1,I1198&gt;5),"Score outside 1 to 5","")))))</f>
        <v/>
      </c>
    </row>
    <row r="1199" customFormat="false" ht="15" hidden="false" customHeight="false" outlineLevel="0" collapsed="false">
      <c r="A1199" s="52"/>
      <c r="B1199" s="53"/>
      <c r="C1199" s="53"/>
      <c r="D1199" s="53"/>
      <c r="E1199" s="54"/>
      <c r="F1199" s="55"/>
      <c r="G1199" s="55"/>
      <c r="H1199" s="55"/>
      <c r="I1199" s="56"/>
      <c r="J1199" s="53"/>
      <c r="K1199" s="53"/>
      <c r="L1199" s="57" t="str">
        <f aca="false">IF(C1199="","",IFERROR(INDEX(site_ID,MATCH(C1199,site_Name,0)),"Not on SITES"))</f>
        <v/>
      </c>
      <c r="M1199" s="58" t="str">
        <f aca="false">IF(E1199="","",DATE(YEAR(E1199),MONTH(E1199),1))</f>
        <v/>
      </c>
      <c r="N1199" s="57" t="str">
        <f aca="false">IF(E1199="","","FY"&amp;(YEAR(E1199)+IF(AND(FYStart&gt;1,MONTH(E1199)&gt;=FYStart),1,0))&amp;" Q"&amp;(INT(MOD(MONTH(E1199)-FYStart,12)/3)+1))</f>
        <v/>
      </c>
      <c r="O1199" s="59" t="str">
        <f aca="false">IF(OR(E1199="",N(F1199)=0),"",G1199/F1199)</f>
        <v/>
      </c>
      <c r="P1199" s="60" t="str">
        <f aca="false">IF(E1199="","",ROUND(N(G1199)*N(H1199)/60,1))</f>
        <v/>
      </c>
      <c r="Q1199" s="57" t="str">
        <f aca="false">IF(E1199="","",IF(COUNTIFS($C$2:C1199,C1199,$E$2:E1199,E1199,$B$2:B1199,B1199)&gt;1,"No","Yes"))</f>
        <v/>
      </c>
      <c r="R1199" s="61" t="str">
        <f aca="false">IF(E1199="","",IF(Q1199="No","Duplicate of an earlier response",IF(L1199="Not on SITES","Site not on SITES",IF(N(G1199)&gt;N(F1199),"Present is more than enrolled",IF(OR(I1199&lt;1,I1199&gt;5),"Score outside 1 to 5","")))))</f>
        <v/>
      </c>
    </row>
    <row r="1200" customFormat="false" ht="15" hidden="false" customHeight="false" outlineLevel="0" collapsed="false">
      <c r="A1200" s="52"/>
      <c r="B1200" s="53"/>
      <c r="C1200" s="53"/>
      <c r="D1200" s="53"/>
      <c r="E1200" s="54"/>
      <c r="F1200" s="55"/>
      <c r="G1200" s="55"/>
      <c r="H1200" s="55"/>
      <c r="I1200" s="56"/>
      <c r="J1200" s="53"/>
      <c r="K1200" s="53"/>
      <c r="L1200" s="57" t="str">
        <f aca="false">IF(C1200="","",IFERROR(INDEX(site_ID,MATCH(C1200,site_Name,0)),"Not on SITES"))</f>
        <v/>
      </c>
      <c r="M1200" s="58" t="str">
        <f aca="false">IF(E1200="","",DATE(YEAR(E1200),MONTH(E1200),1))</f>
        <v/>
      </c>
      <c r="N1200" s="57" t="str">
        <f aca="false">IF(E1200="","","FY"&amp;(YEAR(E1200)+IF(AND(FYStart&gt;1,MONTH(E1200)&gt;=FYStart),1,0))&amp;" Q"&amp;(INT(MOD(MONTH(E1200)-FYStart,12)/3)+1))</f>
        <v/>
      </c>
      <c r="O1200" s="59" t="str">
        <f aca="false">IF(OR(E1200="",N(F1200)=0),"",G1200/F1200)</f>
        <v/>
      </c>
      <c r="P1200" s="60" t="str">
        <f aca="false">IF(E1200="","",ROUND(N(G1200)*N(H1200)/60,1))</f>
        <v/>
      </c>
      <c r="Q1200" s="57" t="str">
        <f aca="false">IF(E1200="","",IF(COUNTIFS($C$2:C1200,C1200,$E$2:E1200,E1200,$B$2:B1200,B1200)&gt;1,"No","Yes"))</f>
        <v/>
      </c>
      <c r="R1200" s="61" t="str">
        <f aca="false">IF(E1200="","",IF(Q1200="No","Duplicate of an earlier response",IF(L1200="Not on SITES","Site not on SITES",IF(N(G1200)&gt;N(F1200),"Present is more than enrolled",IF(OR(I1200&lt;1,I1200&gt;5),"Score outside 1 to 5","")))))</f>
        <v/>
      </c>
    </row>
    <row r="1201" customFormat="false" ht="15" hidden="false" customHeight="false" outlineLevel="0" collapsed="false">
      <c r="A1201" s="52"/>
      <c r="B1201" s="53"/>
      <c r="C1201" s="53"/>
      <c r="D1201" s="53"/>
      <c r="E1201" s="54"/>
      <c r="F1201" s="55"/>
      <c r="G1201" s="55"/>
      <c r="H1201" s="55"/>
      <c r="I1201" s="56"/>
      <c r="J1201" s="53"/>
      <c r="K1201" s="53"/>
      <c r="L1201" s="57" t="str">
        <f aca="false">IF(C1201="","",IFERROR(INDEX(site_ID,MATCH(C1201,site_Name,0)),"Not on SITES"))</f>
        <v/>
      </c>
      <c r="M1201" s="58" t="str">
        <f aca="false">IF(E1201="","",DATE(YEAR(E1201),MONTH(E1201),1))</f>
        <v/>
      </c>
      <c r="N1201" s="57" t="str">
        <f aca="false">IF(E1201="","","FY"&amp;(YEAR(E1201)+IF(AND(FYStart&gt;1,MONTH(E1201)&gt;=FYStart),1,0))&amp;" Q"&amp;(INT(MOD(MONTH(E1201)-FYStart,12)/3)+1))</f>
        <v/>
      </c>
      <c r="O1201" s="59" t="str">
        <f aca="false">IF(OR(E1201="",N(F1201)=0),"",G1201/F1201)</f>
        <v/>
      </c>
      <c r="P1201" s="60" t="str">
        <f aca="false">IF(E1201="","",ROUND(N(G1201)*N(H1201)/60,1))</f>
        <v/>
      </c>
      <c r="Q1201" s="57" t="str">
        <f aca="false">IF(E1201="","",IF(COUNTIFS($C$2:C1201,C1201,$E$2:E1201,E1201,$B$2:B1201,B1201)&gt;1,"No","Yes"))</f>
        <v/>
      </c>
      <c r="R1201" s="61" t="str">
        <f aca="false">IF(E1201="","",IF(Q1201="No","Duplicate of an earlier response",IF(L1201="Not on SITES","Site not on SITES",IF(N(G1201)&gt;N(F1201),"Present is more than enrolled",IF(OR(I1201&lt;1,I1201&gt;5),"Score outside 1 to 5","")))))</f>
        <v/>
      </c>
    </row>
    <row r="1202" customFormat="false" ht="15" hidden="false" customHeight="false" outlineLevel="0" collapsed="false">
      <c r="A1202" s="52"/>
      <c r="B1202" s="53"/>
      <c r="C1202" s="53"/>
      <c r="D1202" s="53"/>
      <c r="E1202" s="54"/>
      <c r="F1202" s="55"/>
      <c r="G1202" s="55"/>
      <c r="H1202" s="55"/>
      <c r="I1202" s="56"/>
      <c r="J1202" s="53"/>
      <c r="K1202" s="53"/>
      <c r="L1202" s="57" t="str">
        <f aca="false">IF(C1202="","",IFERROR(INDEX(site_ID,MATCH(C1202,site_Name,0)),"Not on SITES"))</f>
        <v/>
      </c>
      <c r="M1202" s="58" t="str">
        <f aca="false">IF(E1202="","",DATE(YEAR(E1202),MONTH(E1202),1))</f>
        <v/>
      </c>
      <c r="N1202" s="57" t="str">
        <f aca="false">IF(E1202="","","FY"&amp;(YEAR(E1202)+IF(AND(FYStart&gt;1,MONTH(E1202)&gt;=FYStart),1,0))&amp;" Q"&amp;(INT(MOD(MONTH(E1202)-FYStart,12)/3)+1))</f>
        <v/>
      </c>
      <c r="O1202" s="59" t="str">
        <f aca="false">IF(OR(E1202="",N(F1202)=0),"",G1202/F1202)</f>
        <v/>
      </c>
      <c r="P1202" s="60" t="str">
        <f aca="false">IF(E1202="","",ROUND(N(G1202)*N(H1202)/60,1))</f>
        <v/>
      </c>
      <c r="Q1202" s="57" t="str">
        <f aca="false">IF(E1202="","",IF(COUNTIFS($C$2:C1202,C1202,$E$2:E1202,E1202,$B$2:B1202,B1202)&gt;1,"No","Yes"))</f>
        <v/>
      </c>
      <c r="R1202" s="61" t="str">
        <f aca="false">IF(E1202="","",IF(Q1202="No","Duplicate of an earlier response",IF(L1202="Not on SITES","Site not on SITES",IF(N(G1202)&gt;N(F1202),"Present is more than enrolled",IF(OR(I1202&lt;1,I1202&gt;5),"Score outside 1 to 5","")))))</f>
        <v/>
      </c>
    </row>
    <row r="1203" customFormat="false" ht="15" hidden="false" customHeight="false" outlineLevel="0" collapsed="false">
      <c r="A1203" s="52"/>
      <c r="B1203" s="53"/>
      <c r="C1203" s="53"/>
      <c r="D1203" s="53"/>
      <c r="E1203" s="54"/>
      <c r="F1203" s="55"/>
      <c r="G1203" s="55"/>
      <c r="H1203" s="55"/>
      <c r="I1203" s="56"/>
      <c r="J1203" s="53"/>
      <c r="K1203" s="53"/>
      <c r="L1203" s="57" t="str">
        <f aca="false">IF(C1203="","",IFERROR(INDEX(site_ID,MATCH(C1203,site_Name,0)),"Not on SITES"))</f>
        <v/>
      </c>
      <c r="M1203" s="58" t="str">
        <f aca="false">IF(E1203="","",DATE(YEAR(E1203),MONTH(E1203),1))</f>
        <v/>
      </c>
      <c r="N1203" s="57" t="str">
        <f aca="false">IF(E1203="","","FY"&amp;(YEAR(E1203)+IF(AND(FYStart&gt;1,MONTH(E1203)&gt;=FYStart),1,0))&amp;" Q"&amp;(INT(MOD(MONTH(E1203)-FYStart,12)/3)+1))</f>
        <v/>
      </c>
      <c r="O1203" s="59" t="str">
        <f aca="false">IF(OR(E1203="",N(F1203)=0),"",G1203/F1203)</f>
        <v/>
      </c>
      <c r="P1203" s="60" t="str">
        <f aca="false">IF(E1203="","",ROUND(N(G1203)*N(H1203)/60,1))</f>
        <v/>
      </c>
      <c r="Q1203" s="57" t="str">
        <f aca="false">IF(E1203="","",IF(COUNTIFS($C$2:C1203,C1203,$E$2:E1203,E1203,$B$2:B1203,B1203)&gt;1,"No","Yes"))</f>
        <v/>
      </c>
      <c r="R1203" s="61" t="str">
        <f aca="false">IF(E1203="","",IF(Q1203="No","Duplicate of an earlier response",IF(L1203="Not on SITES","Site not on SITES",IF(N(G1203)&gt;N(F1203),"Present is more than enrolled",IF(OR(I1203&lt;1,I1203&gt;5),"Score outside 1 to 5","")))))</f>
        <v/>
      </c>
    </row>
    <row r="1204" customFormat="false" ht="15" hidden="false" customHeight="false" outlineLevel="0" collapsed="false">
      <c r="A1204" s="52"/>
      <c r="B1204" s="53"/>
      <c r="C1204" s="53"/>
      <c r="D1204" s="53"/>
      <c r="E1204" s="54"/>
      <c r="F1204" s="55"/>
      <c r="G1204" s="55"/>
      <c r="H1204" s="55"/>
      <c r="I1204" s="56"/>
      <c r="J1204" s="53"/>
      <c r="K1204" s="53"/>
      <c r="L1204" s="57" t="str">
        <f aca="false">IF(C1204="","",IFERROR(INDEX(site_ID,MATCH(C1204,site_Name,0)),"Not on SITES"))</f>
        <v/>
      </c>
      <c r="M1204" s="58" t="str">
        <f aca="false">IF(E1204="","",DATE(YEAR(E1204),MONTH(E1204),1))</f>
        <v/>
      </c>
      <c r="N1204" s="57" t="str">
        <f aca="false">IF(E1204="","","FY"&amp;(YEAR(E1204)+IF(AND(FYStart&gt;1,MONTH(E1204)&gt;=FYStart),1,0))&amp;" Q"&amp;(INT(MOD(MONTH(E1204)-FYStart,12)/3)+1))</f>
        <v/>
      </c>
      <c r="O1204" s="59" t="str">
        <f aca="false">IF(OR(E1204="",N(F1204)=0),"",G1204/F1204)</f>
        <v/>
      </c>
      <c r="P1204" s="60" t="str">
        <f aca="false">IF(E1204="","",ROUND(N(G1204)*N(H1204)/60,1))</f>
        <v/>
      </c>
      <c r="Q1204" s="57" t="str">
        <f aca="false">IF(E1204="","",IF(COUNTIFS($C$2:C1204,C1204,$E$2:E1204,E1204,$B$2:B1204,B1204)&gt;1,"No","Yes"))</f>
        <v/>
      </c>
      <c r="R1204" s="61" t="str">
        <f aca="false">IF(E1204="","",IF(Q1204="No","Duplicate of an earlier response",IF(L1204="Not on SITES","Site not on SITES",IF(N(G1204)&gt;N(F1204),"Present is more than enrolled",IF(OR(I1204&lt;1,I1204&gt;5),"Score outside 1 to 5","")))))</f>
        <v/>
      </c>
    </row>
    <row r="1205" customFormat="false" ht="15" hidden="false" customHeight="false" outlineLevel="0" collapsed="false">
      <c r="A1205" s="52"/>
      <c r="B1205" s="53"/>
      <c r="C1205" s="53"/>
      <c r="D1205" s="53"/>
      <c r="E1205" s="54"/>
      <c r="F1205" s="55"/>
      <c r="G1205" s="55"/>
      <c r="H1205" s="55"/>
      <c r="I1205" s="56"/>
      <c r="J1205" s="53"/>
      <c r="K1205" s="53"/>
      <c r="L1205" s="57" t="str">
        <f aca="false">IF(C1205="","",IFERROR(INDEX(site_ID,MATCH(C1205,site_Name,0)),"Not on SITES"))</f>
        <v/>
      </c>
      <c r="M1205" s="58" t="str">
        <f aca="false">IF(E1205="","",DATE(YEAR(E1205),MONTH(E1205),1))</f>
        <v/>
      </c>
      <c r="N1205" s="57" t="str">
        <f aca="false">IF(E1205="","","FY"&amp;(YEAR(E1205)+IF(AND(FYStart&gt;1,MONTH(E1205)&gt;=FYStart),1,0))&amp;" Q"&amp;(INT(MOD(MONTH(E1205)-FYStart,12)/3)+1))</f>
        <v/>
      </c>
      <c r="O1205" s="59" t="str">
        <f aca="false">IF(OR(E1205="",N(F1205)=0),"",G1205/F1205)</f>
        <v/>
      </c>
      <c r="P1205" s="60" t="str">
        <f aca="false">IF(E1205="","",ROUND(N(G1205)*N(H1205)/60,1))</f>
        <v/>
      </c>
      <c r="Q1205" s="57" t="str">
        <f aca="false">IF(E1205="","",IF(COUNTIFS($C$2:C1205,C1205,$E$2:E1205,E1205,$B$2:B1205,B1205)&gt;1,"No","Yes"))</f>
        <v/>
      </c>
      <c r="R1205" s="61" t="str">
        <f aca="false">IF(E1205="","",IF(Q1205="No","Duplicate of an earlier response",IF(L1205="Not on SITES","Site not on SITES",IF(N(G1205)&gt;N(F1205),"Present is more than enrolled",IF(OR(I1205&lt;1,I1205&gt;5),"Score outside 1 to 5","")))))</f>
        <v/>
      </c>
    </row>
    <row r="1206" customFormat="false" ht="15" hidden="false" customHeight="false" outlineLevel="0" collapsed="false">
      <c r="A1206" s="52"/>
      <c r="B1206" s="53"/>
      <c r="C1206" s="53"/>
      <c r="D1206" s="53"/>
      <c r="E1206" s="54"/>
      <c r="F1206" s="55"/>
      <c r="G1206" s="55"/>
      <c r="H1206" s="55"/>
      <c r="I1206" s="56"/>
      <c r="J1206" s="53"/>
      <c r="K1206" s="53"/>
      <c r="L1206" s="57" t="str">
        <f aca="false">IF(C1206="","",IFERROR(INDEX(site_ID,MATCH(C1206,site_Name,0)),"Not on SITES"))</f>
        <v/>
      </c>
      <c r="M1206" s="58" t="str">
        <f aca="false">IF(E1206="","",DATE(YEAR(E1206),MONTH(E1206),1))</f>
        <v/>
      </c>
      <c r="N1206" s="57" t="str">
        <f aca="false">IF(E1206="","","FY"&amp;(YEAR(E1206)+IF(AND(FYStart&gt;1,MONTH(E1206)&gt;=FYStart),1,0))&amp;" Q"&amp;(INT(MOD(MONTH(E1206)-FYStart,12)/3)+1))</f>
        <v/>
      </c>
      <c r="O1206" s="59" t="str">
        <f aca="false">IF(OR(E1206="",N(F1206)=0),"",G1206/F1206)</f>
        <v/>
      </c>
      <c r="P1206" s="60" t="str">
        <f aca="false">IF(E1206="","",ROUND(N(G1206)*N(H1206)/60,1))</f>
        <v/>
      </c>
      <c r="Q1206" s="57" t="str">
        <f aca="false">IF(E1206="","",IF(COUNTIFS($C$2:C1206,C1206,$E$2:E1206,E1206,$B$2:B1206,B1206)&gt;1,"No","Yes"))</f>
        <v/>
      </c>
      <c r="R1206" s="61" t="str">
        <f aca="false">IF(E1206="","",IF(Q1206="No","Duplicate of an earlier response",IF(L1206="Not on SITES","Site not on SITES",IF(N(G1206)&gt;N(F1206),"Present is more than enrolled",IF(OR(I1206&lt;1,I1206&gt;5),"Score outside 1 to 5","")))))</f>
        <v/>
      </c>
    </row>
    <row r="1207" customFormat="false" ht="15" hidden="false" customHeight="false" outlineLevel="0" collapsed="false">
      <c r="A1207" s="52"/>
      <c r="B1207" s="53"/>
      <c r="C1207" s="53"/>
      <c r="D1207" s="53"/>
      <c r="E1207" s="54"/>
      <c r="F1207" s="55"/>
      <c r="G1207" s="55"/>
      <c r="H1207" s="55"/>
      <c r="I1207" s="56"/>
      <c r="J1207" s="53"/>
      <c r="K1207" s="53"/>
      <c r="L1207" s="57" t="str">
        <f aca="false">IF(C1207="","",IFERROR(INDEX(site_ID,MATCH(C1207,site_Name,0)),"Not on SITES"))</f>
        <v/>
      </c>
      <c r="M1207" s="58" t="str">
        <f aca="false">IF(E1207="","",DATE(YEAR(E1207),MONTH(E1207),1))</f>
        <v/>
      </c>
      <c r="N1207" s="57" t="str">
        <f aca="false">IF(E1207="","","FY"&amp;(YEAR(E1207)+IF(AND(FYStart&gt;1,MONTH(E1207)&gt;=FYStart),1,0))&amp;" Q"&amp;(INT(MOD(MONTH(E1207)-FYStart,12)/3)+1))</f>
        <v/>
      </c>
      <c r="O1207" s="59" t="str">
        <f aca="false">IF(OR(E1207="",N(F1207)=0),"",G1207/F1207)</f>
        <v/>
      </c>
      <c r="P1207" s="60" t="str">
        <f aca="false">IF(E1207="","",ROUND(N(G1207)*N(H1207)/60,1))</f>
        <v/>
      </c>
      <c r="Q1207" s="57" t="str">
        <f aca="false">IF(E1207="","",IF(COUNTIFS($C$2:C1207,C1207,$E$2:E1207,E1207,$B$2:B1207,B1207)&gt;1,"No","Yes"))</f>
        <v/>
      </c>
      <c r="R1207" s="61" t="str">
        <f aca="false">IF(E1207="","",IF(Q1207="No","Duplicate of an earlier response",IF(L1207="Not on SITES","Site not on SITES",IF(N(G1207)&gt;N(F1207),"Present is more than enrolled",IF(OR(I1207&lt;1,I1207&gt;5),"Score outside 1 to 5","")))))</f>
        <v/>
      </c>
    </row>
    <row r="1208" customFormat="false" ht="15" hidden="false" customHeight="false" outlineLevel="0" collapsed="false">
      <c r="A1208" s="52"/>
      <c r="B1208" s="53"/>
      <c r="C1208" s="53"/>
      <c r="D1208" s="53"/>
      <c r="E1208" s="54"/>
      <c r="F1208" s="55"/>
      <c r="G1208" s="55"/>
      <c r="H1208" s="55"/>
      <c r="I1208" s="56"/>
      <c r="J1208" s="53"/>
      <c r="K1208" s="53"/>
      <c r="L1208" s="57" t="str">
        <f aca="false">IF(C1208="","",IFERROR(INDEX(site_ID,MATCH(C1208,site_Name,0)),"Not on SITES"))</f>
        <v/>
      </c>
      <c r="M1208" s="58" t="str">
        <f aca="false">IF(E1208="","",DATE(YEAR(E1208),MONTH(E1208),1))</f>
        <v/>
      </c>
      <c r="N1208" s="57" t="str">
        <f aca="false">IF(E1208="","","FY"&amp;(YEAR(E1208)+IF(AND(FYStart&gt;1,MONTH(E1208)&gt;=FYStart),1,0))&amp;" Q"&amp;(INT(MOD(MONTH(E1208)-FYStart,12)/3)+1))</f>
        <v/>
      </c>
      <c r="O1208" s="59" t="str">
        <f aca="false">IF(OR(E1208="",N(F1208)=0),"",G1208/F1208)</f>
        <v/>
      </c>
      <c r="P1208" s="60" t="str">
        <f aca="false">IF(E1208="","",ROUND(N(G1208)*N(H1208)/60,1))</f>
        <v/>
      </c>
      <c r="Q1208" s="57" t="str">
        <f aca="false">IF(E1208="","",IF(COUNTIFS($C$2:C1208,C1208,$E$2:E1208,E1208,$B$2:B1208,B1208)&gt;1,"No","Yes"))</f>
        <v/>
      </c>
      <c r="R1208" s="61" t="str">
        <f aca="false">IF(E1208="","",IF(Q1208="No","Duplicate of an earlier response",IF(L1208="Not on SITES","Site not on SITES",IF(N(G1208)&gt;N(F1208),"Present is more than enrolled",IF(OR(I1208&lt;1,I1208&gt;5),"Score outside 1 to 5","")))))</f>
        <v/>
      </c>
    </row>
    <row r="1209" customFormat="false" ht="15" hidden="false" customHeight="false" outlineLevel="0" collapsed="false">
      <c r="A1209" s="52"/>
      <c r="B1209" s="53"/>
      <c r="C1209" s="53"/>
      <c r="D1209" s="53"/>
      <c r="E1209" s="54"/>
      <c r="F1209" s="55"/>
      <c r="G1209" s="55"/>
      <c r="H1209" s="55"/>
      <c r="I1209" s="56"/>
      <c r="J1209" s="53"/>
      <c r="K1209" s="53"/>
      <c r="L1209" s="57" t="str">
        <f aca="false">IF(C1209="","",IFERROR(INDEX(site_ID,MATCH(C1209,site_Name,0)),"Not on SITES"))</f>
        <v/>
      </c>
      <c r="M1209" s="58" t="str">
        <f aca="false">IF(E1209="","",DATE(YEAR(E1209),MONTH(E1209),1))</f>
        <v/>
      </c>
      <c r="N1209" s="57" t="str">
        <f aca="false">IF(E1209="","","FY"&amp;(YEAR(E1209)+IF(AND(FYStart&gt;1,MONTH(E1209)&gt;=FYStart),1,0))&amp;" Q"&amp;(INT(MOD(MONTH(E1209)-FYStart,12)/3)+1))</f>
        <v/>
      </c>
      <c r="O1209" s="59" t="str">
        <f aca="false">IF(OR(E1209="",N(F1209)=0),"",G1209/F1209)</f>
        <v/>
      </c>
      <c r="P1209" s="60" t="str">
        <f aca="false">IF(E1209="","",ROUND(N(G1209)*N(H1209)/60,1))</f>
        <v/>
      </c>
      <c r="Q1209" s="57" t="str">
        <f aca="false">IF(E1209="","",IF(COUNTIFS($C$2:C1209,C1209,$E$2:E1209,E1209,$B$2:B1209,B1209)&gt;1,"No","Yes"))</f>
        <v/>
      </c>
      <c r="R1209" s="61" t="str">
        <f aca="false">IF(E1209="","",IF(Q1209="No","Duplicate of an earlier response",IF(L1209="Not on SITES","Site not on SITES",IF(N(G1209)&gt;N(F1209),"Present is more than enrolled",IF(OR(I1209&lt;1,I1209&gt;5),"Score outside 1 to 5","")))))</f>
        <v/>
      </c>
    </row>
    <row r="1210" customFormat="false" ht="15" hidden="false" customHeight="false" outlineLevel="0" collapsed="false">
      <c r="A1210" s="52"/>
      <c r="B1210" s="53"/>
      <c r="C1210" s="53"/>
      <c r="D1210" s="53"/>
      <c r="E1210" s="54"/>
      <c r="F1210" s="55"/>
      <c r="G1210" s="55"/>
      <c r="H1210" s="55"/>
      <c r="I1210" s="56"/>
      <c r="J1210" s="53"/>
      <c r="K1210" s="53"/>
      <c r="L1210" s="57" t="str">
        <f aca="false">IF(C1210="","",IFERROR(INDEX(site_ID,MATCH(C1210,site_Name,0)),"Not on SITES"))</f>
        <v/>
      </c>
      <c r="M1210" s="58" t="str">
        <f aca="false">IF(E1210="","",DATE(YEAR(E1210),MONTH(E1210),1))</f>
        <v/>
      </c>
      <c r="N1210" s="57" t="str">
        <f aca="false">IF(E1210="","","FY"&amp;(YEAR(E1210)+IF(AND(FYStart&gt;1,MONTH(E1210)&gt;=FYStart),1,0))&amp;" Q"&amp;(INT(MOD(MONTH(E1210)-FYStart,12)/3)+1))</f>
        <v/>
      </c>
      <c r="O1210" s="59" t="str">
        <f aca="false">IF(OR(E1210="",N(F1210)=0),"",G1210/F1210)</f>
        <v/>
      </c>
      <c r="P1210" s="60" t="str">
        <f aca="false">IF(E1210="","",ROUND(N(G1210)*N(H1210)/60,1))</f>
        <v/>
      </c>
      <c r="Q1210" s="57" t="str">
        <f aca="false">IF(E1210="","",IF(COUNTIFS($C$2:C1210,C1210,$E$2:E1210,E1210,$B$2:B1210,B1210)&gt;1,"No","Yes"))</f>
        <v/>
      </c>
      <c r="R1210" s="61" t="str">
        <f aca="false">IF(E1210="","",IF(Q1210="No","Duplicate of an earlier response",IF(L1210="Not on SITES","Site not on SITES",IF(N(G1210)&gt;N(F1210),"Present is more than enrolled",IF(OR(I1210&lt;1,I1210&gt;5),"Score outside 1 to 5","")))))</f>
        <v/>
      </c>
    </row>
    <row r="1211" customFormat="false" ht="15" hidden="false" customHeight="false" outlineLevel="0" collapsed="false">
      <c r="A1211" s="52"/>
      <c r="B1211" s="53"/>
      <c r="C1211" s="53"/>
      <c r="D1211" s="53"/>
      <c r="E1211" s="54"/>
      <c r="F1211" s="55"/>
      <c r="G1211" s="55"/>
      <c r="H1211" s="55"/>
      <c r="I1211" s="56"/>
      <c r="J1211" s="53"/>
      <c r="K1211" s="53"/>
      <c r="L1211" s="57" t="str">
        <f aca="false">IF(C1211="","",IFERROR(INDEX(site_ID,MATCH(C1211,site_Name,0)),"Not on SITES"))</f>
        <v/>
      </c>
      <c r="M1211" s="58" t="str">
        <f aca="false">IF(E1211="","",DATE(YEAR(E1211),MONTH(E1211),1))</f>
        <v/>
      </c>
      <c r="N1211" s="57" t="str">
        <f aca="false">IF(E1211="","","FY"&amp;(YEAR(E1211)+IF(AND(FYStart&gt;1,MONTH(E1211)&gt;=FYStart),1,0))&amp;" Q"&amp;(INT(MOD(MONTH(E1211)-FYStart,12)/3)+1))</f>
        <v/>
      </c>
      <c r="O1211" s="59" t="str">
        <f aca="false">IF(OR(E1211="",N(F1211)=0),"",G1211/F1211)</f>
        <v/>
      </c>
      <c r="P1211" s="60" t="str">
        <f aca="false">IF(E1211="","",ROUND(N(G1211)*N(H1211)/60,1))</f>
        <v/>
      </c>
      <c r="Q1211" s="57" t="str">
        <f aca="false">IF(E1211="","",IF(COUNTIFS($C$2:C1211,C1211,$E$2:E1211,E1211,$B$2:B1211,B1211)&gt;1,"No","Yes"))</f>
        <v/>
      </c>
      <c r="R1211" s="61" t="str">
        <f aca="false">IF(E1211="","",IF(Q1211="No","Duplicate of an earlier response",IF(L1211="Not on SITES","Site not on SITES",IF(N(G1211)&gt;N(F1211),"Present is more than enrolled",IF(OR(I1211&lt;1,I1211&gt;5),"Score outside 1 to 5","")))))</f>
        <v/>
      </c>
    </row>
    <row r="1212" customFormat="false" ht="15" hidden="false" customHeight="false" outlineLevel="0" collapsed="false">
      <c r="A1212" s="52"/>
      <c r="B1212" s="53"/>
      <c r="C1212" s="53"/>
      <c r="D1212" s="53"/>
      <c r="E1212" s="54"/>
      <c r="F1212" s="55"/>
      <c r="G1212" s="55"/>
      <c r="H1212" s="55"/>
      <c r="I1212" s="56"/>
      <c r="J1212" s="53"/>
      <c r="K1212" s="53"/>
      <c r="L1212" s="57" t="str">
        <f aca="false">IF(C1212="","",IFERROR(INDEX(site_ID,MATCH(C1212,site_Name,0)),"Not on SITES"))</f>
        <v/>
      </c>
      <c r="M1212" s="58" t="str">
        <f aca="false">IF(E1212="","",DATE(YEAR(E1212),MONTH(E1212),1))</f>
        <v/>
      </c>
      <c r="N1212" s="57" t="str">
        <f aca="false">IF(E1212="","","FY"&amp;(YEAR(E1212)+IF(AND(FYStart&gt;1,MONTH(E1212)&gt;=FYStart),1,0))&amp;" Q"&amp;(INT(MOD(MONTH(E1212)-FYStart,12)/3)+1))</f>
        <v/>
      </c>
      <c r="O1212" s="59" t="str">
        <f aca="false">IF(OR(E1212="",N(F1212)=0),"",G1212/F1212)</f>
        <v/>
      </c>
      <c r="P1212" s="60" t="str">
        <f aca="false">IF(E1212="","",ROUND(N(G1212)*N(H1212)/60,1))</f>
        <v/>
      </c>
      <c r="Q1212" s="57" t="str">
        <f aca="false">IF(E1212="","",IF(COUNTIFS($C$2:C1212,C1212,$E$2:E1212,E1212,$B$2:B1212,B1212)&gt;1,"No","Yes"))</f>
        <v/>
      </c>
      <c r="R1212" s="61" t="str">
        <f aca="false">IF(E1212="","",IF(Q1212="No","Duplicate of an earlier response",IF(L1212="Not on SITES","Site not on SITES",IF(N(G1212)&gt;N(F1212),"Present is more than enrolled",IF(OR(I1212&lt;1,I1212&gt;5),"Score outside 1 to 5","")))))</f>
        <v/>
      </c>
    </row>
    <row r="1213" customFormat="false" ht="15" hidden="false" customHeight="false" outlineLevel="0" collapsed="false">
      <c r="A1213" s="52"/>
      <c r="B1213" s="53"/>
      <c r="C1213" s="53"/>
      <c r="D1213" s="53"/>
      <c r="E1213" s="54"/>
      <c r="F1213" s="55"/>
      <c r="G1213" s="55"/>
      <c r="H1213" s="55"/>
      <c r="I1213" s="56"/>
      <c r="J1213" s="53"/>
      <c r="K1213" s="53"/>
      <c r="L1213" s="57" t="str">
        <f aca="false">IF(C1213="","",IFERROR(INDEX(site_ID,MATCH(C1213,site_Name,0)),"Not on SITES"))</f>
        <v/>
      </c>
      <c r="M1213" s="58" t="str">
        <f aca="false">IF(E1213="","",DATE(YEAR(E1213),MONTH(E1213),1))</f>
        <v/>
      </c>
      <c r="N1213" s="57" t="str">
        <f aca="false">IF(E1213="","","FY"&amp;(YEAR(E1213)+IF(AND(FYStart&gt;1,MONTH(E1213)&gt;=FYStart),1,0))&amp;" Q"&amp;(INT(MOD(MONTH(E1213)-FYStart,12)/3)+1))</f>
        <v/>
      </c>
      <c r="O1213" s="59" t="str">
        <f aca="false">IF(OR(E1213="",N(F1213)=0),"",G1213/F1213)</f>
        <v/>
      </c>
      <c r="P1213" s="60" t="str">
        <f aca="false">IF(E1213="","",ROUND(N(G1213)*N(H1213)/60,1))</f>
        <v/>
      </c>
      <c r="Q1213" s="57" t="str">
        <f aca="false">IF(E1213="","",IF(COUNTIFS($C$2:C1213,C1213,$E$2:E1213,E1213,$B$2:B1213,B1213)&gt;1,"No","Yes"))</f>
        <v/>
      </c>
      <c r="R1213" s="61" t="str">
        <f aca="false">IF(E1213="","",IF(Q1213="No","Duplicate of an earlier response",IF(L1213="Not on SITES","Site not on SITES",IF(N(G1213)&gt;N(F1213),"Present is more than enrolled",IF(OR(I1213&lt;1,I1213&gt;5),"Score outside 1 to 5","")))))</f>
        <v/>
      </c>
    </row>
    <row r="1214" customFormat="false" ht="15" hidden="false" customHeight="false" outlineLevel="0" collapsed="false">
      <c r="A1214" s="52"/>
      <c r="B1214" s="53"/>
      <c r="C1214" s="53"/>
      <c r="D1214" s="53"/>
      <c r="E1214" s="54"/>
      <c r="F1214" s="55"/>
      <c r="G1214" s="55"/>
      <c r="H1214" s="55"/>
      <c r="I1214" s="56"/>
      <c r="J1214" s="53"/>
      <c r="K1214" s="53"/>
      <c r="L1214" s="57" t="str">
        <f aca="false">IF(C1214="","",IFERROR(INDEX(site_ID,MATCH(C1214,site_Name,0)),"Not on SITES"))</f>
        <v/>
      </c>
      <c r="M1214" s="58" t="str">
        <f aca="false">IF(E1214="","",DATE(YEAR(E1214),MONTH(E1214),1))</f>
        <v/>
      </c>
      <c r="N1214" s="57" t="str">
        <f aca="false">IF(E1214="","","FY"&amp;(YEAR(E1214)+IF(AND(FYStart&gt;1,MONTH(E1214)&gt;=FYStart),1,0))&amp;" Q"&amp;(INT(MOD(MONTH(E1214)-FYStart,12)/3)+1))</f>
        <v/>
      </c>
      <c r="O1214" s="59" t="str">
        <f aca="false">IF(OR(E1214="",N(F1214)=0),"",G1214/F1214)</f>
        <v/>
      </c>
      <c r="P1214" s="60" t="str">
        <f aca="false">IF(E1214="","",ROUND(N(G1214)*N(H1214)/60,1))</f>
        <v/>
      </c>
      <c r="Q1214" s="57" t="str">
        <f aca="false">IF(E1214="","",IF(COUNTIFS($C$2:C1214,C1214,$E$2:E1214,E1214,$B$2:B1214,B1214)&gt;1,"No","Yes"))</f>
        <v/>
      </c>
      <c r="R1214" s="61" t="str">
        <f aca="false">IF(E1214="","",IF(Q1214="No","Duplicate of an earlier response",IF(L1214="Not on SITES","Site not on SITES",IF(N(G1214)&gt;N(F1214),"Present is more than enrolled",IF(OR(I1214&lt;1,I1214&gt;5),"Score outside 1 to 5","")))))</f>
        <v/>
      </c>
    </row>
    <row r="1215" customFormat="false" ht="15" hidden="false" customHeight="false" outlineLevel="0" collapsed="false">
      <c r="A1215" s="52"/>
      <c r="B1215" s="53"/>
      <c r="C1215" s="53"/>
      <c r="D1215" s="53"/>
      <c r="E1215" s="54"/>
      <c r="F1215" s="55"/>
      <c r="G1215" s="55"/>
      <c r="H1215" s="55"/>
      <c r="I1215" s="56"/>
      <c r="J1215" s="53"/>
      <c r="K1215" s="53"/>
      <c r="L1215" s="57" t="str">
        <f aca="false">IF(C1215="","",IFERROR(INDEX(site_ID,MATCH(C1215,site_Name,0)),"Not on SITES"))</f>
        <v/>
      </c>
      <c r="M1215" s="58" t="str">
        <f aca="false">IF(E1215="","",DATE(YEAR(E1215),MONTH(E1215),1))</f>
        <v/>
      </c>
      <c r="N1215" s="57" t="str">
        <f aca="false">IF(E1215="","","FY"&amp;(YEAR(E1215)+IF(AND(FYStart&gt;1,MONTH(E1215)&gt;=FYStart),1,0))&amp;" Q"&amp;(INT(MOD(MONTH(E1215)-FYStart,12)/3)+1))</f>
        <v/>
      </c>
      <c r="O1215" s="59" t="str">
        <f aca="false">IF(OR(E1215="",N(F1215)=0),"",G1215/F1215)</f>
        <v/>
      </c>
      <c r="P1215" s="60" t="str">
        <f aca="false">IF(E1215="","",ROUND(N(G1215)*N(H1215)/60,1))</f>
        <v/>
      </c>
      <c r="Q1215" s="57" t="str">
        <f aca="false">IF(E1215="","",IF(COUNTIFS($C$2:C1215,C1215,$E$2:E1215,E1215,$B$2:B1215,B1215)&gt;1,"No","Yes"))</f>
        <v/>
      </c>
      <c r="R1215" s="61" t="str">
        <f aca="false">IF(E1215="","",IF(Q1215="No","Duplicate of an earlier response",IF(L1215="Not on SITES","Site not on SITES",IF(N(G1215)&gt;N(F1215),"Present is more than enrolled",IF(OR(I1215&lt;1,I1215&gt;5),"Score outside 1 to 5","")))))</f>
        <v/>
      </c>
    </row>
    <row r="1216" customFormat="false" ht="15" hidden="false" customHeight="false" outlineLevel="0" collapsed="false">
      <c r="A1216" s="52"/>
      <c r="B1216" s="53"/>
      <c r="C1216" s="53"/>
      <c r="D1216" s="53"/>
      <c r="E1216" s="54"/>
      <c r="F1216" s="55"/>
      <c r="G1216" s="55"/>
      <c r="H1216" s="55"/>
      <c r="I1216" s="56"/>
      <c r="J1216" s="53"/>
      <c r="K1216" s="53"/>
      <c r="L1216" s="57" t="str">
        <f aca="false">IF(C1216="","",IFERROR(INDEX(site_ID,MATCH(C1216,site_Name,0)),"Not on SITES"))</f>
        <v/>
      </c>
      <c r="M1216" s="58" t="str">
        <f aca="false">IF(E1216="","",DATE(YEAR(E1216),MONTH(E1216),1))</f>
        <v/>
      </c>
      <c r="N1216" s="57" t="str">
        <f aca="false">IF(E1216="","","FY"&amp;(YEAR(E1216)+IF(AND(FYStart&gt;1,MONTH(E1216)&gt;=FYStart),1,0))&amp;" Q"&amp;(INT(MOD(MONTH(E1216)-FYStart,12)/3)+1))</f>
        <v/>
      </c>
      <c r="O1216" s="59" t="str">
        <f aca="false">IF(OR(E1216="",N(F1216)=0),"",G1216/F1216)</f>
        <v/>
      </c>
      <c r="P1216" s="60" t="str">
        <f aca="false">IF(E1216="","",ROUND(N(G1216)*N(H1216)/60,1))</f>
        <v/>
      </c>
      <c r="Q1216" s="57" t="str">
        <f aca="false">IF(E1216="","",IF(COUNTIFS($C$2:C1216,C1216,$E$2:E1216,E1216,$B$2:B1216,B1216)&gt;1,"No","Yes"))</f>
        <v/>
      </c>
      <c r="R1216" s="61" t="str">
        <f aca="false">IF(E1216="","",IF(Q1216="No","Duplicate of an earlier response",IF(L1216="Not on SITES","Site not on SITES",IF(N(G1216)&gt;N(F1216),"Present is more than enrolled",IF(OR(I1216&lt;1,I1216&gt;5),"Score outside 1 to 5","")))))</f>
        <v/>
      </c>
    </row>
    <row r="1217" customFormat="false" ht="15" hidden="false" customHeight="false" outlineLevel="0" collapsed="false">
      <c r="A1217" s="52"/>
      <c r="B1217" s="53"/>
      <c r="C1217" s="53"/>
      <c r="D1217" s="53"/>
      <c r="E1217" s="54"/>
      <c r="F1217" s="55"/>
      <c r="G1217" s="55"/>
      <c r="H1217" s="55"/>
      <c r="I1217" s="56"/>
      <c r="J1217" s="53"/>
      <c r="K1217" s="53"/>
      <c r="L1217" s="57" t="str">
        <f aca="false">IF(C1217="","",IFERROR(INDEX(site_ID,MATCH(C1217,site_Name,0)),"Not on SITES"))</f>
        <v/>
      </c>
      <c r="M1217" s="58" t="str">
        <f aca="false">IF(E1217="","",DATE(YEAR(E1217),MONTH(E1217),1))</f>
        <v/>
      </c>
      <c r="N1217" s="57" t="str">
        <f aca="false">IF(E1217="","","FY"&amp;(YEAR(E1217)+IF(AND(FYStart&gt;1,MONTH(E1217)&gt;=FYStart),1,0))&amp;" Q"&amp;(INT(MOD(MONTH(E1217)-FYStart,12)/3)+1))</f>
        <v/>
      </c>
      <c r="O1217" s="59" t="str">
        <f aca="false">IF(OR(E1217="",N(F1217)=0),"",G1217/F1217)</f>
        <v/>
      </c>
      <c r="P1217" s="60" t="str">
        <f aca="false">IF(E1217="","",ROUND(N(G1217)*N(H1217)/60,1))</f>
        <v/>
      </c>
      <c r="Q1217" s="57" t="str">
        <f aca="false">IF(E1217="","",IF(COUNTIFS($C$2:C1217,C1217,$E$2:E1217,E1217,$B$2:B1217,B1217)&gt;1,"No","Yes"))</f>
        <v/>
      </c>
      <c r="R1217" s="61" t="str">
        <f aca="false">IF(E1217="","",IF(Q1217="No","Duplicate of an earlier response",IF(L1217="Not on SITES","Site not on SITES",IF(N(G1217)&gt;N(F1217),"Present is more than enrolled",IF(OR(I1217&lt;1,I1217&gt;5),"Score outside 1 to 5","")))))</f>
        <v/>
      </c>
    </row>
    <row r="1218" customFormat="false" ht="15" hidden="false" customHeight="false" outlineLevel="0" collapsed="false">
      <c r="A1218" s="52"/>
      <c r="B1218" s="53"/>
      <c r="C1218" s="53"/>
      <c r="D1218" s="53"/>
      <c r="E1218" s="54"/>
      <c r="F1218" s="55"/>
      <c r="G1218" s="55"/>
      <c r="H1218" s="55"/>
      <c r="I1218" s="56"/>
      <c r="J1218" s="53"/>
      <c r="K1218" s="53"/>
      <c r="L1218" s="57" t="str">
        <f aca="false">IF(C1218="","",IFERROR(INDEX(site_ID,MATCH(C1218,site_Name,0)),"Not on SITES"))</f>
        <v/>
      </c>
      <c r="M1218" s="58" t="str">
        <f aca="false">IF(E1218="","",DATE(YEAR(E1218),MONTH(E1218),1))</f>
        <v/>
      </c>
      <c r="N1218" s="57" t="str">
        <f aca="false">IF(E1218="","","FY"&amp;(YEAR(E1218)+IF(AND(FYStart&gt;1,MONTH(E1218)&gt;=FYStart),1,0))&amp;" Q"&amp;(INT(MOD(MONTH(E1218)-FYStart,12)/3)+1))</f>
        <v/>
      </c>
      <c r="O1218" s="59" t="str">
        <f aca="false">IF(OR(E1218="",N(F1218)=0),"",G1218/F1218)</f>
        <v/>
      </c>
      <c r="P1218" s="60" t="str">
        <f aca="false">IF(E1218="","",ROUND(N(G1218)*N(H1218)/60,1))</f>
        <v/>
      </c>
      <c r="Q1218" s="57" t="str">
        <f aca="false">IF(E1218="","",IF(COUNTIFS($C$2:C1218,C1218,$E$2:E1218,E1218,$B$2:B1218,B1218)&gt;1,"No","Yes"))</f>
        <v/>
      </c>
      <c r="R1218" s="61" t="str">
        <f aca="false">IF(E1218="","",IF(Q1218="No","Duplicate of an earlier response",IF(L1218="Not on SITES","Site not on SITES",IF(N(G1218)&gt;N(F1218),"Present is more than enrolled",IF(OR(I1218&lt;1,I1218&gt;5),"Score outside 1 to 5","")))))</f>
        <v/>
      </c>
    </row>
    <row r="1219" customFormat="false" ht="15" hidden="false" customHeight="false" outlineLevel="0" collapsed="false">
      <c r="A1219" s="52"/>
      <c r="B1219" s="53"/>
      <c r="C1219" s="53"/>
      <c r="D1219" s="53"/>
      <c r="E1219" s="54"/>
      <c r="F1219" s="55"/>
      <c r="G1219" s="55"/>
      <c r="H1219" s="55"/>
      <c r="I1219" s="56"/>
      <c r="J1219" s="53"/>
      <c r="K1219" s="53"/>
      <c r="L1219" s="57" t="str">
        <f aca="false">IF(C1219="","",IFERROR(INDEX(site_ID,MATCH(C1219,site_Name,0)),"Not on SITES"))</f>
        <v/>
      </c>
      <c r="M1219" s="58" t="str">
        <f aca="false">IF(E1219="","",DATE(YEAR(E1219),MONTH(E1219),1))</f>
        <v/>
      </c>
      <c r="N1219" s="57" t="str">
        <f aca="false">IF(E1219="","","FY"&amp;(YEAR(E1219)+IF(AND(FYStart&gt;1,MONTH(E1219)&gt;=FYStart),1,0))&amp;" Q"&amp;(INT(MOD(MONTH(E1219)-FYStart,12)/3)+1))</f>
        <v/>
      </c>
      <c r="O1219" s="59" t="str">
        <f aca="false">IF(OR(E1219="",N(F1219)=0),"",G1219/F1219)</f>
        <v/>
      </c>
      <c r="P1219" s="60" t="str">
        <f aca="false">IF(E1219="","",ROUND(N(G1219)*N(H1219)/60,1))</f>
        <v/>
      </c>
      <c r="Q1219" s="57" t="str">
        <f aca="false">IF(E1219="","",IF(COUNTIFS($C$2:C1219,C1219,$E$2:E1219,E1219,$B$2:B1219,B1219)&gt;1,"No","Yes"))</f>
        <v/>
      </c>
      <c r="R1219" s="61" t="str">
        <f aca="false">IF(E1219="","",IF(Q1219="No","Duplicate of an earlier response",IF(L1219="Not on SITES","Site not on SITES",IF(N(G1219)&gt;N(F1219),"Present is more than enrolled",IF(OR(I1219&lt;1,I1219&gt;5),"Score outside 1 to 5","")))))</f>
        <v/>
      </c>
    </row>
    <row r="1220" customFormat="false" ht="15" hidden="false" customHeight="false" outlineLevel="0" collapsed="false">
      <c r="A1220" s="52"/>
      <c r="B1220" s="53"/>
      <c r="C1220" s="53"/>
      <c r="D1220" s="53"/>
      <c r="E1220" s="54"/>
      <c r="F1220" s="55"/>
      <c r="G1220" s="55"/>
      <c r="H1220" s="55"/>
      <c r="I1220" s="56"/>
      <c r="J1220" s="53"/>
      <c r="K1220" s="53"/>
      <c r="L1220" s="57" t="str">
        <f aca="false">IF(C1220="","",IFERROR(INDEX(site_ID,MATCH(C1220,site_Name,0)),"Not on SITES"))</f>
        <v/>
      </c>
      <c r="M1220" s="58" t="str">
        <f aca="false">IF(E1220="","",DATE(YEAR(E1220),MONTH(E1220),1))</f>
        <v/>
      </c>
      <c r="N1220" s="57" t="str">
        <f aca="false">IF(E1220="","","FY"&amp;(YEAR(E1220)+IF(AND(FYStart&gt;1,MONTH(E1220)&gt;=FYStart),1,0))&amp;" Q"&amp;(INT(MOD(MONTH(E1220)-FYStart,12)/3)+1))</f>
        <v/>
      </c>
      <c r="O1220" s="59" t="str">
        <f aca="false">IF(OR(E1220="",N(F1220)=0),"",G1220/F1220)</f>
        <v/>
      </c>
      <c r="P1220" s="60" t="str">
        <f aca="false">IF(E1220="","",ROUND(N(G1220)*N(H1220)/60,1))</f>
        <v/>
      </c>
      <c r="Q1220" s="57" t="str">
        <f aca="false">IF(E1220="","",IF(COUNTIFS($C$2:C1220,C1220,$E$2:E1220,E1220,$B$2:B1220,B1220)&gt;1,"No","Yes"))</f>
        <v/>
      </c>
      <c r="R1220" s="61" t="str">
        <f aca="false">IF(E1220="","",IF(Q1220="No","Duplicate of an earlier response",IF(L1220="Not on SITES","Site not on SITES",IF(N(G1220)&gt;N(F1220),"Present is more than enrolled",IF(OR(I1220&lt;1,I1220&gt;5),"Score outside 1 to 5","")))))</f>
        <v/>
      </c>
    </row>
    <row r="1221" customFormat="false" ht="15" hidden="false" customHeight="false" outlineLevel="0" collapsed="false">
      <c r="A1221" s="52"/>
      <c r="B1221" s="53"/>
      <c r="C1221" s="53"/>
      <c r="D1221" s="53"/>
      <c r="E1221" s="54"/>
      <c r="F1221" s="55"/>
      <c r="G1221" s="55"/>
      <c r="H1221" s="55"/>
      <c r="I1221" s="56"/>
      <c r="J1221" s="53"/>
      <c r="K1221" s="53"/>
      <c r="L1221" s="57" t="str">
        <f aca="false">IF(C1221="","",IFERROR(INDEX(site_ID,MATCH(C1221,site_Name,0)),"Not on SITES"))</f>
        <v/>
      </c>
      <c r="M1221" s="58" t="str">
        <f aca="false">IF(E1221="","",DATE(YEAR(E1221),MONTH(E1221),1))</f>
        <v/>
      </c>
      <c r="N1221" s="57" t="str">
        <f aca="false">IF(E1221="","","FY"&amp;(YEAR(E1221)+IF(AND(FYStart&gt;1,MONTH(E1221)&gt;=FYStart),1,0))&amp;" Q"&amp;(INT(MOD(MONTH(E1221)-FYStart,12)/3)+1))</f>
        <v/>
      </c>
      <c r="O1221" s="59" t="str">
        <f aca="false">IF(OR(E1221="",N(F1221)=0),"",G1221/F1221)</f>
        <v/>
      </c>
      <c r="P1221" s="60" t="str">
        <f aca="false">IF(E1221="","",ROUND(N(G1221)*N(H1221)/60,1))</f>
        <v/>
      </c>
      <c r="Q1221" s="57" t="str">
        <f aca="false">IF(E1221="","",IF(COUNTIFS($C$2:C1221,C1221,$E$2:E1221,E1221,$B$2:B1221,B1221)&gt;1,"No","Yes"))</f>
        <v/>
      </c>
      <c r="R1221" s="61" t="str">
        <f aca="false">IF(E1221="","",IF(Q1221="No","Duplicate of an earlier response",IF(L1221="Not on SITES","Site not on SITES",IF(N(G1221)&gt;N(F1221),"Present is more than enrolled",IF(OR(I1221&lt;1,I1221&gt;5),"Score outside 1 to 5","")))))</f>
        <v/>
      </c>
    </row>
    <row r="1222" customFormat="false" ht="15" hidden="false" customHeight="false" outlineLevel="0" collapsed="false">
      <c r="A1222" s="52"/>
      <c r="B1222" s="53"/>
      <c r="C1222" s="53"/>
      <c r="D1222" s="53"/>
      <c r="E1222" s="54"/>
      <c r="F1222" s="55"/>
      <c r="G1222" s="55"/>
      <c r="H1222" s="55"/>
      <c r="I1222" s="56"/>
      <c r="J1222" s="53"/>
      <c r="K1222" s="53"/>
      <c r="L1222" s="57" t="str">
        <f aca="false">IF(C1222="","",IFERROR(INDEX(site_ID,MATCH(C1222,site_Name,0)),"Not on SITES"))</f>
        <v/>
      </c>
      <c r="M1222" s="58" t="str">
        <f aca="false">IF(E1222="","",DATE(YEAR(E1222),MONTH(E1222),1))</f>
        <v/>
      </c>
      <c r="N1222" s="57" t="str">
        <f aca="false">IF(E1222="","","FY"&amp;(YEAR(E1222)+IF(AND(FYStart&gt;1,MONTH(E1222)&gt;=FYStart),1,0))&amp;" Q"&amp;(INT(MOD(MONTH(E1222)-FYStart,12)/3)+1))</f>
        <v/>
      </c>
      <c r="O1222" s="59" t="str">
        <f aca="false">IF(OR(E1222="",N(F1222)=0),"",G1222/F1222)</f>
        <v/>
      </c>
      <c r="P1222" s="60" t="str">
        <f aca="false">IF(E1222="","",ROUND(N(G1222)*N(H1222)/60,1))</f>
        <v/>
      </c>
      <c r="Q1222" s="57" t="str">
        <f aca="false">IF(E1222="","",IF(COUNTIFS($C$2:C1222,C1222,$E$2:E1222,E1222,$B$2:B1222,B1222)&gt;1,"No","Yes"))</f>
        <v/>
      </c>
      <c r="R1222" s="61" t="str">
        <f aca="false">IF(E1222="","",IF(Q1222="No","Duplicate of an earlier response",IF(L1222="Not on SITES","Site not on SITES",IF(N(G1222)&gt;N(F1222),"Present is more than enrolled",IF(OR(I1222&lt;1,I1222&gt;5),"Score outside 1 to 5","")))))</f>
        <v/>
      </c>
    </row>
    <row r="1223" customFormat="false" ht="15" hidden="false" customHeight="false" outlineLevel="0" collapsed="false">
      <c r="A1223" s="52"/>
      <c r="B1223" s="53"/>
      <c r="C1223" s="53"/>
      <c r="D1223" s="53"/>
      <c r="E1223" s="54"/>
      <c r="F1223" s="55"/>
      <c r="G1223" s="55"/>
      <c r="H1223" s="55"/>
      <c r="I1223" s="56"/>
      <c r="J1223" s="53"/>
      <c r="K1223" s="53"/>
      <c r="L1223" s="57" t="str">
        <f aca="false">IF(C1223="","",IFERROR(INDEX(site_ID,MATCH(C1223,site_Name,0)),"Not on SITES"))</f>
        <v/>
      </c>
      <c r="M1223" s="58" t="str">
        <f aca="false">IF(E1223="","",DATE(YEAR(E1223),MONTH(E1223),1))</f>
        <v/>
      </c>
      <c r="N1223" s="57" t="str">
        <f aca="false">IF(E1223="","","FY"&amp;(YEAR(E1223)+IF(AND(FYStart&gt;1,MONTH(E1223)&gt;=FYStart),1,0))&amp;" Q"&amp;(INT(MOD(MONTH(E1223)-FYStart,12)/3)+1))</f>
        <v/>
      </c>
      <c r="O1223" s="59" t="str">
        <f aca="false">IF(OR(E1223="",N(F1223)=0),"",G1223/F1223)</f>
        <v/>
      </c>
      <c r="P1223" s="60" t="str">
        <f aca="false">IF(E1223="","",ROUND(N(G1223)*N(H1223)/60,1))</f>
        <v/>
      </c>
      <c r="Q1223" s="57" t="str">
        <f aca="false">IF(E1223="","",IF(COUNTIFS($C$2:C1223,C1223,$E$2:E1223,E1223,$B$2:B1223,B1223)&gt;1,"No","Yes"))</f>
        <v/>
      </c>
      <c r="R1223" s="61" t="str">
        <f aca="false">IF(E1223="","",IF(Q1223="No","Duplicate of an earlier response",IF(L1223="Not on SITES","Site not on SITES",IF(N(G1223)&gt;N(F1223),"Present is more than enrolled",IF(OR(I1223&lt;1,I1223&gt;5),"Score outside 1 to 5","")))))</f>
        <v/>
      </c>
    </row>
    <row r="1224" customFormat="false" ht="15" hidden="false" customHeight="false" outlineLevel="0" collapsed="false">
      <c r="A1224" s="52"/>
      <c r="B1224" s="53"/>
      <c r="C1224" s="53"/>
      <c r="D1224" s="53"/>
      <c r="E1224" s="54"/>
      <c r="F1224" s="55"/>
      <c r="G1224" s="55"/>
      <c r="H1224" s="55"/>
      <c r="I1224" s="56"/>
      <c r="J1224" s="53"/>
      <c r="K1224" s="53"/>
      <c r="L1224" s="57" t="str">
        <f aca="false">IF(C1224="","",IFERROR(INDEX(site_ID,MATCH(C1224,site_Name,0)),"Not on SITES"))</f>
        <v/>
      </c>
      <c r="M1224" s="58" t="str">
        <f aca="false">IF(E1224="","",DATE(YEAR(E1224),MONTH(E1224),1))</f>
        <v/>
      </c>
      <c r="N1224" s="57" t="str">
        <f aca="false">IF(E1224="","","FY"&amp;(YEAR(E1224)+IF(AND(FYStart&gt;1,MONTH(E1224)&gt;=FYStart),1,0))&amp;" Q"&amp;(INT(MOD(MONTH(E1224)-FYStart,12)/3)+1))</f>
        <v/>
      </c>
      <c r="O1224" s="59" t="str">
        <f aca="false">IF(OR(E1224="",N(F1224)=0),"",G1224/F1224)</f>
        <v/>
      </c>
      <c r="P1224" s="60" t="str">
        <f aca="false">IF(E1224="","",ROUND(N(G1224)*N(H1224)/60,1))</f>
        <v/>
      </c>
      <c r="Q1224" s="57" t="str">
        <f aca="false">IF(E1224="","",IF(COUNTIFS($C$2:C1224,C1224,$E$2:E1224,E1224,$B$2:B1224,B1224)&gt;1,"No","Yes"))</f>
        <v/>
      </c>
      <c r="R1224" s="61" t="str">
        <f aca="false">IF(E1224="","",IF(Q1224="No","Duplicate of an earlier response",IF(L1224="Not on SITES","Site not on SITES",IF(N(G1224)&gt;N(F1224),"Present is more than enrolled",IF(OR(I1224&lt;1,I1224&gt;5),"Score outside 1 to 5","")))))</f>
        <v/>
      </c>
    </row>
    <row r="1225" customFormat="false" ht="15" hidden="false" customHeight="false" outlineLevel="0" collapsed="false">
      <c r="A1225" s="52"/>
      <c r="B1225" s="53"/>
      <c r="C1225" s="53"/>
      <c r="D1225" s="53"/>
      <c r="E1225" s="54"/>
      <c r="F1225" s="55"/>
      <c r="G1225" s="55"/>
      <c r="H1225" s="55"/>
      <c r="I1225" s="56"/>
      <c r="J1225" s="53"/>
      <c r="K1225" s="53"/>
      <c r="L1225" s="57" t="str">
        <f aca="false">IF(C1225="","",IFERROR(INDEX(site_ID,MATCH(C1225,site_Name,0)),"Not on SITES"))</f>
        <v/>
      </c>
      <c r="M1225" s="58" t="str">
        <f aca="false">IF(E1225="","",DATE(YEAR(E1225),MONTH(E1225),1))</f>
        <v/>
      </c>
      <c r="N1225" s="57" t="str">
        <f aca="false">IF(E1225="","","FY"&amp;(YEAR(E1225)+IF(AND(FYStart&gt;1,MONTH(E1225)&gt;=FYStart),1,0))&amp;" Q"&amp;(INT(MOD(MONTH(E1225)-FYStart,12)/3)+1))</f>
        <v/>
      </c>
      <c r="O1225" s="59" t="str">
        <f aca="false">IF(OR(E1225="",N(F1225)=0),"",G1225/F1225)</f>
        <v/>
      </c>
      <c r="P1225" s="60" t="str">
        <f aca="false">IF(E1225="","",ROUND(N(G1225)*N(H1225)/60,1))</f>
        <v/>
      </c>
      <c r="Q1225" s="57" t="str">
        <f aca="false">IF(E1225="","",IF(COUNTIFS($C$2:C1225,C1225,$E$2:E1225,E1225,$B$2:B1225,B1225)&gt;1,"No","Yes"))</f>
        <v/>
      </c>
      <c r="R1225" s="61" t="str">
        <f aca="false">IF(E1225="","",IF(Q1225="No","Duplicate of an earlier response",IF(L1225="Not on SITES","Site not on SITES",IF(N(G1225)&gt;N(F1225),"Present is more than enrolled",IF(OR(I1225&lt;1,I1225&gt;5),"Score outside 1 to 5","")))))</f>
        <v/>
      </c>
    </row>
    <row r="1226" customFormat="false" ht="15" hidden="false" customHeight="false" outlineLevel="0" collapsed="false">
      <c r="A1226" s="52"/>
      <c r="B1226" s="53"/>
      <c r="C1226" s="53"/>
      <c r="D1226" s="53"/>
      <c r="E1226" s="54"/>
      <c r="F1226" s="55"/>
      <c r="G1226" s="55"/>
      <c r="H1226" s="55"/>
      <c r="I1226" s="56"/>
      <c r="J1226" s="53"/>
      <c r="K1226" s="53"/>
      <c r="L1226" s="57" t="str">
        <f aca="false">IF(C1226="","",IFERROR(INDEX(site_ID,MATCH(C1226,site_Name,0)),"Not on SITES"))</f>
        <v/>
      </c>
      <c r="M1226" s="58" t="str">
        <f aca="false">IF(E1226="","",DATE(YEAR(E1226),MONTH(E1226),1))</f>
        <v/>
      </c>
      <c r="N1226" s="57" t="str">
        <f aca="false">IF(E1226="","","FY"&amp;(YEAR(E1226)+IF(AND(FYStart&gt;1,MONTH(E1226)&gt;=FYStart),1,0))&amp;" Q"&amp;(INT(MOD(MONTH(E1226)-FYStart,12)/3)+1))</f>
        <v/>
      </c>
      <c r="O1226" s="59" t="str">
        <f aca="false">IF(OR(E1226="",N(F1226)=0),"",G1226/F1226)</f>
        <v/>
      </c>
      <c r="P1226" s="60" t="str">
        <f aca="false">IF(E1226="","",ROUND(N(G1226)*N(H1226)/60,1))</f>
        <v/>
      </c>
      <c r="Q1226" s="57" t="str">
        <f aca="false">IF(E1226="","",IF(COUNTIFS($C$2:C1226,C1226,$E$2:E1226,E1226,$B$2:B1226,B1226)&gt;1,"No","Yes"))</f>
        <v/>
      </c>
      <c r="R1226" s="61" t="str">
        <f aca="false">IF(E1226="","",IF(Q1226="No","Duplicate of an earlier response",IF(L1226="Not on SITES","Site not on SITES",IF(N(G1226)&gt;N(F1226),"Present is more than enrolled",IF(OR(I1226&lt;1,I1226&gt;5),"Score outside 1 to 5","")))))</f>
        <v/>
      </c>
    </row>
    <row r="1227" customFormat="false" ht="15" hidden="false" customHeight="false" outlineLevel="0" collapsed="false">
      <c r="A1227" s="52"/>
      <c r="B1227" s="53"/>
      <c r="C1227" s="53"/>
      <c r="D1227" s="53"/>
      <c r="E1227" s="54"/>
      <c r="F1227" s="55"/>
      <c r="G1227" s="55"/>
      <c r="H1227" s="55"/>
      <c r="I1227" s="56"/>
      <c r="J1227" s="53"/>
      <c r="K1227" s="53"/>
      <c r="L1227" s="57" t="str">
        <f aca="false">IF(C1227="","",IFERROR(INDEX(site_ID,MATCH(C1227,site_Name,0)),"Not on SITES"))</f>
        <v/>
      </c>
      <c r="M1227" s="58" t="str">
        <f aca="false">IF(E1227="","",DATE(YEAR(E1227),MONTH(E1227),1))</f>
        <v/>
      </c>
      <c r="N1227" s="57" t="str">
        <f aca="false">IF(E1227="","","FY"&amp;(YEAR(E1227)+IF(AND(FYStart&gt;1,MONTH(E1227)&gt;=FYStart),1,0))&amp;" Q"&amp;(INT(MOD(MONTH(E1227)-FYStart,12)/3)+1))</f>
        <v/>
      </c>
      <c r="O1227" s="59" t="str">
        <f aca="false">IF(OR(E1227="",N(F1227)=0),"",G1227/F1227)</f>
        <v/>
      </c>
      <c r="P1227" s="60" t="str">
        <f aca="false">IF(E1227="","",ROUND(N(G1227)*N(H1227)/60,1))</f>
        <v/>
      </c>
      <c r="Q1227" s="57" t="str">
        <f aca="false">IF(E1227="","",IF(COUNTIFS($C$2:C1227,C1227,$E$2:E1227,E1227,$B$2:B1227,B1227)&gt;1,"No","Yes"))</f>
        <v/>
      </c>
      <c r="R1227" s="61" t="str">
        <f aca="false">IF(E1227="","",IF(Q1227="No","Duplicate of an earlier response",IF(L1227="Not on SITES","Site not on SITES",IF(N(G1227)&gt;N(F1227),"Present is more than enrolled",IF(OR(I1227&lt;1,I1227&gt;5),"Score outside 1 to 5","")))))</f>
        <v/>
      </c>
    </row>
    <row r="1228" customFormat="false" ht="15" hidden="false" customHeight="false" outlineLevel="0" collapsed="false">
      <c r="A1228" s="52"/>
      <c r="B1228" s="53"/>
      <c r="C1228" s="53"/>
      <c r="D1228" s="53"/>
      <c r="E1228" s="54"/>
      <c r="F1228" s="55"/>
      <c r="G1228" s="55"/>
      <c r="H1228" s="55"/>
      <c r="I1228" s="56"/>
      <c r="J1228" s="53"/>
      <c r="K1228" s="53"/>
      <c r="L1228" s="57" t="str">
        <f aca="false">IF(C1228="","",IFERROR(INDEX(site_ID,MATCH(C1228,site_Name,0)),"Not on SITES"))</f>
        <v/>
      </c>
      <c r="M1228" s="58" t="str">
        <f aca="false">IF(E1228="","",DATE(YEAR(E1228),MONTH(E1228),1))</f>
        <v/>
      </c>
      <c r="N1228" s="57" t="str">
        <f aca="false">IF(E1228="","","FY"&amp;(YEAR(E1228)+IF(AND(FYStart&gt;1,MONTH(E1228)&gt;=FYStart),1,0))&amp;" Q"&amp;(INT(MOD(MONTH(E1228)-FYStart,12)/3)+1))</f>
        <v/>
      </c>
      <c r="O1228" s="59" t="str">
        <f aca="false">IF(OR(E1228="",N(F1228)=0),"",G1228/F1228)</f>
        <v/>
      </c>
      <c r="P1228" s="60" t="str">
        <f aca="false">IF(E1228="","",ROUND(N(G1228)*N(H1228)/60,1))</f>
        <v/>
      </c>
      <c r="Q1228" s="57" t="str">
        <f aca="false">IF(E1228="","",IF(COUNTIFS($C$2:C1228,C1228,$E$2:E1228,E1228,$B$2:B1228,B1228)&gt;1,"No","Yes"))</f>
        <v/>
      </c>
      <c r="R1228" s="61" t="str">
        <f aca="false">IF(E1228="","",IF(Q1228="No","Duplicate of an earlier response",IF(L1228="Not on SITES","Site not on SITES",IF(N(G1228)&gt;N(F1228),"Present is more than enrolled",IF(OR(I1228&lt;1,I1228&gt;5),"Score outside 1 to 5","")))))</f>
        <v/>
      </c>
    </row>
    <row r="1229" customFormat="false" ht="15" hidden="false" customHeight="false" outlineLevel="0" collapsed="false">
      <c r="A1229" s="52"/>
      <c r="B1229" s="53"/>
      <c r="C1229" s="53"/>
      <c r="D1229" s="53"/>
      <c r="E1229" s="54"/>
      <c r="F1229" s="55"/>
      <c r="G1229" s="55"/>
      <c r="H1229" s="55"/>
      <c r="I1229" s="56"/>
      <c r="J1229" s="53"/>
      <c r="K1229" s="53"/>
      <c r="L1229" s="57" t="str">
        <f aca="false">IF(C1229="","",IFERROR(INDEX(site_ID,MATCH(C1229,site_Name,0)),"Not on SITES"))</f>
        <v/>
      </c>
      <c r="M1229" s="58" t="str">
        <f aca="false">IF(E1229="","",DATE(YEAR(E1229),MONTH(E1229),1))</f>
        <v/>
      </c>
      <c r="N1229" s="57" t="str">
        <f aca="false">IF(E1229="","","FY"&amp;(YEAR(E1229)+IF(AND(FYStart&gt;1,MONTH(E1229)&gt;=FYStart),1,0))&amp;" Q"&amp;(INT(MOD(MONTH(E1229)-FYStart,12)/3)+1))</f>
        <v/>
      </c>
      <c r="O1229" s="59" t="str">
        <f aca="false">IF(OR(E1229="",N(F1229)=0),"",G1229/F1229)</f>
        <v/>
      </c>
      <c r="P1229" s="60" t="str">
        <f aca="false">IF(E1229="","",ROUND(N(G1229)*N(H1229)/60,1))</f>
        <v/>
      </c>
      <c r="Q1229" s="57" t="str">
        <f aca="false">IF(E1229="","",IF(COUNTIFS($C$2:C1229,C1229,$E$2:E1229,E1229,$B$2:B1229,B1229)&gt;1,"No","Yes"))</f>
        <v/>
      </c>
      <c r="R1229" s="61" t="str">
        <f aca="false">IF(E1229="","",IF(Q1229="No","Duplicate of an earlier response",IF(L1229="Not on SITES","Site not on SITES",IF(N(G1229)&gt;N(F1229),"Present is more than enrolled",IF(OR(I1229&lt;1,I1229&gt;5),"Score outside 1 to 5","")))))</f>
        <v/>
      </c>
    </row>
    <row r="1230" customFormat="false" ht="15" hidden="false" customHeight="false" outlineLevel="0" collapsed="false">
      <c r="A1230" s="52"/>
      <c r="B1230" s="53"/>
      <c r="C1230" s="53"/>
      <c r="D1230" s="53"/>
      <c r="E1230" s="54"/>
      <c r="F1230" s="55"/>
      <c r="G1230" s="55"/>
      <c r="H1230" s="55"/>
      <c r="I1230" s="56"/>
      <c r="J1230" s="53"/>
      <c r="K1230" s="53"/>
      <c r="L1230" s="57" t="str">
        <f aca="false">IF(C1230="","",IFERROR(INDEX(site_ID,MATCH(C1230,site_Name,0)),"Not on SITES"))</f>
        <v/>
      </c>
      <c r="M1230" s="58" t="str">
        <f aca="false">IF(E1230="","",DATE(YEAR(E1230),MONTH(E1230),1))</f>
        <v/>
      </c>
      <c r="N1230" s="57" t="str">
        <f aca="false">IF(E1230="","","FY"&amp;(YEAR(E1230)+IF(AND(FYStart&gt;1,MONTH(E1230)&gt;=FYStart),1,0))&amp;" Q"&amp;(INT(MOD(MONTH(E1230)-FYStart,12)/3)+1))</f>
        <v/>
      </c>
      <c r="O1230" s="59" t="str">
        <f aca="false">IF(OR(E1230="",N(F1230)=0),"",G1230/F1230)</f>
        <v/>
      </c>
      <c r="P1230" s="60" t="str">
        <f aca="false">IF(E1230="","",ROUND(N(G1230)*N(H1230)/60,1))</f>
        <v/>
      </c>
      <c r="Q1230" s="57" t="str">
        <f aca="false">IF(E1230="","",IF(COUNTIFS($C$2:C1230,C1230,$E$2:E1230,E1230,$B$2:B1230,B1230)&gt;1,"No","Yes"))</f>
        <v/>
      </c>
      <c r="R1230" s="61" t="str">
        <f aca="false">IF(E1230="","",IF(Q1230="No","Duplicate of an earlier response",IF(L1230="Not on SITES","Site not on SITES",IF(N(G1230)&gt;N(F1230),"Present is more than enrolled",IF(OR(I1230&lt;1,I1230&gt;5),"Score outside 1 to 5","")))))</f>
        <v/>
      </c>
    </row>
    <row r="1231" customFormat="false" ht="15" hidden="false" customHeight="false" outlineLevel="0" collapsed="false">
      <c r="A1231" s="52"/>
      <c r="B1231" s="53"/>
      <c r="C1231" s="53"/>
      <c r="D1231" s="53"/>
      <c r="E1231" s="54"/>
      <c r="F1231" s="55"/>
      <c r="G1231" s="55"/>
      <c r="H1231" s="55"/>
      <c r="I1231" s="56"/>
      <c r="J1231" s="53"/>
      <c r="K1231" s="53"/>
      <c r="L1231" s="57" t="str">
        <f aca="false">IF(C1231="","",IFERROR(INDEX(site_ID,MATCH(C1231,site_Name,0)),"Not on SITES"))</f>
        <v/>
      </c>
      <c r="M1231" s="58" t="str">
        <f aca="false">IF(E1231="","",DATE(YEAR(E1231),MONTH(E1231),1))</f>
        <v/>
      </c>
      <c r="N1231" s="57" t="str">
        <f aca="false">IF(E1231="","","FY"&amp;(YEAR(E1231)+IF(AND(FYStart&gt;1,MONTH(E1231)&gt;=FYStart),1,0))&amp;" Q"&amp;(INT(MOD(MONTH(E1231)-FYStart,12)/3)+1))</f>
        <v/>
      </c>
      <c r="O1231" s="59" t="str">
        <f aca="false">IF(OR(E1231="",N(F1231)=0),"",G1231/F1231)</f>
        <v/>
      </c>
      <c r="P1231" s="60" t="str">
        <f aca="false">IF(E1231="","",ROUND(N(G1231)*N(H1231)/60,1))</f>
        <v/>
      </c>
      <c r="Q1231" s="57" t="str">
        <f aca="false">IF(E1231="","",IF(COUNTIFS($C$2:C1231,C1231,$E$2:E1231,E1231,$B$2:B1231,B1231)&gt;1,"No","Yes"))</f>
        <v/>
      </c>
      <c r="R1231" s="61" t="str">
        <f aca="false">IF(E1231="","",IF(Q1231="No","Duplicate of an earlier response",IF(L1231="Not on SITES","Site not on SITES",IF(N(G1231)&gt;N(F1231),"Present is more than enrolled",IF(OR(I1231&lt;1,I1231&gt;5),"Score outside 1 to 5","")))))</f>
        <v/>
      </c>
    </row>
    <row r="1232" customFormat="false" ht="15" hidden="false" customHeight="false" outlineLevel="0" collapsed="false">
      <c r="A1232" s="52"/>
      <c r="B1232" s="53"/>
      <c r="C1232" s="53"/>
      <c r="D1232" s="53"/>
      <c r="E1232" s="54"/>
      <c r="F1232" s="55"/>
      <c r="G1232" s="55"/>
      <c r="H1232" s="55"/>
      <c r="I1232" s="56"/>
      <c r="J1232" s="53"/>
      <c r="K1232" s="53"/>
      <c r="L1232" s="57" t="str">
        <f aca="false">IF(C1232="","",IFERROR(INDEX(site_ID,MATCH(C1232,site_Name,0)),"Not on SITES"))</f>
        <v/>
      </c>
      <c r="M1232" s="58" t="str">
        <f aca="false">IF(E1232="","",DATE(YEAR(E1232),MONTH(E1232),1))</f>
        <v/>
      </c>
      <c r="N1232" s="57" t="str">
        <f aca="false">IF(E1232="","","FY"&amp;(YEAR(E1232)+IF(AND(FYStart&gt;1,MONTH(E1232)&gt;=FYStart),1,0))&amp;" Q"&amp;(INT(MOD(MONTH(E1232)-FYStart,12)/3)+1))</f>
        <v/>
      </c>
      <c r="O1232" s="59" t="str">
        <f aca="false">IF(OR(E1232="",N(F1232)=0),"",G1232/F1232)</f>
        <v/>
      </c>
      <c r="P1232" s="60" t="str">
        <f aca="false">IF(E1232="","",ROUND(N(G1232)*N(H1232)/60,1))</f>
        <v/>
      </c>
      <c r="Q1232" s="57" t="str">
        <f aca="false">IF(E1232="","",IF(COUNTIFS($C$2:C1232,C1232,$E$2:E1232,E1232,$B$2:B1232,B1232)&gt;1,"No","Yes"))</f>
        <v/>
      </c>
      <c r="R1232" s="61" t="str">
        <f aca="false">IF(E1232="","",IF(Q1232="No","Duplicate of an earlier response",IF(L1232="Not on SITES","Site not on SITES",IF(N(G1232)&gt;N(F1232),"Present is more than enrolled",IF(OR(I1232&lt;1,I1232&gt;5),"Score outside 1 to 5","")))))</f>
        <v/>
      </c>
    </row>
    <row r="1233" customFormat="false" ht="15" hidden="false" customHeight="false" outlineLevel="0" collapsed="false">
      <c r="A1233" s="52"/>
      <c r="B1233" s="53"/>
      <c r="C1233" s="53"/>
      <c r="D1233" s="53"/>
      <c r="E1233" s="54"/>
      <c r="F1233" s="55"/>
      <c r="G1233" s="55"/>
      <c r="H1233" s="55"/>
      <c r="I1233" s="56"/>
      <c r="J1233" s="53"/>
      <c r="K1233" s="53"/>
      <c r="L1233" s="57" t="str">
        <f aca="false">IF(C1233="","",IFERROR(INDEX(site_ID,MATCH(C1233,site_Name,0)),"Not on SITES"))</f>
        <v/>
      </c>
      <c r="M1233" s="58" t="str">
        <f aca="false">IF(E1233="","",DATE(YEAR(E1233),MONTH(E1233),1))</f>
        <v/>
      </c>
      <c r="N1233" s="57" t="str">
        <f aca="false">IF(E1233="","","FY"&amp;(YEAR(E1233)+IF(AND(FYStart&gt;1,MONTH(E1233)&gt;=FYStart),1,0))&amp;" Q"&amp;(INT(MOD(MONTH(E1233)-FYStart,12)/3)+1))</f>
        <v/>
      </c>
      <c r="O1233" s="59" t="str">
        <f aca="false">IF(OR(E1233="",N(F1233)=0),"",G1233/F1233)</f>
        <v/>
      </c>
      <c r="P1233" s="60" t="str">
        <f aca="false">IF(E1233="","",ROUND(N(G1233)*N(H1233)/60,1))</f>
        <v/>
      </c>
      <c r="Q1233" s="57" t="str">
        <f aca="false">IF(E1233="","",IF(COUNTIFS($C$2:C1233,C1233,$E$2:E1233,E1233,$B$2:B1233,B1233)&gt;1,"No","Yes"))</f>
        <v/>
      </c>
      <c r="R1233" s="61" t="str">
        <f aca="false">IF(E1233="","",IF(Q1233="No","Duplicate of an earlier response",IF(L1233="Not on SITES","Site not on SITES",IF(N(G1233)&gt;N(F1233),"Present is more than enrolled",IF(OR(I1233&lt;1,I1233&gt;5),"Score outside 1 to 5","")))))</f>
        <v/>
      </c>
    </row>
    <row r="1234" customFormat="false" ht="15" hidden="false" customHeight="false" outlineLevel="0" collapsed="false">
      <c r="A1234" s="52"/>
      <c r="B1234" s="53"/>
      <c r="C1234" s="53"/>
      <c r="D1234" s="53"/>
      <c r="E1234" s="54"/>
      <c r="F1234" s="55"/>
      <c r="G1234" s="55"/>
      <c r="H1234" s="55"/>
      <c r="I1234" s="56"/>
      <c r="J1234" s="53"/>
      <c r="K1234" s="53"/>
      <c r="L1234" s="57" t="str">
        <f aca="false">IF(C1234="","",IFERROR(INDEX(site_ID,MATCH(C1234,site_Name,0)),"Not on SITES"))</f>
        <v/>
      </c>
      <c r="M1234" s="58" t="str">
        <f aca="false">IF(E1234="","",DATE(YEAR(E1234),MONTH(E1234),1))</f>
        <v/>
      </c>
      <c r="N1234" s="57" t="str">
        <f aca="false">IF(E1234="","","FY"&amp;(YEAR(E1234)+IF(AND(FYStart&gt;1,MONTH(E1234)&gt;=FYStart),1,0))&amp;" Q"&amp;(INT(MOD(MONTH(E1234)-FYStart,12)/3)+1))</f>
        <v/>
      </c>
      <c r="O1234" s="59" t="str">
        <f aca="false">IF(OR(E1234="",N(F1234)=0),"",G1234/F1234)</f>
        <v/>
      </c>
      <c r="P1234" s="60" t="str">
        <f aca="false">IF(E1234="","",ROUND(N(G1234)*N(H1234)/60,1))</f>
        <v/>
      </c>
      <c r="Q1234" s="57" t="str">
        <f aca="false">IF(E1234="","",IF(COUNTIFS($C$2:C1234,C1234,$E$2:E1234,E1234,$B$2:B1234,B1234)&gt;1,"No","Yes"))</f>
        <v/>
      </c>
      <c r="R1234" s="61" t="str">
        <f aca="false">IF(E1234="","",IF(Q1234="No","Duplicate of an earlier response",IF(L1234="Not on SITES","Site not on SITES",IF(N(G1234)&gt;N(F1234),"Present is more than enrolled",IF(OR(I1234&lt;1,I1234&gt;5),"Score outside 1 to 5","")))))</f>
        <v/>
      </c>
    </row>
    <row r="1235" customFormat="false" ht="15" hidden="false" customHeight="false" outlineLevel="0" collapsed="false">
      <c r="A1235" s="52"/>
      <c r="B1235" s="53"/>
      <c r="C1235" s="53"/>
      <c r="D1235" s="53"/>
      <c r="E1235" s="54"/>
      <c r="F1235" s="55"/>
      <c r="G1235" s="55"/>
      <c r="H1235" s="55"/>
      <c r="I1235" s="56"/>
      <c r="J1235" s="53"/>
      <c r="K1235" s="53"/>
      <c r="L1235" s="57" t="str">
        <f aca="false">IF(C1235="","",IFERROR(INDEX(site_ID,MATCH(C1235,site_Name,0)),"Not on SITES"))</f>
        <v/>
      </c>
      <c r="M1235" s="58" t="str">
        <f aca="false">IF(E1235="","",DATE(YEAR(E1235),MONTH(E1235),1))</f>
        <v/>
      </c>
      <c r="N1235" s="57" t="str">
        <f aca="false">IF(E1235="","","FY"&amp;(YEAR(E1235)+IF(AND(FYStart&gt;1,MONTH(E1235)&gt;=FYStart),1,0))&amp;" Q"&amp;(INT(MOD(MONTH(E1235)-FYStart,12)/3)+1))</f>
        <v/>
      </c>
      <c r="O1235" s="59" t="str">
        <f aca="false">IF(OR(E1235="",N(F1235)=0),"",G1235/F1235)</f>
        <v/>
      </c>
      <c r="P1235" s="60" t="str">
        <f aca="false">IF(E1235="","",ROUND(N(G1235)*N(H1235)/60,1))</f>
        <v/>
      </c>
      <c r="Q1235" s="57" t="str">
        <f aca="false">IF(E1235="","",IF(COUNTIFS($C$2:C1235,C1235,$E$2:E1235,E1235,$B$2:B1235,B1235)&gt;1,"No","Yes"))</f>
        <v/>
      </c>
      <c r="R1235" s="61" t="str">
        <f aca="false">IF(E1235="","",IF(Q1235="No","Duplicate of an earlier response",IF(L1235="Not on SITES","Site not on SITES",IF(N(G1235)&gt;N(F1235),"Present is more than enrolled",IF(OR(I1235&lt;1,I1235&gt;5),"Score outside 1 to 5","")))))</f>
        <v/>
      </c>
    </row>
    <row r="1236" customFormat="false" ht="15" hidden="false" customHeight="false" outlineLevel="0" collapsed="false">
      <c r="A1236" s="52"/>
      <c r="B1236" s="53"/>
      <c r="C1236" s="53"/>
      <c r="D1236" s="53"/>
      <c r="E1236" s="54"/>
      <c r="F1236" s="55"/>
      <c r="G1236" s="55"/>
      <c r="H1236" s="55"/>
      <c r="I1236" s="56"/>
      <c r="J1236" s="53"/>
      <c r="K1236" s="53"/>
      <c r="L1236" s="57" t="str">
        <f aca="false">IF(C1236="","",IFERROR(INDEX(site_ID,MATCH(C1236,site_Name,0)),"Not on SITES"))</f>
        <v/>
      </c>
      <c r="M1236" s="58" t="str">
        <f aca="false">IF(E1236="","",DATE(YEAR(E1236),MONTH(E1236),1))</f>
        <v/>
      </c>
      <c r="N1236" s="57" t="str">
        <f aca="false">IF(E1236="","","FY"&amp;(YEAR(E1236)+IF(AND(FYStart&gt;1,MONTH(E1236)&gt;=FYStart),1,0))&amp;" Q"&amp;(INT(MOD(MONTH(E1236)-FYStart,12)/3)+1))</f>
        <v/>
      </c>
      <c r="O1236" s="59" t="str">
        <f aca="false">IF(OR(E1236="",N(F1236)=0),"",G1236/F1236)</f>
        <v/>
      </c>
      <c r="P1236" s="60" t="str">
        <f aca="false">IF(E1236="","",ROUND(N(G1236)*N(H1236)/60,1))</f>
        <v/>
      </c>
      <c r="Q1236" s="57" t="str">
        <f aca="false">IF(E1236="","",IF(COUNTIFS($C$2:C1236,C1236,$E$2:E1236,E1236,$B$2:B1236,B1236)&gt;1,"No","Yes"))</f>
        <v/>
      </c>
      <c r="R1236" s="61" t="str">
        <f aca="false">IF(E1236="","",IF(Q1236="No","Duplicate of an earlier response",IF(L1236="Not on SITES","Site not on SITES",IF(N(G1236)&gt;N(F1236),"Present is more than enrolled",IF(OR(I1236&lt;1,I1236&gt;5),"Score outside 1 to 5","")))))</f>
        <v/>
      </c>
    </row>
    <row r="1237" customFormat="false" ht="15" hidden="false" customHeight="false" outlineLevel="0" collapsed="false">
      <c r="A1237" s="52"/>
      <c r="B1237" s="53"/>
      <c r="C1237" s="53"/>
      <c r="D1237" s="53"/>
      <c r="E1237" s="54"/>
      <c r="F1237" s="55"/>
      <c r="G1237" s="55"/>
      <c r="H1237" s="55"/>
      <c r="I1237" s="56"/>
      <c r="J1237" s="53"/>
      <c r="K1237" s="53"/>
      <c r="L1237" s="57" t="str">
        <f aca="false">IF(C1237="","",IFERROR(INDEX(site_ID,MATCH(C1237,site_Name,0)),"Not on SITES"))</f>
        <v/>
      </c>
      <c r="M1237" s="58" t="str">
        <f aca="false">IF(E1237="","",DATE(YEAR(E1237),MONTH(E1237),1))</f>
        <v/>
      </c>
      <c r="N1237" s="57" t="str">
        <f aca="false">IF(E1237="","","FY"&amp;(YEAR(E1237)+IF(AND(FYStart&gt;1,MONTH(E1237)&gt;=FYStart),1,0))&amp;" Q"&amp;(INT(MOD(MONTH(E1237)-FYStart,12)/3)+1))</f>
        <v/>
      </c>
      <c r="O1237" s="59" t="str">
        <f aca="false">IF(OR(E1237="",N(F1237)=0),"",G1237/F1237)</f>
        <v/>
      </c>
      <c r="P1237" s="60" t="str">
        <f aca="false">IF(E1237="","",ROUND(N(G1237)*N(H1237)/60,1))</f>
        <v/>
      </c>
      <c r="Q1237" s="57" t="str">
        <f aca="false">IF(E1237="","",IF(COUNTIFS($C$2:C1237,C1237,$E$2:E1237,E1237,$B$2:B1237,B1237)&gt;1,"No","Yes"))</f>
        <v/>
      </c>
      <c r="R1237" s="61" t="str">
        <f aca="false">IF(E1237="","",IF(Q1237="No","Duplicate of an earlier response",IF(L1237="Not on SITES","Site not on SITES",IF(N(G1237)&gt;N(F1237),"Present is more than enrolled",IF(OR(I1237&lt;1,I1237&gt;5),"Score outside 1 to 5","")))))</f>
        <v/>
      </c>
    </row>
    <row r="1238" customFormat="false" ht="15" hidden="false" customHeight="false" outlineLevel="0" collapsed="false">
      <c r="A1238" s="52"/>
      <c r="B1238" s="53"/>
      <c r="C1238" s="53"/>
      <c r="D1238" s="53"/>
      <c r="E1238" s="54"/>
      <c r="F1238" s="55"/>
      <c r="G1238" s="55"/>
      <c r="H1238" s="55"/>
      <c r="I1238" s="56"/>
      <c r="J1238" s="53"/>
      <c r="K1238" s="53"/>
      <c r="L1238" s="57" t="str">
        <f aca="false">IF(C1238="","",IFERROR(INDEX(site_ID,MATCH(C1238,site_Name,0)),"Not on SITES"))</f>
        <v/>
      </c>
      <c r="M1238" s="58" t="str">
        <f aca="false">IF(E1238="","",DATE(YEAR(E1238),MONTH(E1238),1))</f>
        <v/>
      </c>
      <c r="N1238" s="57" t="str">
        <f aca="false">IF(E1238="","","FY"&amp;(YEAR(E1238)+IF(AND(FYStart&gt;1,MONTH(E1238)&gt;=FYStart),1,0))&amp;" Q"&amp;(INT(MOD(MONTH(E1238)-FYStart,12)/3)+1))</f>
        <v/>
      </c>
      <c r="O1238" s="59" t="str">
        <f aca="false">IF(OR(E1238="",N(F1238)=0),"",G1238/F1238)</f>
        <v/>
      </c>
      <c r="P1238" s="60" t="str">
        <f aca="false">IF(E1238="","",ROUND(N(G1238)*N(H1238)/60,1))</f>
        <v/>
      </c>
      <c r="Q1238" s="57" t="str">
        <f aca="false">IF(E1238="","",IF(COUNTIFS($C$2:C1238,C1238,$E$2:E1238,E1238,$B$2:B1238,B1238)&gt;1,"No","Yes"))</f>
        <v/>
      </c>
      <c r="R1238" s="61" t="str">
        <f aca="false">IF(E1238="","",IF(Q1238="No","Duplicate of an earlier response",IF(L1238="Not on SITES","Site not on SITES",IF(N(G1238)&gt;N(F1238),"Present is more than enrolled",IF(OR(I1238&lt;1,I1238&gt;5),"Score outside 1 to 5","")))))</f>
        <v/>
      </c>
    </row>
    <row r="1239" customFormat="false" ht="15" hidden="false" customHeight="false" outlineLevel="0" collapsed="false">
      <c r="A1239" s="52"/>
      <c r="B1239" s="53"/>
      <c r="C1239" s="53"/>
      <c r="D1239" s="53"/>
      <c r="E1239" s="54"/>
      <c r="F1239" s="55"/>
      <c r="G1239" s="55"/>
      <c r="H1239" s="55"/>
      <c r="I1239" s="56"/>
      <c r="J1239" s="53"/>
      <c r="K1239" s="53"/>
      <c r="L1239" s="57" t="str">
        <f aca="false">IF(C1239="","",IFERROR(INDEX(site_ID,MATCH(C1239,site_Name,0)),"Not on SITES"))</f>
        <v/>
      </c>
      <c r="M1239" s="58" t="str">
        <f aca="false">IF(E1239="","",DATE(YEAR(E1239),MONTH(E1239),1))</f>
        <v/>
      </c>
      <c r="N1239" s="57" t="str">
        <f aca="false">IF(E1239="","","FY"&amp;(YEAR(E1239)+IF(AND(FYStart&gt;1,MONTH(E1239)&gt;=FYStart),1,0))&amp;" Q"&amp;(INT(MOD(MONTH(E1239)-FYStart,12)/3)+1))</f>
        <v/>
      </c>
      <c r="O1239" s="59" t="str">
        <f aca="false">IF(OR(E1239="",N(F1239)=0),"",G1239/F1239)</f>
        <v/>
      </c>
      <c r="P1239" s="60" t="str">
        <f aca="false">IF(E1239="","",ROUND(N(G1239)*N(H1239)/60,1))</f>
        <v/>
      </c>
      <c r="Q1239" s="57" t="str">
        <f aca="false">IF(E1239="","",IF(COUNTIFS($C$2:C1239,C1239,$E$2:E1239,E1239,$B$2:B1239,B1239)&gt;1,"No","Yes"))</f>
        <v/>
      </c>
      <c r="R1239" s="61" t="str">
        <f aca="false">IF(E1239="","",IF(Q1239="No","Duplicate of an earlier response",IF(L1239="Not on SITES","Site not on SITES",IF(N(G1239)&gt;N(F1239),"Present is more than enrolled",IF(OR(I1239&lt;1,I1239&gt;5),"Score outside 1 to 5","")))))</f>
        <v/>
      </c>
    </row>
    <row r="1240" customFormat="false" ht="15" hidden="false" customHeight="false" outlineLevel="0" collapsed="false">
      <c r="A1240" s="52"/>
      <c r="B1240" s="53"/>
      <c r="C1240" s="53"/>
      <c r="D1240" s="53"/>
      <c r="E1240" s="54"/>
      <c r="F1240" s="55"/>
      <c r="G1240" s="55"/>
      <c r="H1240" s="55"/>
      <c r="I1240" s="56"/>
      <c r="J1240" s="53"/>
      <c r="K1240" s="53"/>
      <c r="L1240" s="57" t="str">
        <f aca="false">IF(C1240="","",IFERROR(INDEX(site_ID,MATCH(C1240,site_Name,0)),"Not on SITES"))</f>
        <v/>
      </c>
      <c r="M1240" s="58" t="str">
        <f aca="false">IF(E1240="","",DATE(YEAR(E1240),MONTH(E1240),1))</f>
        <v/>
      </c>
      <c r="N1240" s="57" t="str">
        <f aca="false">IF(E1240="","","FY"&amp;(YEAR(E1240)+IF(AND(FYStart&gt;1,MONTH(E1240)&gt;=FYStart),1,0))&amp;" Q"&amp;(INT(MOD(MONTH(E1240)-FYStart,12)/3)+1))</f>
        <v/>
      </c>
      <c r="O1240" s="59" t="str">
        <f aca="false">IF(OR(E1240="",N(F1240)=0),"",G1240/F1240)</f>
        <v/>
      </c>
      <c r="P1240" s="60" t="str">
        <f aca="false">IF(E1240="","",ROUND(N(G1240)*N(H1240)/60,1))</f>
        <v/>
      </c>
      <c r="Q1240" s="57" t="str">
        <f aca="false">IF(E1240="","",IF(COUNTIFS($C$2:C1240,C1240,$E$2:E1240,E1240,$B$2:B1240,B1240)&gt;1,"No","Yes"))</f>
        <v/>
      </c>
      <c r="R1240" s="61" t="str">
        <f aca="false">IF(E1240="","",IF(Q1240="No","Duplicate of an earlier response",IF(L1240="Not on SITES","Site not on SITES",IF(N(G1240)&gt;N(F1240),"Present is more than enrolled",IF(OR(I1240&lt;1,I1240&gt;5),"Score outside 1 to 5","")))))</f>
        <v/>
      </c>
    </row>
    <row r="1241" customFormat="false" ht="15" hidden="false" customHeight="false" outlineLevel="0" collapsed="false">
      <c r="A1241" s="52"/>
      <c r="B1241" s="53"/>
      <c r="C1241" s="53"/>
      <c r="D1241" s="53"/>
      <c r="E1241" s="54"/>
      <c r="F1241" s="55"/>
      <c r="G1241" s="55"/>
      <c r="H1241" s="55"/>
      <c r="I1241" s="56"/>
      <c r="J1241" s="53"/>
      <c r="K1241" s="53"/>
      <c r="L1241" s="57" t="str">
        <f aca="false">IF(C1241="","",IFERROR(INDEX(site_ID,MATCH(C1241,site_Name,0)),"Not on SITES"))</f>
        <v/>
      </c>
      <c r="M1241" s="58" t="str">
        <f aca="false">IF(E1241="","",DATE(YEAR(E1241),MONTH(E1241),1))</f>
        <v/>
      </c>
      <c r="N1241" s="57" t="str">
        <f aca="false">IF(E1241="","","FY"&amp;(YEAR(E1241)+IF(AND(FYStart&gt;1,MONTH(E1241)&gt;=FYStart),1,0))&amp;" Q"&amp;(INT(MOD(MONTH(E1241)-FYStart,12)/3)+1))</f>
        <v/>
      </c>
      <c r="O1241" s="59" t="str">
        <f aca="false">IF(OR(E1241="",N(F1241)=0),"",G1241/F1241)</f>
        <v/>
      </c>
      <c r="P1241" s="60" t="str">
        <f aca="false">IF(E1241="","",ROUND(N(G1241)*N(H1241)/60,1))</f>
        <v/>
      </c>
      <c r="Q1241" s="57" t="str">
        <f aca="false">IF(E1241="","",IF(COUNTIFS($C$2:C1241,C1241,$E$2:E1241,E1241,$B$2:B1241,B1241)&gt;1,"No","Yes"))</f>
        <v/>
      </c>
      <c r="R1241" s="61" t="str">
        <f aca="false">IF(E1241="","",IF(Q1241="No","Duplicate of an earlier response",IF(L1241="Not on SITES","Site not on SITES",IF(N(G1241)&gt;N(F1241),"Present is more than enrolled",IF(OR(I1241&lt;1,I1241&gt;5),"Score outside 1 to 5","")))))</f>
        <v/>
      </c>
    </row>
    <row r="1242" customFormat="false" ht="15" hidden="false" customHeight="false" outlineLevel="0" collapsed="false">
      <c r="A1242" s="52"/>
      <c r="B1242" s="53"/>
      <c r="C1242" s="53"/>
      <c r="D1242" s="53"/>
      <c r="E1242" s="54"/>
      <c r="F1242" s="55"/>
      <c r="G1242" s="55"/>
      <c r="H1242" s="55"/>
      <c r="I1242" s="56"/>
      <c r="J1242" s="53"/>
      <c r="K1242" s="53"/>
      <c r="L1242" s="57" t="str">
        <f aca="false">IF(C1242="","",IFERROR(INDEX(site_ID,MATCH(C1242,site_Name,0)),"Not on SITES"))</f>
        <v/>
      </c>
      <c r="M1242" s="58" t="str">
        <f aca="false">IF(E1242="","",DATE(YEAR(E1242),MONTH(E1242),1))</f>
        <v/>
      </c>
      <c r="N1242" s="57" t="str">
        <f aca="false">IF(E1242="","","FY"&amp;(YEAR(E1242)+IF(AND(FYStart&gt;1,MONTH(E1242)&gt;=FYStart),1,0))&amp;" Q"&amp;(INT(MOD(MONTH(E1242)-FYStart,12)/3)+1))</f>
        <v/>
      </c>
      <c r="O1242" s="59" t="str">
        <f aca="false">IF(OR(E1242="",N(F1242)=0),"",G1242/F1242)</f>
        <v/>
      </c>
      <c r="P1242" s="60" t="str">
        <f aca="false">IF(E1242="","",ROUND(N(G1242)*N(H1242)/60,1))</f>
        <v/>
      </c>
      <c r="Q1242" s="57" t="str">
        <f aca="false">IF(E1242="","",IF(COUNTIFS($C$2:C1242,C1242,$E$2:E1242,E1242,$B$2:B1242,B1242)&gt;1,"No","Yes"))</f>
        <v/>
      </c>
      <c r="R1242" s="61" t="str">
        <f aca="false">IF(E1242="","",IF(Q1242="No","Duplicate of an earlier response",IF(L1242="Not on SITES","Site not on SITES",IF(N(G1242)&gt;N(F1242),"Present is more than enrolled",IF(OR(I1242&lt;1,I1242&gt;5),"Score outside 1 to 5","")))))</f>
        <v/>
      </c>
    </row>
    <row r="1243" customFormat="false" ht="15" hidden="false" customHeight="false" outlineLevel="0" collapsed="false">
      <c r="A1243" s="52"/>
      <c r="B1243" s="53"/>
      <c r="C1243" s="53"/>
      <c r="D1243" s="53"/>
      <c r="E1243" s="54"/>
      <c r="F1243" s="55"/>
      <c r="G1243" s="55"/>
      <c r="H1243" s="55"/>
      <c r="I1243" s="56"/>
      <c r="J1243" s="53"/>
      <c r="K1243" s="53"/>
      <c r="L1243" s="57" t="str">
        <f aca="false">IF(C1243="","",IFERROR(INDEX(site_ID,MATCH(C1243,site_Name,0)),"Not on SITES"))</f>
        <v/>
      </c>
      <c r="M1243" s="58" t="str">
        <f aca="false">IF(E1243="","",DATE(YEAR(E1243),MONTH(E1243),1))</f>
        <v/>
      </c>
      <c r="N1243" s="57" t="str">
        <f aca="false">IF(E1243="","","FY"&amp;(YEAR(E1243)+IF(AND(FYStart&gt;1,MONTH(E1243)&gt;=FYStart),1,0))&amp;" Q"&amp;(INT(MOD(MONTH(E1243)-FYStart,12)/3)+1))</f>
        <v/>
      </c>
      <c r="O1243" s="59" t="str">
        <f aca="false">IF(OR(E1243="",N(F1243)=0),"",G1243/F1243)</f>
        <v/>
      </c>
      <c r="P1243" s="60" t="str">
        <f aca="false">IF(E1243="","",ROUND(N(G1243)*N(H1243)/60,1))</f>
        <v/>
      </c>
      <c r="Q1243" s="57" t="str">
        <f aca="false">IF(E1243="","",IF(COUNTIFS($C$2:C1243,C1243,$E$2:E1243,E1243,$B$2:B1243,B1243)&gt;1,"No","Yes"))</f>
        <v/>
      </c>
      <c r="R1243" s="61" t="str">
        <f aca="false">IF(E1243="","",IF(Q1243="No","Duplicate of an earlier response",IF(L1243="Not on SITES","Site not on SITES",IF(N(G1243)&gt;N(F1243),"Present is more than enrolled",IF(OR(I1243&lt;1,I1243&gt;5),"Score outside 1 to 5","")))))</f>
        <v/>
      </c>
    </row>
    <row r="1244" customFormat="false" ht="15" hidden="false" customHeight="false" outlineLevel="0" collapsed="false">
      <c r="A1244" s="52"/>
      <c r="B1244" s="53"/>
      <c r="C1244" s="53"/>
      <c r="D1244" s="53"/>
      <c r="E1244" s="54"/>
      <c r="F1244" s="55"/>
      <c r="G1244" s="55"/>
      <c r="H1244" s="55"/>
      <c r="I1244" s="56"/>
      <c r="J1244" s="53"/>
      <c r="K1244" s="53"/>
      <c r="L1244" s="57" t="str">
        <f aca="false">IF(C1244="","",IFERROR(INDEX(site_ID,MATCH(C1244,site_Name,0)),"Not on SITES"))</f>
        <v/>
      </c>
      <c r="M1244" s="58" t="str">
        <f aca="false">IF(E1244="","",DATE(YEAR(E1244),MONTH(E1244),1))</f>
        <v/>
      </c>
      <c r="N1244" s="57" t="str">
        <f aca="false">IF(E1244="","","FY"&amp;(YEAR(E1244)+IF(AND(FYStart&gt;1,MONTH(E1244)&gt;=FYStart),1,0))&amp;" Q"&amp;(INT(MOD(MONTH(E1244)-FYStart,12)/3)+1))</f>
        <v/>
      </c>
      <c r="O1244" s="59" t="str">
        <f aca="false">IF(OR(E1244="",N(F1244)=0),"",G1244/F1244)</f>
        <v/>
      </c>
      <c r="P1244" s="60" t="str">
        <f aca="false">IF(E1244="","",ROUND(N(G1244)*N(H1244)/60,1))</f>
        <v/>
      </c>
      <c r="Q1244" s="57" t="str">
        <f aca="false">IF(E1244="","",IF(COUNTIFS($C$2:C1244,C1244,$E$2:E1244,E1244,$B$2:B1244,B1244)&gt;1,"No","Yes"))</f>
        <v/>
      </c>
      <c r="R1244" s="61" t="str">
        <f aca="false">IF(E1244="","",IF(Q1244="No","Duplicate of an earlier response",IF(L1244="Not on SITES","Site not on SITES",IF(N(G1244)&gt;N(F1244),"Present is more than enrolled",IF(OR(I1244&lt;1,I1244&gt;5),"Score outside 1 to 5","")))))</f>
        <v/>
      </c>
    </row>
    <row r="1245" customFormat="false" ht="15" hidden="false" customHeight="false" outlineLevel="0" collapsed="false">
      <c r="A1245" s="52"/>
      <c r="B1245" s="53"/>
      <c r="C1245" s="53"/>
      <c r="D1245" s="53"/>
      <c r="E1245" s="54"/>
      <c r="F1245" s="55"/>
      <c r="G1245" s="55"/>
      <c r="H1245" s="55"/>
      <c r="I1245" s="56"/>
      <c r="J1245" s="53"/>
      <c r="K1245" s="53"/>
      <c r="L1245" s="57" t="str">
        <f aca="false">IF(C1245="","",IFERROR(INDEX(site_ID,MATCH(C1245,site_Name,0)),"Not on SITES"))</f>
        <v/>
      </c>
      <c r="M1245" s="58" t="str">
        <f aca="false">IF(E1245="","",DATE(YEAR(E1245),MONTH(E1245),1))</f>
        <v/>
      </c>
      <c r="N1245" s="57" t="str">
        <f aca="false">IF(E1245="","","FY"&amp;(YEAR(E1245)+IF(AND(FYStart&gt;1,MONTH(E1245)&gt;=FYStart),1,0))&amp;" Q"&amp;(INT(MOD(MONTH(E1245)-FYStart,12)/3)+1))</f>
        <v/>
      </c>
      <c r="O1245" s="59" t="str">
        <f aca="false">IF(OR(E1245="",N(F1245)=0),"",G1245/F1245)</f>
        <v/>
      </c>
      <c r="P1245" s="60" t="str">
        <f aca="false">IF(E1245="","",ROUND(N(G1245)*N(H1245)/60,1))</f>
        <v/>
      </c>
      <c r="Q1245" s="57" t="str">
        <f aca="false">IF(E1245="","",IF(COUNTIFS($C$2:C1245,C1245,$E$2:E1245,E1245,$B$2:B1245,B1245)&gt;1,"No","Yes"))</f>
        <v/>
      </c>
      <c r="R1245" s="61" t="str">
        <f aca="false">IF(E1245="","",IF(Q1245="No","Duplicate of an earlier response",IF(L1245="Not on SITES","Site not on SITES",IF(N(G1245)&gt;N(F1245),"Present is more than enrolled",IF(OR(I1245&lt;1,I1245&gt;5),"Score outside 1 to 5","")))))</f>
        <v/>
      </c>
    </row>
    <row r="1246" customFormat="false" ht="15" hidden="false" customHeight="false" outlineLevel="0" collapsed="false">
      <c r="A1246" s="52"/>
      <c r="B1246" s="53"/>
      <c r="C1246" s="53"/>
      <c r="D1246" s="53"/>
      <c r="E1246" s="54"/>
      <c r="F1246" s="55"/>
      <c r="G1246" s="55"/>
      <c r="H1246" s="55"/>
      <c r="I1246" s="56"/>
      <c r="J1246" s="53"/>
      <c r="K1246" s="53"/>
      <c r="L1246" s="57" t="str">
        <f aca="false">IF(C1246="","",IFERROR(INDEX(site_ID,MATCH(C1246,site_Name,0)),"Not on SITES"))</f>
        <v/>
      </c>
      <c r="M1246" s="58" t="str">
        <f aca="false">IF(E1246="","",DATE(YEAR(E1246),MONTH(E1246),1))</f>
        <v/>
      </c>
      <c r="N1246" s="57" t="str">
        <f aca="false">IF(E1246="","","FY"&amp;(YEAR(E1246)+IF(AND(FYStart&gt;1,MONTH(E1246)&gt;=FYStart),1,0))&amp;" Q"&amp;(INT(MOD(MONTH(E1246)-FYStart,12)/3)+1))</f>
        <v/>
      </c>
      <c r="O1246" s="59" t="str">
        <f aca="false">IF(OR(E1246="",N(F1246)=0),"",G1246/F1246)</f>
        <v/>
      </c>
      <c r="P1246" s="60" t="str">
        <f aca="false">IF(E1246="","",ROUND(N(G1246)*N(H1246)/60,1))</f>
        <v/>
      </c>
      <c r="Q1246" s="57" t="str">
        <f aca="false">IF(E1246="","",IF(COUNTIFS($C$2:C1246,C1246,$E$2:E1246,E1246,$B$2:B1246,B1246)&gt;1,"No","Yes"))</f>
        <v/>
      </c>
      <c r="R1246" s="61" t="str">
        <f aca="false">IF(E1246="","",IF(Q1246="No","Duplicate of an earlier response",IF(L1246="Not on SITES","Site not on SITES",IF(N(G1246)&gt;N(F1246),"Present is more than enrolled",IF(OR(I1246&lt;1,I1246&gt;5),"Score outside 1 to 5","")))))</f>
        <v/>
      </c>
    </row>
    <row r="1247" customFormat="false" ht="15" hidden="false" customHeight="false" outlineLevel="0" collapsed="false">
      <c r="A1247" s="52"/>
      <c r="B1247" s="53"/>
      <c r="C1247" s="53"/>
      <c r="D1247" s="53"/>
      <c r="E1247" s="54"/>
      <c r="F1247" s="55"/>
      <c r="G1247" s="55"/>
      <c r="H1247" s="55"/>
      <c r="I1247" s="56"/>
      <c r="J1247" s="53"/>
      <c r="K1247" s="53"/>
      <c r="L1247" s="57" t="str">
        <f aca="false">IF(C1247="","",IFERROR(INDEX(site_ID,MATCH(C1247,site_Name,0)),"Not on SITES"))</f>
        <v/>
      </c>
      <c r="M1247" s="58" t="str">
        <f aca="false">IF(E1247="","",DATE(YEAR(E1247),MONTH(E1247),1))</f>
        <v/>
      </c>
      <c r="N1247" s="57" t="str">
        <f aca="false">IF(E1247="","","FY"&amp;(YEAR(E1247)+IF(AND(FYStart&gt;1,MONTH(E1247)&gt;=FYStart),1,0))&amp;" Q"&amp;(INT(MOD(MONTH(E1247)-FYStart,12)/3)+1))</f>
        <v/>
      </c>
      <c r="O1247" s="59" t="str">
        <f aca="false">IF(OR(E1247="",N(F1247)=0),"",G1247/F1247)</f>
        <v/>
      </c>
      <c r="P1247" s="60" t="str">
        <f aca="false">IF(E1247="","",ROUND(N(G1247)*N(H1247)/60,1))</f>
        <v/>
      </c>
      <c r="Q1247" s="57" t="str">
        <f aca="false">IF(E1247="","",IF(COUNTIFS($C$2:C1247,C1247,$E$2:E1247,E1247,$B$2:B1247,B1247)&gt;1,"No","Yes"))</f>
        <v/>
      </c>
      <c r="R1247" s="61" t="str">
        <f aca="false">IF(E1247="","",IF(Q1247="No","Duplicate of an earlier response",IF(L1247="Not on SITES","Site not on SITES",IF(N(G1247)&gt;N(F1247),"Present is more than enrolled",IF(OR(I1247&lt;1,I1247&gt;5),"Score outside 1 to 5","")))))</f>
        <v/>
      </c>
    </row>
    <row r="1248" customFormat="false" ht="15" hidden="false" customHeight="false" outlineLevel="0" collapsed="false">
      <c r="A1248" s="52"/>
      <c r="B1248" s="53"/>
      <c r="C1248" s="53"/>
      <c r="D1248" s="53"/>
      <c r="E1248" s="54"/>
      <c r="F1248" s="55"/>
      <c r="G1248" s="55"/>
      <c r="H1248" s="55"/>
      <c r="I1248" s="56"/>
      <c r="J1248" s="53"/>
      <c r="K1248" s="53"/>
      <c r="L1248" s="57" t="str">
        <f aca="false">IF(C1248="","",IFERROR(INDEX(site_ID,MATCH(C1248,site_Name,0)),"Not on SITES"))</f>
        <v/>
      </c>
      <c r="M1248" s="58" t="str">
        <f aca="false">IF(E1248="","",DATE(YEAR(E1248),MONTH(E1248),1))</f>
        <v/>
      </c>
      <c r="N1248" s="57" t="str">
        <f aca="false">IF(E1248="","","FY"&amp;(YEAR(E1248)+IF(AND(FYStart&gt;1,MONTH(E1248)&gt;=FYStart),1,0))&amp;" Q"&amp;(INT(MOD(MONTH(E1248)-FYStart,12)/3)+1))</f>
        <v/>
      </c>
      <c r="O1248" s="59" t="str">
        <f aca="false">IF(OR(E1248="",N(F1248)=0),"",G1248/F1248)</f>
        <v/>
      </c>
      <c r="P1248" s="60" t="str">
        <f aca="false">IF(E1248="","",ROUND(N(G1248)*N(H1248)/60,1))</f>
        <v/>
      </c>
      <c r="Q1248" s="57" t="str">
        <f aca="false">IF(E1248="","",IF(COUNTIFS($C$2:C1248,C1248,$E$2:E1248,E1248,$B$2:B1248,B1248)&gt;1,"No","Yes"))</f>
        <v/>
      </c>
      <c r="R1248" s="61" t="str">
        <f aca="false">IF(E1248="","",IF(Q1248="No","Duplicate of an earlier response",IF(L1248="Not on SITES","Site not on SITES",IF(N(G1248)&gt;N(F1248),"Present is more than enrolled",IF(OR(I1248&lt;1,I1248&gt;5),"Score outside 1 to 5","")))))</f>
        <v/>
      </c>
    </row>
    <row r="1249" customFormat="false" ht="15" hidden="false" customHeight="false" outlineLevel="0" collapsed="false">
      <c r="A1249" s="52"/>
      <c r="B1249" s="53"/>
      <c r="C1249" s="53"/>
      <c r="D1249" s="53"/>
      <c r="E1249" s="54"/>
      <c r="F1249" s="55"/>
      <c r="G1249" s="55"/>
      <c r="H1249" s="55"/>
      <c r="I1249" s="56"/>
      <c r="J1249" s="53"/>
      <c r="K1249" s="53"/>
      <c r="L1249" s="57" t="str">
        <f aca="false">IF(C1249="","",IFERROR(INDEX(site_ID,MATCH(C1249,site_Name,0)),"Not on SITES"))</f>
        <v/>
      </c>
      <c r="M1249" s="58" t="str">
        <f aca="false">IF(E1249="","",DATE(YEAR(E1249),MONTH(E1249),1))</f>
        <v/>
      </c>
      <c r="N1249" s="57" t="str">
        <f aca="false">IF(E1249="","","FY"&amp;(YEAR(E1249)+IF(AND(FYStart&gt;1,MONTH(E1249)&gt;=FYStart),1,0))&amp;" Q"&amp;(INT(MOD(MONTH(E1249)-FYStart,12)/3)+1))</f>
        <v/>
      </c>
      <c r="O1249" s="59" t="str">
        <f aca="false">IF(OR(E1249="",N(F1249)=0),"",G1249/F1249)</f>
        <v/>
      </c>
      <c r="P1249" s="60" t="str">
        <f aca="false">IF(E1249="","",ROUND(N(G1249)*N(H1249)/60,1))</f>
        <v/>
      </c>
      <c r="Q1249" s="57" t="str">
        <f aca="false">IF(E1249="","",IF(COUNTIFS($C$2:C1249,C1249,$E$2:E1249,E1249,$B$2:B1249,B1249)&gt;1,"No","Yes"))</f>
        <v/>
      </c>
      <c r="R1249" s="61" t="str">
        <f aca="false">IF(E1249="","",IF(Q1249="No","Duplicate of an earlier response",IF(L1249="Not on SITES","Site not on SITES",IF(N(G1249)&gt;N(F1249),"Present is more than enrolled",IF(OR(I1249&lt;1,I1249&gt;5),"Score outside 1 to 5","")))))</f>
        <v/>
      </c>
    </row>
    <row r="1250" customFormat="false" ht="15" hidden="false" customHeight="false" outlineLevel="0" collapsed="false">
      <c r="A1250" s="52"/>
      <c r="B1250" s="53"/>
      <c r="C1250" s="53"/>
      <c r="D1250" s="53"/>
      <c r="E1250" s="54"/>
      <c r="F1250" s="55"/>
      <c r="G1250" s="55"/>
      <c r="H1250" s="55"/>
      <c r="I1250" s="56"/>
      <c r="J1250" s="53"/>
      <c r="K1250" s="53"/>
      <c r="L1250" s="57" t="str">
        <f aca="false">IF(C1250="","",IFERROR(INDEX(site_ID,MATCH(C1250,site_Name,0)),"Not on SITES"))</f>
        <v/>
      </c>
      <c r="M1250" s="58" t="str">
        <f aca="false">IF(E1250="","",DATE(YEAR(E1250),MONTH(E1250),1))</f>
        <v/>
      </c>
      <c r="N1250" s="57" t="str">
        <f aca="false">IF(E1250="","","FY"&amp;(YEAR(E1250)+IF(AND(FYStart&gt;1,MONTH(E1250)&gt;=FYStart),1,0))&amp;" Q"&amp;(INT(MOD(MONTH(E1250)-FYStart,12)/3)+1))</f>
        <v/>
      </c>
      <c r="O1250" s="59" t="str">
        <f aca="false">IF(OR(E1250="",N(F1250)=0),"",G1250/F1250)</f>
        <v/>
      </c>
      <c r="P1250" s="60" t="str">
        <f aca="false">IF(E1250="","",ROUND(N(G1250)*N(H1250)/60,1))</f>
        <v/>
      </c>
      <c r="Q1250" s="57" t="str">
        <f aca="false">IF(E1250="","",IF(COUNTIFS($C$2:C1250,C1250,$E$2:E1250,E1250,$B$2:B1250,B1250)&gt;1,"No","Yes"))</f>
        <v/>
      </c>
      <c r="R1250" s="61" t="str">
        <f aca="false">IF(E1250="","",IF(Q1250="No","Duplicate of an earlier response",IF(L1250="Not on SITES","Site not on SITES",IF(N(G1250)&gt;N(F1250),"Present is more than enrolled",IF(OR(I1250&lt;1,I1250&gt;5),"Score outside 1 to 5","")))))</f>
        <v/>
      </c>
    </row>
    <row r="1251" customFormat="false" ht="15" hidden="false" customHeight="false" outlineLevel="0" collapsed="false">
      <c r="A1251" s="52"/>
      <c r="B1251" s="53"/>
      <c r="C1251" s="53"/>
      <c r="D1251" s="53"/>
      <c r="E1251" s="54"/>
      <c r="F1251" s="55"/>
      <c r="G1251" s="55"/>
      <c r="H1251" s="55"/>
      <c r="I1251" s="56"/>
      <c r="J1251" s="53"/>
      <c r="K1251" s="53"/>
      <c r="L1251" s="57" t="str">
        <f aca="false">IF(C1251="","",IFERROR(INDEX(site_ID,MATCH(C1251,site_Name,0)),"Not on SITES"))</f>
        <v/>
      </c>
      <c r="M1251" s="58" t="str">
        <f aca="false">IF(E1251="","",DATE(YEAR(E1251),MONTH(E1251),1))</f>
        <v/>
      </c>
      <c r="N1251" s="57" t="str">
        <f aca="false">IF(E1251="","","FY"&amp;(YEAR(E1251)+IF(AND(FYStart&gt;1,MONTH(E1251)&gt;=FYStart),1,0))&amp;" Q"&amp;(INT(MOD(MONTH(E1251)-FYStart,12)/3)+1))</f>
        <v/>
      </c>
      <c r="O1251" s="59" t="str">
        <f aca="false">IF(OR(E1251="",N(F1251)=0),"",G1251/F1251)</f>
        <v/>
      </c>
      <c r="P1251" s="60" t="str">
        <f aca="false">IF(E1251="","",ROUND(N(G1251)*N(H1251)/60,1))</f>
        <v/>
      </c>
      <c r="Q1251" s="57" t="str">
        <f aca="false">IF(E1251="","",IF(COUNTIFS($C$2:C1251,C1251,$E$2:E1251,E1251,$B$2:B1251,B1251)&gt;1,"No","Yes"))</f>
        <v/>
      </c>
      <c r="R1251" s="61" t="str">
        <f aca="false">IF(E1251="","",IF(Q1251="No","Duplicate of an earlier response",IF(L1251="Not on SITES","Site not on SITES",IF(N(G1251)&gt;N(F1251),"Present is more than enrolled",IF(OR(I1251&lt;1,I1251&gt;5),"Score outside 1 to 5","")))))</f>
        <v/>
      </c>
    </row>
    <row r="1252" customFormat="false" ht="15" hidden="false" customHeight="false" outlineLevel="0" collapsed="false">
      <c r="A1252" s="52"/>
      <c r="B1252" s="53"/>
      <c r="C1252" s="53"/>
      <c r="D1252" s="53"/>
      <c r="E1252" s="54"/>
      <c r="F1252" s="55"/>
      <c r="G1252" s="55"/>
      <c r="H1252" s="55"/>
      <c r="I1252" s="56"/>
      <c r="J1252" s="53"/>
      <c r="K1252" s="53"/>
      <c r="L1252" s="57" t="str">
        <f aca="false">IF(C1252="","",IFERROR(INDEX(site_ID,MATCH(C1252,site_Name,0)),"Not on SITES"))</f>
        <v/>
      </c>
      <c r="M1252" s="58" t="str">
        <f aca="false">IF(E1252="","",DATE(YEAR(E1252),MONTH(E1252),1))</f>
        <v/>
      </c>
      <c r="N1252" s="57" t="str">
        <f aca="false">IF(E1252="","","FY"&amp;(YEAR(E1252)+IF(AND(FYStart&gt;1,MONTH(E1252)&gt;=FYStart),1,0))&amp;" Q"&amp;(INT(MOD(MONTH(E1252)-FYStart,12)/3)+1))</f>
        <v/>
      </c>
      <c r="O1252" s="59" t="str">
        <f aca="false">IF(OR(E1252="",N(F1252)=0),"",G1252/F1252)</f>
        <v/>
      </c>
      <c r="P1252" s="60" t="str">
        <f aca="false">IF(E1252="","",ROUND(N(G1252)*N(H1252)/60,1))</f>
        <v/>
      </c>
      <c r="Q1252" s="57" t="str">
        <f aca="false">IF(E1252="","",IF(COUNTIFS($C$2:C1252,C1252,$E$2:E1252,E1252,$B$2:B1252,B1252)&gt;1,"No","Yes"))</f>
        <v/>
      </c>
      <c r="R1252" s="61" t="str">
        <f aca="false">IF(E1252="","",IF(Q1252="No","Duplicate of an earlier response",IF(L1252="Not on SITES","Site not on SITES",IF(N(G1252)&gt;N(F1252),"Present is more than enrolled",IF(OR(I1252&lt;1,I1252&gt;5),"Score outside 1 to 5","")))))</f>
        <v/>
      </c>
    </row>
    <row r="1253" customFormat="false" ht="15" hidden="false" customHeight="false" outlineLevel="0" collapsed="false">
      <c r="A1253" s="52"/>
      <c r="B1253" s="53"/>
      <c r="C1253" s="53"/>
      <c r="D1253" s="53"/>
      <c r="E1253" s="54"/>
      <c r="F1253" s="55"/>
      <c r="G1253" s="55"/>
      <c r="H1253" s="55"/>
      <c r="I1253" s="56"/>
      <c r="J1253" s="53"/>
      <c r="K1253" s="53"/>
      <c r="L1253" s="57" t="str">
        <f aca="false">IF(C1253="","",IFERROR(INDEX(site_ID,MATCH(C1253,site_Name,0)),"Not on SITES"))</f>
        <v/>
      </c>
      <c r="M1253" s="58" t="str">
        <f aca="false">IF(E1253="","",DATE(YEAR(E1253),MONTH(E1253),1))</f>
        <v/>
      </c>
      <c r="N1253" s="57" t="str">
        <f aca="false">IF(E1253="","","FY"&amp;(YEAR(E1253)+IF(AND(FYStart&gt;1,MONTH(E1253)&gt;=FYStart),1,0))&amp;" Q"&amp;(INT(MOD(MONTH(E1253)-FYStart,12)/3)+1))</f>
        <v/>
      </c>
      <c r="O1253" s="59" t="str">
        <f aca="false">IF(OR(E1253="",N(F1253)=0),"",G1253/F1253)</f>
        <v/>
      </c>
      <c r="P1253" s="60" t="str">
        <f aca="false">IF(E1253="","",ROUND(N(G1253)*N(H1253)/60,1))</f>
        <v/>
      </c>
      <c r="Q1253" s="57" t="str">
        <f aca="false">IF(E1253="","",IF(COUNTIFS($C$2:C1253,C1253,$E$2:E1253,E1253,$B$2:B1253,B1253)&gt;1,"No","Yes"))</f>
        <v/>
      </c>
      <c r="R1253" s="61" t="str">
        <f aca="false">IF(E1253="","",IF(Q1253="No","Duplicate of an earlier response",IF(L1253="Not on SITES","Site not on SITES",IF(N(G1253)&gt;N(F1253),"Present is more than enrolled",IF(OR(I1253&lt;1,I1253&gt;5),"Score outside 1 to 5","")))))</f>
        <v/>
      </c>
    </row>
    <row r="1254" customFormat="false" ht="15" hidden="false" customHeight="false" outlineLevel="0" collapsed="false">
      <c r="A1254" s="52"/>
      <c r="B1254" s="53"/>
      <c r="C1254" s="53"/>
      <c r="D1254" s="53"/>
      <c r="E1254" s="54"/>
      <c r="F1254" s="55"/>
      <c r="G1254" s="55"/>
      <c r="H1254" s="55"/>
      <c r="I1254" s="56"/>
      <c r="J1254" s="53"/>
      <c r="K1254" s="53"/>
      <c r="L1254" s="57" t="str">
        <f aca="false">IF(C1254="","",IFERROR(INDEX(site_ID,MATCH(C1254,site_Name,0)),"Not on SITES"))</f>
        <v/>
      </c>
      <c r="M1254" s="58" t="str">
        <f aca="false">IF(E1254="","",DATE(YEAR(E1254),MONTH(E1254),1))</f>
        <v/>
      </c>
      <c r="N1254" s="57" t="str">
        <f aca="false">IF(E1254="","","FY"&amp;(YEAR(E1254)+IF(AND(FYStart&gt;1,MONTH(E1254)&gt;=FYStart),1,0))&amp;" Q"&amp;(INT(MOD(MONTH(E1254)-FYStart,12)/3)+1))</f>
        <v/>
      </c>
      <c r="O1254" s="59" t="str">
        <f aca="false">IF(OR(E1254="",N(F1254)=0),"",G1254/F1254)</f>
        <v/>
      </c>
      <c r="P1254" s="60" t="str">
        <f aca="false">IF(E1254="","",ROUND(N(G1254)*N(H1254)/60,1))</f>
        <v/>
      </c>
      <c r="Q1254" s="57" t="str">
        <f aca="false">IF(E1254="","",IF(COUNTIFS($C$2:C1254,C1254,$E$2:E1254,E1254,$B$2:B1254,B1254)&gt;1,"No","Yes"))</f>
        <v/>
      </c>
      <c r="R1254" s="61" t="str">
        <f aca="false">IF(E1254="","",IF(Q1254="No","Duplicate of an earlier response",IF(L1254="Not on SITES","Site not on SITES",IF(N(G1254)&gt;N(F1254),"Present is more than enrolled",IF(OR(I1254&lt;1,I1254&gt;5),"Score outside 1 to 5","")))))</f>
        <v/>
      </c>
    </row>
    <row r="1255" customFormat="false" ht="15" hidden="false" customHeight="false" outlineLevel="0" collapsed="false">
      <c r="A1255" s="52"/>
      <c r="B1255" s="53"/>
      <c r="C1255" s="53"/>
      <c r="D1255" s="53"/>
      <c r="E1255" s="54"/>
      <c r="F1255" s="55"/>
      <c r="G1255" s="55"/>
      <c r="H1255" s="55"/>
      <c r="I1255" s="56"/>
      <c r="J1255" s="53"/>
      <c r="K1255" s="53"/>
      <c r="L1255" s="57" t="str">
        <f aca="false">IF(C1255="","",IFERROR(INDEX(site_ID,MATCH(C1255,site_Name,0)),"Not on SITES"))</f>
        <v/>
      </c>
      <c r="M1255" s="58" t="str">
        <f aca="false">IF(E1255="","",DATE(YEAR(E1255),MONTH(E1255),1))</f>
        <v/>
      </c>
      <c r="N1255" s="57" t="str">
        <f aca="false">IF(E1255="","","FY"&amp;(YEAR(E1255)+IF(AND(FYStart&gt;1,MONTH(E1255)&gt;=FYStart),1,0))&amp;" Q"&amp;(INT(MOD(MONTH(E1255)-FYStart,12)/3)+1))</f>
        <v/>
      </c>
      <c r="O1255" s="59" t="str">
        <f aca="false">IF(OR(E1255="",N(F1255)=0),"",G1255/F1255)</f>
        <v/>
      </c>
      <c r="P1255" s="60" t="str">
        <f aca="false">IF(E1255="","",ROUND(N(G1255)*N(H1255)/60,1))</f>
        <v/>
      </c>
      <c r="Q1255" s="57" t="str">
        <f aca="false">IF(E1255="","",IF(COUNTIFS($C$2:C1255,C1255,$E$2:E1255,E1255,$B$2:B1255,B1255)&gt;1,"No","Yes"))</f>
        <v/>
      </c>
      <c r="R1255" s="61" t="str">
        <f aca="false">IF(E1255="","",IF(Q1255="No","Duplicate of an earlier response",IF(L1255="Not on SITES","Site not on SITES",IF(N(G1255)&gt;N(F1255),"Present is more than enrolled",IF(OR(I1255&lt;1,I1255&gt;5),"Score outside 1 to 5","")))))</f>
        <v/>
      </c>
    </row>
    <row r="1256" customFormat="false" ht="15" hidden="false" customHeight="false" outlineLevel="0" collapsed="false">
      <c r="A1256" s="52"/>
      <c r="B1256" s="53"/>
      <c r="C1256" s="53"/>
      <c r="D1256" s="53"/>
      <c r="E1256" s="54"/>
      <c r="F1256" s="55"/>
      <c r="G1256" s="55"/>
      <c r="H1256" s="55"/>
      <c r="I1256" s="56"/>
      <c r="J1256" s="53"/>
      <c r="K1256" s="53"/>
      <c r="L1256" s="57" t="str">
        <f aca="false">IF(C1256="","",IFERROR(INDEX(site_ID,MATCH(C1256,site_Name,0)),"Not on SITES"))</f>
        <v/>
      </c>
      <c r="M1256" s="58" t="str">
        <f aca="false">IF(E1256="","",DATE(YEAR(E1256),MONTH(E1256),1))</f>
        <v/>
      </c>
      <c r="N1256" s="57" t="str">
        <f aca="false">IF(E1256="","","FY"&amp;(YEAR(E1256)+IF(AND(FYStart&gt;1,MONTH(E1256)&gt;=FYStart),1,0))&amp;" Q"&amp;(INT(MOD(MONTH(E1256)-FYStart,12)/3)+1))</f>
        <v/>
      </c>
      <c r="O1256" s="59" t="str">
        <f aca="false">IF(OR(E1256="",N(F1256)=0),"",G1256/F1256)</f>
        <v/>
      </c>
      <c r="P1256" s="60" t="str">
        <f aca="false">IF(E1256="","",ROUND(N(G1256)*N(H1256)/60,1))</f>
        <v/>
      </c>
      <c r="Q1256" s="57" t="str">
        <f aca="false">IF(E1256="","",IF(COUNTIFS($C$2:C1256,C1256,$E$2:E1256,E1256,$B$2:B1256,B1256)&gt;1,"No","Yes"))</f>
        <v/>
      </c>
      <c r="R1256" s="61" t="str">
        <f aca="false">IF(E1256="","",IF(Q1256="No","Duplicate of an earlier response",IF(L1256="Not on SITES","Site not on SITES",IF(N(G1256)&gt;N(F1256),"Present is more than enrolled",IF(OR(I1256&lt;1,I1256&gt;5),"Score outside 1 to 5","")))))</f>
        <v/>
      </c>
    </row>
    <row r="1257" customFormat="false" ht="15" hidden="false" customHeight="false" outlineLevel="0" collapsed="false">
      <c r="A1257" s="52"/>
      <c r="B1257" s="53"/>
      <c r="C1257" s="53"/>
      <c r="D1257" s="53"/>
      <c r="E1257" s="54"/>
      <c r="F1257" s="55"/>
      <c r="G1257" s="55"/>
      <c r="H1257" s="55"/>
      <c r="I1257" s="56"/>
      <c r="J1257" s="53"/>
      <c r="K1257" s="53"/>
      <c r="L1257" s="57" t="str">
        <f aca="false">IF(C1257="","",IFERROR(INDEX(site_ID,MATCH(C1257,site_Name,0)),"Not on SITES"))</f>
        <v/>
      </c>
      <c r="M1257" s="58" t="str">
        <f aca="false">IF(E1257="","",DATE(YEAR(E1257),MONTH(E1257),1))</f>
        <v/>
      </c>
      <c r="N1257" s="57" t="str">
        <f aca="false">IF(E1257="","","FY"&amp;(YEAR(E1257)+IF(AND(FYStart&gt;1,MONTH(E1257)&gt;=FYStart),1,0))&amp;" Q"&amp;(INT(MOD(MONTH(E1257)-FYStart,12)/3)+1))</f>
        <v/>
      </c>
      <c r="O1257" s="59" t="str">
        <f aca="false">IF(OR(E1257="",N(F1257)=0),"",G1257/F1257)</f>
        <v/>
      </c>
      <c r="P1257" s="60" t="str">
        <f aca="false">IF(E1257="","",ROUND(N(G1257)*N(H1257)/60,1))</f>
        <v/>
      </c>
      <c r="Q1257" s="57" t="str">
        <f aca="false">IF(E1257="","",IF(COUNTIFS($C$2:C1257,C1257,$E$2:E1257,E1257,$B$2:B1257,B1257)&gt;1,"No","Yes"))</f>
        <v/>
      </c>
      <c r="R1257" s="61" t="str">
        <f aca="false">IF(E1257="","",IF(Q1257="No","Duplicate of an earlier response",IF(L1257="Not on SITES","Site not on SITES",IF(N(G1257)&gt;N(F1257),"Present is more than enrolled",IF(OR(I1257&lt;1,I1257&gt;5),"Score outside 1 to 5","")))))</f>
        <v/>
      </c>
    </row>
    <row r="1258" customFormat="false" ht="15" hidden="false" customHeight="false" outlineLevel="0" collapsed="false">
      <c r="A1258" s="52"/>
      <c r="B1258" s="53"/>
      <c r="C1258" s="53"/>
      <c r="D1258" s="53"/>
      <c r="E1258" s="54"/>
      <c r="F1258" s="55"/>
      <c r="G1258" s="55"/>
      <c r="H1258" s="55"/>
      <c r="I1258" s="56"/>
      <c r="J1258" s="53"/>
      <c r="K1258" s="53"/>
      <c r="L1258" s="57" t="str">
        <f aca="false">IF(C1258="","",IFERROR(INDEX(site_ID,MATCH(C1258,site_Name,0)),"Not on SITES"))</f>
        <v/>
      </c>
      <c r="M1258" s="58" t="str">
        <f aca="false">IF(E1258="","",DATE(YEAR(E1258),MONTH(E1258),1))</f>
        <v/>
      </c>
      <c r="N1258" s="57" t="str">
        <f aca="false">IF(E1258="","","FY"&amp;(YEAR(E1258)+IF(AND(FYStart&gt;1,MONTH(E1258)&gt;=FYStart),1,0))&amp;" Q"&amp;(INT(MOD(MONTH(E1258)-FYStart,12)/3)+1))</f>
        <v/>
      </c>
      <c r="O1258" s="59" t="str">
        <f aca="false">IF(OR(E1258="",N(F1258)=0),"",G1258/F1258)</f>
        <v/>
      </c>
      <c r="P1258" s="60" t="str">
        <f aca="false">IF(E1258="","",ROUND(N(G1258)*N(H1258)/60,1))</f>
        <v/>
      </c>
      <c r="Q1258" s="57" t="str">
        <f aca="false">IF(E1258="","",IF(COUNTIFS($C$2:C1258,C1258,$E$2:E1258,E1258,$B$2:B1258,B1258)&gt;1,"No","Yes"))</f>
        <v/>
      </c>
      <c r="R1258" s="61" t="str">
        <f aca="false">IF(E1258="","",IF(Q1258="No","Duplicate of an earlier response",IF(L1258="Not on SITES","Site not on SITES",IF(N(G1258)&gt;N(F1258),"Present is more than enrolled",IF(OR(I1258&lt;1,I1258&gt;5),"Score outside 1 to 5","")))))</f>
        <v/>
      </c>
    </row>
    <row r="1259" customFormat="false" ht="15" hidden="false" customHeight="false" outlineLevel="0" collapsed="false">
      <c r="A1259" s="52"/>
      <c r="B1259" s="53"/>
      <c r="C1259" s="53"/>
      <c r="D1259" s="53"/>
      <c r="E1259" s="54"/>
      <c r="F1259" s="55"/>
      <c r="G1259" s="55"/>
      <c r="H1259" s="55"/>
      <c r="I1259" s="56"/>
      <c r="J1259" s="53"/>
      <c r="K1259" s="53"/>
      <c r="L1259" s="57" t="str">
        <f aca="false">IF(C1259="","",IFERROR(INDEX(site_ID,MATCH(C1259,site_Name,0)),"Not on SITES"))</f>
        <v/>
      </c>
      <c r="M1259" s="58" t="str">
        <f aca="false">IF(E1259="","",DATE(YEAR(E1259),MONTH(E1259),1))</f>
        <v/>
      </c>
      <c r="N1259" s="57" t="str">
        <f aca="false">IF(E1259="","","FY"&amp;(YEAR(E1259)+IF(AND(FYStart&gt;1,MONTH(E1259)&gt;=FYStart),1,0))&amp;" Q"&amp;(INT(MOD(MONTH(E1259)-FYStart,12)/3)+1))</f>
        <v/>
      </c>
      <c r="O1259" s="59" t="str">
        <f aca="false">IF(OR(E1259="",N(F1259)=0),"",G1259/F1259)</f>
        <v/>
      </c>
      <c r="P1259" s="60" t="str">
        <f aca="false">IF(E1259="","",ROUND(N(G1259)*N(H1259)/60,1))</f>
        <v/>
      </c>
      <c r="Q1259" s="57" t="str">
        <f aca="false">IF(E1259="","",IF(COUNTIFS($C$2:C1259,C1259,$E$2:E1259,E1259,$B$2:B1259,B1259)&gt;1,"No","Yes"))</f>
        <v/>
      </c>
      <c r="R1259" s="61" t="str">
        <f aca="false">IF(E1259="","",IF(Q1259="No","Duplicate of an earlier response",IF(L1259="Not on SITES","Site not on SITES",IF(N(G1259)&gt;N(F1259),"Present is more than enrolled",IF(OR(I1259&lt;1,I1259&gt;5),"Score outside 1 to 5","")))))</f>
        <v/>
      </c>
    </row>
    <row r="1260" customFormat="false" ht="15" hidden="false" customHeight="false" outlineLevel="0" collapsed="false">
      <c r="A1260" s="52"/>
      <c r="B1260" s="53"/>
      <c r="C1260" s="53"/>
      <c r="D1260" s="53"/>
      <c r="E1260" s="54"/>
      <c r="F1260" s="55"/>
      <c r="G1260" s="55"/>
      <c r="H1260" s="55"/>
      <c r="I1260" s="56"/>
      <c r="J1260" s="53"/>
      <c r="K1260" s="53"/>
      <c r="L1260" s="57" t="str">
        <f aca="false">IF(C1260="","",IFERROR(INDEX(site_ID,MATCH(C1260,site_Name,0)),"Not on SITES"))</f>
        <v/>
      </c>
      <c r="M1260" s="58" t="str">
        <f aca="false">IF(E1260="","",DATE(YEAR(E1260),MONTH(E1260),1))</f>
        <v/>
      </c>
      <c r="N1260" s="57" t="str">
        <f aca="false">IF(E1260="","","FY"&amp;(YEAR(E1260)+IF(AND(FYStart&gt;1,MONTH(E1260)&gt;=FYStart),1,0))&amp;" Q"&amp;(INT(MOD(MONTH(E1260)-FYStart,12)/3)+1))</f>
        <v/>
      </c>
      <c r="O1260" s="59" t="str">
        <f aca="false">IF(OR(E1260="",N(F1260)=0),"",G1260/F1260)</f>
        <v/>
      </c>
      <c r="P1260" s="60" t="str">
        <f aca="false">IF(E1260="","",ROUND(N(G1260)*N(H1260)/60,1))</f>
        <v/>
      </c>
      <c r="Q1260" s="57" t="str">
        <f aca="false">IF(E1260="","",IF(COUNTIFS($C$2:C1260,C1260,$E$2:E1260,E1260,$B$2:B1260,B1260)&gt;1,"No","Yes"))</f>
        <v/>
      </c>
      <c r="R1260" s="61" t="str">
        <f aca="false">IF(E1260="","",IF(Q1260="No","Duplicate of an earlier response",IF(L1260="Not on SITES","Site not on SITES",IF(N(G1260)&gt;N(F1260),"Present is more than enrolled",IF(OR(I1260&lt;1,I1260&gt;5),"Score outside 1 to 5","")))))</f>
        <v/>
      </c>
    </row>
    <row r="1261" customFormat="false" ht="15" hidden="false" customHeight="false" outlineLevel="0" collapsed="false">
      <c r="A1261" s="52"/>
      <c r="B1261" s="53"/>
      <c r="C1261" s="53"/>
      <c r="D1261" s="53"/>
      <c r="E1261" s="54"/>
      <c r="F1261" s="55"/>
      <c r="G1261" s="55"/>
      <c r="H1261" s="55"/>
      <c r="I1261" s="56"/>
      <c r="J1261" s="53"/>
      <c r="K1261" s="53"/>
      <c r="L1261" s="57" t="str">
        <f aca="false">IF(C1261="","",IFERROR(INDEX(site_ID,MATCH(C1261,site_Name,0)),"Not on SITES"))</f>
        <v/>
      </c>
      <c r="M1261" s="58" t="str">
        <f aca="false">IF(E1261="","",DATE(YEAR(E1261),MONTH(E1261),1))</f>
        <v/>
      </c>
      <c r="N1261" s="57" t="str">
        <f aca="false">IF(E1261="","","FY"&amp;(YEAR(E1261)+IF(AND(FYStart&gt;1,MONTH(E1261)&gt;=FYStart),1,0))&amp;" Q"&amp;(INT(MOD(MONTH(E1261)-FYStart,12)/3)+1))</f>
        <v/>
      </c>
      <c r="O1261" s="59" t="str">
        <f aca="false">IF(OR(E1261="",N(F1261)=0),"",G1261/F1261)</f>
        <v/>
      </c>
      <c r="P1261" s="60" t="str">
        <f aca="false">IF(E1261="","",ROUND(N(G1261)*N(H1261)/60,1))</f>
        <v/>
      </c>
      <c r="Q1261" s="57" t="str">
        <f aca="false">IF(E1261="","",IF(COUNTIFS($C$2:C1261,C1261,$E$2:E1261,E1261,$B$2:B1261,B1261)&gt;1,"No","Yes"))</f>
        <v/>
      </c>
      <c r="R1261" s="61" t="str">
        <f aca="false">IF(E1261="","",IF(Q1261="No","Duplicate of an earlier response",IF(L1261="Not on SITES","Site not on SITES",IF(N(G1261)&gt;N(F1261),"Present is more than enrolled",IF(OR(I1261&lt;1,I1261&gt;5),"Score outside 1 to 5","")))))</f>
        <v/>
      </c>
    </row>
    <row r="1262" customFormat="false" ht="15" hidden="false" customHeight="false" outlineLevel="0" collapsed="false">
      <c r="A1262" s="52"/>
      <c r="B1262" s="53"/>
      <c r="C1262" s="53"/>
      <c r="D1262" s="53"/>
      <c r="E1262" s="54"/>
      <c r="F1262" s="55"/>
      <c r="G1262" s="55"/>
      <c r="H1262" s="55"/>
      <c r="I1262" s="56"/>
      <c r="J1262" s="53"/>
      <c r="K1262" s="53"/>
      <c r="L1262" s="57" t="str">
        <f aca="false">IF(C1262="","",IFERROR(INDEX(site_ID,MATCH(C1262,site_Name,0)),"Not on SITES"))</f>
        <v/>
      </c>
      <c r="M1262" s="58" t="str">
        <f aca="false">IF(E1262="","",DATE(YEAR(E1262),MONTH(E1262),1))</f>
        <v/>
      </c>
      <c r="N1262" s="57" t="str">
        <f aca="false">IF(E1262="","","FY"&amp;(YEAR(E1262)+IF(AND(FYStart&gt;1,MONTH(E1262)&gt;=FYStart),1,0))&amp;" Q"&amp;(INT(MOD(MONTH(E1262)-FYStart,12)/3)+1))</f>
        <v/>
      </c>
      <c r="O1262" s="59" t="str">
        <f aca="false">IF(OR(E1262="",N(F1262)=0),"",G1262/F1262)</f>
        <v/>
      </c>
      <c r="P1262" s="60" t="str">
        <f aca="false">IF(E1262="","",ROUND(N(G1262)*N(H1262)/60,1))</f>
        <v/>
      </c>
      <c r="Q1262" s="57" t="str">
        <f aca="false">IF(E1262="","",IF(COUNTIFS($C$2:C1262,C1262,$E$2:E1262,E1262,$B$2:B1262,B1262)&gt;1,"No","Yes"))</f>
        <v/>
      </c>
      <c r="R1262" s="61" t="str">
        <f aca="false">IF(E1262="","",IF(Q1262="No","Duplicate of an earlier response",IF(L1262="Not on SITES","Site not on SITES",IF(N(G1262)&gt;N(F1262),"Present is more than enrolled",IF(OR(I1262&lt;1,I1262&gt;5),"Score outside 1 to 5","")))))</f>
        <v/>
      </c>
    </row>
    <row r="1263" customFormat="false" ht="15" hidden="false" customHeight="false" outlineLevel="0" collapsed="false">
      <c r="A1263" s="52"/>
      <c r="B1263" s="53"/>
      <c r="C1263" s="53"/>
      <c r="D1263" s="53"/>
      <c r="E1263" s="54"/>
      <c r="F1263" s="55"/>
      <c r="G1263" s="55"/>
      <c r="H1263" s="55"/>
      <c r="I1263" s="56"/>
      <c r="J1263" s="53"/>
      <c r="K1263" s="53"/>
      <c r="L1263" s="57" t="str">
        <f aca="false">IF(C1263="","",IFERROR(INDEX(site_ID,MATCH(C1263,site_Name,0)),"Not on SITES"))</f>
        <v/>
      </c>
      <c r="M1263" s="58" t="str">
        <f aca="false">IF(E1263="","",DATE(YEAR(E1263),MONTH(E1263),1))</f>
        <v/>
      </c>
      <c r="N1263" s="57" t="str">
        <f aca="false">IF(E1263="","","FY"&amp;(YEAR(E1263)+IF(AND(FYStart&gt;1,MONTH(E1263)&gt;=FYStart),1,0))&amp;" Q"&amp;(INT(MOD(MONTH(E1263)-FYStart,12)/3)+1))</f>
        <v/>
      </c>
      <c r="O1263" s="59" t="str">
        <f aca="false">IF(OR(E1263="",N(F1263)=0),"",G1263/F1263)</f>
        <v/>
      </c>
      <c r="P1263" s="60" t="str">
        <f aca="false">IF(E1263="","",ROUND(N(G1263)*N(H1263)/60,1))</f>
        <v/>
      </c>
      <c r="Q1263" s="57" t="str">
        <f aca="false">IF(E1263="","",IF(COUNTIFS($C$2:C1263,C1263,$E$2:E1263,E1263,$B$2:B1263,B1263)&gt;1,"No","Yes"))</f>
        <v/>
      </c>
      <c r="R1263" s="61" t="str">
        <f aca="false">IF(E1263="","",IF(Q1263="No","Duplicate of an earlier response",IF(L1263="Not on SITES","Site not on SITES",IF(N(G1263)&gt;N(F1263),"Present is more than enrolled",IF(OR(I1263&lt;1,I1263&gt;5),"Score outside 1 to 5","")))))</f>
        <v/>
      </c>
    </row>
    <row r="1264" customFormat="false" ht="15" hidden="false" customHeight="false" outlineLevel="0" collapsed="false">
      <c r="A1264" s="52"/>
      <c r="B1264" s="53"/>
      <c r="C1264" s="53"/>
      <c r="D1264" s="53"/>
      <c r="E1264" s="54"/>
      <c r="F1264" s="55"/>
      <c r="G1264" s="55"/>
      <c r="H1264" s="55"/>
      <c r="I1264" s="56"/>
      <c r="J1264" s="53"/>
      <c r="K1264" s="53"/>
      <c r="L1264" s="57" t="str">
        <f aca="false">IF(C1264="","",IFERROR(INDEX(site_ID,MATCH(C1264,site_Name,0)),"Not on SITES"))</f>
        <v/>
      </c>
      <c r="M1264" s="58" t="str">
        <f aca="false">IF(E1264="","",DATE(YEAR(E1264),MONTH(E1264),1))</f>
        <v/>
      </c>
      <c r="N1264" s="57" t="str">
        <f aca="false">IF(E1264="","","FY"&amp;(YEAR(E1264)+IF(AND(FYStart&gt;1,MONTH(E1264)&gt;=FYStart),1,0))&amp;" Q"&amp;(INT(MOD(MONTH(E1264)-FYStart,12)/3)+1))</f>
        <v/>
      </c>
      <c r="O1264" s="59" t="str">
        <f aca="false">IF(OR(E1264="",N(F1264)=0),"",G1264/F1264)</f>
        <v/>
      </c>
      <c r="P1264" s="60" t="str">
        <f aca="false">IF(E1264="","",ROUND(N(G1264)*N(H1264)/60,1))</f>
        <v/>
      </c>
      <c r="Q1264" s="57" t="str">
        <f aca="false">IF(E1264="","",IF(COUNTIFS($C$2:C1264,C1264,$E$2:E1264,E1264,$B$2:B1264,B1264)&gt;1,"No","Yes"))</f>
        <v/>
      </c>
      <c r="R1264" s="61" t="str">
        <f aca="false">IF(E1264="","",IF(Q1264="No","Duplicate of an earlier response",IF(L1264="Not on SITES","Site not on SITES",IF(N(G1264)&gt;N(F1264),"Present is more than enrolled",IF(OR(I1264&lt;1,I1264&gt;5),"Score outside 1 to 5","")))))</f>
        <v/>
      </c>
    </row>
    <row r="1265" customFormat="false" ht="15" hidden="false" customHeight="false" outlineLevel="0" collapsed="false">
      <c r="A1265" s="52"/>
      <c r="B1265" s="53"/>
      <c r="C1265" s="53"/>
      <c r="D1265" s="53"/>
      <c r="E1265" s="54"/>
      <c r="F1265" s="55"/>
      <c r="G1265" s="55"/>
      <c r="H1265" s="55"/>
      <c r="I1265" s="56"/>
      <c r="J1265" s="53"/>
      <c r="K1265" s="53"/>
      <c r="L1265" s="57" t="str">
        <f aca="false">IF(C1265="","",IFERROR(INDEX(site_ID,MATCH(C1265,site_Name,0)),"Not on SITES"))</f>
        <v/>
      </c>
      <c r="M1265" s="58" t="str">
        <f aca="false">IF(E1265="","",DATE(YEAR(E1265),MONTH(E1265),1))</f>
        <v/>
      </c>
      <c r="N1265" s="57" t="str">
        <f aca="false">IF(E1265="","","FY"&amp;(YEAR(E1265)+IF(AND(FYStart&gt;1,MONTH(E1265)&gt;=FYStart),1,0))&amp;" Q"&amp;(INT(MOD(MONTH(E1265)-FYStart,12)/3)+1))</f>
        <v/>
      </c>
      <c r="O1265" s="59" t="str">
        <f aca="false">IF(OR(E1265="",N(F1265)=0),"",G1265/F1265)</f>
        <v/>
      </c>
      <c r="P1265" s="60" t="str">
        <f aca="false">IF(E1265="","",ROUND(N(G1265)*N(H1265)/60,1))</f>
        <v/>
      </c>
      <c r="Q1265" s="57" t="str">
        <f aca="false">IF(E1265="","",IF(COUNTIFS($C$2:C1265,C1265,$E$2:E1265,E1265,$B$2:B1265,B1265)&gt;1,"No","Yes"))</f>
        <v/>
      </c>
      <c r="R1265" s="61" t="str">
        <f aca="false">IF(E1265="","",IF(Q1265="No","Duplicate of an earlier response",IF(L1265="Not on SITES","Site not on SITES",IF(N(G1265)&gt;N(F1265),"Present is more than enrolled",IF(OR(I1265&lt;1,I1265&gt;5),"Score outside 1 to 5","")))))</f>
        <v/>
      </c>
    </row>
    <row r="1266" customFormat="false" ht="15" hidden="false" customHeight="false" outlineLevel="0" collapsed="false">
      <c r="A1266" s="52"/>
      <c r="B1266" s="53"/>
      <c r="C1266" s="53"/>
      <c r="D1266" s="53"/>
      <c r="E1266" s="54"/>
      <c r="F1266" s="55"/>
      <c r="G1266" s="55"/>
      <c r="H1266" s="55"/>
      <c r="I1266" s="56"/>
      <c r="J1266" s="53"/>
      <c r="K1266" s="53"/>
      <c r="L1266" s="57" t="str">
        <f aca="false">IF(C1266="","",IFERROR(INDEX(site_ID,MATCH(C1266,site_Name,0)),"Not on SITES"))</f>
        <v/>
      </c>
      <c r="M1266" s="58" t="str">
        <f aca="false">IF(E1266="","",DATE(YEAR(E1266),MONTH(E1266),1))</f>
        <v/>
      </c>
      <c r="N1266" s="57" t="str">
        <f aca="false">IF(E1266="","","FY"&amp;(YEAR(E1266)+IF(AND(FYStart&gt;1,MONTH(E1266)&gt;=FYStart),1,0))&amp;" Q"&amp;(INT(MOD(MONTH(E1266)-FYStart,12)/3)+1))</f>
        <v/>
      </c>
      <c r="O1266" s="59" t="str">
        <f aca="false">IF(OR(E1266="",N(F1266)=0),"",G1266/F1266)</f>
        <v/>
      </c>
      <c r="P1266" s="60" t="str">
        <f aca="false">IF(E1266="","",ROUND(N(G1266)*N(H1266)/60,1))</f>
        <v/>
      </c>
      <c r="Q1266" s="57" t="str">
        <f aca="false">IF(E1266="","",IF(COUNTIFS($C$2:C1266,C1266,$E$2:E1266,E1266,$B$2:B1266,B1266)&gt;1,"No","Yes"))</f>
        <v/>
      </c>
      <c r="R1266" s="61" t="str">
        <f aca="false">IF(E1266="","",IF(Q1266="No","Duplicate of an earlier response",IF(L1266="Not on SITES","Site not on SITES",IF(N(G1266)&gt;N(F1266),"Present is more than enrolled",IF(OR(I1266&lt;1,I1266&gt;5),"Score outside 1 to 5","")))))</f>
        <v/>
      </c>
    </row>
    <row r="1267" customFormat="false" ht="15" hidden="false" customHeight="false" outlineLevel="0" collapsed="false">
      <c r="A1267" s="52"/>
      <c r="B1267" s="53"/>
      <c r="C1267" s="53"/>
      <c r="D1267" s="53"/>
      <c r="E1267" s="54"/>
      <c r="F1267" s="55"/>
      <c r="G1267" s="55"/>
      <c r="H1267" s="55"/>
      <c r="I1267" s="56"/>
      <c r="J1267" s="53"/>
      <c r="K1267" s="53"/>
      <c r="L1267" s="57" t="str">
        <f aca="false">IF(C1267="","",IFERROR(INDEX(site_ID,MATCH(C1267,site_Name,0)),"Not on SITES"))</f>
        <v/>
      </c>
      <c r="M1267" s="58" t="str">
        <f aca="false">IF(E1267="","",DATE(YEAR(E1267),MONTH(E1267),1))</f>
        <v/>
      </c>
      <c r="N1267" s="57" t="str">
        <f aca="false">IF(E1267="","","FY"&amp;(YEAR(E1267)+IF(AND(FYStart&gt;1,MONTH(E1267)&gt;=FYStart),1,0))&amp;" Q"&amp;(INT(MOD(MONTH(E1267)-FYStart,12)/3)+1))</f>
        <v/>
      </c>
      <c r="O1267" s="59" t="str">
        <f aca="false">IF(OR(E1267="",N(F1267)=0),"",G1267/F1267)</f>
        <v/>
      </c>
      <c r="P1267" s="60" t="str">
        <f aca="false">IF(E1267="","",ROUND(N(G1267)*N(H1267)/60,1))</f>
        <v/>
      </c>
      <c r="Q1267" s="57" t="str">
        <f aca="false">IF(E1267="","",IF(COUNTIFS($C$2:C1267,C1267,$E$2:E1267,E1267,$B$2:B1267,B1267)&gt;1,"No","Yes"))</f>
        <v/>
      </c>
      <c r="R1267" s="61" t="str">
        <f aca="false">IF(E1267="","",IF(Q1267="No","Duplicate of an earlier response",IF(L1267="Not on SITES","Site not on SITES",IF(N(G1267)&gt;N(F1267),"Present is more than enrolled",IF(OR(I1267&lt;1,I1267&gt;5),"Score outside 1 to 5","")))))</f>
        <v/>
      </c>
    </row>
    <row r="1268" customFormat="false" ht="15" hidden="false" customHeight="false" outlineLevel="0" collapsed="false">
      <c r="A1268" s="52"/>
      <c r="B1268" s="53"/>
      <c r="C1268" s="53"/>
      <c r="D1268" s="53"/>
      <c r="E1268" s="54"/>
      <c r="F1268" s="55"/>
      <c r="G1268" s="55"/>
      <c r="H1268" s="55"/>
      <c r="I1268" s="56"/>
      <c r="J1268" s="53"/>
      <c r="K1268" s="53"/>
      <c r="L1268" s="57" t="str">
        <f aca="false">IF(C1268="","",IFERROR(INDEX(site_ID,MATCH(C1268,site_Name,0)),"Not on SITES"))</f>
        <v/>
      </c>
      <c r="M1268" s="58" t="str">
        <f aca="false">IF(E1268="","",DATE(YEAR(E1268),MONTH(E1268),1))</f>
        <v/>
      </c>
      <c r="N1268" s="57" t="str">
        <f aca="false">IF(E1268="","","FY"&amp;(YEAR(E1268)+IF(AND(FYStart&gt;1,MONTH(E1268)&gt;=FYStart),1,0))&amp;" Q"&amp;(INT(MOD(MONTH(E1268)-FYStart,12)/3)+1))</f>
        <v/>
      </c>
      <c r="O1268" s="59" t="str">
        <f aca="false">IF(OR(E1268="",N(F1268)=0),"",G1268/F1268)</f>
        <v/>
      </c>
      <c r="P1268" s="60" t="str">
        <f aca="false">IF(E1268="","",ROUND(N(G1268)*N(H1268)/60,1))</f>
        <v/>
      </c>
      <c r="Q1268" s="57" t="str">
        <f aca="false">IF(E1268="","",IF(COUNTIFS($C$2:C1268,C1268,$E$2:E1268,E1268,$B$2:B1268,B1268)&gt;1,"No","Yes"))</f>
        <v/>
      </c>
      <c r="R1268" s="61" t="str">
        <f aca="false">IF(E1268="","",IF(Q1268="No","Duplicate of an earlier response",IF(L1268="Not on SITES","Site not on SITES",IF(N(G1268)&gt;N(F1268),"Present is more than enrolled",IF(OR(I1268&lt;1,I1268&gt;5),"Score outside 1 to 5","")))))</f>
        <v/>
      </c>
    </row>
    <row r="1269" customFormat="false" ht="15" hidden="false" customHeight="false" outlineLevel="0" collapsed="false">
      <c r="A1269" s="52"/>
      <c r="B1269" s="53"/>
      <c r="C1269" s="53"/>
      <c r="D1269" s="53"/>
      <c r="E1269" s="54"/>
      <c r="F1269" s="55"/>
      <c r="G1269" s="55"/>
      <c r="H1269" s="55"/>
      <c r="I1269" s="56"/>
      <c r="J1269" s="53"/>
      <c r="K1269" s="53"/>
      <c r="L1269" s="57" t="str">
        <f aca="false">IF(C1269="","",IFERROR(INDEX(site_ID,MATCH(C1269,site_Name,0)),"Not on SITES"))</f>
        <v/>
      </c>
      <c r="M1269" s="58" t="str">
        <f aca="false">IF(E1269="","",DATE(YEAR(E1269),MONTH(E1269),1))</f>
        <v/>
      </c>
      <c r="N1269" s="57" t="str">
        <f aca="false">IF(E1269="","","FY"&amp;(YEAR(E1269)+IF(AND(FYStart&gt;1,MONTH(E1269)&gt;=FYStart),1,0))&amp;" Q"&amp;(INT(MOD(MONTH(E1269)-FYStart,12)/3)+1))</f>
        <v/>
      </c>
      <c r="O1269" s="59" t="str">
        <f aca="false">IF(OR(E1269="",N(F1269)=0),"",G1269/F1269)</f>
        <v/>
      </c>
      <c r="P1269" s="60" t="str">
        <f aca="false">IF(E1269="","",ROUND(N(G1269)*N(H1269)/60,1))</f>
        <v/>
      </c>
      <c r="Q1269" s="57" t="str">
        <f aca="false">IF(E1269="","",IF(COUNTIFS($C$2:C1269,C1269,$E$2:E1269,E1269,$B$2:B1269,B1269)&gt;1,"No","Yes"))</f>
        <v/>
      </c>
      <c r="R1269" s="61" t="str">
        <f aca="false">IF(E1269="","",IF(Q1269="No","Duplicate of an earlier response",IF(L1269="Not on SITES","Site not on SITES",IF(N(G1269)&gt;N(F1269),"Present is more than enrolled",IF(OR(I1269&lt;1,I1269&gt;5),"Score outside 1 to 5","")))))</f>
        <v/>
      </c>
    </row>
    <row r="1270" customFormat="false" ht="15" hidden="false" customHeight="false" outlineLevel="0" collapsed="false">
      <c r="A1270" s="52"/>
      <c r="B1270" s="53"/>
      <c r="C1270" s="53"/>
      <c r="D1270" s="53"/>
      <c r="E1270" s="54"/>
      <c r="F1270" s="55"/>
      <c r="G1270" s="55"/>
      <c r="H1270" s="55"/>
      <c r="I1270" s="56"/>
      <c r="J1270" s="53"/>
      <c r="K1270" s="53"/>
      <c r="L1270" s="57" t="str">
        <f aca="false">IF(C1270="","",IFERROR(INDEX(site_ID,MATCH(C1270,site_Name,0)),"Not on SITES"))</f>
        <v/>
      </c>
      <c r="M1270" s="58" t="str">
        <f aca="false">IF(E1270="","",DATE(YEAR(E1270),MONTH(E1270),1))</f>
        <v/>
      </c>
      <c r="N1270" s="57" t="str">
        <f aca="false">IF(E1270="","","FY"&amp;(YEAR(E1270)+IF(AND(FYStart&gt;1,MONTH(E1270)&gt;=FYStart),1,0))&amp;" Q"&amp;(INT(MOD(MONTH(E1270)-FYStart,12)/3)+1))</f>
        <v/>
      </c>
      <c r="O1270" s="59" t="str">
        <f aca="false">IF(OR(E1270="",N(F1270)=0),"",G1270/F1270)</f>
        <v/>
      </c>
      <c r="P1270" s="60" t="str">
        <f aca="false">IF(E1270="","",ROUND(N(G1270)*N(H1270)/60,1))</f>
        <v/>
      </c>
      <c r="Q1270" s="57" t="str">
        <f aca="false">IF(E1270="","",IF(COUNTIFS($C$2:C1270,C1270,$E$2:E1270,E1270,$B$2:B1270,B1270)&gt;1,"No","Yes"))</f>
        <v/>
      </c>
      <c r="R1270" s="61" t="str">
        <f aca="false">IF(E1270="","",IF(Q1270="No","Duplicate of an earlier response",IF(L1270="Not on SITES","Site not on SITES",IF(N(G1270)&gt;N(F1270),"Present is more than enrolled",IF(OR(I1270&lt;1,I1270&gt;5),"Score outside 1 to 5","")))))</f>
        <v/>
      </c>
    </row>
    <row r="1271" customFormat="false" ht="15" hidden="false" customHeight="false" outlineLevel="0" collapsed="false">
      <c r="A1271" s="52"/>
      <c r="B1271" s="53"/>
      <c r="C1271" s="53"/>
      <c r="D1271" s="53"/>
      <c r="E1271" s="54"/>
      <c r="F1271" s="55"/>
      <c r="G1271" s="55"/>
      <c r="H1271" s="55"/>
      <c r="I1271" s="56"/>
      <c r="J1271" s="53"/>
      <c r="K1271" s="53"/>
      <c r="L1271" s="57" t="str">
        <f aca="false">IF(C1271="","",IFERROR(INDEX(site_ID,MATCH(C1271,site_Name,0)),"Not on SITES"))</f>
        <v/>
      </c>
      <c r="M1271" s="58" t="str">
        <f aca="false">IF(E1271="","",DATE(YEAR(E1271),MONTH(E1271),1))</f>
        <v/>
      </c>
      <c r="N1271" s="57" t="str">
        <f aca="false">IF(E1271="","","FY"&amp;(YEAR(E1271)+IF(AND(FYStart&gt;1,MONTH(E1271)&gt;=FYStart),1,0))&amp;" Q"&amp;(INT(MOD(MONTH(E1271)-FYStart,12)/3)+1))</f>
        <v/>
      </c>
      <c r="O1271" s="59" t="str">
        <f aca="false">IF(OR(E1271="",N(F1271)=0),"",G1271/F1271)</f>
        <v/>
      </c>
      <c r="P1271" s="60" t="str">
        <f aca="false">IF(E1271="","",ROUND(N(G1271)*N(H1271)/60,1))</f>
        <v/>
      </c>
      <c r="Q1271" s="57" t="str">
        <f aca="false">IF(E1271="","",IF(COUNTIFS($C$2:C1271,C1271,$E$2:E1271,E1271,$B$2:B1271,B1271)&gt;1,"No","Yes"))</f>
        <v/>
      </c>
      <c r="R1271" s="61" t="str">
        <f aca="false">IF(E1271="","",IF(Q1271="No","Duplicate of an earlier response",IF(L1271="Not on SITES","Site not on SITES",IF(N(G1271)&gt;N(F1271),"Present is more than enrolled",IF(OR(I1271&lt;1,I1271&gt;5),"Score outside 1 to 5","")))))</f>
        <v/>
      </c>
    </row>
    <row r="1272" customFormat="false" ht="15" hidden="false" customHeight="false" outlineLevel="0" collapsed="false">
      <c r="A1272" s="52"/>
      <c r="B1272" s="53"/>
      <c r="C1272" s="53"/>
      <c r="D1272" s="53"/>
      <c r="E1272" s="54"/>
      <c r="F1272" s="55"/>
      <c r="G1272" s="55"/>
      <c r="H1272" s="55"/>
      <c r="I1272" s="56"/>
      <c r="J1272" s="53"/>
      <c r="K1272" s="53"/>
      <c r="L1272" s="57" t="str">
        <f aca="false">IF(C1272="","",IFERROR(INDEX(site_ID,MATCH(C1272,site_Name,0)),"Not on SITES"))</f>
        <v/>
      </c>
      <c r="M1272" s="58" t="str">
        <f aca="false">IF(E1272="","",DATE(YEAR(E1272),MONTH(E1272),1))</f>
        <v/>
      </c>
      <c r="N1272" s="57" t="str">
        <f aca="false">IF(E1272="","","FY"&amp;(YEAR(E1272)+IF(AND(FYStart&gt;1,MONTH(E1272)&gt;=FYStart),1,0))&amp;" Q"&amp;(INT(MOD(MONTH(E1272)-FYStart,12)/3)+1))</f>
        <v/>
      </c>
      <c r="O1272" s="59" t="str">
        <f aca="false">IF(OR(E1272="",N(F1272)=0),"",G1272/F1272)</f>
        <v/>
      </c>
      <c r="P1272" s="60" t="str">
        <f aca="false">IF(E1272="","",ROUND(N(G1272)*N(H1272)/60,1))</f>
        <v/>
      </c>
      <c r="Q1272" s="57" t="str">
        <f aca="false">IF(E1272="","",IF(COUNTIFS($C$2:C1272,C1272,$E$2:E1272,E1272,$B$2:B1272,B1272)&gt;1,"No","Yes"))</f>
        <v/>
      </c>
      <c r="R1272" s="61" t="str">
        <f aca="false">IF(E1272="","",IF(Q1272="No","Duplicate of an earlier response",IF(L1272="Not on SITES","Site not on SITES",IF(N(G1272)&gt;N(F1272),"Present is more than enrolled",IF(OR(I1272&lt;1,I1272&gt;5),"Score outside 1 to 5","")))))</f>
        <v/>
      </c>
    </row>
    <row r="1273" customFormat="false" ht="15" hidden="false" customHeight="false" outlineLevel="0" collapsed="false">
      <c r="A1273" s="52"/>
      <c r="B1273" s="53"/>
      <c r="C1273" s="53"/>
      <c r="D1273" s="53"/>
      <c r="E1273" s="54"/>
      <c r="F1273" s="55"/>
      <c r="G1273" s="55"/>
      <c r="H1273" s="55"/>
      <c r="I1273" s="56"/>
      <c r="J1273" s="53"/>
      <c r="K1273" s="53"/>
      <c r="L1273" s="57" t="str">
        <f aca="false">IF(C1273="","",IFERROR(INDEX(site_ID,MATCH(C1273,site_Name,0)),"Not on SITES"))</f>
        <v/>
      </c>
      <c r="M1273" s="58" t="str">
        <f aca="false">IF(E1273="","",DATE(YEAR(E1273),MONTH(E1273),1))</f>
        <v/>
      </c>
      <c r="N1273" s="57" t="str">
        <f aca="false">IF(E1273="","","FY"&amp;(YEAR(E1273)+IF(AND(FYStart&gt;1,MONTH(E1273)&gt;=FYStart),1,0))&amp;" Q"&amp;(INT(MOD(MONTH(E1273)-FYStart,12)/3)+1))</f>
        <v/>
      </c>
      <c r="O1273" s="59" t="str">
        <f aca="false">IF(OR(E1273="",N(F1273)=0),"",G1273/F1273)</f>
        <v/>
      </c>
      <c r="P1273" s="60" t="str">
        <f aca="false">IF(E1273="","",ROUND(N(G1273)*N(H1273)/60,1))</f>
        <v/>
      </c>
      <c r="Q1273" s="57" t="str">
        <f aca="false">IF(E1273="","",IF(COUNTIFS($C$2:C1273,C1273,$E$2:E1273,E1273,$B$2:B1273,B1273)&gt;1,"No","Yes"))</f>
        <v/>
      </c>
      <c r="R1273" s="61" t="str">
        <f aca="false">IF(E1273="","",IF(Q1273="No","Duplicate of an earlier response",IF(L1273="Not on SITES","Site not on SITES",IF(N(G1273)&gt;N(F1273),"Present is more than enrolled",IF(OR(I1273&lt;1,I1273&gt;5),"Score outside 1 to 5","")))))</f>
        <v/>
      </c>
    </row>
    <row r="1274" customFormat="false" ht="15" hidden="false" customHeight="false" outlineLevel="0" collapsed="false">
      <c r="A1274" s="52"/>
      <c r="B1274" s="53"/>
      <c r="C1274" s="53"/>
      <c r="D1274" s="53"/>
      <c r="E1274" s="54"/>
      <c r="F1274" s="55"/>
      <c r="G1274" s="55"/>
      <c r="H1274" s="55"/>
      <c r="I1274" s="56"/>
      <c r="J1274" s="53"/>
      <c r="K1274" s="53"/>
      <c r="L1274" s="57" t="str">
        <f aca="false">IF(C1274="","",IFERROR(INDEX(site_ID,MATCH(C1274,site_Name,0)),"Not on SITES"))</f>
        <v/>
      </c>
      <c r="M1274" s="58" t="str">
        <f aca="false">IF(E1274="","",DATE(YEAR(E1274),MONTH(E1274),1))</f>
        <v/>
      </c>
      <c r="N1274" s="57" t="str">
        <f aca="false">IF(E1274="","","FY"&amp;(YEAR(E1274)+IF(AND(FYStart&gt;1,MONTH(E1274)&gt;=FYStart),1,0))&amp;" Q"&amp;(INT(MOD(MONTH(E1274)-FYStart,12)/3)+1))</f>
        <v/>
      </c>
      <c r="O1274" s="59" t="str">
        <f aca="false">IF(OR(E1274="",N(F1274)=0),"",G1274/F1274)</f>
        <v/>
      </c>
      <c r="P1274" s="60" t="str">
        <f aca="false">IF(E1274="","",ROUND(N(G1274)*N(H1274)/60,1))</f>
        <v/>
      </c>
      <c r="Q1274" s="57" t="str">
        <f aca="false">IF(E1274="","",IF(COUNTIFS($C$2:C1274,C1274,$E$2:E1274,E1274,$B$2:B1274,B1274)&gt;1,"No","Yes"))</f>
        <v/>
      </c>
      <c r="R1274" s="61" t="str">
        <f aca="false">IF(E1274="","",IF(Q1274="No","Duplicate of an earlier response",IF(L1274="Not on SITES","Site not on SITES",IF(N(G1274)&gt;N(F1274),"Present is more than enrolled",IF(OR(I1274&lt;1,I1274&gt;5),"Score outside 1 to 5","")))))</f>
        <v/>
      </c>
    </row>
    <row r="1275" customFormat="false" ht="15" hidden="false" customHeight="false" outlineLevel="0" collapsed="false">
      <c r="A1275" s="52"/>
      <c r="B1275" s="53"/>
      <c r="C1275" s="53"/>
      <c r="D1275" s="53"/>
      <c r="E1275" s="54"/>
      <c r="F1275" s="55"/>
      <c r="G1275" s="55"/>
      <c r="H1275" s="55"/>
      <c r="I1275" s="56"/>
      <c r="J1275" s="53"/>
      <c r="K1275" s="53"/>
      <c r="L1275" s="57" t="str">
        <f aca="false">IF(C1275="","",IFERROR(INDEX(site_ID,MATCH(C1275,site_Name,0)),"Not on SITES"))</f>
        <v/>
      </c>
      <c r="M1275" s="58" t="str">
        <f aca="false">IF(E1275="","",DATE(YEAR(E1275),MONTH(E1275),1))</f>
        <v/>
      </c>
      <c r="N1275" s="57" t="str">
        <f aca="false">IF(E1275="","","FY"&amp;(YEAR(E1275)+IF(AND(FYStart&gt;1,MONTH(E1275)&gt;=FYStart),1,0))&amp;" Q"&amp;(INT(MOD(MONTH(E1275)-FYStart,12)/3)+1))</f>
        <v/>
      </c>
      <c r="O1275" s="59" t="str">
        <f aca="false">IF(OR(E1275="",N(F1275)=0),"",G1275/F1275)</f>
        <v/>
      </c>
      <c r="P1275" s="60" t="str">
        <f aca="false">IF(E1275="","",ROUND(N(G1275)*N(H1275)/60,1))</f>
        <v/>
      </c>
      <c r="Q1275" s="57" t="str">
        <f aca="false">IF(E1275="","",IF(COUNTIFS($C$2:C1275,C1275,$E$2:E1275,E1275,$B$2:B1275,B1275)&gt;1,"No","Yes"))</f>
        <v/>
      </c>
      <c r="R1275" s="61" t="str">
        <f aca="false">IF(E1275="","",IF(Q1275="No","Duplicate of an earlier response",IF(L1275="Not on SITES","Site not on SITES",IF(N(G1275)&gt;N(F1275),"Present is more than enrolled",IF(OR(I1275&lt;1,I1275&gt;5),"Score outside 1 to 5","")))))</f>
        <v/>
      </c>
    </row>
    <row r="1276" customFormat="false" ht="15" hidden="false" customHeight="false" outlineLevel="0" collapsed="false">
      <c r="A1276" s="52"/>
      <c r="B1276" s="53"/>
      <c r="C1276" s="53"/>
      <c r="D1276" s="53"/>
      <c r="E1276" s="54"/>
      <c r="F1276" s="55"/>
      <c r="G1276" s="55"/>
      <c r="H1276" s="55"/>
      <c r="I1276" s="56"/>
      <c r="J1276" s="53"/>
      <c r="K1276" s="53"/>
      <c r="L1276" s="57" t="str">
        <f aca="false">IF(C1276="","",IFERROR(INDEX(site_ID,MATCH(C1276,site_Name,0)),"Not on SITES"))</f>
        <v/>
      </c>
      <c r="M1276" s="58" t="str">
        <f aca="false">IF(E1276="","",DATE(YEAR(E1276),MONTH(E1276),1))</f>
        <v/>
      </c>
      <c r="N1276" s="57" t="str">
        <f aca="false">IF(E1276="","","FY"&amp;(YEAR(E1276)+IF(AND(FYStart&gt;1,MONTH(E1276)&gt;=FYStart),1,0))&amp;" Q"&amp;(INT(MOD(MONTH(E1276)-FYStart,12)/3)+1))</f>
        <v/>
      </c>
      <c r="O1276" s="59" t="str">
        <f aca="false">IF(OR(E1276="",N(F1276)=0),"",G1276/F1276)</f>
        <v/>
      </c>
      <c r="P1276" s="60" t="str">
        <f aca="false">IF(E1276="","",ROUND(N(G1276)*N(H1276)/60,1))</f>
        <v/>
      </c>
      <c r="Q1276" s="57" t="str">
        <f aca="false">IF(E1276="","",IF(COUNTIFS($C$2:C1276,C1276,$E$2:E1276,E1276,$B$2:B1276,B1276)&gt;1,"No","Yes"))</f>
        <v/>
      </c>
      <c r="R1276" s="61" t="str">
        <f aca="false">IF(E1276="","",IF(Q1276="No","Duplicate of an earlier response",IF(L1276="Not on SITES","Site not on SITES",IF(N(G1276)&gt;N(F1276),"Present is more than enrolled",IF(OR(I1276&lt;1,I1276&gt;5),"Score outside 1 to 5","")))))</f>
        <v/>
      </c>
    </row>
    <row r="1277" customFormat="false" ht="15" hidden="false" customHeight="false" outlineLevel="0" collapsed="false">
      <c r="A1277" s="52"/>
      <c r="B1277" s="53"/>
      <c r="C1277" s="53"/>
      <c r="D1277" s="53"/>
      <c r="E1277" s="54"/>
      <c r="F1277" s="55"/>
      <c r="G1277" s="55"/>
      <c r="H1277" s="55"/>
      <c r="I1277" s="56"/>
      <c r="J1277" s="53"/>
      <c r="K1277" s="53"/>
      <c r="L1277" s="57" t="str">
        <f aca="false">IF(C1277="","",IFERROR(INDEX(site_ID,MATCH(C1277,site_Name,0)),"Not on SITES"))</f>
        <v/>
      </c>
      <c r="M1277" s="58" t="str">
        <f aca="false">IF(E1277="","",DATE(YEAR(E1277),MONTH(E1277),1))</f>
        <v/>
      </c>
      <c r="N1277" s="57" t="str">
        <f aca="false">IF(E1277="","","FY"&amp;(YEAR(E1277)+IF(AND(FYStart&gt;1,MONTH(E1277)&gt;=FYStart),1,0))&amp;" Q"&amp;(INT(MOD(MONTH(E1277)-FYStart,12)/3)+1))</f>
        <v/>
      </c>
      <c r="O1277" s="59" t="str">
        <f aca="false">IF(OR(E1277="",N(F1277)=0),"",G1277/F1277)</f>
        <v/>
      </c>
      <c r="P1277" s="60" t="str">
        <f aca="false">IF(E1277="","",ROUND(N(G1277)*N(H1277)/60,1))</f>
        <v/>
      </c>
      <c r="Q1277" s="57" t="str">
        <f aca="false">IF(E1277="","",IF(COUNTIFS($C$2:C1277,C1277,$E$2:E1277,E1277,$B$2:B1277,B1277)&gt;1,"No","Yes"))</f>
        <v/>
      </c>
      <c r="R1277" s="61" t="str">
        <f aca="false">IF(E1277="","",IF(Q1277="No","Duplicate of an earlier response",IF(L1277="Not on SITES","Site not on SITES",IF(N(G1277)&gt;N(F1277),"Present is more than enrolled",IF(OR(I1277&lt;1,I1277&gt;5),"Score outside 1 to 5","")))))</f>
        <v/>
      </c>
    </row>
    <row r="1278" customFormat="false" ht="15" hidden="false" customHeight="false" outlineLevel="0" collapsed="false">
      <c r="A1278" s="52"/>
      <c r="B1278" s="53"/>
      <c r="C1278" s="53"/>
      <c r="D1278" s="53"/>
      <c r="E1278" s="54"/>
      <c r="F1278" s="55"/>
      <c r="G1278" s="55"/>
      <c r="H1278" s="55"/>
      <c r="I1278" s="56"/>
      <c r="J1278" s="53"/>
      <c r="K1278" s="53"/>
      <c r="L1278" s="57" t="str">
        <f aca="false">IF(C1278="","",IFERROR(INDEX(site_ID,MATCH(C1278,site_Name,0)),"Not on SITES"))</f>
        <v/>
      </c>
      <c r="M1278" s="58" t="str">
        <f aca="false">IF(E1278="","",DATE(YEAR(E1278),MONTH(E1278),1))</f>
        <v/>
      </c>
      <c r="N1278" s="57" t="str">
        <f aca="false">IF(E1278="","","FY"&amp;(YEAR(E1278)+IF(AND(FYStart&gt;1,MONTH(E1278)&gt;=FYStart),1,0))&amp;" Q"&amp;(INT(MOD(MONTH(E1278)-FYStart,12)/3)+1))</f>
        <v/>
      </c>
      <c r="O1278" s="59" t="str">
        <f aca="false">IF(OR(E1278="",N(F1278)=0),"",G1278/F1278)</f>
        <v/>
      </c>
      <c r="P1278" s="60" t="str">
        <f aca="false">IF(E1278="","",ROUND(N(G1278)*N(H1278)/60,1))</f>
        <v/>
      </c>
      <c r="Q1278" s="57" t="str">
        <f aca="false">IF(E1278="","",IF(COUNTIFS($C$2:C1278,C1278,$E$2:E1278,E1278,$B$2:B1278,B1278)&gt;1,"No","Yes"))</f>
        <v/>
      </c>
      <c r="R1278" s="61" t="str">
        <f aca="false">IF(E1278="","",IF(Q1278="No","Duplicate of an earlier response",IF(L1278="Not on SITES","Site not on SITES",IF(N(G1278)&gt;N(F1278),"Present is more than enrolled",IF(OR(I1278&lt;1,I1278&gt;5),"Score outside 1 to 5","")))))</f>
        <v/>
      </c>
    </row>
    <row r="1279" customFormat="false" ht="15" hidden="false" customHeight="false" outlineLevel="0" collapsed="false">
      <c r="A1279" s="52"/>
      <c r="B1279" s="53"/>
      <c r="C1279" s="53"/>
      <c r="D1279" s="53"/>
      <c r="E1279" s="54"/>
      <c r="F1279" s="55"/>
      <c r="G1279" s="55"/>
      <c r="H1279" s="55"/>
      <c r="I1279" s="56"/>
      <c r="J1279" s="53"/>
      <c r="K1279" s="53"/>
      <c r="L1279" s="57" t="str">
        <f aca="false">IF(C1279="","",IFERROR(INDEX(site_ID,MATCH(C1279,site_Name,0)),"Not on SITES"))</f>
        <v/>
      </c>
      <c r="M1279" s="58" t="str">
        <f aca="false">IF(E1279="","",DATE(YEAR(E1279),MONTH(E1279),1))</f>
        <v/>
      </c>
      <c r="N1279" s="57" t="str">
        <f aca="false">IF(E1279="","","FY"&amp;(YEAR(E1279)+IF(AND(FYStart&gt;1,MONTH(E1279)&gt;=FYStart),1,0))&amp;" Q"&amp;(INT(MOD(MONTH(E1279)-FYStart,12)/3)+1))</f>
        <v/>
      </c>
      <c r="O1279" s="59" t="str">
        <f aca="false">IF(OR(E1279="",N(F1279)=0),"",G1279/F1279)</f>
        <v/>
      </c>
      <c r="P1279" s="60" t="str">
        <f aca="false">IF(E1279="","",ROUND(N(G1279)*N(H1279)/60,1))</f>
        <v/>
      </c>
      <c r="Q1279" s="57" t="str">
        <f aca="false">IF(E1279="","",IF(COUNTIFS($C$2:C1279,C1279,$E$2:E1279,E1279,$B$2:B1279,B1279)&gt;1,"No","Yes"))</f>
        <v/>
      </c>
      <c r="R1279" s="61" t="str">
        <f aca="false">IF(E1279="","",IF(Q1279="No","Duplicate of an earlier response",IF(L1279="Not on SITES","Site not on SITES",IF(N(G1279)&gt;N(F1279),"Present is more than enrolled",IF(OR(I1279&lt;1,I1279&gt;5),"Score outside 1 to 5","")))))</f>
        <v/>
      </c>
    </row>
    <row r="1280" customFormat="false" ht="15" hidden="false" customHeight="false" outlineLevel="0" collapsed="false">
      <c r="A1280" s="52"/>
      <c r="B1280" s="53"/>
      <c r="C1280" s="53"/>
      <c r="D1280" s="53"/>
      <c r="E1280" s="54"/>
      <c r="F1280" s="55"/>
      <c r="G1280" s="55"/>
      <c r="H1280" s="55"/>
      <c r="I1280" s="56"/>
      <c r="J1280" s="53"/>
      <c r="K1280" s="53"/>
      <c r="L1280" s="57" t="str">
        <f aca="false">IF(C1280="","",IFERROR(INDEX(site_ID,MATCH(C1280,site_Name,0)),"Not on SITES"))</f>
        <v/>
      </c>
      <c r="M1280" s="58" t="str">
        <f aca="false">IF(E1280="","",DATE(YEAR(E1280),MONTH(E1280),1))</f>
        <v/>
      </c>
      <c r="N1280" s="57" t="str">
        <f aca="false">IF(E1280="","","FY"&amp;(YEAR(E1280)+IF(AND(FYStart&gt;1,MONTH(E1280)&gt;=FYStart),1,0))&amp;" Q"&amp;(INT(MOD(MONTH(E1280)-FYStart,12)/3)+1))</f>
        <v/>
      </c>
      <c r="O1280" s="59" t="str">
        <f aca="false">IF(OR(E1280="",N(F1280)=0),"",G1280/F1280)</f>
        <v/>
      </c>
      <c r="P1280" s="60" t="str">
        <f aca="false">IF(E1280="","",ROUND(N(G1280)*N(H1280)/60,1))</f>
        <v/>
      </c>
      <c r="Q1280" s="57" t="str">
        <f aca="false">IF(E1280="","",IF(COUNTIFS($C$2:C1280,C1280,$E$2:E1280,E1280,$B$2:B1280,B1280)&gt;1,"No","Yes"))</f>
        <v/>
      </c>
      <c r="R1280" s="61" t="str">
        <f aca="false">IF(E1280="","",IF(Q1280="No","Duplicate of an earlier response",IF(L1280="Not on SITES","Site not on SITES",IF(N(G1280)&gt;N(F1280),"Present is more than enrolled",IF(OR(I1280&lt;1,I1280&gt;5),"Score outside 1 to 5","")))))</f>
        <v/>
      </c>
    </row>
    <row r="1281" customFormat="false" ht="15" hidden="false" customHeight="false" outlineLevel="0" collapsed="false">
      <c r="A1281" s="52"/>
      <c r="B1281" s="53"/>
      <c r="C1281" s="53"/>
      <c r="D1281" s="53"/>
      <c r="E1281" s="54"/>
      <c r="F1281" s="55"/>
      <c r="G1281" s="55"/>
      <c r="H1281" s="55"/>
      <c r="I1281" s="56"/>
      <c r="J1281" s="53"/>
      <c r="K1281" s="53"/>
      <c r="L1281" s="57" t="str">
        <f aca="false">IF(C1281="","",IFERROR(INDEX(site_ID,MATCH(C1281,site_Name,0)),"Not on SITES"))</f>
        <v/>
      </c>
      <c r="M1281" s="58" t="str">
        <f aca="false">IF(E1281="","",DATE(YEAR(E1281),MONTH(E1281),1))</f>
        <v/>
      </c>
      <c r="N1281" s="57" t="str">
        <f aca="false">IF(E1281="","","FY"&amp;(YEAR(E1281)+IF(AND(FYStart&gt;1,MONTH(E1281)&gt;=FYStart),1,0))&amp;" Q"&amp;(INT(MOD(MONTH(E1281)-FYStart,12)/3)+1))</f>
        <v/>
      </c>
      <c r="O1281" s="59" t="str">
        <f aca="false">IF(OR(E1281="",N(F1281)=0),"",G1281/F1281)</f>
        <v/>
      </c>
      <c r="P1281" s="60" t="str">
        <f aca="false">IF(E1281="","",ROUND(N(G1281)*N(H1281)/60,1))</f>
        <v/>
      </c>
      <c r="Q1281" s="57" t="str">
        <f aca="false">IF(E1281="","",IF(COUNTIFS($C$2:C1281,C1281,$E$2:E1281,E1281,$B$2:B1281,B1281)&gt;1,"No","Yes"))</f>
        <v/>
      </c>
      <c r="R1281" s="61" t="str">
        <f aca="false">IF(E1281="","",IF(Q1281="No","Duplicate of an earlier response",IF(L1281="Not on SITES","Site not on SITES",IF(N(G1281)&gt;N(F1281),"Present is more than enrolled",IF(OR(I1281&lt;1,I1281&gt;5),"Score outside 1 to 5","")))))</f>
        <v/>
      </c>
    </row>
    <row r="1282" customFormat="false" ht="15" hidden="false" customHeight="false" outlineLevel="0" collapsed="false">
      <c r="A1282" s="52"/>
      <c r="B1282" s="53"/>
      <c r="C1282" s="53"/>
      <c r="D1282" s="53"/>
      <c r="E1282" s="54"/>
      <c r="F1282" s="55"/>
      <c r="G1282" s="55"/>
      <c r="H1282" s="55"/>
      <c r="I1282" s="56"/>
      <c r="J1282" s="53"/>
      <c r="K1282" s="53"/>
      <c r="L1282" s="57" t="str">
        <f aca="false">IF(C1282="","",IFERROR(INDEX(site_ID,MATCH(C1282,site_Name,0)),"Not on SITES"))</f>
        <v/>
      </c>
      <c r="M1282" s="58" t="str">
        <f aca="false">IF(E1282="","",DATE(YEAR(E1282),MONTH(E1282),1))</f>
        <v/>
      </c>
      <c r="N1282" s="57" t="str">
        <f aca="false">IF(E1282="","","FY"&amp;(YEAR(E1282)+IF(AND(FYStart&gt;1,MONTH(E1282)&gt;=FYStart),1,0))&amp;" Q"&amp;(INT(MOD(MONTH(E1282)-FYStart,12)/3)+1))</f>
        <v/>
      </c>
      <c r="O1282" s="59" t="str">
        <f aca="false">IF(OR(E1282="",N(F1282)=0),"",G1282/F1282)</f>
        <v/>
      </c>
      <c r="P1282" s="60" t="str">
        <f aca="false">IF(E1282="","",ROUND(N(G1282)*N(H1282)/60,1))</f>
        <v/>
      </c>
      <c r="Q1282" s="57" t="str">
        <f aca="false">IF(E1282="","",IF(COUNTIFS($C$2:C1282,C1282,$E$2:E1282,E1282,$B$2:B1282,B1282)&gt;1,"No","Yes"))</f>
        <v/>
      </c>
      <c r="R1282" s="61" t="str">
        <f aca="false">IF(E1282="","",IF(Q1282="No","Duplicate of an earlier response",IF(L1282="Not on SITES","Site not on SITES",IF(N(G1282)&gt;N(F1282),"Present is more than enrolled",IF(OR(I1282&lt;1,I1282&gt;5),"Score outside 1 to 5","")))))</f>
        <v/>
      </c>
    </row>
    <row r="1283" customFormat="false" ht="15" hidden="false" customHeight="false" outlineLevel="0" collapsed="false">
      <c r="A1283" s="52"/>
      <c r="B1283" s="53"/>
      <c r="C1283" s="53"/>
      <c r="D1283" s="53"/>
      <c r="E1283" s="54"/>
      <c r="F1283" s="55"/>
      <c r="G1283" s="55"/>
      <c r="H1283" s="55"/>
      <c r="I1283" s="56"/>
      <c r="J1283" s="53"/>
      <c r="K1283" s="53"/>
      <c r="L1283" s="57" t="str">
        <f aca="false">IF(C1283="","",IFERROR(INDEX(site_ID,MATCH(C1283,site_Name,0)),"Not on SITES"))</f>
        <v/>
      </c>
      <c r="M1283" s="58" t="str">
        <f aca="false">IF(E1283="","",DATE(YEAR(E1283),MONTH(E1283),1))</f>
        <v/>
      </c>
      <c r="N1283" s="57" t="str">
        <f aca="false">IF(E1283="","","FY"&amp;(YEAR(E1283)+IF(AND(FYStart&gt;1,MONTH(E1283)&gt;=FYStart),1,0))&amp;" Q"&amp;(INT(MOD(MONTH(E1283)-FYStart,12)/3)+1))</f>
        <v/>
      </c>
      <c r="O1283" s="59" t="str">
        <f aca="false">IF(OR(E1283="",N(F1283)=0),"",G1283/F1283)</f>
        <v/>
      </c>
      <c r="P1283" s="60" t="str">
        <f aca="false">IF(E1283="","",ROUND(N(G1283)*N(H1283)/60,1))</f>
        <v/>
      </c>
      <c r="Q1283" s="57" t="str">
        <f aca="false">IF(E1283="","",IF(COUNTIFS($C$2:C1283,C1283,$E$2:E1283,E1283,$B$2:B1283,B1283)&gt;1,"No","Yes"))</f>
        <v/>
      </c>
      <c r="R1283" s="61" t="str">
        <f aca="false">IF(E1283="","",IF(Q1283="No","Duplicate of an earlier response",IF(L1283="Not on SITES","Site not on SITES",IF(N(G1283)&gt;N(F1283),"Present is more than enrolled",IF(OR(I1283&lt;1,I1283&gt;5),"Score outside 1 to 5","")))))</f>
        <v/>
      </c>
    </row>
    <row r="1284" customFormat="false" ht="15" hidden="false" customHeight="false" outlineLevel="0" collapsed="false">
      <c r="A1284" s="52"/>
      <c r="B1284" s="53"/>
      <c r="C1284" s="53"/>
      <c r="D1284" s="53"/>
      <c r="E1284" s="54"/>
      <c r="F1284" s="55"/>
      <c r="G1284" s="55"/>
      <c r="H1284" s="55"/>
      <c r="I1284" s="56"/>
      <c r="J1284" s="53"/>
      <c r="K1284" s="53"/>
      <c r="L1284" s="57" t="str">
        <f aca="false">IF(C1284="","",IFERROR(INDEX(site_ID,MATCH(C1284,site_Name,0)),"Not on SITES"))</f>
        <v/>
      </c>
      <c r="M1284" s="58" t="str">
        <f aca="false">IF(E1284="","",DATE(YEAR(E1284),MONTH(E1284),1))</f>
        <v/>
      </c>
      <c r="N1284" s="57" t="str">
        <f aca="false">IF(E1284="","","FY"&amp;(YEAR(E1284)+IF(AND(FYStart&gt;1,MONTH(E1284)&gt;=FYStart),1,0))&amp;" Q"&amp;(INT(MOD(MONTH(E1284)-FYStart,12)/3)+1))</f>
        <v/>
      </c>
      <c r="O1284" s="59" t="str">
        <f aca="false">IF(OR(E1284="",N(F1284)=0),"",G1284/F1284)</f>
        <v/>
      </c>
      <c r="P1284" s="60" t="str">
        <f aca="false">IF(E1284="","",ROUND(N(G1284)*N(H1284)/60,1))</f>
        <v/>
      </c>
      <c r="Q1284" s="57" t="str">
        <f aca="false">IF(E1284="","",IF(COUNTIFS($C$2:C1284,C1284,$E$2:E1284,E1284,$B$2:B1284,B1284)&gt;1,"No","Yes"))</f>
        <v/>
      </c>
      <c r="R1284" s="61" t="str">
        <f aca="false">IF(E1284="","",IF(Q1284="No","Duplicate of an earlier response",IF(L1284="Not on SITES","Site not on SITES",IF(N(G1284)&gt;N(F1284),"Present is more than enrolled",IF(OR(I1284&lt;1,I1284&gt;5),"Score outside 1 to 5","")))))</f>
        <v/>
      </c>
    </row>
    <row r="1285" customFormat="false" ht="15" hidden="false" customHeight="false" outlineLevel="0" collapsed="false">
      <c r="A1285" s="52"/>
      <c r="B1285" s="53"/>
      <c r="C1285" s="53"/>
      <c r="D1285" s="53"/>
      <c r="E1285" s="54"/>
      <c r="F1285" s="55"/>
      <c r="G1285" s="55"/>
      <c r="H1285" s="55"/>
      <c r="I1285" s="56"/>
      <c r="J1285" s="53"/>
      <c r="K1285" s="53"/>
      <c r="L1285" s="57" t="str">
        <f aca="false">IF(C1285="","",IFERROR(INDEX(site_ID,MATCH(C1285,site_Name,0)),"Not on SITES"))</f>
        <v/>
      </c>
      <c r="M1285" s="58" t="str">
        <f aca="false">IF(E1285="","",DATE(YEAR(E1285),MONTH(E1285),1))</f>
        <v/>
      </c>
      <c r="N1285" s="57" t="str">
        <f aca="false">IF(E1285="","","FY"&amp;(YEAR(E1285)+IF(AND(FYStart&gt;1,MONTH(E1285)&gt;=FYStart),1,0))&amp;" Q"&amp;(INT(MOD(MONTH(E1285)-FYStart,12)/3)+1))</f>
        <v/>
      </c>
      <c r="O1285" s="59" t="str">
        <f aca="false">IF(OR(E1285="",N(F1285)=0),"",G1285/F1285)</f>
        <v/>
      </c>
      <c r="P1285" s="60" t="str">
        <f aca="false">IF(E1285="","",ROUND(N(G1285)*N(H1285)/60,1))</f>
        <v/>
      </c>
      <c r="Q1285" s="57" t="str">
        <f aca="false">IF(E1285="","",IF(COUNTIFS($C$2:C1285,C1285,$E$2:E1285,E1285,$B$2:B1285,B1285)&gt;1,"No","Yes"))</f>
        <v/>
      </c>
      <c r="R1285" s="61" t="str">
        <f aca="false">IF(E1285="","",IF(Q1285="No","Duplicate of an earlier response",IF(L1285="Not on SITES","Site not on SITES",IF(N(G1285)&gt;N(F1285),"Present is more than enrolled",IF(OR(I1285&lt;1,I1285&gt;5),"Score outside 1 to 5","")))))</f>
        <v/>
      </c>
    </row>
    <row r="1286" customFormat="false" ht="15" hidden="false" customHeight="false" outlineLevel="0" collapsed="false">
      <c r="A1286" s="52"/>
      <c r="B1286" s="53"/>
      <c r="C1286" s="53"/>
      <c r="D1286" s="53"/>
      <c r="E1286" s="54"/>
      <c r="F1286" s="55"/>
      <c r="G1286" s="55"/>
      <c r="H1286" s="55"/>
      <c r="I1286" s="56"/>
      <c r="J1286" s="53"/>
      <c r="K1286" s="53"/>
      <c r="L1286" s="57" t="str">
        <f aca="false">IF(C1286="","",IFERROR(INDEX(site_ID,MATCH(C1286,site_Name,0)),"Not on SITES"))</f>
        <v/>
      </c>
      <c r="M1286" s="58" t="str">
        <f aca="false">IF(E1286="","",DATE(YEAR(E1286),MONTH(E1286),1))</f>
        <v/>
      </c>
      <c r="N1286" s="57" t="str">
        <f aca="false">IF(E1286="","","FY"&amp;(YEAR(E1286)+IF(AND(FYStart&gt;1,MONTH(E1286)&gt;=FYStart),1,0))&amp;" Q"&amp;(INT(MOD(MONTH(E1286)-FYStart,12)/3)+1))</f>
        <v/>
      </c>
      <c r="O1286" s="59" t="str">
        <f aca="false">IF(OR(E1286="",N(F1286)=0),"",G1286/F1286)</f>
        <v/>
      </c>
      <c r="P1286" s="60" t="str">
        <f aca="false">IF(E1286="","",ROUND(N(G1286)*N(H1286)/60,1))</f>
        <v/>
      </c>
      <c r="Q1286" s="57" t="str">
        <f aca="false">IF(E1286="","",IF(COUNTIFS($C$2:C1286,C1286,$E$2:E1286,E1286,$B$2:B1286,B1286)&gt;1,"No","Yes"))</f>
        <v/>
      </c>
      <c r="R1286" s="61" t="str">
        <f aca="false">IF(E1286="","",IF(Q1286="No","Duplicate of an earlier response",IF(L1286="Not on SITES","Site not on SITES",IF(N(G1286)&gt;N(F1286),"Present is more than enrolled",IF(OR(I1286&lt;1,I1286&gt;5),"Score outside 1 to 5","")))))</f>
        <v/>
      </c>
    </row>
    <row r="1287" customFormat="false" ht="15" hidden="false" customHeight="false" outlineLevel="0" collapsed="false">
      <c r="A1287" s="52"/>
      <c r="B1287" s="53"/>
      <c r="C1287" s="53"/>
      <c r="D1287" s="53"/>
      <c r="E1287" s="54"/>
      <c r="F1287" s="55"/>
      <c r="G1287" s="55"/>
      <c r="H1287" s="55"/>
      <c r="I1287" s="56"/>
      <c r="J1287" s="53"/>
      <c r="K1287" s="53"/>
      <c r="L1287" s="57" t="str">
        <f aca="false">IF(C1287="","",IFERROR(INDEX(site_ID,MATCH(C1287,site_Name,0)),"Not on SITES"))</f>
        <v/>
      </c>
      <c r="M1287" s="58" t="str">
        <f aca="false">IF(E1287="","",DATE(YEAR(E1287),MONTH(E1287),1))</f>
        <v/>
      </c>
      <c r="N1287" s="57" t="str">
        <f aca="false">IF(E1287="","","FY"&amp;(YEAR(E1287)+IF(AND(FYStart&gt;1,MONTH(E1287)&gt;=FYStart),1,0))&amp;" Q"&amp;(INT(MOD(MONTH(E1287)-FYStart,12)/3)+1))</f>
        <v/>
      </c>
      <c r="O1287" s="59" t="str">
        <f aca="false">IF(OR(E1287="",N(F1287)=0),"",G1287/F1287)</f>
        <v/>
      </c>
      <c r="P1287" s="60" t="str">
        <f aca="false">IF(E1287="","",ROUND(N(G1287)*N(H1287)/60,1))</f>
        <v/>
      </c>
      <c r="Q1287" s="57" t="str">
        <f aca="false">IF(E1287="","",IF(COUNTIFS($C$2:C1287,C1287,$E$2:E1287,E1287,$B$2:B1287,B1287)&gt;1,"No","Yes"))</f>
        <v/>
      </c>
      <c r="R1287" s="61" t="str">
        <f aca="false">IF(E1287="","",IF(Q1287="No","Duplicate of an earlier response",IF(L1287="Not on SITES","Site not on SITES",IF(N(G1287)&gt;N(F1287),"Present is more than enrolled",IF(OR(I1287&lt;1,I1287&gt;5),"Score outside 1 to 5","")))))</f>
        <v/>
      </c>
    </row>
    <row r="1288" customFormat="false" ht="15" hidden="false" customHeight="false" outlineLevel="0" collapsed="false">
      <c r="A1288" s="52"/>
      <c r="B1288" s="53"/>
      <c r="C1288" s="53"/>
      <c r="D1288" s="53"/>
      <c r="E1288" s="54"/>
      <c r="F1288" s="55"/>
      <c r="G1288" s="55"/>
      <c r="H1288" s="55"/>
      <c r="I1288" s="56"/>
      <c r="J1288" s="53"/>
      <c r="K1288" s="53"/>
      <c r="L1288" s="57" t="str">
        <f aca="false">IF(C1288="","",IFERROR(INDEX(site_ID,MATCH(C1288,site_Name,0)),"Not on SITES"))</f>
        <v/>
      </c>
      <c r="M1288" s="58" t="str">
        <f aca="false">IF(E1288="","",DATE(YEAR(E1288),MONTH(E1288),1))</f>
        <v/>
      </c>
      <c r="N1288" s="57" t="str">
        <f aca="false">IF(E1288="","","FY"&amp;(YEAR(E1288)+IF(AND(FYStart&gt;1,MONTH(E1288)&gt;=FYStart),1,0))&amp;" Q"&amp;(INT(MOD(MONTH(E1288)-FYStart,12)/3)+1))</f>
        <v/>
      </c>
      <c r="O1288" s="59" t="str">
        <f aca="false">IF(OR(E1288="",N(F1288)=0),"",G1288/F1288)</f>
        <v/>
      </c>
      <c r="P1288" s="60" t="str">
        <f aca="false">IF(E1288="","",ROUND(N(G1288)*N(H1288)/60,1))</f>
        <v/>
      </c>
      <c r="Q1288" s="57" t="str">
        <f aca="false">IF(E1288="","",IF(COUNTIFS($C$2:C1288,C1288,$E$2:E1288,E1288,$B$2:B1288,B1288)&gt;1,"No","Yes"))</f>
        <v/>
      </c>
      <c r="R1288" s="61" t="str">
        <f aca="false">IF(E1288="","",IF(Q1288="No","Duplicate of an earlier response",IF(L1288="Not on SITES","Site not on SITES",IF(N(G1288)&gt;N(F1288),"Present is more than enrolled",IF(OR(I1288&lt;1,I1288&gt;5),"Score outside 1 to 5","")))))</f>
        <v/>
      </c>
    </row>
    <row r="1289" customFormat="false" ht="15" hidden="false" customHeight="false" outlineLevel="0" collapsed="false">
      <c r="A1289" s="52"/>
      <c r="B1289" s="53"/>
      <c r="C1289" s="53"/>
      <c r="D1289" s="53"/>
      <c r="E1289" s="54"/>
      <c r="F1289" s="55"/>
      <c r="G1289" s="55"/>
      <c r="H1289" s="55"/>
      <c r="I1289" s="56"/>
      <c r="J1289" s="53"/>
      <c r="K1289" s="53"/>
      <c r="L1289" s="57" t="str">
        <f aca="false">IF(C1289="","",IFERROR(INDEX(site_ID,MATCH(C1289,site_Name,0)),"Not on SITES"))</f>
        <v/>
      </c>
      <c r="M1289" s="58" t="str">
        <f aca="false">IF(E1289="","",DATE(YEAR(E1289),MONTH(E1289),1))</f>
        <v/>
      </c>
      <c r="N1289" s="57" t="str">
        <f aca="false">IF(E1289="","","FY"&amp;(YEAR(E1289)+IF(AND(FYStart&gt;1,MONTH(E1289)&gt;=FYStart),1,0))&amp;" Q"&amp;(INT(MOD(MONTH(E1289)-FYStart,12)/3)+1))</f>
        <v/>
      </c>
      <c r="O1289" s="59" t="str">
        <f aca="false">IF(OR(E1289="",N(F1289)=0),"",G1289/F1289)</f>
        <v/>
      </c>
      <c r="P1289" s="60" t="str">
        <f aca="false">IF(E1289="","",ROUND(N(G1289)*N(H1289)/60,1))</f>
        <v/>
      </c>
      <c r="Q1289" s="57" t="str">
        <f aca="false">IF(E1289="","",IF(COUNTIFS($C$2:C1289,C1289,$E$2:E1289,E1289,$B$2:B1289,B1289)&gt;1,"No","Yes"))</f>
        <v/>
      </c>
      <c r="R1289" s="61" t="str">
        <f aca="false">IF(E1289="","",IF(Q1289="No","Duplicate of an earlier response",IF(L1289="Not on SITES","Site not on SITES",IF(N(G1289)&gt;N(F1289),"Present is more than enrolled",IF(OR(I1289&lt;1,I1289&gt;5),"Score outside 1 to 5","")))))</f>
        <v/>
      </c>
    </row>
    <row r="1290" customFormat="false" ht="15" hidden="false" customHeight="false" outlineLevel="0" collapsed="false">
      <c r="A1290" s="52"/>
      <c r="B1290" s="53"/>
      <c r="C1290" s="53"/>
      <c r="D1290" s="53"/>
      <c r="E1290" s="54"/>
      <c r="F1290" s="55"/>
      <c r="G1290" s="55"/>
      <c r="H1290" s="55"/>
      <c r="I1290" s="56"/>
      <c r="J1290" s="53"/>
      <c r="K1290" s="53"/>
      <c r="L1290" s="57" t="str">
        <f aca="false">IF(C1290="","",IFERROR(INDEX(site_ID,MATCH(C1290,site_Name,0)),"Not on SITES"))</f>
        <v/>
      </c>
      <c r="M1290" s="58" t="str">
        <f aca="false">IF(E1290="","",DATE(YEAR(E1290),MONTH(E1290),1))</f>
        <v/>
      </c>
      <c r="N1290" s="57" t="str">
        <f aca="false">IF(E1290="","","FY"&amp;(YEAR(E1290)+IF(AND(FYStart&gt;1,MONTH(E1290)&gt;=FYStart),1,0))&amp;" Q"&amp;(INT(MOD(MONTH(E1290)-FYStart,12)/3)+1))</f>
        <v/>
      </c>
      <c r="O1290" s="59" t="str">
        <f aca="false">IF(OR(E1290="",N(F1290)=0),"",G1290/F1290)</f>
        <v/>
      </c>
      <c r="P1290" s="60" t="str">
        <f aca="false">IF(E1290="","",ROUND(N(G1290)*N(H1290)/60,1))</f>
        <v/>
      </c>
      <c r="Q1290" s="57" t="str">
        <f aca="false">IF(E1290="","",IF(COUNTIFS($C$2:C1290,C1290,$E$2:E1290,E1290,$B$2:B1290,B1290)&gt;1,"No","Yes"))</f>
        <v/>
      </c>
      <c r="R1290" s="61" t="str">
        <f aca="false">IF(E1290="","",IF(Q1290="No","Duplicate of an earlier response",IF(L1290="Not on SITES","Site not on SITES",IF(N(G1290)&gt;N(F1290),"Present is more than enrolled",IF(OR(I1290&lt;1,I1290&gt;5),"Score outside 1 to 5","")))))</f>
        <v/>
      </c>
    </row>
    <row r="1291" customFormat="false" ht="15" hidden="false" customHeight="false" outlineLevel="0" collapsed="false">
      <c r="A1291" s="52"/>
      <c r="B1291" s="53"/>
      <c r="C1291" s="53"/>
      <c r="D1291" s="53"/>
      <c r="E1291" s="54"/>
      <c r="F1291" s="55"/>
      <c r="G1291" s="55"/>
      <c r="H1291" s="55"/>
      <c r="I1291" s="56"/>
      <c r="J1291" s="53"/>
      <c r="K1291" s="53"/>
      <c r="L1291" s="57" t="str">
        <f aca="false">IF(C1291="","",IFERROR(INDEX(site_ID,MATCH(C1291,site_Name,0)),"Not on SITES"))</f>
        <v/>
      </c>
      <c r="M1291" s="58" t="str">
        <f aca="false">IF(E1291="","",DATE(YEAR(E1291),MONTH(E1291),1))</f>
        <v/>
      </c>
      <c r="N1291" s="57" t="str">
        <f aca="false">IF(E1291="","","FY"&amp;(YEAR(E1291)+IF(AND(FYStart&gt;1,MONTH(E1291)&gt;=FYStart),1,0))&amp;" Q"&amp;(INT(MOD(MONTH(E1291)-FYStart,12)/3)+1))</f>
        <v/>
      </c>
      <c r="O1291" s="59" t="str">
        <f aca="false">IF(OR(E1291="",N(F1291)=0),"",G1291/F1291)</f>
        <v/>
      </c>
      <c r="P1291" s="60" t="str">
        <f aca="false">IF(E1291="","",ROUND(N(G1291)*N(H1291)/60,1))</f>
        <v/>
      </c>
      <c r="Q1291" s="57" t="str">
        <f aca="false">IF(E1291="","",IF(COUNTIFS($C$2:C1291,C1291,$E$2:E1291,E1291,$B$2:B1291,B1291)&gt;1,"No","Yes"))</f>
        <v/>
      </c>
      <c r="R1291" s="61" t="str">
        <f aca="false">IF(E1291="","",IF(Q1291="No","Duplicate of an earlier response",IF(L1291="Not on SITES","Site not on SITES",IF(N(G1291)&gt;N(F1291),"Present is more than enrolled",IF(OR(I1291&lt;1,I1291&gt;5),"Score outside 1 to 5","")))))</f>
        <v/>
      </c>
    </row>
    <row r="1292" customFormat="false" ht="15" hidden="false" customHeight="false" outlineLevel="0" collapsed="false">
      <c r="A1292" s="52"/>
      <c r="B1292" s="53"/>
      <c r="C1292" s="53"/>
      <c r="D1292" s="53"/>
      <c r="E1292" s="54"/>
      <c r="F1292" s="55"/>
      <c r="G1292" s="55"/>
      <c r="H1292" s="55"/>
      <c r="I1292" s="56"/>
      <c r="J1292" s="53"/>
      <c r="K1292" s="53"/>
      <c r="L1292" s="57" t="str">
        <f aca="false">IF(C1292="","",IFERROR(INDEX(site_ID,MATCH(C1292,site_Name,0)),"Not on SITES"))</f>
        <v/>
      </c>
      <c r="M1292" s="58" t="str">
        <f aca="false">IF(E1292="","",DATE(YEAR(E1292),MONTH(E1292),1))</f>
        <v/>
      </c>
      <c r="N1292" s="57" t="str">
        <f aca="false">IF(E1292="","","FY"&amp;(YEAR(E1292)+IF(AND(FYStart&gt;1,MONTH(E1292)&gt;=FYStart),1,0))&amp;" Q"&amp;(INT(MOD(MONTH(E1292)-FYStart,12)/3)+1))</f>
        <v/>
      </c>
      <c r="O1292" s="59" t="str">
        <f aca="false">IF(OR(E1292="",N(F1292)=0),"",G1292/F1292)</f>
        <v/>
      </c>
      <c r="P1292" s="60" t="str">
        <f aca="false">IF(E1292="","",ROUND(N(G1292)*N(H1292)/60,1))</f>
        <v/>
      </c>
      <c r="Q1292" s="57" t="str">
        <f aca="false">IF(E1292="","",IF(COUNTIFS($C$2:C1292,C1292,$E$2:E1292,E1292,$B$2:B1292,B1292)&gt;1,"No","Yes"))</f>
        <v/>
      </c>
      <c r="R1292" s="61" t="str">
        <f aca="false">IF(E1292="","",IF(Q1292="No","Duplicate of an earlier response",IF(L1292="Not on SITES","Site not on SITES",IF(N(G1292)&gt;N(F1292),"Present is more than enrolled",IF(OR(I1292&lt;1,I1292&gt;5),"Score outside 1 to 5","")))))</f>
        <v/>
      </c>
    </row>
    <row r="1293" customFormat="false" ht="15" hidden="false" customHeight="false" outlineLevel="0" collapsed="false">
      <c r="A1293" s="52"/>
      <c r="B1293" s="53"/>
      <c r="C1293" s="53"/>
      <c r="D1293" s="53"/>
      <c r="E1293" s="54"/>
      <c r="F1293" s="55"/>
      <c r="G1293" s="55"/>
      <c r="H1293" s="55"/>
      <c r="I1293" s="56"/>
      <c r="J1293" s="53"/>
      <c r="K1293" s="53"/>
      <c r="L1293" s="57" t="str">
        <f aca="false">IF(C1293="","",IFERROR(INDEX(site_ID,MATCH(C1293,site_Name,0)),"Not on SITES"))</f>
        <v/>
      </c>
      <c r="M1293" s="58" t="str">
        <f aca="false">IF(E1293="","",DATE(YEAR(E1293),MONTH(E1293),1))</f>
        <v/>
      </c>
      <c r="N1293" s="57" t="str">
        <f aca="false">IF(E1293="","","FY"&amp;(YEAR(E1293)+IF(AND(FYStart&gt;1,MONTH(E1293)&gt;=FYStart),1,0))&amp;" Q"&amp;(INT(MOD(MONTH(E1293)-FYStart,12)/3)+1))</f>
        <v/>
      </c>
      <c r="O1293" s="59" t="str">
        <f aca="false">IF(OR(E1293="",N(F1293)=0),"",G1293/F1293)</f>
        <v/>
      </c>
      <c r="P1293" s="60" t="str">
        <f aca="false">IF(E1293="","",ROUND(N(G1293)*N(H1293)/60,1))</f>
        <v/>
      </c>
      <c r="Q1293" s="57" t="str">
        <f aca="false">IF(E1293="","",IF(COUNTIFS($C$2:C1293,C1293,$E$2:E1293,E1293,$B$2:B1293,B1293)&gt;1,"No","Yes"))</f>
        <v/>
      </c>
      <c r="R1293" s="61" t="str">
        <f aca="false">IF(E1293="","",IF(Q1293="No","Duplicate of an earlier response",IF(L1293="Not on SITES","Site not on SITES",IF(N(G1293)&gt;N(F1293),"Present is more than enrolled",IF(OR(I1293&lt;1,I1293&gt;5),"Score outside 1 to 5","")))))</f>
        <v/>
      </c>
    </row>
    <row r="1294" customFormat="false" ht="15" hidden="false" customHeight="false" outlineLevel="0" collapsed="false">
      <c r="A1294" s="52"/>
      <c r="B1294" s="53"/>
      <c r="C1294" s="53"/>
      <c r="D1294" s="53"/>
      <c r="E1294" s="54"/>
      <c r="F1294" s="55"/>
      <c r="G1294" s="55"/>
      <c r="H1294" s="55"/>
      <c r="I1294" s="56"/>
      <c r="J1294" s="53"/>
      <c r="K1294" s="53"/>
      <c r="L1294" s="57" t="str">
        <f aca="false">IF(C1294="","",IFERROR(INDEX(site_ID,MATCH(C1294,site_Name,0)),"Not on SITES"))</f>
        <v/>
      </c>
      <c r="M1294" s="58" t="str">
        <f aca="false">IF(E1294="","",DATE(YEAR(E1294),MONTH(E1294),1))</f>
        <v/>
      </c>
      <c r="N1294" s="57" t="str">
        <f aca="false">IF(E1294="","","FY"&amp;(YEAR(E1294)+IF(AND(FYStart&gt;1,MONTH(E1294)&gt;=FYStart),1,0))&amp;" Q"&amp;(INT(MOD(MONTH(E1294)-FYStart,12)/3)+1))</f>
        <v/>
      </c>
      <c r="O1294" s="59" t="str">
        <f aca="false">IF(OR(E1294="",N(F1294)=0),"",G1294/F1294)</f>
        <v/>
      </c>
      <c r="P1294" s="60" t="str">
        <f aca="false">IF(E1294="","",ROUND(N(G1294)*N(H1294)/60,1))</f>
        <v/>
      </c>
      <c r="Q1294" s="57" t="str">
        <f aca="false">IF(E1294="","",IF(COUNTIFS($C$2:C1294,C1294,$E$2:E1294,E1294,$B$2:B1294,B1294)&gt;1,"No","Yes"))</f>
        <v/>
      </c>
      <c r="R1294" s="61" t="str">
        <f aca="false">IF(E1294="","",IF(Q1294="No","Duplicate of an earlier response",IF(L1294="Not on SITES","Site not on SITES",IF(N(G1294)&gt;N(F1294),"Present is more than enrolled",IF(OR(I1294&lt;1,I1294&gt;5),"Score outside 1 to 5","")))))</f>
        <v/>
      </c>
    </row>
    <row r="1295" customFormat="false" ht="15" hidden="false" customHeight="false" outlineLevel="0" collapsed="false">
      <c r="A1295" s="52"/>
      <c r="B1295" s="53"/>
      <c r="C1295" s="53"/>
      <c r="D1295" s="53"/>
      <c r="E1295" s="54"/>
      <c r="F1295" s="55"/>
      <c r="G1295" s="55"/>
      <c r="H1295" s="55"/>
      <c r="I1295" s="56"/>
      <c r="J1295" s="53"/>
      <c r="K1295" s="53"/>
      <c r="L1295" s="57" t="str">
        <f aca="false">IF(C1295="","",IFERROR(INDEX(site_ID,MATCH(C1295,site_Name,0)),"Not on SITES"))</f>
        <v/>
      </c>
      <c r="M1295" s="58" t="str">
        <f aca="false">IF(E1295="","",DATE(YEAR(E1295),MONTH(E1295),1))</f>
        <v/>
      </c>
      <c r="N1295" s="57" t="str">
        <f aca="false">IF(E1295="","","FY"&amp;(YEAR(E1295)+IF(AND(FYStart&gt;1,MONTH(E1295)&gt;=FYStart),1,0))&amp;" Q"&amp;(INT(MOD(MONTH(E1295)-FYStart,12)/3)+1))</f>
        <v/>
      </c>
      <c r="O1295" s="59" t="str">
        <f aca="false">IF(OR(E1295="",N(F1295)=0),"",G1295/F1295)</f>
        <v/>
      </c>
      <c r="P1295" s="60" t="str">
        <f aca="false">IF(E1295="","",ROUND(N(G1295)*N(H1295)/60,1))</f>
        <v/>
      </c>
      <c r="Q1295" s="57" t="str">
        <f aca="false">IF(E1295="","",IF(COUNTIFS($C$2:C1295,C1295,$E$2:E1295,E1295,$B$2:B1295,B1295)&gt;1,"No","Yes"))</f>
        <v/>
      </c>
      <c r="R1295" s="61" t="str">
        <f aca="false">IF(E1295="","",IF(Q1295="No","Duplicate of an earlier response",IF(L1295="Not on SITES","Site not on SITES",IF(N(G1295)&gt;N(F1295),"Present is more than enrolled",IF(OR(I1295&lt;1,I1295&gt;5),"Score outside 1 to 5","")))))</f>
        <v/>
      </c>
    </row>
    <row r="1296" customFormat="false" ht="15" hidden="false" customHeight="false" outlineLevel="0" collapsed="false">
      <c r="A1296" s="52"/>
      <c r="B1296" s="53"/>
      <c r="C1296" s="53"/>
      <c r="D1296" s="53"/>
      <c r="E1296" s="54"/>
      <c r="F1296" s="55"/>
      <c r="G1296" s="55"/>
      <c r="H1296" s="55"/>
      <c r="I1296" s="56"/>
      <c r="J1296" s="53"/>
      <c r="K1296" s="53"/>
      <c r="L1296" s="57" t="str">
        <f aca="false">IF(C1296="","",IFERROR(INDEX(site_ID,MATCH(C1296,site_Name,0)),"Not on SITES"))</f>
        <v/>
      </c>
      <c r="M1296" s="58" t="str">
        <f aca="false">IF(E1296="","",DATE(YEAR(E1296),MONTH(E1296),1))</f>
        <v/>
      </c>
      <c r="N1296" s="57" t="str">
        <f aca="false">IF(E1296="","","FY"&amp;(YEAR(E1296)+IF(AND(FYStart&gt;1,MONTH(E1296)&gt;=FYStart),1,0))&amp;" Q"&amp;(INT(MOD(MONTH(E1296)-FYStart,12)/3)+1))</f>
        <v/>
      </c>
      <c r="O1296" s="59" t="str">
        <f aca="false">IF(OR(E1296="",N(F1296)=0),"",G1296/F1296)</f>
        <v/>
      </c>
      <c r="P1296" s="60" t="str">
        <f aca="false">IF(E1296="","",ROUND(N(G1296)*N(H1296)/60,1))</f>
        <v/>
      </c>
      <c r="Q1296" s="57" t="str">
        <f aca="false">IF(E1296="","",IF(COUNTIFS($C$2:C1296,C1296,$E$2:E1296,E1296,$B$2:B1296,B1296)&gt;1,"No","Yes"))</f>
        <v/>
      </c>
      <c r="R1296" s="61" t="str">
        <f aca="false">IF(E1296="","",IF(Q1296="No","Duplicate of an earlier response",IF(L1296="Not on SITES","Site not on SITES",IF(N(G1296)&gt;N(F1296),"Present is more than enrolled",IF(OR(I1296&lt;1,I1296&gt;5),"Score outside 1 to 5","")))))</f>
        <v/>
      </c>
    </row>
    <row r="1297" customFormat="false" ht="15" hidden="false" customHeight="false" outlineLevel="0" collapsed="false">
      <c r="A1297" s="52"/>
      <c r="B1297" s="53"/>
      <c r="C1297" s="53"/>
      <c r="D1297" s="53"/>
      <c r="E1297" s="54"/>
      <c r="F1297" s="55"/>
      <c r="G1297" s="55"/>
      <c r="H1297" s="55"/>
      <c r="I1297" s="56"/>
      <c r="J1297" s="53"/>
      <c r="K1297" s="53"/>
      <c r="L1297" s="57" t="str">
        <f aca="false">IF(C1297="","",IFERROR(INDEX(site_ID,MATCH(C1297,site_Name,0)),"Not on SITES"))</f>
        <v/>
      </c>
      <c r="M1297" s="58" t="str">
        <f aca="false">IF(E1297="","",DATE(YEAR(E1297),MONTH(E1297),1))</f>
        <v/>
      </c>
      <c r="N1297" s="57" t="str">
        <f aca="false">IF(E1297="","","FY"&amp;(YEAR(E1297)+IF(AND(FYStart&gt;1,MONTH(E1297)&gt;=FYStart),1,0))&amp;" Q"&amp;(INT(MOD(MONTH(E1297)-FYStart,12)/3)+1))</f>
        <v/>
      </c>
      <c r="O1297" s="59" t="str">
        <f aca="false">IF(OR(E1297="",N(F1297)=0),"",G1297/F1297)</f>
        <v/>
      </c>
      <c r="P1297" s="60" t="str">
        <f aca="false">IF(E1297="","",ROUND(N(G1297)*N(H1297)/60,1))</f>
        <v/>
      </c>
      <c r="Q1297" s="57" t="str">
        <f aca="false">IF(E1297="","",IF(COUNTIFS($C$2:C1297,C1297,$E$2:E1297,E1297,$B$2:B1297,B1297)&gt;1,"No","Yes"))</f>
        <v/>
      </c>
      <c r="R1297" s="61" t="str">
        <f aca="false">IF(E1297="","",IF(Q1297="No","Duplicate of an earlier response",IF(L1297="Not on SITES","Site not on SITES",IF(N(G1297)&gt;N(F1297),"Present is more than enrolled",IF(OR(I1297&lt;1,I1297&gt;5),"Score outside 1 to 5","")))))</f>
        <v/>
      </c>
    </row>
    <row r="1298" customFormat="false" ht="15" hidden="false" customHeight="false" outlineLevel="0" collapsed="false">
      <c r="A1298" s="52"/>
      <c r="B1298" s="53"/>
      <c r="C1298" s="53"/>
      <c r="D1298" s="53"/>
      <c r="E1298" s="54"/>
      <c r="F1298" s="55"/>
      <c r="G1298" s="55"/>
      <c r="H1298" s="55"/>
      <c r="I1298" s="56"/>
      <c r="J1298" s="53"/>
      <c r="K1298" s="53"/>
      <c r="L1298" s="57" t="str">
        <f aca="false">IF(C1298="","",IFERROR(INDEX(site_ID,MATCH(C1298,site_Name,0)),"Not on SITES"))</f>
        <v/>
      </c>
      <c r="M1298" s="58" t="str">
        <f aca="false">IF(E1298="","",DATE(YEAR(E1298),MONTH(E1298),1))</f>
        <v/>
      </c>
      <c r="N1298" s="57" t="str">
        <f aca="false">IF(E1298="","","FY"&amp;(YEAR(E1298)+IF(AND(FYStart&gt;1,MONTH(E1298)&gt;=FYStart),1,0))&amp;" Q"&amp;(INT(MOD(MONTH(E1298)-FYStart,12)/3)+1))</f>
        <v/>
      </c>
      <c r="O1298" s="59" t="str">
        <f aca="false">IF(OR(E1298="",N(F1298)=0),"",G1298/F1298)</f>
        <v/>
      </c>
      <c r="P1298" s="60" t="str">
        <f aca="false">IF(E1298="","",ROUND(N(G1298)*N(H1298)/60,1))</f>
        <v/>
      </c>
      <c r="Q1298" s="57" t="str">
        <f aca="false">IF(E1298="","",IF(COUNTIFS($C$2:C1298,C1298,$E$2:E1298,E1298,$B$2:B1298,B1298)&gt;1,"No","Yes"))</f>
        <v/>
      </c>
      <c r="R1298" s="61" t="str">
        <f aca="false">IF(E1298="","",IF(Q1298="No","Duplicate of an earlier response",IF(L1298="Not on SITES","Site not on SITES",IF(N(G1298)&gt;N(F1298),"Present is more than enrolled",IF(OR(I1298&lt;1,I1298&gt;5),"Score outside 1 to 5","")))))</f>
        <v/>
      </c>
    </row>
    <row r="1299" customFormat="false" ht="15" hidden="false" customHeight="false" outlineLevel="0" collapsed="false">
      <c r="A1299" s="52"/>
      <c r="B1299" s="53"/>
      <c r="C1299" s="53"/>
      <c r="D1299" s="53"/>
      <c r="E1299" s="54"/>
      <c r="F1299" s="55"/>
      <c r="G1299" s="55"/>
      <c r="H1299" s="55"/>
      <c r="I1299" s="56"/>
      <c r="J1299" s="53"/>
      <c r="K1299" s="53"/>
      <c r="L1299" s="57" t="str">
        <f aca="false">IF(C1299="","",IFERROR(INDEX(site_ID,MATCH(C1299,site_Name,0)),"Not on SITES"))</f>
        <v/>
      </c>
      <c r="M1299" s="58" t="str">
        <f aca="false">IF(E1299="","",DATE(YEAR(E1299),MONTH(E1299),1))</f>
        <v/>
      </c>
      <c r="N1299" s="57" t="str">
        <f aca="false">IF(E1299="","","FY"&amp;(YEAR(E1299)+IF(AND(FYStart&gt;1,MONTH(E1299)&gt;=FYStart),1,0))&amp;" Q"&amp;(INT(MOD(MONTH(E1299)-FYStart,12)/3)+1))</f>
        <v/>
      </c>
      <c r="O1299" s="59" t="str">
        <f aca="false">IF(OR(E1299="",N(F1299)=0),"",G1299/F1299)</f>
        <v/>
      </c>
      <c r="P1299" s="60" t="str">
        <f aca="false">IF(E1299="","",ROUND(N(G1299)*N(H1299)/60,1))</f>
        <v/>
      </c>
      <c r="Q1299" s="57" t="str">
        <f aca="false">IF(E1299="","",IF(COUNTIFS($C$2:C1299,C1299,$E$2:E1299,E1299,$B$2:B1299,B1299)&gt;1,"No","Yes"))</f>
        <v/>
      </c>
      <c r="R1299" s="61" t="str">
        <f aca="false">IF(E1299="","",IF(Q1299="No","Duplicate of an earlier response",IF(L1299="Not on SITES","Site not on SITES",IF(N(G1299)&gt;N(F1299),"Present is more than enrolled",IF(OR(I1299&lt;1,I1299&gt;5),"Score outside 1 to 5","")))))</f>
        <v/>
      </c>
    </row>
    <row r="1300" customFormat="false" ht="15" hidden="false" customHeight="false" outlineLevel="0" collapsed="false">
      <c r="A1300" s="52"/>
      <c r="B1300" s="53"/>
      <c r="C1300" s="53"/>
      <c r="D1300" s="53"/>
      <c r="E1300" s="54"/>
      <c r="F1300" s="55"/>
      <c r="G1300" s="55"/>
      <c r="H1300" s="55"/>
      <c r="I1300" s="56"/>
      <c r="J1300" s="53"/>
      <c r="K1300" s="53"/>
      <c r="L1300" s="57" t="str">
        <f aca="false">IF(C1300="","",IFERROR(INDEX(site_ID,MATCH(C1300,site_Name,0)),"Not on SITES"))</f>
        <v/>
      </c>
      <c r="M1300" s="58" t="str">
        <f aca="false">IF(E1300="","",DATE(YEAR(E1300),MONTH(E1300),1))</f>
        <v/>
      </c>
      <c r="N1300" s="57" t="str">
        <f aca="false">IF(E1300="","","FY"&amp;(YEAR(E1300)+IF(AND(FYStart&gt;1,MONTH(E1300)&gt;=FYStart),1,0))&amp;" Q"&amp;(INT(MOD(MONTH(E1300)-FYStart,12)/3)+1))</f>
        <v/>
      </c>
      <c r="O1300" s="59" t="str">
        <f aca="false">IF(OR(E1300="",N(F1300)=0),"",G1300/F1300)</f>
        <v/>
      </c>
      <c r="P1300" s="60" t="str">
        <f aca="false">IF(E1300="","",ROUND(N(G1300)*N(H1300)/60,1))</f>
        <v/>
      </c>
      <c r="Q1300" s="57" t="str">
        <f aca="false">IF(E1300="","",IF(COUNTIFS($C$2:C1300,C1300,$E$2:E1300,E1300,$B$2:B1300,B1300)&gt;1,"No","Yes"))</f>
        <v/>
      </c>
      <c r="R1300" s="61" t="str">
        <f aca="false">IF(E1300="","",IF(Q1300="No","Duplicate of an earlier response",IF(L1300="Not on SITES","Site not on SITES",IF(N(G1300)&gt;N(F1300),"Present is more than enrolled",IF(OR(I1300&lt;1,I1300&gt;5),"Score outside 1 to 5","")))))</f>
        <v/>
      </c>
    </row>
    <row r="1301" customFormat="false" ht="15" hidden="false" customHeight="false" outlineLevel="0" collapsed="false">
      <c r="A1301" s="52"/>
      <c r="B1301" s="53"/>
      <c r="C1301" s="53"/>
      <c r="D1301" s="53"/>
      <c r="E1301" s="54"/>
      <c r="F1301" s="55"/>
      <c r="G1301" s="55"/>
      <c r="H1301" s="55"/>
      <c r="I1301" s="56"/>
      <c r="J1301" s="53"/>
      <c r="K1301" s="53"/>
      <c r="L1301" s="57" t="str">
        <f aca="false">IF(C1301="","",IFERROR(INDEX(site_ID,MATCH(C1301,site_Name,0)),"Not on SITES"))</f>
        <v/>
      </c>
      <c r="M1301" s="58" t="str">
        <f aca="false">IF(E1301="","",DATE(YEAR(E1301),MONTH(E1301),1))</f>
        <v/>
      </c>
      <c r="N1301" s="57" t="str">
        <f aca="false">IF(E1301="","","FY"&amp;(YEAR(E1301)+IF(AND(FYStart&gt;1,MONTH(E1301)&gt;=FYStart),1,0))&amp;" Q"&amp;(INT(MOD(MONTH(E1301)-FYStart,12)/3)+1))</f>
        <v/>
      </c>
      <c r="O1301" s="59" t="str">
        <f aca="false">IF(OR(E1301="",N(F1301)=0),"",G1301/F1301)</f>
        <v/>
      </c>
      <c r="P1301" s="60" t="str">
        <f aca="false">IF(E1301="","",ROUND(N(G1301)*N(H1301)/60,1))</f>
        <v/>
      </c>
      <c r="Q1301" s="57" t="str">
        <f aca="false">IF(E1301="","",IF(COUNTIFS($C$2:C1301,C1301,$E$2:E1301,E1301,$B$2:B1301,B1301)&gt;1,"No","Yes"))</f>
        <v/>
      </c>
      <c r="R1301" s="61" t="str">
        <f aca="false">IF(E1301="","",IF(Q1301="No","Duplicate of an earlier response",IF(L1301="Not on SITES","Site not on SITES",IF(N(G1301)&gt;N(F1301),"Present is more than enrolled",IF(OR(I1301&lt;1,I1301&gt;5),"Score outside 1 to 5","")))))</f>
        <v/>
      </c>
    </row>
    <row r="1302" customFormat="false" ht="15" hidden="false" customHeight="false" outlineLevel="0" collapsed="false">
      <c r="A1302" s="52"/>
      <c r="B1302" s="53"/>
      <c r="C1302" s="53"/>
      <c r="D1302" s="53"/>
      <c r="E1302" s="54"/>
      <c r="F1302" s="55"/>
      <c r="G1302" s="55"/>
      <c r="H1302" s="55"/>
      <c r="I1302" s="56"/>
      <c r="J1302" s="53"/>
      <c r="K1302" s="53"/>
      <c r="L1302" s="57" t="str">
        <f aca="false">IF(C1302="","",IFERROR(INDEX(site_ID,MATCH(C1302,site_Name,0)),"Not on SITES"))</f>
        <v/>
      </c>
      <c r="M1302" s="58" t="str">
        <f aca="false">IF(E1302="","",DATE(YEAR(E1302),MONTH(E1302),1))</f>
        <v/>
      </c>
      <c r="N1302" s="57" t="str">
        <f aca="false">IF(E1302="","","FY"&amp;(YEAR(E1302)+IF(AND(FYStart&gt;1,MONTH(E1302)&gt;=FYStart),1,0))&amp;" Q"&amp;(INT(MOD(MONTH(E1302)-FYStart,12)/3)+1))</f>
        <v/>
      </c>
      <c r="O1302" s="59" t="str">
        <f aca="false">IF(OR(E1302="",N(F1302)=0),"",G1302/F1302)</f>
        <v/>
      </c>
      <c r="P1302" s="60" t="str">
        <f aca="false">IF(E1302="","",ROUND(N(G1302)*N(H1302)/60,1))</f>
        <v/>
      </c>
      <c r="Q1302" s="57" t="str">
        <f aca="false">IF(E1302="","",IF(COUNTIFS($C$2:C1302,C1302,$E$2:E1302,E1302,$B$2:B1302,B1302)&gt;1,"No","Yes"))</f>
        <v/>
      </c>
      <c r="R1302" s="61" t="str">
        <f aca="false">IF(E1302="","",IF(Q1302="No","Duplicate of an earlier response",IF(L1302="Not on SITES","Site not on SITES",IF(N(G1302)&gt;N(F1302),"Present is more than enrolled",IF(OR(I1302&lt;1,I1302&gt;5),"Score outside 1 to 5","")))))</f>
        <v/>
      </c>
    </row>
    <row r="1303" customFormat="false" ht="15" hidden="false" customHeight="false" outlineLevel="0" collapsed="false">
      <c r="A1303" s="52"/>
      <c r="B1303" s="53"/>
      <c r="C1303" s="53"/>
      <c r="D1303" s="53"/>
      <c r="E1303" s="54"/>
      <c r="F1303" s="55"/>
      <c r="G1303" s="55"/>
      <c r="H1303" s="55"/>
      <c r="I1303" s="56"/>
      <c r="J1303" s="53"/>
      <c r="K1303" s="53"/>
      <c r="L1303" s="57" t="str">
        <f aca="false">IF(C1303="","",IFERROR(INDEX(site_ID,MATCH(C1303,site_Name,0)),"Not on SITES"))</f>
        <v/>
      </c>
      <c r="M1303" s="58" t="str">
        <f aca="false">IF(E1303="","",DATE(YEAR(E1303),MONTH(E1303),1))</f>
        <v/>
      </c>
      <c r="N1303" s="57" t="str">
        <f aca="false">IF(E1303="","","FY"&amp;(YEAR(E1303)+IF(AND(FYStart&gt;1,MONTH(E1303)&gt;=FYStart),1,0))&amp;" Q"&amp;(INT(MOD(MONTH(E1303)-FYStart,12)/3)+1))</f>
        <v/>
      </c>
      <c r="O1303" s="59" t="str">
        <f aca="false">IF(OR(E1303="",N(F1303)=0),"",G1303/F1303)</f>
        <v/>
      </c>
      <c r="P1303" s="60" t="str">
        <f aca="false">IF(E1303="","",ROUND(N(G1303)*N(H1303)/60,1))</f>
        <v/>
      </c>
      <c r="Q1303" s="57" t="str">
        <f aca="false">IF(E1303="","",IF(COUNTIFS($C$2:C1303,C1303,$E$2:E1303,E1303,$B$2:B1303,B1303)&gt;1,"No","Yes"))</f>
        <v/>
      </c>
      <c r="R1303" s="61" t="str">
        <f aca="false">IF(E1303="","",IF(Q1303="No","Duplicate of an earlier response",IF(L1303="Not on SITES","Site not on SITES",IF(N(G1303)&gt;N(F1303),"Present is more than enrolled",IF(OR(I1303&lt;1,I1303&gt;5),"Score outside 1 to 5","")))))</f>
        <v/>
      </c>
    </row>
    <row r="1304" customFormat="false" ht="15" hidden="false" customHeight="false" outlineLevel="0" collapsed="false">
      <c r="A1304" s="52"/>
      <c r="B1304" s="53"/>
      <c r="C1304" s="53"/>
      <c r="D1304" s="53"/>
      <c r="E1304" s="54"/>
      <c r="F1304" s="55"/>
      <c r="G1304" s="55"/>
      <c r="H1304" s="55"/>
      <c r="I1304" s="56"/>
      <c r="J1304" s="53"/>
      <c r="K1304" s="53"/>
      <c r="L1304" s="57" t="str">
        <f aca="false">IF(C1304="","",IFERROR(INDEX(site_ID,MATCH(C1304,site_Name,0)),"Not on SITES"))</f>
        <v/>
      </c>
      <c r="M1304" s="58" t="str">
        <f aca="false">IF(E1304="","",DATE(YEAR(E1304),MONTH(E1304),1))</f>
        <v/>
      </c>
      <c r="N1304" s="57" t="str">
        <f aca="false">IF(E1304="","","FY"&amp;(YEAR(E1304)+IF(AND(FYStart&gt;1,MONTH(E1304)&gt;=FYStart),1,0))&amp;" Q"&amp;(INT(MOD(MONTH(E1304)-FYStart,12)/3)+1))</f>
        <v/>
      </c>
      <c r="O1304" s="59" t="str">
        <f aca="false">IF(OR(E1304="",N(F1304)=0),"",G1304/F1304)</f>
        <v/>
      </c>
      <c r="P1304" s="60" t="str">
        <f aca="false">IF(E1304="","",ROUND(N(G1304)*N(H1304)/60,1))</f>
        <v/>
      </c>
      <c r="Q1304" s="57" t="str">
        <f aca="false">IF(E1304="","",IF(COUNTIFS($C$2:C1304,C1304,$E$2:E1304,E1304,$B$2:B1304,B1304)&gt;1,"No","Yes"))</f>
        <v/>
      </c>
      <c r="R1304" s="61" t="str">
        <f aca="false">IF(E1304="","",IF(Q1304="No","Duplicate of an earlier response",IF(L1304="Not on SITES","Site not on SITES",IF(N(G1304)&gt;N(F1304),"Present is more than enrolled",IF(OR(I1304&lt;1,I1304&gt;5),"Score outside 1 to 5","")))))</f>
        <v/>
      </c>
    </row>
    <row r="1305" customFormat="false" ht="15" hidden="false" customHeight="false" outlineLevel="0" collapsed="false">
      <c r="A1305" s="52"/>
      <c r="B1305" s="53"/>
      <c r="C1305" s="53"/>
      <c r="D1305" s="53"/>
      <c r="E1305" s="54"/>
      <c r="F1305" s="55"/>
      <c r="G1305" s="55"/>
      <c r="H1305" s="55"/>
      <c r="I1305" s="56"/>
      <c r="J1305" s="53"/>
      <c r="K1305" s="53"/>
      <c r="L1305" s="57" t="str">
        <f aca="false">IF(C1305="","",IFERROR(INDEX(site_ID,MATCH(C1305,site_Name,0)),"Not on SITES"))</f>
        <v/>
      </c>
      <c r="M1305" s="58" t="str">
        <f aca="false">IF(E1305="","",DATE(YEAR(E1305),MONTH(E1305),1))</f>
        <v/>
      </c>
      <c r="N1305" s="57" t="str">
        <f aca="false">IF(E1305="","","FY"&amp;(YEAR(E1305)+IF(AND(FYStart&gt;1,MONTH(E1305)&gt;=FYStart),1,0))&amp;" Q"&amp;(INT(MOD(MONTH(E1305)-FYStart,12)/3)+1))</f>
        <v/>
      </c>
      <c r="O1305" s="59" t="str">
        <f aca="false">IF(OR(E1305="",N(F1305)=0),"",G1305/F1305)</f>
        <v/>
      </c>
      <c r="P1305" s="60" t="str">
        <f aca="false">IF(E1305="","",ROUND(N(G1305)*N(H1305)/60,1))</f>
        <v/>
      </c>
      <c r="Q1305" s="57" t="str">
        <f aca="false">IF(E1305="","",IF(COUNTIFS($C$2:C1305,C1305,$E$2:E1305,E1305,$B$2:B1305,B1305)&gt;1,"No","Yes"))</f>
        <v/>
      </c>
      <c r="R1305" s="61" t="str">
        <f aca="false">IF(E1305="","",IF(Q1305="No","Duplicate of an earlier response",IF(L1305="Not on SITES","Site not on SITES",IF(N(G1305)&gt;N(F1305),"Present is more than enrolled",IF(OR(I1305&lt;1,I1305&gt;5),"Score outside 1 to 5","")))))</f>
        <v/>
      </c>
    </row>
    <row r="1306" customFormat="false" ht="15" hidden="false" customHeight="false" outlineLevel="0" collapsed="false">
      <c r="A1306" s="52"/>
      <c r="B1306" s="53"/>
      <c r="C1306" s="53"/>
      <c r="D1306" s="53"/>
      <c r="E1306" s="54"/>
      <c r="F1306" s="55"/>
      <c r="G1306" s="55"/>
      <c r="H1306" s="55"/>
      <c r="I1306" s="56"/>
      <c r="J1306" s="53"/>
      <c r="K1306" s="53"/>
      <c r="L1306" s="57" t="str">
        <f aca="false">IF(C1306="","",IFERROR(INDEX(site_ID,MATCH(C1306,site_Name,0)),"Not on SITES"))</f>
        <v/>
      </c>
      <c r="M1306" s="58" t="str">
        <f aca="false">IF(E1306="","",DATE(YEAR(E1306),MONTH(E1306),1))</f>
        <v/>
      </c>
      <c r="N1306" s="57" t="str">
        <f aca="false">IF(E1306="","","FY"&amp;(YEAR(E1306)+IF(AND(FYStart&gt;1,MONTH(E1306)&gt;=FYStart),1,0))&amp;" Q"&amp;(INT(MOD(MONTH(E1306)-FYStart,12)/3)+1))</f>
        <v/>
      </c>
      <c r="O1306" s="59" t="str">
        <f aca="false">IF(OR(E1306="",N(F1306)=0),"",G1306/F1306)</f>
        <v/>
      </c>
      <c r="P1306" s="60" t="str">
        <f aca="false">IF(E1306="","",ROUND(N(G1306)*N(H1306)/60,1))</f>
        <v/>
      </c>
      <c r="Q1306" s="57" t="str">
        <f aca="false">IF(E1306="","",IF(COUNTIFS($C$2:C1306,C1306,$E$2:E1306,E1306,$B$2:B1306,B1306)&gt;1,"No","Yes"))</f>
        <v/>
      </c>
      <c r="R1306" s="61" t="str">
        <f aca="false">IF(E1306="","",IF(Q1306="No","Duplicate of an earlier response",IF(L1306="Not on SITES","Site not on SITES",IF(N(G1306)&gt;N(F1306),"Present is more than enrolled",IF(OR(I1306&lt;1,I1306&gt;5),"Score outside 1 to 5","")))))</f>
        <v/>
      </c>
    </row>
    <row r="1307" customFormat="false" ht="15" hidden="false" customHeight="false" outlineLevel="0" collapsed="false">
      <c r="A1307" s="52"/>
      <c r="B1307" s="53"/>
      <c r="C1307" s="53"/>
      <c r="D1307" s="53"/>
      <c r="E1307" s="54"/>
      <c r="F1307" s="55"/>
      <c r="G1307" s="55"/>
      <c r="H1307" s="55"/>
      <c r="I1307" s="56"/>
      <c r="J1307" s="53"/>
      <c r="K1307" s="53"/>
      <c r="L1307" s="57" t="str">
        <f aca="false">IF(C1307="","",IFERROR(INDEX(site_ID,MATCH(C1307,site_Name,0)),"Not on SITES"))</f>
        <v/>
      </c>
      <c r="M1307" s="58" t="str">
        <f aca="false">IF(E1307="","",DATE(YEAR(E1307),MONTH(E1307),1))</f>
        <v/>
      </c>
      <c r="N1307" s="57" t="str">
        <f aca="false">IF(E1307="","","FY"&amp;(YEAR(E1307)+IF(AND(FYStart&gt;1,MONTH(E1307)&gt;=FYStart),1,0))&amp;" Q"&amp;(INT(MOD(MONTH(E1307)-FYStart,12)/3)+1))</f>
        <v/>
      </c>
      <c r="O1307" s="59" t="str">
        <f aca="false">IF(OR(E1307="",N(F1307)=0),"",G1307/F1307)</f>
        <v/>
      </c>
      <c r="P1307" s="60" t="str">
        <f aca="false">IF(E1307="","",ROUND(N(G1307)*N(H1307)/60,1))</f>
        <v/>
      </c>
      <c r="Q1307" s="57" t="str">
        <f aca="false">IF(E1307="","",IF(COUNTIFS($C$2:C1307,C1307,$E$2:E1307,E1307,$B$2:B1307,B1307)&gt;1,"No","Yes"))</f>
        <v/>
      </c>
      <c r="R1307" s="61" t="str">
        <f aca="false">IF(E1307="","",IF(Q1307="No","Duplicate of an earlier response",IF(L1307="Not on SITES","Site not on SITES",IF(N(G1307)&gt;N(F1307),"Present is more than enrolled",IF(OR(I1307&lt;1,I1307&gt;5),"Score outside 1 to 5","")))))</f>
        <v/>
      </c>
    </row>
    <row r="1308" customFormat="false" ht="15" hidden="false" customHeight="false" outlineLevel="0" collapsed="false">
      <c r="A1308" s="52"/>
      <c r="B1308" s="53"/>
      <c r="C1308" s="53"/>
      <c r="D1308" s="53"/>
      <c r="E1308" s="54"/>
      <c r="F1308" s="55"/>
      <c r="G1308" s="55"/>
      <c r="H1308" s="55"/>
      <c r="I1308" s="56"/>
      <c r="J1308" s="53"/>
      <c r="K1308" s="53"/>
      <c r="L1308" s="57" t="str">
        <f aca="false">IF(C1308="","",IFERROR(INDEX(site_ID,MATCH(C1308,site_Name,0)),"Not on SITES"))</f>
        <v/>
      </c>
      <c r="M1308" s="58" t="str">
        <f aca="false">IF(E1308="","",DATE(YEAR(E1308),MONTH(E1308),1))</f>
        <v/>
      </c>
      <c r="N1308" s="57" t="str">
        <f aca="false">IF(E1308="","","FY"&amp;(YEAR(E1308)+IF(AND(FYStart&gt;1,MONTH(E1308)&gt;=FYStart),1,0))&amp;" Q"&amp;(INT(MOD(MONTH(E1308)-FYStart,12)/3)+1))</f>
        <v/>
      </c>
      <c r="O1308" s="59" t="str">
        <f aca="false">IF(OR(E1308="",N(F1308)=0),"",G1308/F1308)</f>
        <v/>
      </c>
      <c r="P1308" s="60" t="str">
        <f aca="false">IF(E1308="","",ROUND(N(G1308)*N(H1308)/60,1))</f>
        <v/>
      </c>
      <c r="Q1308" s="57" t="str">
        <f aca="false">IF(E1308="","",IF(COUNTIFS($C$2:C1308,C1308,$E$2:E1308,E1308,$B$2:B1308,B1308)&gt;1,"No","Yes"))</f>
        <v/>
      </c>
      <c r="R1308" s="61" t="str">
        <f aca="false">IF(E1308="","",IF(Q1308="No","Duplicate of an earlier response",IF(L1308="Not on SITES","Site not on SITES",IF(N(G1308)&gt;N(F1308),"Present is more than enrolled",IF(OR(I1308&lt;1,I1308&gt;5),"Score outside 1 to 5","")))))</f>
        <v/>
      </c>
    </row>
    <row r="1309" customFormat="false" ht="15" hidden="false" customHeight="false" outlineLevel="0" collapsed="false">
      <c r="A1309" s="52"/>
      <c r="B1309" s="53"/>
      <c r="C1309" s="53"/>
      <c r="D1309" s="53"/>
      <c r="E1309" s="54"/>
      <c r="F1309" s="55"/>
      <c r="G1309" s="55"/>
      <c r="H1309" s="55"/>
      <c r="I1309" s="56"/>
      <c r="J1309" s="53"/>
      <c r="K1309" s="53"/>
      <c r="L1309" s="57" t="str">
        <f aca="false">IF(C1309="","",IFERROR(INDEX(site_ID,MATCH(C1309,site_Name,0)),"Not on SITES"))</f>
        <v/>
      </c>
      <c r="M1309" s="58" t="str">
        <f aca="false">IF(E1309="","",DATE(YEAR(E1309),MONTH(E1309),1))</f>
        <v/>
      </c>
      <c r="N1309" s="57" t="str">
        <f aca="false">IF(E1309="","","FY"&amp;(YEAR(E1309)+IF(AND(FYStart&gt;1,MONTH(E1309)&gt;=FYStart),1,0))&amp;" Q"&amp;(INT(MOD(MONTH(E1309)-FYStart,12)/3)+1))</f>
        <v/>
      </c>
      <c r="O1309" s="59" t="str">
        <f aca="false">IF(OR(E1309="",N(F1309)=0),"",G1309/F1309)</f>
        <v/>
      </c>
      <c r="P1309" s="60" t="str">
        <f aca="false">IF(E1309="","",ROUND(N(G1309)*N(H1309)/60,1))</f>
        <v/>
      </c>
      <c r="Q1309" s="57" t="str">
        <f aca="false">IF(E1309="","",IF(COUNTIFS($C$2:C1309,C1309,$E$2:E1309,E1309,$B$2:B1309,B1309)&gt;1,"No","Yes"))</f>
        <v/>
      </c>
      <c r="R1309" s="61" t="str">
        <f aca="false">IF(E1309="","",IF(Q1309="No","Duplicate of an earlier response",IF(L1309="Not on SITES","Site not on SITES",IF(N(G1309)&gt;N(F1309),"Present is more than enrolled",IF(OR(I1309&lt;1,I1309&gt;5),"Score outside 1 to 5","")))))</f>
        <v/>
      </c>
    </row>
    <row r="1310" customFormat="false" ht="15" hidden="false" customHeight="false" outlineLevel="0" collapsed="false">
      <c r="A1310" s="52"/>
      <c r="B1310" s="53"/>
      <c r="C1310" s="53"/>
      <c r="D1310" s="53"/>
      <c r="E1310" s="54"/>
      <c r="F1310" s="55"/>
      <c r="G1310" s="55"/>
      <c r="H1310" s="55"/>
      <c r="I1310" s="56"/>
      <c r="J1310" s="53"/>
      <c r="K1310" s="53"/>
      <c r="L1310" s="57" t="str">
        <f aca="false">IF(C1310="","",IFERROR(INDEX(site_ID,MATCH(C1310,site_Name,0)),"Not on SITES"))</f>
        <v/>
      </c>
      <c r="M1310" s="58" t="str">
        <f aca="false">IF(E1310="","",DATE(YEAR(E1310),MONTH(E1310),1))</f>
        <v/>
      </c>
      <c r="N1310" s="57" t="str">
        <f aca="false">IF(E1310="","","FY"&amp;(YEAR(E1310)+IF(AND(FYStart&gt;1,MONTH(E1310)&gt;=FYStart),1,0))&amp;" Q"&amp;(INT(MOD(MONTH(E1310)-FYStart,12)/3)+1))</f>
        <v/>
      </c>
      <c r="O1310" s="59" t="str">
        <f aca="false">IF(OR(E1310="",N(F1310)=0),"",G1310/F1310)</f>
        <v/>
      </c>
      <c r="P1310" s="60" t="str">
        <f aca="false">IF(E1310="","",ROUND(N(G1310)*N(H1310)/60,1))</f>
        <v/>
      </c>
      <c r="Q1310" s="57" t="str">
        <f aca="false">IF(E1310="","",IF(COUNTIFS($C$2:C1310,C1310,$E$2:E1310,E1310,$B$2:B1310,B1310)&gt;1,"No","Yes"))</f>
        <v/>
      </c>
      <c r="R1310" s="61" t="str">
        <f aca="false">IF(E1310="","",IF(Q1310="No","Duplicate of an earlier response",IF(L1310="Not on SITES","Site not on SITES",IF(N(G1310)&gt;N(F1310),"Present is more than enrolled",IF(OR(I1310&lt;1,I1310&gt;5),"Score outside 1 to 5","")))))</f>
        <v/>
      </c>
    </row>
    <row r="1311" customFormat="false" ht="15" hidden="false" customHeight="false" outlineLevel="0" collapsed="false">
      <c r="A1311" s="52"/>
      <c r="B1311" s="53"/>
      <c r="C1311" s="53"/>
      <c r="D1311" s="53"/>
      <c r="E1311" s="54"/>
      <c r="F1311" s="55"/>
      <c r="G1311" s="55"/>
      <c r="H1311" s="55"/>
      <c r="I1311" s="56"/>
      <c r="J1311" s="53"/>
      <c r="K1311" s="53"/>
      <c r="L1311" s="57" t="str">
        <f aca="false">IF(C1311="","",IFERROR(INDEX(site_ID,MATCH(C1311,site_Name,0)),"Not on SITES"))</f>
        <v/>
      </c>
      <c r="M1311" s="58" t="str">
        <f aca="false">IF(E1311="","",DATE(YEAR(E1311),MONTH(E1311),1))</f>
        <v/>
      </c>
      <c r="N1311" s="57" t="str">
        <f aca="false">IF(E1311="","","FY"&amp;(YEAR(E1311)+IF(AND(FYStart&gt;1,MONTH(E1311)&gt;=FYStart),1,0))&amp;" Q"&amp;(INT(MOD(MONTH(E1311)-FYStart,12)/3)+1))</f>
        <v/>
      </c>
      <c r="O1311" s="59" t="str">
        <f aca="false">IF(OR(E1311="",N(F1311)=0),"",G1311/F1311)</f>
        <v/>
      </c>
      <c r="P1311" s="60" t="str">
        <f aca="false">IF(E1311="","",ROUND(N(G1311)*N(H1311)/60,1))</f>
        <v/>
      </c>
      <c r="Q1311" s="57" t="str">
        <f aca="false">IF(E1311="","",IF(COUNTIFS($C$2:C1311,C1311,$E$2:E1311,E1311,$B$2:B1311,B1311)&gt;1,"No","Yes"))</f>
        <v/>
      </c>
      <c r="R1311" s="61" t="str">
        <f aca="false">IF(E1311="","",IF(Q1311="No","Duplicate of an earlier response",IF(L1311="Not on SITES","Site not on SITES",IF(N(G1311)&gt;N(F1311),"Present is more than enrolled",IF(OR(I1311&lt;1,I1311&gt;5),"Score outside 1 to 5","")))))</f>
        <v/>
      </c>
    </row>
    <row r="1312" customFormat="false" ht="15" hidden="false" customHeight="false" outlineLevel="0" collapsed="false">
      <c r="A1312" s="52"/>
      <c r="B1312" s="53"/>
      <c r="C1312" s="53"/>
      <c r="D1312" s="53"/>
      <c r="E1312" s="54"/>
      <c r="F1312" s="55"/>
      <c r="G1312" s="55"/>
      <c r="H1312" s="55"/>
      <c r="I1312" s="56"/>
      <c r="J1312" s="53"/>
      <c r="K1312" s="53"/>
      <c r="L1312" s="57" t="str">
        <f aca="false">IF(C1312="","",IFERROR(INDEX(site_ID,MATCH(C1312,site_Name,0)),"Not on SITES"))</f>
        <v/>
      </c>
      <c r="M1312" s="58" t="str">
        <f aca="false">IF(E1312="","",DATE(YEAR(E1312),MONTH(E1312),1))</f>
        <v/>
      </c>
      <c r="N1312" s="57" t="str">
        <f aca="false">IF(E1312="","","FY"&amp;(YEAR(E1312)+IF(AND(FYStart&gt;1,MONTH(E1312)&gt;=FYStart),1,0))&amp;" Q"&amp;(INT(MOD(MONTH(E1312)-FYStart,12)/3)+1))</f>
        <v/>
      </c>
      <c r="O1312" s="59" t="str">
        <f aca="false">IF(OR(E1312="",N(F1312)=0),"",G1312/F1312)</f>
        <v/>
      </c>
      <c r="P1312" s="60" t="str">
        <f aca="false">IF(E1312="","",ROUND(N(G1312)*N(H1312)/60,1))</f>
        <v/>
      </c>
      <c r="Q1312" s="57" t="str">
        <f aca="false">IF(E1312="","",IF(COUNTIFS($C$2:C1312,C1312,$E$2:E1312,E1312,$B$2:B1312,B1312)&gt;1,"No","Yes"))</f>
        <v/>
      </c>
      <c r="R1312" s="61" t="str">
        <f aca="false">IF(E1312="","",IF(Q1312="No","Duplicate of an earlier response",IF(L1312="Not on SITES","Site not on SITES",IF(N(G1312)&gt;N(F1312),"Present is more than enrolled",IF(OR(I1312&lt;1,I1312&gt;5),"Score outside 1 to 5","")))))</f>
        <v/>
      </c>
    </row>
    <row r="1313" customFormat="false" ht="15" hidden="false" customHeight="false" outlineLevel="0" collapsed="false">
      <c r="A1313" s="52"/>
      <c r="B1313" s="53"/>
      <c r="C1313" s="53"/>
      <c r="D1313" s="53"/>
      <c r="E1313" s="54"/>
      <c r="F1313" s="55"/>
      <c r="G1313" s="55"/>
      <c r="H1313" s="55"/>
      <c r="I1313" s="56"/>
      <c r="J1313" s="53"/>
      <c r="K1313" s="53"/>
      <c r="L1313" s="57" t="str">
        <f aca="false">IF(C1313="","",IFERROR(INDEX(site_ID,MATCH(C1313,site_Name,0)),"Not on SITES"))</f>
        <v/>
      </c>
      <c r="M1313" s="58" t="str">
        <f aca="false">IF(E1313="","",DATE(YEAR(E1313),MONTH(E1313),1))</f>
        <v/>
      </c>
      <c r="N1313" s="57" t="str">
        <f aca="false">IF(E1313="","","FY"&amp;(YEAR(E1313)+IF(AND(FYStart&gt;1,MONTH(E1313)&gt;=FYStart),1,0))&amp;" Q"&amp;(INT(MOD(MONTH(E1313)-FYStart,12)/3)+1))</f>
        <v/>
      </c>
      <c r="O1313" s="59" t="str">
        <f aca="false">IF(OR(E1313="",N(F1313)=0),"",G1313/F1313)</f>
        <v/>
      </c>
      <c r="P1313" s="60" t="str">
        <f aca="false">IF(E1313="","",ROUND(N(G1313)*N(H1313)/60,1))</f>
        <v/>
      </c>
      <c r="Q1313" s="57" t="str">
        <f aca="false">IF(E1313="","",IF(COUNTIFS($C$2:C1313,C1313,$E$2:E1313,E1313,$B$2:B1313,B1313)&gt;1,"No","Yes"))</f>
        <v/>
      </c>
      <c r="R1313" s="61" t="str">
        <f aca="false">IF(E1313="","",IF(Q1313="No","Duplicate of an earlier response",IF(L1313="Not on SITES","Site not on SITES",IF(N(G1313)&gt;N(F1313),"Present is more than enrolled",IF(OR(I1313&lt;1,I1313&gt;5),"Score outside 1 to 5","")))))</f>
        <v/>
      </c>
    </row>
    <row r="1314" customFormat="false" ht="15" hidden="false" customHeight="false" outlineLevel="0" collapsed="false">
      <c r="A1314" s="52"/>
      <c r="B1314" s="53"/>
      <c r="C1314" s="53"/>
      <c r="D1314" s="53"/>
      <c r="E1314" s="54"/>
      <c r="F1314" s="55"/>
      <c r="G1314" s="55"/>
      <c r="H1314" s="55"/>
      <c r="I1314" s="56"/>
      <c r="J1314" s="53"/>
      <c r="K1314" s="53"/>
      <c r="L1314" s="57" t="str">
        <f aca="false">IF(C1314="","",IFERROR(INDEX(site_ID,MATCH(C1314,site_Name,0)),"Not on SITES"))</f>
        <v/>
      </c>
      <c r="M1314" s="58" t="str">
        <f aca="false">IF(E1314="","",DATE(YEAR(E1314),MONTH(E1314),1))</f>
        <v/>
      </c>
      <c r="N1314" s="57" t="str">
        <f aca="false">IF(E1314="","","FY"&amp;(YEAR(E1314)+IF(AND(FYStart&gt;1,MONTH(E1314)&gt;=FYStart),1,0))&amp;" Q"&amp;(INT(MOD(MONTH(E1314)-FYStart,12)/3)+1))</f>
        <v/>
      </c>
      <c r="O1314" s="59" t="str">
        <f aca="false">IF(OR(E1314="",N(F1314)=0),"",G1314/F1314)</f>
        <v/>
      </c>
      <c r="P1314" s="60" t="str">
        <f aca="false">IF(E1314="","",ROUND(N(G1314)*N(H1314)/60,1))</f>
        <v/>
      </c>
      <c r="Q1314" s="57" t="str">
        <f aca="false">IF(E1314="","",IF(COUNTIFS($C$2:C1314,C1314,$E$2:E1314,E1314,$B$2:B1314,B1314)&gt;1,"No","Yes"))</f>
        <v/>
      </c>
      <c r="R1314" s="61" t="str">
        <f aca="false">IF(E1314="","",IF(Q1314="No","Duplicate of an earlier response",IF(L1314="Not on SITES","Site not on SITES",IF(N(G1314)&gt;N(F1314),"Present is more than enrolled",IF(OR(I1314&lt;1,I1314&gt;5),"Score outside 1 to 5","")))))</f>
        <v/>
      </c>
    </row>
    <row r="1315" customFormat="false" ht="15" hidden="false" customHeight="false" outlineLevel="0" collapsed="false">
      <c r="A1315" s="52"/>
      <c r="B1315" s="53"/>
      <c r="C1315" s="53"/>
      <c r="D1315" s="53"/>
      <c r="E1315" s="54"/>
      <c r="F1315" s="55"/>
      <c r="G1315" s="55"/>
      <c r="H1315" s="55"/>
      <c r="I1315" s="56"/>
      <c r="J1315" s="53"/>
      <c r="K1315" s="53"/>
      <c r="L1315" s="57" t="str">
        <f aca="false">IF(C1315="","",IFERROR(INDEX(site_ID,MATCH(C1315,site_Name,0)),"Not on SITES"))</f>
        <v/>
      </c>
      <c r="M1315" s="58" t="str">
        <f aca="false">IF(E1315="","",DATE(YEAR(E1315),MONTH(E1315),1))</f>
        <v/>
      </c>
      <c r="N1315" s="57" t="str">
        <f aca="false">IF(E1315="","","FY"&amp;(YEAR(E1315)+IF(AND(FYStart&gt;1,MONTH(E1315)&gt;=FYStart),1,0))&amp;" Q"&amp;(INT(MOD(MONTH(E1315)-FYStart,12)/3)+1))</f>
        <v/>
      </c>
      <c r="O1315" s="59" t="str">
        <f aca="false">IF(OR(E1315="",N(F1315)=0),"",G1315/F1315)</f>
        <v/>
      </c>
      <c r="P1315" s="60" t="str">
        <f aca="false">IF(E1315="","",ROUND(N(G1315)*N(H1315)/60,1))</f>
        <v/>
      </c>
      <c r="Q1315" s="57" t="str">
        <f aca="false">IF(E1315="","",IF(COUNTIFS($C$2:C1315,C1315,$E$2:E1315,E1315,$B$2:B1315,B1315)&gt;1,"No","Yes"))</f>
        <v/>
      </c>
      <c r="R1315" s="61" t="str">
        <f aca="false">IF(E1315="","",IF(Q1315="No","Duplicate of an earlier response",IF(L1315="Not on SITES","Site not on SITES",IF(N(G1315)&gt;N(F1315),"Present is more than enrolled",IF(OR(I1315&lt;1,I1315&gt;5),"Score outside 1 to 5","")))))</f>
        <v/>
      </c>
    </row>
    <row r="1316" customFormat="false" ht="15" hidden="false" customHeight="false" outlineLevel="0" collapsed="false">
      <c r="A1316" s="52"/>
      <c r="B1316" s="53"/>
      <c r="C1316" s="53"/>
      <c r="D1316" s="53"/>
      <c r="E1316" s="54"/>
      <c r="F1316" s="55"/>
      <c r="G1316" s="55"/>
      <c r="H1316" s="55"/>
      <c r="I1316" s="56"/>
      <c r="J1316" s="53"/>
      <c r="K1316" s="53"/>
      <c r="L1316" s="57" t="str">
        <f aca="false">IF(C1316="","",IFERROR(INDEX(site_ID,MATCH(C1316,site_Name,0)),"Not on SITES"))</f>
        <v/>
      </c>
      <c r="M1316" s="58" t="str">
        <f aca="false">IF(E1316="","",DATE(YEAR(E1316),MONTH(E1316),1))</f>
        <v/>
      </c>
      <c r="N1316" s="57" t="str">
        <f aca="false">IF(E1316="","","FY"&amp;(YEAR(E1316)+IF(AND(FYStart&gt;1,MONTH(E1316)&gt;=FYStart),1,0))&amp;" Q"&amp;(INT(MOD(MONTH(E1316)-FYStart,12)/3)+1))</f>
        <v/>
      </c>
      <c r="O1316" s="59" t="str">
        <f aca="false">IF(OR(E1316="",N(F1316)=0),"",G1316/F1316)</f>
        <v/>
      </c>
      <c r="P1316" s="60" t="str">
        <f aca="false">IF(E1316="","",ROUND(N(G1316)*N(H1316)/60,1))</f>
        <v/>
      </c>
      <c r="Q1316" s="57" t="str">
        <f aca="false">IF(E1316="","",IF(COUNTIFS($C$2:C1316,C1316,$E$2:E1316,E1316,$B$2:B1316,B1316)&gt;1,"No","Yes"))</f>
        <v/>
      </c>
      <c r="R1316" s="61" t="str">
        <f aca="false">IF(E1316="","",IF(Q1316="No","Duplicate of an earlier response",IF(L1316="Not on SITES","Site not on SITES",IF(N(G1316)&gt;N(F1316),"Present is more than enrolled",IF(OR(I1316&lt;1,I1316&gt;5),"Score outside 1 to 5","")))))</f>
        <v/>
      </c>
    </row>
    <row r="1317" customFormat="false" ht="15" hidden="false" customHeight="false" outlineLevel="0" collapsed="false">
      <c r="A1317" s="52"/>
      <c r="B1317" s="53"/>
      <c r="C1317" s="53"/>
      <c r="D1317" s="53"/>
      <c r="E1317" s="54"/>
      <c r="F1317" s="55"/>
      <c r="G1317" s="55"/>
      <c r="H1317" s="55"/>
      <c r="I1317" s="56"/>
      <c r="J1317" s="53"/>
      <c r="K1317" s="53"/>
      <c r="L1317" s="57" t="str">
        <f aca="false">IF(C1317="","",IFERROR(INDEX(site_ID,MATCH(C1317,site_Name,0)),"Not on SITES"))</f>
        <v/>
      </c>
      <c r="M1317" s="58" t="str">
        <f aca="false">IF(E1317="","",DATE(YEAR(E1317),MONTH(E1317),1))</f>
        <v/>
      </c>
      <c r="N1317" s="57" t="str">
        <f aca="false">IF(E1317="","","FY"&amp;(YEAR(E1317)+IF(AND(FYStart&gt;1,MONTH(E1317)&gt;=FYStart),1,0))&amp;" Q"&amp;(INT(MOD(MONTH(E1317)-FYStart,12)/3)+1))</f>
        <v/>
      </c>
      <c r="O1317" s="59" t="str">
        <f aca="false">IF(OR(E1317="",N(F1317)=0),"",G1317/F1317)</f>
        <v/>
      </c>
      <c r="P1317" s="60" t="str">
        <f aca="false">IF(E1317="","",ROUND(N(G1317)*N(H1317)/60,1))</f>
        <v/>
      </c>
      <c r="Q1317" s="57" t="str">
        <f aca="false">IF(E1317="","",IF(COUNTIFS($C$2:C1317,C1317,$E$2:E1317,E1317,$B$2:B1317,B1317)&gt;1,"No","Yes"))</f>
        <v/>
      </c>
      <c r="R1317" s="61" t="str">
        <f aca="false">IF(E1317="","",IF(Q1317="No","Duplicate of an earlier response",IF(L1317="Not on SITES","Site not on SITES",IF(N(G1317)&gt;N(F1317),"Present is more than enrolled",IF(OR(I1317&lt;1,I1317&gt;5),"Score outside 1 to 5","")))))</f>
        <v/>
      </c>
    </row>
    <row r="1318" customFormat="false" ht="15" hidden="false" customHeight="false" outlineLevel="0" collapsed="false">
      <c r="A1318" s="52"/>
      <c r="B1318" s="53"/>
      <c r="C1318" s="53"/>
      <c r="D1318" s="53"/>
      <c r="E1318" s="54"/>
      <c r="F1318" s="55"/>
      <c r="G1318" s="55"/>
      <c r="H1318" s="55"/>
      <c r="I1318" s="56"/>
      <c r="J1318" s="53"/>
      <c r="K1318" s="53"/>
      <c r="L1318" s="57" t="str">
        <f aca="false">IF(C1318="","",IFERROR(INDEX(site_ID,MATCH(C1318,site_Name,0)),"Not on SITES"))</f>
        <v/>
      </c>
      <c r="M1318" s="58" t="str">
        <f aca="false">IF(E1318="","",DATE(YEAR(E1318),MONTH(E1318),1))</f>
        <v/>
      </c>
      <c r="N1318" s="57" t="str">
        <f aca="false">IF(E1318="","","FY"&amp;(YEAR(E1318)+IF(AND(FYStart&gt;1,MONTH(E1318)&gt;=FYStart),1,0))&amp;" Q"&amp;(INT(MOD(MONTH(E1318)-FYStart,12)/3)+1))</f>
        <v/>
      </c>
      <c r="O1318" s="59" t="str">
        <f aca="false">IF(OR(E1318="",N(F1318)=0),"",G1318/F1318)</f>
        <v/>
      </c>
      <c r="P1318" s="60" t="str">
        <f aca="false">IF(E1318="","",ROUND(N(G1318)*N(H1318)/60,1))</f>
        <v/>
      </c>
      <c r="Q1318" s="57" t="str">
        <f aca="false">IF(E1318="","",IF(COUNTIFS($C$2:C1318,C1318,$E$2:E1318,E1318,$B$2:B1318,B1318)&gt;1,"No","Yes"))</f>
        <v/>
      </c>
      <c r="R1318" s="61" t="str">
        <f aca="false">IF(E1318="","",IF(Q1318="No","Duplicate of an earlier response",IF(L1318="Not on SITES","Site not on SITES",IF(N(G1318)&gt;N(F1318),"Present is more than enrolled",IF(OR(I1318&lt;1,I1318&gt;5),"Score outside 1 to 5","")))))</f>
        <v/>
      </c>
    </row>
    <row r="1319" customFormat="false" ht="15" hidden="false" customHeight="false" outlineLevel="0" collapsed="false">
      <c r="A1319" s="52"/>
      <c r="B1319" s="53"/>
      <c r="C1319" s="53"/>
      <c r="D1319" s="53"/>
      <c r="E1319" s="54"/>
      <c r="F1319" s="55"/>
      <c r="G1319" s="55"/>
      <c r="H1319" s="55"/>
      <c r="I1319" s="56"/>
      <c r="J1319" s="53"/>
      <c r="K1319" s="53"/>
      <c r="L1319" s="57" t="str">
        <f aca="false">IF(C1319="","",IFERROR(INDEX(site_ID,MATCH(C1319,site_Name,0)),"Not on SITES"))</f>
        <v/>
      </c>
      <c r="M1319" s="58" t="str">
        <f aca="false">IF(E1319="","",DATE(YEAR(E1319),MONTH(E1319),1))</f>
        <v/>
      </c>
      <c r="N1319" s="57" t="str">
        <f aca="false">IF(E1319="","","FY"&amp;(YEAR(E1319)+IF(AND(FYStart&gt;1,MONTH(E1319)&gt;=FYStart),1,0))&amp;" Q"&amp;(INT(MOD(MONTH(E1319)-FYStart,12)/3)+1))</f>
        <v/>
      </c>
      <c r="O1319" s="59" t="str">
        <f aca="false">IF(OR(E1319="",N(F1319)=0),"",G1319/F1319)</f>
        <v/>
      </c>
      <c r="P1319" s="60" t="str">
        <f aca="false">IF(E1319="","",ROUND(N(G1319)*N(H1319)/60,1))</f>
        <v/>
      </c>
      <c r="Q1319" s="57" t="str">
        <f aca="false">IF(E1319="","",IF(COUNTIFS($C$2:C1319,C1319,$E$2:E1319,E1319,$B$2:B1319,B1319)&gt;1,"No","Yes"))</f>
        <v/>
      </c>
      <c r="R1319" s="61" t="str">
        <f aca="false">IF(E1319="","",IF(Q1319="No","Duplicate of an earlier response",IF(L1319="Not on SITES","Site not on SITES",IF(N(G1319)&gt;N(F1319),"Present is more than enrolled",IF(OR(I1319&lt;1,I1319&gt;5),"Score outside 1 to 5","")))))</f>
        <v/>
      </c>
    </row>
    <row r="1320" customFormat="false" ht="15" hidden="false" customHeight="false" outlineLevel="0" collapsed="false">
      <c r="A1320" s="52"/>
      <c r="B1320" s="53"/>
      <c r="C1320" s="53"/>
      <c r="D1320" s="53"/>
      <c r="E1320" s="54"/>
      <c r="F1320" s="55"/>
      <c r="G1320" s="55"/>
      <c r="H1320" s="55"/>
      <c r="I1320" s="56"/>
      <c r="J1320" s="53"/>
      <c r="K1320" s="53"/>
      <c r="L1320" s="57" t="str">
        <f aca="false">IF(C1320="","",IFERROR(INDEX(site_ID,MATCH(C1320,site_Name,0)),"Not on SITES"))</f>
        <v/>
      </c>
      <c r="M1320" s="58" t="str">
        <f aca="false">IF(E1320="","",DATE(YEAR(E1320),MONTH(E1320),1))</f>
        <v/>
      </c>
      <c r="N1320" s="57" t="str">
        <f aca="false">IF(E1320="","","FY"&amp;(YEAR(E1320)+IF(AND(FYStart&gt;1,MONTH(E1320)&gt;=FYStart),1,0))&amp;" Q"&amp;(INT(MOD(MONTH(E1320)-FYStart,12)/3)+1))</f>
        <v/>
      </c>
      <c r="O1320" s="59" t="str">
        <f aca="false">IF(OR(E1320="",N(F1320)=0),"",G1320/F1320)</f>
        <v/>
      </c>
      <c r="P1320" s="60" t="str">
        <f aca="false">IF(E1320="","",ROUND(N(G1320)*N(H1320)/60,1))</f>
        <v/>
      </c>
      <c r="Q1320" s="57" t="str">
        <f aca="false">IF(E1320="","",IF(COUNTIFS($C$2:C1320,C1320,$E$2:E1320,E1320,$B$2:B1320,B1320)&gt;1,"No","Yes"))</f>
        <v/>
      </c>
      <c r="R1320" s="61" t="str">
        <f aca="false">IF(E1320="","",IF(Q1320="No","Duplicate of an earlier response",IF(L1320="Not on SITES","Site not on SITES",IF(N(G1320)&gt;N(F1320),"Present is more than enrolled",IF(OR(I1320&lt;1,I1320&gt;5),"Score outside 1 to 5","")))))</f>
        <v/>
      </c>
    </row>
    <row r="1321" customFormat="false" ht="15" hidden="false" customHeight="false" outlineLevel="0" collapsed="false">
      <c r="A1321" s="52"/>
      <c r="B1321" s="53"/>
      <c r="C1321" s="53"/>
      <c r="D1321" s="53"/>
      <c r="E1321" s="54"/>
      <c r="F1321" s="55"/>
      <c r="G1321" s="55"/>
      <c r="H1321" s="55"/>
      <c r="I1321" s="56"/>
      <c r="J1321" s="53"/>
      <c r="K1321" s="53"/>
      <c r="L1321" s="57" t="str">
        <f aca="false">IF(C1321="","",IFERROR(INDEX(site_ID,MATCH(C1321,site_Name,0)),"Not on SITES"))</f>
        <v/>
      </c>
      <c r="M1321" s="58" t="str">
        <f aca="false">IF(E1321="","",DATE(YEAR(E1321),MONTH(E1321),1))</f>
        <v/>
      </c>
      <c r="N1321" s="57" t="str">
        <f aca="false">IF(E1321="","","FY"&amp;(YEAR(E1321)+IF(AND(FYStart&gt;1,MONTH(E1321)&gt;=FYStart),1,0))&amp;" Q"&amp;(INT(MOD(MONTH(E1321)-FYStart,12)/3)+1))</f>
        <v/>
      </c>
      <c r="O1321" s="59" t="str">
        <f aca="false">IF(OR(E1321="",N(F1321)=0),"",G1321/F1321)</f>
        <v/>
      </c>
      <c r="P1321" s="60" t="str">
        <f aca="false">IF(E1321="","",ROUND(N(G1321)*N(H1321)/60,1))</f>
        <v/>
      </c>
      <c r="Q1321" s="57" t="str">
        <f aca="false">IF(E1321="","",IF(COUNTIFS($C$2:C1321,C1321,$E$2:E1321,E1321,$B$2:B1321,B1321)&gt;1,"No","Yes"))</f>
        <v/>
      </c>
      <c r="R1321" s="61" t="str">
        <f aca="false">IF(E1321="","",IF(Q1321="No","Duplicate of an earlier response",IF(L1321="Not on SITES","Site not on SITES",IF(N(G1321)&gt;N(F1321),"Present is more than enrolled",IF(OR(I1321&lt;1,I1321&gt;5),"Score outside 1 to 5","")))))</f>
        <v/>
      </c>
    </row>
    <row r="1322" customFormat="false" ht="15" hidden="false" customHeight="false" outlineLevel="0" collapsed="false">
      <c r="A1322" s="52"/>
      <c r="B1322" s="53"/>
      <c r="C1322" s="53"/>
      <c r="D1322" s="53"/>
      <c r="E1322" s="54"/>
      <c r="F1322" s="55"/>
      <c r="G1322" s="55"/>
      <c r="H1322" s="55"/>
      <c r="I1322" s="56"/>
      <c r="J1322" s="53"/>
      <c r="K1322" s="53"/>
      <c r="L1322" s="57" t="str">
        <f aca="false">IF(C1322="","",IFERROR(INDEX(site_ID,MATCH(C1322,site_Name,0)),"Not on SITES"))</f>
        <v/>
      </c>
      <c r="M1322" s="58" t="str">
        <f aca="false">IF(E1322="","",DATE(YEAR(E1322),MONTH(E1322),1))</f>
        <v/>
      </c>
      <c r="N1322" s="57" t="str">
        <f aca="false">IF(E1322="","","FY"&amp;(YEAR(E1322)+IF(AND(FYStart&gt;1,MONTH(E1322)&gt;=FYStart),1,0))&amp;" Q"&amp;(INT(MOD(MONTH(E1322)-FYStart,12)/3)+1))</f>
        <v/>
      </c>
      <c r="O1322" s="59" t="str">
        <f aca="false">IF(OR(E1322="",N(F1322)=0),"",G1322/F1322)</f>
        <v/>
      </c>
      <c r="P1322" s="60" t="str">
        <f aca="false">IF(E1322="","",ROUND(N(G1322)*N(H1322)/60,1))</f>
        <v/>
      </c>
      <c r="Q1322" s="57" t="str">
        <f aca="false">IF(E1322="","",IF(COUNTIFS($C$2:C1322,C1322,$E$2:E1322,E1322,$B$2:B1322,B1322)&gt;1,"No","Yes"))</f>
        <v/>
      </c>
      <c r="R1322" s="61" t="str">
        <f aca="false">IF(E1322="","",IF(Q1322="No","Duplicate of an earlier response",IF(L1322="Not on SITES","Site not on SITES",IF(N(G1322)&gt;N(F1322),"Present is more than enrolled",IF(OR(I1322&lt;1,I1322&gt;5),"Score outside 1 to 5","")))))</f>
        <v/>
      </c>
    </row>
    <row r="1323" customFormat="false" ht="15" hidden="false" customHeight="false" outlineLevel="0" collapsed="false">
      <c r="A1323" s="52"/>
      <c r="B1323" s="53"/>
      <c r="C1323" s="53"/>
      <c r="D1323" s="53"/>
      <c r="E1323" s="54"/>
      <c r="F1323" s="55"/>
      <c r="G1323" s="55"/>
      <c r="H1323" s="55"/>
      <c r="I1323" s="56"/>
      <c r="J1323" s="53"/>
      <c r="K1323" s="53"/>
      <c r="L1323" s="57" t="str">
        <f aca="false">IF(C1323="","",IFERROR(INDEX(site_ID,MATCH(C1323,site_Name,0)),"Not on SITES"))</f>
        <v/>
      </c>
      <c r="M1323" s="58" t="str">
        <f aca="false">IF(E1323="","",DATE(YEAR(E1323),MONTH(E1323),1))</f>
        <v/>
      </c>
      <c r="N1323" s="57" t="str">
        <f aca="false">IF(E1323="","","FY"&amp;(YEAR(E1323)+IF(AND(FYStart&gt;1,MONTH(E1323)&gt;=FYStart),1,0))&amp;" Q"&amp;(INT(MOD(MONTH(E1323)-FYStart,12)/3)+1))</f>
        <v/>
      </c>
      <c r="O1323" s="59" t="str">
        <f aca="false">IF(OR(E1323="",N(F1323)=0),"",G1323/F1323)</f>
        <v/>
      </c>
      <c r="P1323" s="60" t="str">
        <f aca="false">IF(E1323="","",ROUND(N(G1323)*N(H1323)/60,1))</f>
        <v/>
      </c>
      <c r="Q1323" s="57" t="str">
        <f aca="false">IF(E1323="","",IF(COUNTIFS($C$2:C1323,C1323,$E$2:E1323,E1323,$B$2:B1323,B1323)&gt;1,"No","Yes"))</f>
        <v/>
      </c>
      <c r="R1323" s="61" t="str">
        <f aca="false">IF(E1323="","",IF(Q1323="No","Duplicate of an earlier response",IF(L1323="Not on SITES","Site not on SITES",IF(N(G1323)&gt;N(F1323),"Present is more than enrolled",IF(OR(I1323&lt;1,I1323&gt;5),"Score outside 1 to 5","")))))</f>
        <v/>
      </c>
    </row>
    <row r="1324" customFormat="false" ht="15" hidden="false" customHeight="false" outlineLevel="0" collapsed="false">
      <c r="A1324" s="52"/>
      <c r="B1324" s="53"/>
      <c r="C1324" s="53"/>
      <c r="D1324" s="53"/>
      <c r="E1324" s="54"/>
      <c r="F1324" s="55"/>
      <c r="G1324" s="55"/>
      <c r="H1324" s="55"/>
      <c r="I1324" s="56"/>
      <c r="J1324" s="53"/>
      <c r="K1324" s="53"/>
      <c r="L1324" s="57" t="str">
        <f aca="false">IF(C1324="","",IFERROR(INDEX(site_ID,MATCH(C1324,site_Name,0)),"Not on SITES"))</f>
        <v/>
      </c>
      <c r="M1324" s="58" t="str">
        <f aca="false">IF(E1324="","",DATE(YEAR(E1324),MONTH(E1324),1))</f>
        <v/>
      </c>
      <c r="N1324" s="57" t="str">
        <f aca="false">IF(E1324="","","FY"&amp;(YEAR(E1324)+IF(AND(FYStart&gt;1,MONTH(E1324)&gt;=FYStart),1,0))&amp;" Q"&amp;(INT(MOD(MONTH(E1324)-FYStart,12)/3)+1))</f>
        <v/>
      </c>
      <c r="O1324" s="59" t="str">
        <f aca="false">IF(OR(E1324="",N(F1324)=0),"",G1324/F1324)</f>
        <v/>
      </c>
      <c r="P1324" s="60" t="str">
        <f aca="false">IF(E1324="","",ROUND(N(G1324)*N(H1324)/60,1))</f>
        <v/>
      </c>
      <c r="Q1324" s="57" t="str">
        <f aca="false">IF(E1324="","",IF(COUNTIFS($C$2:C1324,C1324,$E$2:E1324,E1324,$B$2:B1324,B1324)&gt;1,"No","Yes"))</f>
        <v/>
      </c>
      <c r="R1324" s="61" t="str">
        <f aca="false">IF(E1324="","",IF(Q1324="No","Duplicate of an earlier response",IF(L1324="Not on SITES","Site not on SITES",IF(N(G1324)&gt;N(F1324),"Present is more than enrolled",IF(OR(I1324&lt;1,I1324&gt;5),"Score outside 1 to 5","")))))</f>
        <v/>
      </c>
    </row>
    <row r="1325" customFormat="false" ht="15" hidden="false" customHeight="false" outlineLevel="0" collapsed="false">
      <c r="A1325" s="52"/>
      <c r="B1325" s="53"/>
      <c r="C1325" s="53"/>
      <c r="D1325" s="53"/>
      <c r="E1325" s="54"/>
      <c r="F1325" s="55"/>
      <c r="G1325" s="55"/>
      <c r="H1325" s="55"/>
      <c r="I1325" s="56"/>
      <c r="J1325" s="53"/>
      <c r="K1325" s="53"/>
      <c r="L1325" s="57" t="str">
        <f aca="false">IF(C1325="","",IFERROR(INDEX(site_ID,MATCH(C1325,site_Name,0)),"Not on SITES"))</f>
        <v/>
      </c>
      <c r="M1325" s="58" t="str">
        <f aca="false">IF(E1325="","",DATE(YEAR(E1325),MONTH(E1325),1))</f>
        <v/>
      </c>
      <c r="N1325" s="57" t="str">
        <f aca="false">IF(E1325="","","FY"&amp;(YEAR(E1325)+IF(AND(FYStart&gt;1,MONTH(E1325)&gt;=FYStart),1,0))&amp;" Q"&amp;(INT(MOD(MONTH(E1325)-FYStart,12)/3)+1))</f>
        <v/>
      </c>
      <c r="O1325" s="59" t="str">
        <f aca="false">IF(OR(E1325="",N(F1325)=0),"",G1325/F1325)</f>
        <v/>
      </c>
      <c r="P1325" s="60" t="str">
        <f aca="false">IF(E1325="","",ROUND(N(G1325)*N(H1325)/60,1))</f>
        <v/>
      </c>
      <c r="Q1325" s="57" t="str">
        <f aca="false">IF(E1325="","",IF(COUNTIFS($C$2:C1325,C1325,$E$2:E1325,E1325,$B$2:B1325,B1325)&gt;1,"No","Yes"))</f>
        <v/>
      </c>
      <c r="R1325" s="61" t="str">
        <f aca="false">IF(E1325="","",IF(Q1325="No","Duplicate of an earlier response",IF(L1325="Not on SITES","Site not on SITES",IF(N(G1325)&gt;N(F1325),"Present is more than enrolled",IF(OR(I1325&lt;1,I1325&gt;5),"Score outside 1 to 5","")))))</f>
        <v/>
      </c>
    </row>
    <row r="1326" customFormat="false" ht="15" hidden="false" customHeight="false" outlineLevel="0" collapsed="false">
      <c r="A1326" s="52"/>
      <c r="B1326" s="53"/>
      <c r="C1326" s="53"/>
      <c r="D1326" s="53"/>
      <c r="E1326" s="54"/>
      <c r="F1326" s="55"/>
      <c r="G1326" s="55"/>
      <c r="H1326" s="55"/>
      <c r="I1326" s="56"/>
      <c r="J1326" s="53"/>
      <c r="K1326" s="53"/>
      <c r="L1326" s="57" t="str">
        <f aca="false">IF(C1326="","",IFERROR(INDEX(site_ID,MATCH(C1326,site_Name,0)),"Not on SITES"))</f>
        <v/>
      </c>
      <c r="M1326" s="58" t="str">
        <f aca="false">IF(E1326="","",DATE(YEAR(E1326),MONTH(E1326),1))</f>
        <v/>
      </c>
      <c r="N1326" s="57" t="str">
        <f aca="false">IF(E1326="","","FY"&amp;(YEAR(E1326)+IF(AND(FYStart&gt;1,MONTH(E1326)&gt;=FYStart),1,0))&amp;" Q"&amp;(INT(MOD(MONTH(E1326)-FYStart,12)/3)+1))</f>
        <v/>
      </c>
      <c r="O1326" s="59" t="str">
        <f aca="false">IF(OR(E1326="",N(F1326)=0),"",G1326/F1326)</f>
        <v/>
      </c>
      <c r="P1326" s="60" t="str">
        <f aca="false">IF(E1326="","",ROUND(N(G1326)*N(H1326)/60,1))</f>
        <v/>
      </c>
      <c r="Q1326" s="57" t="str">
        <f aca="false">IF(E1326="","",IF(COUNTIFS($C$2:C1326,C1326,$E$2:E1326,E1326,$B$2:B1326,B1326)&gt;1,"No","Yes"))</f>
        <v/>
      </c>
      <c r="R1326" s="61" t="str">
        <f aca="false">IF(E1326="","",IF(Q1326="No","Duplicate of an earlier response",IF(L1326="Not on SITES","Site not on SITES",IF(N(G1326)&gt;N(F1326),"Present is more than enrolled",IF(OR(I1326&lt;1,I1326&gt;5),"Score outside 1 to 5","")))))</f>
        <v/>
      </c>
    </row>
    <row r="1327" customFormat="false" ht="15" hidden="false" customHeight="false" outlineLevel="0" collapsed="false">
      <c r="A1327" s="52"/>
      <c r="B1327" s="53"/>
      <c r="C1327" s="53"/>
      <c r="D1327" s="53"/>
      <c r="E1327" s="54"/>
      <c r="F1327" s="55"/>
      <c r="G1327" s="55"/>
      <c r="H1327" s="55"/>
      <c r="I1327" s="56"/>
      <c r="J1327" s="53"/>
      <c r="K1327" s="53"/>
      <c r="L1327" s="57" t="str">
        <f aca="false">IF(C1327="","",IFERROR(INDEX(site_ID,MATCH(C1327,site_Name,0)),"Not on SITES"))</f>
        <v/>
      </c>
      <c r="M1327" s="58" t="str">
        <f aca="false">IF(E1327="","",DATE(YEAR(E1327),MONTH(E1327),1))</f>
        <v/>
      </c>
      <c r="N1327" s="57" t="str">
        <f aca="false">IF(E1327="","","FY"&amp;(YEAR(E1327)+IF(AND(FYStart&gt;1,MONTH(E1327)&gt;=FYStart),1,0))&amp;" Q"&amp;(INT(MOD(MONTH(E1327)-FYStart,12)/3)+1))</f>
        <v/>
      </c>
      <c r="O1327" s="59" t="str">
        <f aca="false">IF(OR(E1327="",N(F1327)=0),"",G1327/F1327)</f>
        <v/>
      </c>
      <c r="P1327" s="60" t="str">
        <f aca="false">IF(E1327="","",ROUND(N(G1327)*N(H1327)/60,1))</f>
        <v/>
      </c>
      <c r="Q1327" s="57" t="str">
        <f aca="false">IF(E1327="","",IF(COUNTIFS($C$2:C1327,C1327,$E$2:E1327,E1327,$B$2:B1327,B1327)&gt;1,"No","Yes"))</f>
        <v/>
      </c>
      <c r="R1327" s="61" t="str">
        <f aca="false">IF(E1327="","",IF(Q1327="No","Duplicate of an earlier response",IF(L1327="Not on SITES","Site not on SITES",IF(N(G1327)&gt;N(F1327),"Present is more than enrolled",IF(OR(I1327&lt;1,I1327&gt;5),"Score outside 1 to 5","")))))</f>
        <v/>
      </c>
    </row>
    <row r="1328" customFormat="false" ht="15" hidden="false" customHeight="false" outlineLevel="0" collapsed="false">
      <c r="A1328" s="52"/>
      <c r="B1328" s="53"/>
      <c r="C1328" s="53"/>
      <c r="D1328" s="53"/>
      <c r="E1328" s="54"/>
      <c r="F1328" s="55"/>
      <c r="G1328" s="55"/>
      <c r="H1328" s="55"/>
      <c r="I1328" s="56"/>
      <c r="J1328" s="53"/>
      <c r="K1328" s="53"/>
      <c r="L1328" s="57" t="str">
        <f aca="false">IF(C1328="","",IFERROR(INDEX(site_ID,MATCH(C1328,site_Name,0)),"Not on SITES"))</f>
        <v/>
      </c>
      <c r="M1328" s="58" t="str">
        <f aca="false">IF(E1328="","",DATE(YEAR(E1328),MONTH(E1328),1))</f>
        <v/>
      </c>
      <c r="N1328" s="57" t="str">
        <f aca="false">IF(E1328="","","FY"&amp;(YEAR(E1328)+IF(AND(FYStart&gt;1,MONTH(E1328)&gt;=FYStart),1,0))&amp;" Q"&amp;(INT(MOD(MONTH(E1328)-FYStart,12)/3)+1))</f>
        <v/>
      </c>
      <c r="O1328" s="59" t="str">
        <f aca="false">IF(OR(E1328="",N(F1328)=0),"",G1328/F1328)</f>
        <v/>
      </c>
      <c r="P1328" s="60" t="str">
        <f aca="false">IF(E1328="","",ROUND(N(G1328)*N(H1328)/60,1))</f>
        <v/>
      </c>
      <c r="Q1328" s="57" t="str">
        <f aca="false">IF(E1328="","",IF(COUNTIFS($C$2:C1328,C1328,$E$2:E1328,E1328,$B$2:B1328,B1328)&gt;1,"No","Yes"))</f>
        <v/>
      </c>
      <c r="R1328" s="61" t="str">
        <f aca="false">IF(E1328="","",IF(Q1328="No","Duplicate of an earlier response",IF(L1328="Not on SITES","Site not on SITES",IF(N(G1328)&gt;N(F1328),"Present is more than enrolled",IF(OR(I1328&lt;1,I1328&gt;5),"Score outside 1 to 5","")))))</f>
        <v/>
      </c>
    </row>
    <row r="1329" customFormat="false" ht="15" hidden="false" customHeight="false" outlineLevel="0" collapsed="false">
      <c r="A1329" s="52"/>
      <c r="B1329" s="53"/>
      <c r="C1329" s="53"/>
      <c r="D1329" s="53"/>
      <c r="E1329" s="54"/>
      <c r="F1329" s="55"/>
      <c r="G1329" s="55"/>
      <c r="H1329" s="55"/>
      <c r="I1329" s="56"/>
      <c r="J1329" s="53"/>
      <c r="K1329" s="53"/>
      <c r="L1329" s="57" t="str">
        <f aca="false">IF(C1329="","",IFERROR(INDEX(site_ID,MATCH(C1329,site_Name,0)),"Not on SITES"))</f>
        <v/>
      </c>
      <c r="M1329" s="58" t="str">
        <f aca="false">IF(E1329="","",DATE(YEAR(E1329),MONTH(E1329),1))</f>
        <v/>
      </c>
      <c r="N1329" s="57" t="str">
        <f aca="false">IF(E1329="","","FY"&amp;(YEAR(E1329)+IF(AND(FYStart&gt;1,MONTH(E1329)&gt;=FYStart),1,0))&amp;" Q"&amp;(INT(MOD(MONTH(E1329)-FYStart,12)/3)+1))</f>
        <v/>
      </c>
      <c r="O1329" s="59" t="str">
        <f aca="false">IF(OR(E1329="",N(F1329)=0),"",G1329/F1329)</f>
        <v/>
      </c>
      <c r="P1329" s="60" t="str">
        <f aca="false">IF(E1329="","",ROUND(N(G1329)*N(H1329)/60,1))</f>
        <v/>
      </c>
      <c r="Q1329" s="57" t="str">
        <f aca="false">IF(E1329="","",IF(COUNTIFS($C$2:C1329,C1329,$E$2:E1329,E1329,$B$2:B1329,B1329)&gt;1,"No","Yes"))</f>
        <v/>
      </c>
      <c r="R1329" s="61" t="str">
        <f aca="false">IF(E1329="","",IF(Q1329="No","Duplicate of an earlier response",IF(L1329="Not on SITES","Site not on SITES",IF(N(G1329)&gt;N(F1329),"Present is more than enrolled",IF(OR(I1329&lt;1,I1329&gt;5),"Score outside 1 to 5","")))))</f>
        <v/>
      </c>
    </row>
    <row r="1330" customFormat="false" ht="15" hidden="false" customHeight="false" outlineLevel="0" collapsed="false">
      <c r="A1330" s="52"/>
      <c r="B1330" s="53"/>
      <c r="C1330" s="53"/>
      <c r="D1330" s="53"/>
      <c r="E1330" s="54"/>
      <c r="F1330" s="55"/>
      <c r="G1330" s="55"/>
      <c r="H1330" s="55"/>
      <c r="I1330" s="56"/>
      <c r="J1330" s="53"/>
      <c r="K1330" s="53"/>
      <c r="L1330" s="57" t="str">
        <f aca="false">IF(C1330="","",IFERROR(INDEX(site_ID,MATCH(C1330,site_Name,0)),"Not on SITES"))</f>
        <v/>
      </c>
      <c r="M1330" s="58" t="str">
        <f aca="false">IF(E1330="","",DATE(YEAR(E1330),MONTH(E1330),1))</f>
        <v/>
      </c>
      <c r="N1330" s="57" t="str">
        <f aca="false">IF(E1330="","","FY"&amp;(YEAR(E1330)+IF(AND(FYStart&gt;1,MONTH(E1330)&gt;=FYStart),1,0))&amp;" Q"&amp;(INT(MOD(MONTH(E1330)-FYStart,12)/3)+1))</f>
        <v/>
      </c>
      <c r="O1330" s="59" t="str">
        <f aca="false">IF(OR(E1330="",N(F1330)=0),"",G1330/F1330)</f>
        <v/>
      </c>
      <c r="P1330" s="60" t="str">
        <f aca="false">IF(E1330="","",ROUND(N(G1330)*N(H1330)/60,1))</f>
        <v/>
      </c>
      <c r="Q1330" s="57" t="str">
        <f aca="false">IF(E1330="","",IF(COUNTIFS($C$2:C1330,C1330,$E$2:E1330,E1330,$B$2:B1330,B1330)&gt;1,"No","Yes"))</f>
        <v/>
      </c>
      <c r="R1330" s="61" t="str">
        <f aca="false">IF(E1330="","",IF(Q1330="No","Duplicate of an earlier response",IF(L1330="Not on SITES","Site not on SITES",IF(N(G1330)&gt;N(F1330),"Present is more than enrolled",IF(OR(I1330&lt;1,I1330&gt;5),"Score outside 1 to 5","")))))</f>
        <v/>
      </c>
    </row>
    <row r="1331" customFormat="false" ht="15" hidden="false" customHeight="false" outlineLevel="0" collapsed="false">
      <c r="A1331" s="52"/>
      <c r="B1331" s="53"/>
      <c r="C1331" s="53"/>
      <c r="D1331" s="53"/>
      <c r="E1331" s="54"/>
      <c r="F1331" s="55"/>
      <c r="G1331" s="55"/>
      <c r="H1331" s="55"/>
      <c r="I1331" s="56"/>
      <c r="J1331" s="53"/>
      <c r="K1331" s="53"/>
      <c r="L1331" s="57" t="str">
        <f aca="false">IF(C1331="","",IFERROR(INDEX(site_ID,MATCH(C1331,site_Name,0)),"Not on SITES"))</f>
        <v/>
      </c>
      <c r="M1331" s="58" t="str">
        <f aca="false">IF(E1331="","",DATE(YEAR(E1331),MONTH(E1331),1))</f>
        <v/>
      </c>
      <c r="N1331" s="57" t="str">
        <f aca="false">IF(E1331="","","FY"&amp;(YEAR(E1331)+IF(AND(FYStart&gt;1,MONTH(E1331)&gt;=FYStart),1,0))&amp;" Q"&amp;(INT(MOD(MONTH(E1331)-FYStart,12)/3)+1))</f>
        <v/>
      </c>
      <c r="O1331" s="59" t="str">
        <f aca="false">IF(OR(E1331="",N(F1331)=0),"",G1331/F1331)</f>
        <v/>
      </c>
      <c r="P1331" s="60" t="str">
        <f aca="false">IF(E1331="","",ROUND(N(G1331)*N(H1331)/60,1))</f>
        <v/>
      </c>
      <c r="Q1331" s="57" t="str">
        <f aca="false">IF(E1331="","",IF(COUNTIFS($C$2:C1331,C1331,$E$2:E1331,E1331,$B$2:B1331,B1331)&gt;1,"No","Yes"))</f>
        <v/>
      </c>
      <c r="R1331" s="61" t="str">
        <f aca="false">IF(E1331="","",IF(Q1331="No","Duplicate of an earlier response",IF(L1331="Not on SITES","Site not on SITES",IF(N(G1331)&gt;N(F1331),"Present is more than enrolled",IF(OR(I1331&lt;1,I1331&gt;5),"Score outside 1 to 5","")))))</f>
        <v/>
      </c>
    </row>
    <row r="1332" customFormat="false" ht="15" hidden="false" customHeight="false" outlineLevel="0" collapsed="false">
      <c r="A1332" s="52"/>
      <c r="B1332" s="53"/>
      <c r="C1332" s="53"/>
      <c r="D1332" s="53"/>
      <c r="E1332" s="54"/>
      <c r="F1332" s="55"/>
      <c r="G1332" s="55"/>
      <c r="H1332" s="55"/>
      <c r="I1332" s="56"/>
      <c r="J1332" s="53"/>
      <c r="K1332" s="53"/>
      <c r="L1332" s="57" t="str">
        <f aca="false">IF(C1332="","",IFERROR(INDEX(site_ID,MATCH(C1332,site_Name,0)),"Not on SITES"))</f>
        <v/>
      </c>
      <c r="M1332" s="58" t="str">
        <f aca="false">IF(E1332="","",DATE(YEAR(E1332),MONTH(E1332),1))</f>
        <v/>
      </c>
      <c r="N1332" s="57" t="str">
        <f aca="false">IF(E1332="","","FY"&amp;(YEAR(E1332)+IF(AND(FYStart&gt;1,MONTH(E1332)&gt;=FYStart),1,0))&amp;" Q"&amp;(INT(MOD(MONTH(E1332)-FYStart,12)/3)+1))</f>
        <v/>
      </c>
      <c r="O1332" s="59" t="str">
        <f aca="false">IF(OR(E1332="",N(F1332)=0),"",G1332/F1332)</f>
        <v/>
      </c>
      <c r="P1332" s="60" t="str">
        <f aca="false">IF(E1332="","",ROUND(N(G1332)*N(H1332)/60,1))</f>
        <v/>
      </c>
      <c r="Q1332" s="57" t="str">
        <f aca="false">IF(E1332="","",IF(COUNTIFS($C$2:C1332,C1332,$E$2:E1332,E1332,$B$2:B1332,B1332)&gt;1,"No","Yes"))</f>
        <v/>
      </c>
      <c r="R1332" s="61" t="str">
        <f aca="false">IF(E1332="","",IF(Q1332="No","Duplicate of an earlier response",IF(L1332="Not on SITES","Site not on SITES",IF(N(G1332)&gt;N(F1332),"Present is more than enrolled",IF(OR(I1332&lt;1,I1332&gt;5),"Score outside 1 to 5","")))))</f>
        <v/>
      </c>
    </row>
    <row r="1333" customFormat="false" ht="15" hidden="false" customHeight="false" outlineLevel="0" collapsed="false">
      <c r="A1333" s="52"/>
      <c r="B1333" s="53"/>
      <c r="C1333" s="53"/>
      <c r="D1333" s="53"/>
      <c r="E1333" s="54"/>
      <c r="F1333" s="55"/>
      <c r="G1333" s="55"/>
      <c r="H1333" s="55"/>
      <c r="I1333" s="56"/>
      <c r="J1333" s="53"/>
      <c r="K1333" s="53"/>
      <c r="L1333" s="57" t="str">
        <f aca="false">IF(C1333="","",IFERROR(INDEX(site_ID,MATCH(C1333,site_Name,0)),"Not on SITES"))</f>
        <v/>
      </c>
      <c r="M1333" s="58" t="str">
        <f aca="false">IF(E1333="","",DATE(YEAR(E1333),MONTH(E1333),1))</f>
        <v/>
      </c>
      <c r="N1333" s="57" t="str">
        <f aca="false">IF(E1333="","","FY"&amp;(YEAR(E1333)+IF(AND(FYStart&gt;1,MONTH(E1333)&gt;=FYStart),1,0))&amp;" Q"&amp;(INT(MOD(MONTH(E1333)-FYStart,12)/3)+1))</f>
        <v/>
      </c>
      <c r="O1333" s="59" t="str">
        <f aca="false">IF(OR(E1333="",N(F1333)=0),"",G1333/F1333)</f>
        <v/>
      </c>
      <c r="P1333" s="60" t="str">
        <f aca="false">IF(E1333="","",ROUND(N(G1333)*N(H1333)/60,1))</f>
        <v/>
      </c>
      <c r="Q1333" s="57" t="str">
        <f aca="false">IF(E1333="","",IF(COUNTIFS($C$2:C1333,C1333,$E$2:E1333,E1333,$B$2:B1333,B1333)&gt;1,"No","Yes"))</f>
        <v/>
      </c>
      <c r="R1333" s="61" t="str">
        <f aca="false">IF(E1333="","",IF(Q1333="No","Duplicate of an earlier response",IF(L1333="Not on SITES","Site not on SITES",IF(N(G1333)&gt;N(F1333),"Present is more than enrolled",IF(OR(I1333&lt;1,I1333&gt;5),"Score outside 1 to 5","")))))</f>
        <v/>
      </c>
    </row>
    <row r="1334" customFormat="false" ht="15" hidden="false" customHeight="false" outlineLevel="0" collapsed="false">
      <c r="A1334" s="52"/>
      <c r="B1334" s="53"/>
      <c r="C1334" s="53"/>
      <c r="D1334" s="53"/>
      <c r="E1334" s="54"/>
      <c r="F1334" s="55"/>
      <c r="G1334" s="55"/>
      <c r="H1334" s="55"/>
      <c r="I1334" s="56"/>
      <c r="J1334" s="53"/>
      <c r="K1334" s="53"/>
      <c r="L1334" s="57" t="str">
        <f aca="false">IF(C1334="","",IFERROR(INDEX(site_ID,MATCH(C1334,site_Name,0)),"Not on SITES"))</f>
        <v/>
      </c>
      <c r="M1334" s="58" t="str">
        <f aca="false">IF(E1334="","",DATE(YEAR(E1334),MONTH(E1334),1))</f>
        <v/>
      </c>
      <c r="N1334" s="57" t="str">
        <f aca="false">IF(E1334="","","FY"&amp;(YEAR(E1334)+IF(AND(FYStart&gt;1,MONTH(E1334)&gt;=FYStart),1,0))&amp;" Q"&amp;(INT(MOD(MONTH(E1334)-FYStart,12)/3)+1))</f>
        <v/>
      </c>
      <c r="O1334" s="59" t="str">
        <f aca="false">IF(OR(E1334="",N(F1334)=0),"",G1334/F1334)</f>
        <v/>
      </c>
      <c r="P1334" s="60" t="str">
        <f aca="false">IF(E1334="","",ROUND(N(G1334)*N(H1334)/60,1))</f>
        <v/>
      </c>
      <c r="Q1334" s="57" t="str">
        <f aca="false">IF(E1334="","",IF(COUNTIFS($C$2:C1334,C1334,$E$2:E1334,E1334,$B$2:B1334,B1334)&gt;1,"No","Yes"))</f>
        <v/>
      </c>
      <c r="R1334" s="61" t="str">
        <f aca="false">IF(E1334="","",IF(Q1334="No","Duplicate of an earlier response",IF(L1334="Not on SITES","Site not on SITES",IF(N(G1334)&gt;N(F1334),"Present is more than enrolled",IF(OR(I1334&lt;1,I1334&gt;5),"Score outside 1 to 5","")))))</f>
        <v/>
      </c>
    </row>
    <row r="1335" customFormat="false" ht="15" hidden="false" customHeight="false" outlineLevel="0" collapsed="false">
      <c r="A1335" s="52"/>
      <c r="B1335" s="53"/>
      <c r="C1335" s="53"/>
      <c r="D1335" s="53"/>
      <c r="E1335" s="54"/>
      <c r="F1335" s="55"/>
      <c r="G1335" s="55"/>
      <c r="H1335" s="55"/>
      <c r="I1335" s="56"/>
      <c r="J1335" s="53"/>
      <c r="K1335" s="53"/>
      <c r="L1335" s="57" t="str">
        <f aca="false">IF(C1335="","",IFERROR(INDEX(site_ID,MATCH(C1335,site_Name,0)),"Not on SITES"))</f>
        <v/>
      </c>
      <c r="M1335" s="58" t="str">
        <f aca="false">IF(E1335="","",DATE(YEAR(E1335),MONTH(E1335),1))</f>
        <v/>
      </c>
      <c r="N1335" s="57" t="str">
        <f aca="false">IF(E1335="","","FY"&amp;(YEAR(E1335)+IF(AND(FYStart&gt;1,MONTH(E1335)&gt;=FYStart),1,0))&amp;" Q"&amp;(INT(MOD(MONTH(E1335)-FYStart,12)/3)+1))</f>
        <v/>
      </c>
      <c r="O1335" s="59" t="str">
        <f aca="false">IF(OR(E1335="",N(F1335)=0),"",G1335/F1335)</f>
        <v/>
      </c>
      <c r="P1335" s="60" t="str">
        <f aca="false">IF(E1335="","",ROUND(N(G1335)*N(H1335)/60,1))</f>
        <v/>
      </c>
      <c r="Q1335" s="57" t="str">
        <f aca="false">IF(E1335="","",IF(COUNTIFS($C$2:C1335,C1335,$E$2:E1335,E1335,$B$2:B1335,B1335)&gt;1,"No","Yes"))</f>
        <v/>
      </c>
      <c r="R1335" s="61" t="str">
        <f aca="false">IF(E1335="","",IF(Q1335="No","Duplicate of an earlier response",IF(L1335="Not on SITES","Site not on SITES",IF(N(G1335)&gt;N(F1335),"Present is more than enrolled",IF(OR(I1335&lt;1,I1335&gt;5),"Score outside 1 to 5","")))))</f>
        <v/>
      </c>
    </row>
    <row r="1336" customFormat="false" ht="15" hidden="false" customHeight="false" outlineLevel="0" collapsed="false">
      <c r="A1336" s="52"/>
      <c r="B1336" s="53"/>
      <c r="C1336" s="53"/>
      <c r="D1336" s="53"/>
      <c r="E1336" s="54"/>
      <c r="F1336" s="55"/>
      <c r="G1336" s="55"/>
      <c r="H1336" s="55"/>
      <c r="I1336" s="56"/>
      <c r="J1336" s="53"/>
      <c r="K1336" s="53"/>
      <c r="L1336" s="57" t="str">
        <f aca="false">IF(C1336="","",IFERROR(INDEX(site_ID,MATCH(C1336,site_Name,0)),"Not on SITES"))</f>
        <v/>
      </c>
      <c r="M1336" s="58" t="str">
        <f aca="false">IF(E1336="","",DATE(YEAR(E1336),MONTH(E1336),1))</f>
        <v/>
      </c>
      <c r="N1336" s="57" t="str">
        <f aca="false">IF(E1336="","","FY"&amp;(YEAR(E1336)+IF(AND(FYStart&gt;1,MONTH(E1336)&gt;=FYStart),1,0))&amp;" Q"&amp;(INT(MOD(MONTH(E1336)-FYStart,12)/3)+1))</f>
        <v/>
      </c>
      <c r="O1336" s="59" t="str">
        <f aca="false">IF(OR(E1336="",N(F1336)=0),"",G1336/F1336)</f>
        <v/>
      </c>
      <c r="P1336" s="60" t="str">
        <f aca="false">IF(E1336="","",ROUND(N(G1336)*N(H1336)/60,1))</f>
        <v/>
      </c>
      <c r="Q1336" s="57" t="str">
        <f aca="false">IF(E1336="","",IF(COUNTIFS($C$2:C1336,C1336,$E$2:E1336,E1336,$B$2:B1336,B1336)&gt;1,"No","Yes"))</f>
        <v/>
      </c>
      <c r="R1336" s="61" t="str">
        <f aca="false">IF(E1336="","",IF(Q1336="No","Duplicate of an earlier response",IF(L1336="Not on SITES","Site not on SITES",IF(N(G1336)&gt;N(F1336),"Present is more than enrolled",IF(OR(I1336&lt;1,I1336&gt;5),"Score outside 1 to 5","")))))</f>
        <v/>
      </c>
    </row>
    <row r="1337" customFormat="false" ht="15" hidden="false" customHeight="false" outlineLevel="0" collapsed="false">
      <c r="A1337" s="52"/>
      <c r="B1337" s="53"/>
      <c r="C1337" s="53"/>
      <c r="D1337" s="53"/>
      <c r="E1337" s="54"/>
      <c r="F1337" s="55"/>
      <c r="G1337" s="55"/>
      <c r="H1337" s="55"/>
      <c r="I1337" s="56"/>
      <c r="J1337" s="53"/>
      <c r="K1337" s="53"/>
      <c r="L1337" s="57" t="str">
        <f aca="false">IF(C1337="","",IFERROR(INDEX(site_ID,MATCH(C1337,site_Name,0)),"Not on SITES"))</f>
        <v/>
      </c>
      <c r="M1337" s="58" t="str">
        <f aca="false">IF(E1337="","",DATE(YEAR(E1337),MONTH(E1337),1))</f>
        <v/>
      </c>
      <c r="N1337" s="57" t="str">
        <f aca="false">IF(E1337="","","FY"&amp;(YEAR(E1337)+IF(AND(FYStart&gt;1,MONTH(E1337)&gt;=FYStart),1,0))&amp;" Q"&amp;(INT(MOD(MONTH(E1337)-FYStart,12)/3)+1))</f>
        <v/>
      </c>
      <c r="O1337" s="59" t="str">
        <f aca="false">IF(OR(E1337="",N(F1337)=0),"",G1337/F1337)</f>
        <v/>
      </c>
      <c r="P1337" s="60" t="str">
        <f aca="false">IF(E1337="","",ROUND(N(G1337)*N(H1337)/60,1))</f>
        <v/>
      </c>
      <c r="Q1337" s="57" t="str">
        <f aca="false">IF(E1337="","",IF(COUNTIFS($C$2:C1337,C1337,$E$2:E1337,E1337,$B$2:B1337,B1337)&gt;1,"No","Yes"))</f>
        <v/>
      </c>
      <c r="R1337" s="61" t="str">
        <f aca="false">IF(E1337="","",IF(Q1337="No","Duplicate of an earlier response",IF(L1337="Not on SITES","Site not on SITES",IF(N(G1337)&gt;N(F1337),"Present is more than enrolled",IF(OR(I1337&lt;1,I1337&gt;5),"Score outside 1 to 5","")))))</f>
        <v/>
      </c>
    </row>
    <row r="1338" customFormat="false" ht="15" hidden="false" customHeight="false" outlineLevel="0" collapsed="false">
      <c r="A1338" s="52"/>
      <c r="B1338" s="53"/>
      <c r="C1338" s="53"/>
      <c r="D1338" s="53"/>
      <c r="E1338" s="54"/>
      <c r="F1338" s="55"/>
      <c r="G1338" s="55"/>
      <c r="H1338" s="55"/>
      <c r="I1338" s="56"/>
      <c r="J1338" s="53"/>
      <c r="K1338" s="53"/>
      <c r="L1338" s="57" t="str">
        <f aca="false">IF(C1338="","",IFERROR(INDEX(site_ID,MATCH(C1338,site_Name,0)),"Not on SITES"))</f>
        <v/>
      </c>
      <c r="M1338" s="58" t="str">
        <f aca="false">IF(E1338="","",DATE(YEAR(E1338),MONTH(E1338),1))</f>
        <v/>
      </c>
      <c r="N1338" s="57" t="str">
        <f aca="false">IF(E1338="","","FY"&amp;(YEAR(E1338)+IF(AND(FYStart&gt;1,MONTH(E1338)&gt;=FYStart),1,0))&amp;" Q"&amp;(INT(MOD(MONTH(E1338)-FYStart,12)/3)+1))</f>
        <v/>
      </c>
      <c r="O1338" s="59" t="str">
        <f aca="false">IF(OR(E1338="",N(F1338)=0),"",G1338/F1338)</f>
        <v/>
      </c>
      <c r="P1338" s="60" t="str">
        <f aca="false">IF(E1338="","",ROUND(N(G1338)*N(H1338)/60,1))</f>
        <v/>
      </c>
      <c r="Q1338" s="57" t="str">
        <f aca="false">IF(E1338="","",IF(COUNTIFS($C$2:C1338,C1338,$E$2:E1338,E1338,$B$2:B1338,B1338)&gt;1,"No","Yes"))</f>
        <v/>
      </c>
      <c r="R1338" s="61" t="str">
        <f aca="false">IF(E1338="","",IF(Q1338="No","Duplicate of an earlier response",IF(L1338="Not on SITES","Site not on SITES",IF(N(G1338)&gt;N(F1338),"Present is more than enrolled",IF(OR(I1338&lt;1,I1338&gt;5),"Score outside 1 to 5","")))))</f>
        <v/>
      </c>
    </row>
    <row r="1339" customFormat="false" ht="15" hidden="false" customHeight="false" outlineLevel="0" collapsed="false">
      <c r="A1339" s="52"/>
      <c r="B1339" s="53"/>
      <c r="C1339" s="53"/>
      <c r="D1339" s="53"/>
      <c r="E1339" s="54"/>
      <c r="F1339" s="55"/>
      <c r="G1339" s="55"/>
      <c r="H1339" s="55"/>
      <c r="I1339" s="56"/>
      <c r="J1339" s="53"/>
      <c r="K1339" s="53"/>
      <c r="L1339" s="57" t="str">
        <f aca="false">IF(C1339="","",IFERROR(INDEX(site_ID,MATCH(C1339,site_Name,0)),"Not on SITES"))</f>
        <v/>
      </c>
      <c r="M1339" s="58" t="str">
        <f aca="false">IF(E1339="","",DATE(YEAR(E1339),MONTH(E1339),1))</f>
        <v/>
      </c>
      <c r="N1339" s="57" t="str">
        <f aca="false">IF(E1339="","","FY"&amp;(YEAR(E1339)+IF(AND(FYStart&gt;1,MONTH(E1339)&gt;=FYStart),1,0))&amp;" Q"&amp;(INT(MOD(MONTH(E1339)-FYStart,12)/3)+1))</f>
        <v/>
      </c>
      <c r="O1339" s="59" t="str">
        <f aca="false">IF(OR(E1339="",N(F1339)=0),"",G1339/F1339)</f>
        <v/>
      </c>
      <c r="P1339" s="60" t="str">
        <f aca="false">IF(E1339="","",ROUND(N(G1339)*N(H1339)/60,1))</f>
        <v/>
      </c>
      <c r="Q1339" s="57" t="str">
        <f aca="false">IF(E1339="","",IF(COUNTIFS($C$2:C1339,C1339,$E$2:E1339,E1339,$B$2:B1339,B1339)&gt;1,"No","Yes"))</f>
        <v/>
      </c>
      <c r="R1339" s="61" t="str">
        <f aca="false">IF(E1339="","",IF(Q1339="No","Duplicate of an earlier response",IF(L1339="Not on SITES","Site not on SITES",IF(N(G1339)&gt;N(F1339),"Present is more than enrolled",IF(OR(I1339&lt;1,I1339&gt;5),"Score outside 1 to 5","")))))</f>
        <v/>
      </c>
    </row>
    <row r="1340" customFormat="false" ht="15" hidden="false" customHeight="false" outlineLevel="0" collapsed="false">
      <c r="A1340" s="52"/>
      <c r="B1340" s="53"/>
      <c r="C1340" s="53"/>
      <c r="D1340" s="53"/>
      <c r="E1340" s="54"/>
      <c r="F1340" s="55"/>
      <c r="G1340" s="55"/>
      <c r="H1340" s="55"/>
      <c r="I1340" s="56"/>
      <c r="J1340" s="53"/>
      <c r="K1340" s="53"/>
      <c r="L1340" s="57" t="str">
        <f aca="false">IF(C1340="","",IFERROR(INDEX(site_ID,MATCH(C1340,site_Name,0)),"Not on SITES"))</f>
        <v/>
      </c>
      <c r="M1340" s="58" t="str">
        <f aca="false">IF(E1340="","",DATE(YEAR(E1340),MONTH(E1340),1))</f>
        <v/>
      </c>
      <c r="N1340" s="57" t="str">
        <f aca="false">IF(E1340="","","FY"&amp;(YEAR(E1340)+IF(AND(FYStart&gt;1,MONTH(E1340)&gt;=FYStart),1,0))&amp;" Q"&amp;(INT(MOD(MONTH(E1340)-FYStart,12)/3)+1))</f>
        <v/>
      </c>
      <c r="O1340" s="59" t="str">
        <f aca="false">IF(OR(E1340="",N(F1340)=0),"",G1340/F1340)</f>
        <v/>
      </c>
      <c r="P1340" s="60" t="str">
        <f aca="false">IF(E1340="","",ROUND(N(G1340)*N(H1340)/60,1))</f>
        <v/>
      </c>
      <c r="Q1340" s="57" t="str">
        <f aca="false">IF(E1340="","",IF(COUNTIFS($C$2:C1340,C1340,$E$2:E1340,E1340,$B$2:B1340,B1340)&gt;1,"No","Yes"))</f>
        <v/>
      </c>
      <c r="R1340" s="61" t="str">
        <f aca="false">IF(E1340="","",IF(Q1340="No","Duplicate of an earlier response",IF(L1340="Not on SITES","Site not on SITES",IF(N(G1340)&gt;N(F1340),"Present is more than enrolled",IF(OR(I1340&lt;1,I1340&gt;5),"Score outside 1 to 5","")))))</f>
        <v/>
      </c>
    </row>
    <row r="1341" customFormat="false" ht="15" hidden="false" customHeight="false" outlineLevel="0" collapsed="false">
      <c r="A1341" s="52"/>
      <c r="B1341" s="53"/>
      <c r="C1341" s="53"/>
      <c r="D1341" s="53"/>
      <c r="E1341" s="54"/>
      <c r="F1341" s="55"/>
      <c r="G1341" s="55"/>
      <c r="H1341" s="55"/>
      <c r="I1341" s="56"/>
      <c r="J1341" s="53"/>
      <c r="K1341" s="53"/>
      <c r="L1341" s="57" t="str">
        <f aca="false">IF(C1341="","",IFERROR(INDEX(site_ID,MATCH(C1341,site_Name,0)),"Not on SITES"))</f>
        <v/>
      </c>
      <c r="M1341" s="58" t="str">
        <f aca="false">IF(E1341="","",DATE(YEAR(E1341),MONTH(E1341),1))</f>
        <v/>
      </c>
      <c r="N1341" s="57" t="str">
        <f aca="false">IF(E1341="","","FY"&amp;(YEAR(E1341)+IF(AND(FYStart&gt;1,MONTH(E1341)&gt;=FYStart),1,0))&amp;" Q"&amp;(INT(MOD(MONTH(E1341)-FYStart,12)/3)+1))</f>
        <v/>
      </c>
      <c r="O1341" s="59" t="str">
        <f aca="false">IF(OR(E1341="",N(F1341)=0),"",G1341/F1341)</f>
        <v/>
      </c>
      <c r="P1341" s="60" t="str">
        <f aca="false">IF(E1341="","",ROUND(N(G1341)*N(H1341)/60,1))</f>
        <v/>
      </c>
      <c r="Q1341" s="57" t="str">
        <f aca="false">IF(E1341="","",IF(COUNTIFS($C$2:C1341,C1341,$E$2:E1341,E1341,$B$2:B1341,B1341)&gt;1,"No","Yes"))</f>
        <v/>
      </c>
      <c r="R1341" s="61" t="str">
        <f aca="false">IF(E1341="","",IF(Q1341="No","Duplicate of an earlier response",IF(L1341="Not on SITES","Site not on SITES",IF(N(G1341)&gt;N(F1341),"Present is more than enrolled",IF(OR(I1341&lt;1,I1341&gt;5),"Score outside 1 to 5","")))))</f>
        <v/>
      </c>
    </row>
    <row r="1342" customFormat="false" ht="15" hidden="false" customHeight="false" outlineLevel="0" collapsed="false">
      <c r="A1342" s="52"/>
      <c r="B1342" s="53"/>
      <c r="C1342" s="53"/>
      <c r="D1342" s="53"/>
      <c r="E1342" s="54"/>
      <c r="F1342" s="55"/>
      <c r="G1342" s="55"/>
      <c r="H1342" s="55"/>
      <c r="I1342" s="56"/>
      <c r="J1342" s="53"/>
      <c r="K1342" s="53"/>
      <c r="L1342" s="57" t="str">
        <f aca="false">IF(C1342="","",IFERROR(INDEX(site_ID,MATCH(C1342,site_Name,0)),"Not on SITES"))</f>
        <v/>
      </c>
      <c r="M1342" s="58" t="str">
        <f aca="false">IF(E1342="","",DATE(YEAR(E1342),MONTH(E1342),1))</f>
        <v/>
      </c>
      <c r="N1342" s="57" t="str">
        <f aca="false">IF(E1342="","","FY"&amp;(YEAR(E1342)+IF(AND(FYStart&gt;1,MONTH(E1342)&gt;=FYStart),1,0))&amp;" Q"&amp;(INT(MOD(MONTH(E1342)-FYStart,12)/3)+1))</f>
        <v/>
      </c>
      <c r="O1342" s="59" t="str">
        <f aca="false">IF(OR(E1342="",N(F1342)=0),"",G1342/F1342)</f>
        <v/>
      </c>
      <c r="P1342" s="60" t="str">
        <f aca="false">IF(E1342="","",ROUND(N(G1342)*N(H1342)/60,1))</f>
        <v/>
      </c>
      <c r="Q1342" s="57" t="str">
        <f aca="false">IF(E1342="","",IF(COUNTIFS($C$2:C1342,C1342,$E$2:E1342,E1342,$B$2:B1342,B1342)&gt;1,"No","Yes"))</f>
        <v/>
      </c>
      <c r="R1342" s="61" t="str">
        <f aca="false">IF(E1342="","",IF(Q1342="No","Duplicate of an earlier response",IF(L1342="Not on SITES","Site not on SITES",IF(N(G1342)&gt;N(F1342),"Present is more than enrolled",IF(OR(I1342&lt;1,I1342&gt;5),"Score outside 1 to 5","")))))</f>
        <v/>
      </c>
    </row>
    <row r="1343" customFormat="false" ht="15" hidden="false" customHeight="false" outlineLevel="0" collapsed="false">
      <c r="A1343" s="52"/>
      <c r="B1343" s="53"/>
      <c r="C1343" s="53"/>
      <c r="D1343" s="53"/>
      <c r="E1343" s="54"/>
      <c r="F1343" s="55"/>
      <c r="G1343" s="55"/>
      <c r="H1343" s="55"/>
      <c r="I1343" s="56"/>
      <c r="J1343" s="53"/>
      <c r="K1343" s="53"/>
      <c r="L1343" s="57" t="str">
        <f aca="false">IF(C1343="","",IFERROR(INDEX(site_ID,MATCH(C1343,site_Name,0)),"Not on SITES"))</f>
        <v/>
      </c>
      <c r="M1343" s="58" t="str">
        <f aca="false">IF(E1343="","",DATE(YEAR(E1343),MONTH(E1343),1))</f>
        <v/>
      </c>
      <c r="N1343" s="57" t="str">
        <f aca="false">IF(E1343="","","FY"&amp;(YEAR(E1343)+IF(AND(FYStart&gt;1,MONTH(E1343)&gt;=FYStart),1,0))&amp;" Q"&amp;(INT(MOD(MONTH(E1343)-FYStart,12)/3)+1))</f>
        <v/>
      </c>
      <c r="O1343" s="59" t="str">
        <f aca="false">IF(OR(E1343="",N(F1343)=0),"",G1343/F1343)</f>
        <v/>
      </c>
      <c r="P1343" s="60" t="str">
        <f aca="false">IF(E1343="","",ROUND(N(G1343)*N(H1343)/60,1))</f>
        <v/>
      </c>
      <c r="Q1343" s="57" t="str">
        <f aca="false">IF(E1343="","",IF(COUNTIFS($C$2:C1343,C1343,$E$2:E1343,E1343,$B$2:B1343,B1343)&gt;1,"No","Yes"))</f>
        <v/>
      </c>
      <c r="R1343" s="61" t="str">
        <f aca="false">IF(E1343="","",IF(Q1343="No","Duplicate of an earlier response",IF(L1343="Not on SITES","Site not on SITES",IF(N(G1343)&gt;N(F1343),"Present is more than enrolled",IF(OR(I1343&lt;1,I1343&gt;5),"Score outside 1 to 5","")))))</f>
        <v/>
      </c>
    </row>
    <row r="1344" customFormat="false" ht="15" hidden="false" customHeight="false" outlineLevel="0" collapsed="false">
      <c r="A1344" s="52"/>
      <c r="B1344" s="53"/>
      <c r="C1344" s="53"/>
      <c r="D1344" s="53"/>
      <c r="E1344" s="54"/>
      <c r="F1344" s="55"/>
      <c r="G1344" s="55"/>
      <c r="H1344" s="55"/>
      <c r="I1344" s="56"/>
      <c r="J1344" s="53"/>
      <c r="K1344" s="53"/>
      <c r="L1344" s="57" t="str">
        <f aca="false">IF(C1344="","",IFERROR(INDEX(site_ID,MATCH(C1344,site_Name,0)),"Not on SITES"))</f>
        <v/>
      </c>
      <c r="M1344" s="58" t="str">
        <f aca="false">IF(E1344="","",DATE(YEAR(E1344),MONTH(E1344),1))</f>
        <v/>
      </c>
      <c r="N1344" s="57" t="str">
        <f aca="false">IF(E1344="","","FY"&amp;(YEAR(E1344)+IF(AND(FYStart&gt;1,MONTH(E1344)&gt;=FYStart),1,0))&amp;" Q"&amp;(INT(MOD(MONTH(E1344)-FYStart,12)/3)+1))</f>
        <v/>
      </c>
      <c r="O1344" s="59" t="str">
        <f aca="false">IF(OR(E1344="",N(F1344)=0),"",G1344/F1344)</f>
        <v/>
      </c>
      <c r="P1344" s="60" t="str">
        <f aca="false">IF(E1344="","",ROUND(N(G1344)*N(H1344)/60,1))</f>
        <v/>
      </c>
      <c r="Q1344" s="57" t="str">
        <f aca="false">IF(E1344="","",IF(COUNTIFS($C$2:C1344,C1344,$E$2:E1344,E1344,$B$2:B1344,B1344)&gt;1,"No","Yes"))</f>
        <v/>
      </c>
      <c r="R1344" s="61" t="str">
        <f aca="false">IF(E1344="","",IF(Q1344="No","Duplicate of an earlier response",IF(L1344="Not on SITES","Site not on SITES",IF(N(G1344)&gt;N(F1344),"Present is more than enrolled",IF(OR(I1344&lt;1,I1344&gt;5),"Score outside 1 to 5","")))))</f>
        <v/>
      </c>
    </row>
    <row r="1345" customFormat="false" ht="15" hidden="false" customHeight="false" outlineLevel="0" collapsed="false">
      <c r="A1345" s="52"/>
      <c r="B1345" s="53"/>
      <c r="C1345" s="53"/>
      <c r="D1345" s="53"/>
      <c r="E1345" s="54"/>
      <c r="F1345" s="55"/>
      <c r="G1345" s="55"/>
      <c r="H1345" s="55"/>
      <c r="I1345" s="56"/>
      <c r="J1345" s="53"/>
      <c r="K1345" s="53"/>
      <c r="L1345" s="57" t="str">
        <f aca="false">IF(C1345="","",IFERROR(INDEX(site_ID,MATCH(C1345,site_Name,0)),"Not on SITES"))</f>
        <v/>
      </c>
      <c r="M1345" s="58" t="str">
        <f aca="false">IF(E1345="","",DATE(YEAR(E1345),MONTH(E1345),1))</f>
        <v/>
      </c>
      <c r="N1345" s="57" t="str">
        <f aca="false">IF(E1345="","","FY"&amp;(YEAR(E1345)+IF(AND(FYStart&gt;1,MONTH(E1345)&gt;=FYStart),1,0))&amp;" Q"&amp;(INT(MOD(MONTH(E1345)-FYStart,12)/3)+1))</f>
        <v/>
      </c>
      <c r="O1345" s="59" t="str">
        <f aca="false">IF(OR(E1345="",N(F1345)=0),"",G1345/F1345)</f>
        <v/>
      </c>
      <c r="P1345" s="60" t="str">
        <f aca="false">IF(E1345="","",ROUND(N(G1345)*N(H1345)/60,1))</f>
        <v/>
      </c>
      <c r="Q1345" s="57" t="str">
        <f aca="false">IF(E1345="","",IF(COUNTIFS($C$2:C1345,C1345,$E$2:E1345,E1345,$B$2:B1345,B1345)&gt;1,"No","Yes"))</f>
        <v/>
      </c>
      <c r="R1345" s="61" t="str">
        <f aca="false">IF(E1345="","",IF(Q1345="No","Duplicate of an earlier response",IF(L1345="Not on SITES","Site not on SITES",IF(N(G1345)&gt;N(F1345),"Present is more than enrolled",IF(OR(I1345&lt;1,I1345&gt;5),"Score outside 1 to 5","")))))</f>
        <v/>
      </c>
    </row>
    <row r="1346" customFormat="false" ht="15" hidden="false" customHeight="false" outlineLevel="0" collapsed="false">
      <c r="A1346" s="52"/>
      <c r="B1346" s="53"/>
      <c r="C1346" s="53"/>
      <c r="D1346" s="53"/>
      <c r="E1346" s="54"/>
      <c r="F1346" s="55"/>
      <c r="G1346" s="55"/>
      <c r="H1346" s="55"/>
      <c r="I1346" s="56"/>
      <c r="J1346" s="53"/>
      <c r="K1346" s="53"/>
      <c r="L1346" s="57" t="str">
        <f aca="false">IF(C1346="","",IFERROR(INDEX(site_ID,MATCH(C1346,site_Name,0)),"Not on SITES"))</f>
        <v/>
      </c>
      <c r="M1346" s="58" t="str">
        <f aca="false">IF(E1346="","",DATE(YEAR(E1346),MONTH(E1346),1))</f>
        <v/>
      </c>
      <c r="N1346" s="57" t="str">
        <f aca="false">IF(E1346="","","FY"&amp;(YEAR(E1346)+IF(AND(FYStart&gt;1,MONTH(E1346)&gt;=FYStart),1,0))&amp;" Q"&amp;(INT(MOD(MONTH(E1346)-FYStart,12)/3)+1))</f>
        <v/>
      </c>
      <c r="O1346" s="59" t="str">
        <f aca="false">IF(OR(E1346="",N(F1346)=0),"",G1346/F1346)</f>
        <v/>
      </c>
      <c r="P1346" s="60" t="str">
        <f aca="false">IF(E1346="","",ROUND(N(G1346)*N(H1346)/60,1))</f>
        <v/>
      </c>
      <c r="Q1346" s="57" t="str">
        <f aca="false">IF(E1346="","",IF(COUNTIFS($C$2:C1346,C1346,$E$2:E1346,E1346,$B$2:B1346,B1346)&gt;1,"No","Yes"))</f>
        <v/>
      </c>
      <c r="R1346" s="61" t="str">
        <f aca="false">IF(E1346="","",IF(Q1346="No","Duplicate of an earlier response",IF(L1346="Not on SITES","Site not on SITES",IF(N(G1346)&gt;N(F1346),"Present is more than enrolled",IF(OR(I1346&lt;1,I1346&gt;5),"Score outside 1 to 5","")))))</f>
        <v/>
      </c>
    </row>
    <row r="1347" customFormat="false" ht="15" hidden="false" customHeight="false" outlineLevel="0" collapsed="false">
      <c r="A1347" s="52"/>
      <c r="B1347" s="53"/>
      <c r="C1347" s="53"/>
      <c r="D1347" s="53"/>
      <c r="E1347" s="54"/>
      <c r="F1347" s="55"/>
      <c r="G1347" s="55"/>
      <c r="H1347" s="55"/>
      <c r="I1347" s="56"/>
      <c r="J1347" s="53"/>
      <c r="K1347" s="53"/>
      <c r="L1347" s="57" t="str">
        <f aca="false">IF(C1347="","",IFERROR(INDEX(site_ID,MATCH(C1347,site_Name,0)),"Not on SITES"))</f>
        <v/>
      </c>
      <c r="M1347" s="58" t="str">
        <f aca="false">IF(E1347="","",DATE(YEAR(E1347),MONTH(E1347),1))</f>
        <v/>
      </c>
      <c r="N1347" s="57" t="str">
        <f aca="false">IF(E1347="","","FY"&amp;(YEAR(E1347)+IF(AND(FYStart&gt;1,MONTH(E1347)&gt;=FYStart),1,0))&amp;" Q"&amp;(INT(MOD(MONTH(E1347)-FYStart,12)/3)+1))</f>
        <v/>
      </c>
      <c r="O1347" s="59" t="str">
        <f aca="false">IF(OR(E1347="",N(F1347)=0),"",G1347/F1347)</f>
        <v/>
      </c>
      <c r="P1347" s="60" t="str">
        <f aca="false">IF(E1347="","",ROUND(N(G1347)*N(H1347)/60,1))</f>
        <v/>
      </c>
      <c r="Q1347" s="57" t="str">
        <f aca="false">IF(E1347="","",IF(COUNTIFS($C$2:C1347,C1347,$E$2:E1347,E1347,$B$2:B1347,B1347)&gt;1,"No","Yes"))</f>
        <v/>
      </c>
      <c r="R1347" s="61" t="str">
        <f aca="false">IF(E1347="","",IF(Q1347="No","Duplicate of an earlier response",IF(L1347="Not on SITES","Site not on SITES",IF(N(G1347)&gt;N(F1347),"Present is more than enrolled",IF(OR(I1347&lt;1,I1347&gt;5),"Score outside 1 to 5","")))))</f>
        <v/>
      </c>
    </row>
    <row r="1348" customFormat="false" ht="15" hidden="false" customHeight="false" outlineLevel="0" collapsed="false">
      <c r="A1348" s="52"/>
      <c r="B1348" s="53"/>
      <c r="C1348" s="53"/>
      <c r="D1348" s="53"/>
      <c r="E1348" s="54"/>
      <c r="F1348" s="55"/>
      <c r="G1348" s="55"/>
      <c r="H1348" s="55"/>
      <c r="I1348" s="56"/>
      <c r="J1348" s="53"/>
      <c r="K1348" s="53"/>
      <c r="L1348" s="57" t="str">
        <f aca="false">IF(C1348="","",IFERROR(INDEX(site_ID,MATCH(C1348,site_Name,0)),"Not on SITES"))</f>
        <v/>
      </c>
      <c r="M1348" s="58" t="str">
        <f aca="false">IF(E1348="","",DATE(YEAR(E1348),MONTH(E1348),1))</f>
        <v/>
      </c>
      <c r="N1348" s="57" t="str">
        <f aca="false">IF(E1348="","","FY"&amp;(YEAR(E1348)+IF(AND(FYStart&gt;1,MONTH(E1348)&gt;=FYStart),1,0))&amp;" Q"&amp;(INT(MOD(MONTH(E1348)-FYStart,12)/3)+1))</f>
        <v/>
      </c>
      <c r="O1348" s="59" t="str">
        <f aca="false">IF(OR(E1348="",N(F1348)=0),"",G1348/F1348)</f>
        <v/>
      </c>
      <c r="P1348" s="60" t="str">
        <f aca="false">IF(E1348="","",ROUND(N(G1348)*N(H1348)/60,1))</f>
        <v/>
      </c>
      <c r="Q1348" s="57" t="str">
        <f aca="false">IF(E1348="","",IF(COUNTIFS($C$2:C1348,C1348,$E$2:E1348,E1348,$B$2:B1348,B1348)&gt;1,"No","Yes"))</f>
        <v/>
      </c>
      <c r="R1348" s="61" t="str">
        <f aca="false">IF(E1348="","",IF(Q1348="No","Duplicate of an earlier response",IF(L1348="Not on SITES","Site not on SITES",IF(N(G1348)&gt;N(F1348),"Present is more than enrolled",IF(OR(I1348&lt;1,I1348&gt;5),"Score outside 1 to 5","")))))</f>
        <v/>
      </c>
    </row>
    <row r="1349" customFormat="false" ht="15" hidden="false" customHeight="false" outlineLevel="0" collapsed="false">
      <c r="A1349" s="52"/>
      <c r="B1349" s="53"/>
      <c r="C1349" s="53"/>
      <c r="D1349" s="53"/>
      <c r="E1349" s="54"/>
      <c r="F1349" s="55"/>
      <c r="G1349" s="55"/>
      <c r="H1349" s="55"/>
      <c r="I1349" s="56"/>
      <c r="J1349" s="53"/>
      <c r="K1349" s="53"/>
      <c r="L1349" s="57" t="str">
        <f aca="false">IF(C1349="","",IFERROR(INDEX(site_ID,MATCH(C1349,site_Name,0)),"Not on SITES"))</f>
        <v/>
      </c>
      <c r="M1349" s="58" t="str">
        <f aca="false">IF(E1349="","",DATE(YEAR(E1349),MONTH(E1349),1))</f>
        <v/>
      </c>
      <c r="N1349" s="57" t="str">
        <f aca="false">IF(E1349="","","FY"&amp;(YEAR(E1349)+IF(AND(FYStart&gt;1,MONTH(E1349)&gt;=FYStart),1,0))&amp;" Q"&amp;(INT(MOD(MONTH(E1349)-FYStart,12)/3)+1))</f>
        <v/>
      </c>
      <c r="O1349" s="59" t="str">
        <f aca="false">IF(OR(E1349="",N(F1349)=0),"",G1349/F1349)</f>
        <v/>
      </c>
      <c r="P1349" s="60" t="str">
        <f aca="false">IF(E1349="","",ROUND(N(G1349)*N(H1349)/60,1))</f>
        <v/>
      </c>
      <c r="Q1349" s="57" t="str">
        <f aca="false">IF(E1349="","",IF(COUNTIFS($C$2:C1349,C1349,$E$2:E1349,E1349,$B$2:B1349,B1349)&gt;1,"No","Yes"))</f>
        <v/>
      </c>
      <c r="R1349" s="61" t="str">
        <f aca="false">IF(E1349="","",IF(Q1349="No","Duplicate of an earlier response",IF(L1349="Not on SITES","Site not on SITES",IF(N(G1349)&gt;N(F1349),"Present is more than enrolled",IF(OR(I1349&lt;1,I1349&gt;5),"Score outside 1 to 5","")))))</f>
        <v/>
      </c>
    </row>
    <row r="1350" customFormat="false" ht="15" hidden="false" customHeight="false" outlineLevel="0" collapsed="false">
      <c r="A1350" s="52"/>
      <c r="B1350" s="53"/>
      <c r="C1350" s="53"/>
      <c r="D1350" s="53"/>
      <c r="E1350" s="54"/>
      <c r="F1350" s="55"/>
      <c r="G1350" s="55"/>
      <c r="H1350" s="55"/>
      <c r="I1350" s="56"/>
      <c r="J1350" s="53"/>
      <c r="K1350" s="53"/>
      <c r="L1350" s="57" t="str">
        <f aca="false">IF(C1350="","",IFERROR(INDEX(site_ID,MATCH(C1350,site_Name,0)),"Not on SITES"))</f>
        <v/>
      </c>
      <c r="M1350" s="58" t="str">
        <f aca="false">IF(E1350="","",DATE(YEAR(E1350),MONTH(E1350),1))</f>
        <v/>
      </c>
      <c r="N1350" s="57" t="str">
        <f aca="false">IF(E1350="","","FY"&amp;(YEAR(E1350)+IF(AND(FYStart&gt;1,MONTH(E1350)&gt;=FYStart),1,0))&amp;" Q"&amp;(INT(MOD(MONTH(E1350)-FYStart,12)/3)+1))</f>
        <v/>
      </c>
      <c r="O1350" s="59" t="str">
        <f aca="false">IF(OR(E1350="",N(F1350)=0),"",G1350/F1350)</f>
        <v/>
      </c>
      <c r="P1350" s="60" t="str">
        <f aca="false">IF(E1350="","",ROUND(N(G1350)*N(H1350)/60,1))</f>
        <v/>
      </c>
      <c r="Q1350" s="57" t="str">
        <f aca="false">IF(E1350="","",IF(COUNTIFS($C$2:C1350,C1350,$E$2:E1350,E1350,$B$2:B1350,B1350)&gt;1,"No","Yes"))</f>
        <v/>
      </c>
      <c r="R1350" s="61" t="str">
        <f aca="false">IF(E1350="","",IF(Q1350="No","Duplicate of an earlier response",IF(L1350="Not on SITES","Site not on SITES",IF(N(G1350)&gt;N(F1350),"Present is more than enrolled",IF(OR(I1350&lt;1,I1350&gt;5),"Score outside 1 to 5","")))))</f>
        <v/>
      </c>
    </row>
    <row r="1351" customFormat="false" ht="15" hidden="false" customHeight="false" outlineLevel="0" collapsed="false">
      <c r="A1351" s="52"/>
      <c r="B1351" s="53"/>
      <c r="C1351" s="53"/>
      <c r="D1351" s="53"/>
      <c r="E1351" s="54"/>
      <c r="F1351" s="55"/>
      <c r="G1351" s="55"/>
      <c r="H1351" s="55"/>
      <c r="I1351" s="56"/>
      <c r="J1351" s="53"/>
      <c r="K1351" s="53"/>
      <c r="L1351" s="57" t="str">
        <f aca="false">IF(C1351="","",IFERROR(INDEX(site_ID,MATCH(C1351,site_Name,0)),"Not on SITES"))</f>
        <v/>
      </c>
      <c r="M1351" s="58" t="str">
        <f aca="false">IF(E1351="","",DATE(YEAR(E1351),MONTH(E1351),1))</f>
        <v/>
      </c>
      <c r="N1351" s="57" t="str">
        <f aca="false">IF(E1351="","","FY"&amp;(YEAR(E1351)+IF(AND(FYStart&gt;1,MONTH(E1351)&gt;=FYStart),1,0))&amp;" Q"&amp;(INT(MOD(MONTH(E1351)-FYStart,12)/3)+1))</f>
        <v/>
      </c>
      <c r="O1351" s="59" t="str">
        <f aca="false">IF(OR(E1351="",N(F1351)=0),"",G1351/F1351)</f>
        <v/>
      </c>
      <c r="P1351" s="60" t="str">
        <f aca="false">IF(E1351="","",ROUND(N(G1351)*N(H1351)/60,1))</f>
        <v/>
      </c>
      <c r="Q1351" s="57" t="str">
        <f aca="false">IF(E1351="","",IF(COUNTIFS($C$2:C1351,C1351,$E$2:E1351,E1351,$B$2:B1351,B1351)&gt;1,"No","Yes"))</f>
        <v/>
      </c>
      <c r="R1351" s="61" t="str">
        <f aca="false">IF(E1351="","",IF(Q1351="No","Duplicate of an earlier response",IF(L1351="Not on SITES","Site not on SITES",IF(N(G1351)&gt;N(F1351),"Present is more than enrolled",IF(OR(I1351&lt;1,I1351&gt;5),"Score outside 1 to 5","")))))</f>
        <v/>
      </c>
    </row>
    <row r="1352" customFormat="false" ht="15" hidden="false" customHeight="false" outlineLevel="0" collapsed="false">
      <c r="A1352" s="52"/>
      <c r="B1352" s="53"/>
      <c r="C1352" s="53"/>
      <c r="D1352" s="53"/>
      <c r="E1352" s="54"/>
      <c r="F1352" s="55"/>
      <c r="G1352" s="55"/>
      <c r="H1352" s="55"/>
      <c r="I1352" s="56"/>
      <c r="J1352" s="53"/>
      <c r="K1352" s="53"/>
      <c r="L1352" s="57" t="str">
        <f aca="false">IF(C1352="","",IFERROR(INDEX(site_ID,MATCH(C1352,site_Name,0)),"Not on SITES"))</f>
        <v/>
      </c>
      <c r="M1352" s="58" t="str">
        <f aca="false">IF(E1352="","",DATE(YEAR(E1352),MONTH(E1352),1))</f>
        <v/>
      </c>
      <c r="N1352" s="57" t="str">
        <f aca="false">IF(E1352="","","FY"&amp;(YEAR(E1352)+IF(AND(FYStart&gt;1,MONTH(E1352)&gt;=FYStart),1,0))&amp;" Q"&amp;(INT(MOD(MONTH(E1352)-FYStart,12)/3)+1))</f>
        <v/>
      </c>
      <c r="O1352" s="59" t="str">
        <f aca="false">IF(OR(E1352="",N(F1352)=0),"",G1352/F1352)</f>
        <v/>
      </c>
      <c r="P1352" s="60" t="str">
        <f aca="false">IF(E1352="","",ROUND(N(G1352)*N(H1352)/60,1))</f>
        <v/>
      </c>
      <c r="Q1352" s="57" t="str">
        <f aca="false">IF(E1352="","",IF(COUNTIFS($C$2:C1352,C1352,$E$2:E1352,E1352,$B$2:B1352,B1352)&gt;1,"No","Yes"))</f>
        <v/>
      </c>
      <c r="R1352" s="61" t="str">
        <f aca="false">IF(E1352="","",IF(Q1352="No","Duplicate of an earlier response",IF(L1352="Not on SITES","Site not on SITES",IF(N(G1352)&gt;N(F1352),"Present is more than enrolled",IF(OR(I1352&lt;1,I1352&gt;5),"Score outside 1 to 5","")))))</f>
        <v/>
      </c>
    </row>
    <row r="1353" customFormat="false" ht="15" hidden="false" customHeight="false" outlineLevel="0" collapsed="false">
      <c r="A1353" s="52"/>
      <c r="B1353" s="53"/>
      <c r="C1353" s="53"/>
      <c r="D1353" s="53"/>
      <c r="E1353" s="54"/>
      <c r="F1353" s="55"/>
      <c r="G1353" s="55"/>
      <c r="H1353" s="55"/>
      <c r="I1353" s="56"/>
      <c r="J1353" s="53"/>
      <c r="K1353" s="53"/>
      <c r="L1353" s="57" t="str">
        <f aca="false">IF(C1353="","",IFERROR(INDEX(site_ID,MATCH(C1353,site_Name,0)),"Not on SITES"))</f>
        <v/>
      </c>
      <c r="M1353" s="58" t="str">
        <f aca="false">IF(E1353="","",DATE(YEAR(E1353),MONTH(E1353),1))</f>
        <v/>
      </c>
      <c r="N1353" s="57" t="str">
        <f aca="false">IF(E1353="","","FY"&amp;(YEAR(E1353)+IF(AND(FYStart&gt;1,MONTH(E1353)&gt;=FYStart),1,0))&amp;" Q"&amp;(INT(MOD(MONTH(E1353)-FYStart,12)/3)+1))</f>
        <v/>
      </c>
      <c r="O1353" s="59" t="str">
        <f aca="false">IF(OR(E1353="",N(F1353)=0),"",G1353/F1353)</f>
        <v/>
      </c>
      <c r="P1353" s="60" t="str">
        <f aca="false">IF(E1353="","",ROUND(N(G1353)*N(H1353)/60,1))</f>
        <v/>
      </c>
      <c r="Q1353" s="57" t="str">
        <f aca="false">IF(E1353="","",IF(COUNTIFS($C$2:C1353,C1353,$E$2:E1353,E1353,$B$2:B1353,B1353)&gt;1,"No","Yes"))</f>
        <v/>
      </c>
      <c r="R1353" s="61" t="str">
        <f aca="false">IF(E1353="","",IF(Q1353="No","Duplicate of an earlier response",IF(L1353="Not on SITES","Site not on SITES",IF(N(G1353)&gt;N(F1353),"Present is more than enrolled",IF(OR(I1353&lt;1,I1353&gt;5),"Score outside 1 to 5","")))))</f>
        <v/>
      </c>
    </row>
    <row r="1354" customFormat="false" ht="15" hidden="false" customHeight="false" outlineLevel="0" collapsed="false">
      <c r="A1354" s="52"/>
      <c r="B1354" s="53"/>
      <c r="C1354" s="53"/>
      <c r="D1354" s="53"/>
      <c r="E1354" s="54"/>
      <c r="F1354" s="55"/>
      <c r="G1354" s="55"/>
      <c r="H1354" s="55"/>
      <c r="I1354" s="56"/>
      <c r="J1354" s="53"/>
      <c r="K1354" s="53"/>
      <c r="L1354" s="57" t="str">
        <f aca="false">IF(C1354="","",IFERROR(INDEX(site_ID,MATCH(C1354,site_Name,0)),"Not on SITES"))</f>
        <v/>
      </c>
      <c r="M1354" s="58" t="str">
        <f aca="false">IF(E1354="","",DATE(YEAR(E1354),MONTH(E1354),1))</f>
        <v/>
      </c>
      <c r="N1354" s="57" t="str">
        <f aca="false">IF(E1354="","","FY"&amp;(YEAR(E1354)+IF(AND(FYStart&gt;1,MONTH(E1354)&gt;=FYStart),1,0))&amp;" Q"&amp;(INT(MOD(MONTH(E1354)-FYStart,12)/3)+1))</f>
        <v/>
      </c>
      <c r="O1354" s="59" t="str">
        <f aca="false">IF(OR(E1354="",N(F1354)=0),"",G1354/F1354)</f>
        <v/>
      </c>
      <c r="P1354" s="60" t="str">
        <f aca="false">IF(E1354="","",ROUND(N(G1354)*N(H1354)/60,1))</f>
        <v/>
      </c>
      <c r="Q1354" s="57" t="str">
        <f aca="false">IF(E1354="","",IF(COUNTIFS($C$2:C1354,C1354,$E$2:E1354,E1354,$B$2:B1354,B1354)&gt;1,"No","Yes"))</f>
        <v/>
      </c>
      <c r="R1354" s="61" t="str">
        <f aca="false">IF(E1354="","",IF(Q1354="No","Duplicate of an earlier response",IF(L1354="Not on SITES","Site not on SITES",IF(N(G1354)&gt;N(F1354),"Present is more than enrolled",IF(OR(I1354&lt;1,I1354&gt;5),"Score outside 1 to 5","")))))</f>
        <v/>
      </c>
    </row>
    <row r="1355" customFormat="false" ht="15" hidden="false" customHeight="false" outlineLevel="0" collapsed="false">
      <c r="A1355" s="52"/>
      <c r="B1355" s="53"/>
      <c r="C1355" s="53"/>
      <c r="D1355" s="53"/>
      <c r="E1355" s="54"/>
      <c r="F1355" s="55"/>
      <c r="G1355" s="55"/>
      <c r="H1355" s="55"/>
      <c r="I1355" s="56"/>
      <c r="J1355" s="53"/>
      <c r="K1355" s="53"/>
      <c r="L1355" s="57" t="str">
        <f aca="false">IF(C1355="","",IFERROR(INDEX(site_ID,MATCH(C1355,site_Name,0)),"Not on SITES"))</f>
        <v/>
      </c>
      <c r="M1355" s="58" t="str">
        <f aca="false">IF(E1355="","",DATE(YEAR(E1355),MONTH(E1355),1))</f>
        <v/>
      </c>
      <c r="N1355" s="57" t="str">
        <f aca="false">IF(E1355="","","FY"&amp;(YEAR(E1355)+IF(AND(FYStart&gt;1,MONTH(E1355)&gt;=FYStart),1,0))&amp;" Q"&amp;(INT(MOD(MONTH(E1355)-FYStart,12)/3)+1))</f>
        <v/>
      </c>
      <c r="O1355" s="59" t="str">
        <f aca="false">IF(OR(E1355="",N(F1355)=0),"",G1355/F1355)</f>
        <v/>
      </c>
      <c r="P1355" s="60" t="str">
        <f aca="false">IF(E1355="","",ROUND(N(G1355)*N(H1355)/60,1))</f>
        <v/>
      </c>
      <c r="Q1355" s="57" t="str">
        <f aca="false">IF(E1355="","",IF(COUNTIFS($C$2:C1355,C1355,$E$2:E1355,E1355,$B$2:B1355,B1355)&gt;1,"No","Yes"))</f>
        <v/>
      </c>
      <c r="R1355" s="61" t="str">
        <f aca="false">IF(E1355="","",IF(Q1355="No","Duplicate of an earlier response",IF(L1355="Not on SITES","Site not on SITES",IF(N(G1355)&gt;N(F1355),"Present is more than enrolled",IF(OR(I1355&lt;1,I1355&gt;5),"Score outside 1 to 5","")))))</f>
        <v/>
      </c>
    </row>
    <row r="1356" customFormat="false" ht="15" hidden="false" customHeight="false" outlineLevel="0" collapsed="false">
      <c r="A1356" s="52"/>
      <c r="B1356" s="53"/>
      <c r="C1356" s="53"/>
      <c r="D1356" s="53"/>
      <c r="E1356" s="54"/>
      <c r="F1356" s="55"/>
      <c r="G1356" s="55"/>
      <c r="H1356" s="55"/>
      <c r="I1356" s="56"/>
      <c r="J1356" s="53"/>
      <c r="K1356" s="53"/>
      <c r="L1356" s="57" t="str">
        <f aca="false">IF(C1356="","",IFERROR(INDEX(site_ID,MATCH(C1356,site_Name,0)),"Not on SITES"))</f>
        <v/>
      </c>
      <c r="M1356" s="58" t="str">
        <f aca="false">IF(E1356="","",DATE(YEAR(E1356),MONTH(E1356),1))</f>
        <v/>
      </c>
      <c r="N1356" s="57" t="str">
        <f aca="false">IF(E1356="","","FY"&amp;(YEAR(E1356)+IF(AND(FYStart&gt;1,MONTH(E1356)&gt;=FYStart),1,0))&amp;" Q"&amp;(INT(MOD(MONTH(E1356)-FYStart,12)/3)+1))</f>
        <v/>
      </c>
      <c r="O1356" s="59" t="str">
        <f aca="false">IF(OR(E1356="",N(F1356)=0),"",G1356/F1356)</f>
        <v/>
      </c>
      <c r="P1356" s="60" t="str">
        <f aca="false">IF(E1356="","",ROUND(N(G1356)*N(H1356)/60,1))</f>
        <v/>
      </c>
      <c r="Q1356" s="57" t="str">
        <f aca="false">IF(E1356="","",IF(COUNTIFS($C$2:C1356,C1356,$E$2:E1356,E1356,$B$2:B1356,B1356)&gt;1,"No","Yes"))</f>
        <v/>
      </c>
      <c r="R1356" s="61" t="str">
        <f aca="false">IF(E1356="","",IF(Q1356="No","Duplicate of an earlier response",IF(L1356="Not on SITES","Site not on SITES",IF(N(G1356)&gt;N(F1356),"Present is more than enrolled",IF(OR(I1356&lt;1,I1356&gt;5),"Score outside 1 to 5","")))))</f>
        <v/>
      </c>
    </row>
    <row r="1357" customFormat="false" ht="15" hidden="false" customHeight="false" outlineLevel="0" collapsed="false">
      <c r="A1357" s="52"/>
      <c r="B1357" s="53"/>
      <c r="C1357" s="53"/>
      <c r="D1357" s="53"/>
      <c r="E1357" s="54"/>
      <c r="F1357" s="55"/>
      <c r="G1357" s="55"/>
      <c r="H1357" s="55"/>
      <c r="I1357" s="56"/>
      <c r="J1357" s="53"/>
      <c r="K1357" s="53"/>
      <c r="L1357" s="57" t="str">
        <f aca="false">IF(C1357="","",IFERROR(INDEX(site_ID,MATCH(C1357,site_Name,0)),"Not on SITES"))</f>
        <v/>
      </c>
      <c r="M1357" s="58" t="str">
        <f aca="false">IF(E1357="","",DATE(YEAR(E1357),MONTH(E1357),1))</f>
        <v/>
      </c>
      <c r="N1357" s="57" t="str">
        <f aca="false">IF(E1357="","","FY"&amp;(YEAR(E1357)+IF(AND(FYStart&gt;1,MONTH(E1357)&gt;=FYStart),1,0))&amp;" Q"&amp;(INT(MOD(MONTH(E1357)-FYStart,12)/3)+1))</f>
        <v/>
      </c>
      <c r="O1357" s="59" t="str">
        <f aca="false">IF(OR(E1357="",N(F1357)=0),"",G1357/F1357)</f>
        <v/>
      </c>
      <c r="P1357" s="60" t="str">
        <f aca="false">IF(E1357="","",ROUND(N(G1357)*N(H1357)/60,1))</f>
        <v/>
      </c>
      <c r="Q1357" s="57" t="str">
        <f aca="false">IF(E1357="","",IF(COUNTIFS($C$2:C1357,C1357,$E$2:E1357,E1357,$B$2:B1357,B1357)&gt;1,"No","Yes"))</f>
        <v/>
      </c>
      <c r="R1357" s="61" t="str">
        <f aca="false">IF(E1357="","",IF(Q1357="No","Duplicate of an earlier response",IF(L1357="Not on SITES","Site not on SITES",IF(N(G1357)&gt;N(F1357),"Present is more than enrolled",IF(OR(I1357&lt;1,I1357&gt;5),"Score outside 1 to 5","")))))</f>
        <v/>
      </c>
    </row>
    <row r="1358" customFormat="false" ht="15" hidden="false" customHeight="false" outlineLevel="0" collapsed="false">
      <c r="A1358" s="52"/>
      <c r="B1358" s="53"/>
      <c r="C1358" s="53"/>
      <c r="D1358" s="53"/>
      <c r="E1358" s="54"/>
      <c r="F1358" s="55"/>
      <c r="G1358" s="55"/>
      <c r="H1358" s="55"/>
      <c r="I1358" s="56"/>
      <c r="J1358" s="53"/>
      <c r="K1358" s="53"/>
      <c r="L1358" s="57" t="str">
        <f aca="false">IF(C1358="","",IFERROR(INDEX(site_ID,MATCH(C1358,site_Name,0)),"Not on SITES"))</f>
        <v/>
      </c>
      <c r="M1358" s="58" t="str">
        <f aca="false">IF(E1358="","",DATE(YEAR(E1358),MONTH(E1358),1))</f>
        <v/>
      </c>
      <c r="N1358" s="57" t="str">
        <f aca="false">IF(E1358="","","FY"&amp;(YEAR(E1358)+IF(AND(FYStart&gt;1,MONTH(E1358)&gt;=FYStart),1,0))&amp;" Q"&amp;(INT(MOD(MONTH(E1358)-FYStart,12)/3)+1))</f>
        <v/>
      </c>
      <c r="O1358" s="59" t="str">
        <f aca="false">IF(OR(E1358="",N(F1358)=0),"",G1358/F1358)</f>
        <v/>
      </c>
      <c r="P1358" s="60" t="str">
        <f aca="false">IF(E1358="","",ROUND(N(G1358)*N(H1358)/60,1))</f>
        <v/>
      </c>
      <c r="Q1358" s="57" t="str">
        <f aca="false">IF(E1358="","",IF(COUNTIFS($C$2:C1358,C1358,$E$2:E1358,E1358,$B$2:B1358,B1358)&gt;1,"No","Yes"))</f>
        <v/>
      </c>
      <c r="R1358" s="61" t="str">
        <f aca="false">IF(E1358="","",IF(Q1358="No","Duplicate of an earlier response",IF(L1358="Not on SITES","Site not on SITES",IF(N(G1358)&gt;N(F1358),"Present is more than enrolled",IF(OR(I1358&lt;1,I1358&gt;5),"Score outside 1 to 5","")))))</f>
        <v/>
      </c>
    </row>
    <row r="1359" customFormat="false" ht="15" hidden="false" customHeight="false" outlineLevel="0" collapsed="false">
      <c r="A1359" s="52"/>
      <c r="B1359" s="53"/>
      <c r="C1359" s="53"/>
      <c r="D1359" s="53"/>
      <c r="E1359" s="54"/>
      <c r="F1359" s="55"/>
      <c r="G1359" s="55"/>
      <c r="H1359" s="55"/>
      <c r="I1359" s="56"/>
      <c r="J1359" s="53"/>
      <c r="K1359" s="53"/>
      <c r="L1359" s="57" t="str">
        <f aca="false">IF(C1359="","",IFERROR(INDEX(site_ID,MATCH(C1359,site_Name,0)),"Not on SITES"))</f>
        <v/>
      </c>
      <c r="M1359" s="58" t="str">
        <f aca="false">IF(E1359="","",DATE(YEAR(E1359),MONTH(E1359),1))</f>
        <v/>
      </c>
      <c r="N1359" s="57" t="str">
        <f aca="false">IF(E1359="","","FY"&amp;(YEAR(E1359)+IF(AND(FYStart&gt;1,MONTH(E1359)&gt;=FYStart),1,0))&amp;" Q"&amp;(INT(MOD(MONTH(E1359)-FYStart,12)/3)+1))</f>
        <v/>
      </c>
      <c r="O1359" s="59" t="str">
        <f aca="false">IF(OR(E1359="",N(F1359)=0),"",G1359/F1359)</f>
        <v/>
      </c>
      <c r="P1359" s="60" t="str">
        <f aca="false">IF(E1359="","",ROUND(N(G1359)*N(H1359)/60,1))</f>
        <v/>
      </c>
      <c r="Q1359" s="57" t="str">
        <f aca="false">IF(E1359="","",IF(COUNTIFS($C$2:C1359,C1359,$E$2:E1359,E1359,$B$2:B1359,B1359)&gt;1,"No","Yes"))</f>
        <v/>
      </c>
      <c r="R1359" s="61" t="str">
        <f aca="false">IF(E1359="","",IF(Q1359="No","Duplicate of an earlier response",IF(L1359="Not on SITES","Site not on SITES",IF(N(G1359)&gt;N(F1359),"Present is more than enrolled",IF(OR(I1359&lt;1,I1359&gt;5),"Score outside 1 to 5","")))))</f>
        <v/>
      </c>
    </row>
    <row r="1360" customFormat="false" ht="15" hidden="false" customHeight="false" outlineLevel="0" collapsed="false">
      <c r="A1360" s="52"/>
      <c r="B1360" s="53"/>
      <c r="C1360" s="53"/>
      <c r="D1360" s="53"/>
      <c r="E1360" s="54"/>
      <c r="F1360" s="55"/>
      <c r="G1360" s="55"/>
      <c r="H1360" s="55"/>
      <c r="I1360" s="56"/>
      <c r="J1360" s="53"/>
      <c r="K1360" s="53"/>
      <c r="L1360" s="57" t="str">
        <f aca="false">IF(C1360="","",IFERROR(INDEX(site_ID,MATCH(C1360,site_Name,0)),"Not on SITES"))</f>
        <v/>
      </c>
      <c r="M1360" s="58" t="str">
        <f aca="false">IF(E1360="","",DATE(YEAR(E1360),MONTH(E1360),1))</f>
        <v/>
      </c>
      <c r="N1360" s="57" t="str">
        <f aca="false">IF(E1360="","","FY"&amp;(YEAR(E1360)+IF(AND(FYStart&gt;1,MONTH(E1360)&gt;=FYStart),1,0))&amp;" Q"&amp;(INT(MOD(MONTH(E1360)-FYStart,12)/3)+1))</f>
        <v/>
      </c>
      <c r="O1360" s="59" t="str">
        <f aca="false">IF(OR(E1360="",N(F1360)=0),"",G1360/F1360)</f>
        <v/>
      </c>
      <c r="P1360" s="60" t="str">
        <f aca="false">IF(E1360="","",ROUND(N(G1360)*N(H1360)/60,1))</f>
        <v/>
      </c>
      <c r="Q1360" s="57" t="str">
        <f aca="false">IF(E1360="","",IF(COUNTIFS($C$2:C1360,C1360,$E$2:E1360,E1360,$B$2:B1360,B1360)&gt;1,"No","Yes"))</f>
        <v/>
      </c>
      <c r="R1360" s="61" t="str">
        <f aca="false">IF(E1360="","",IF(Q1360="No","Duplicate of an earlier response",IF(L1360="Not on SITES","Site not on SITES",IF(N(G1360)&gt;N(F1360),"Present is more than enrolled",IF(OR(I1360&lt;1,I1360&gt;5),"Score outside 1 to 5","")))))</f>
        <v/>
      </c>
    </row>
    <row r="1361" customFormat="false" ht="15" hidden="false" customHeight="false" outlineLevel="0" collapsed="false">
      <c r="A1361" s="52"/>
      <c r="B1361" s="53"/>
      <c r="C1361" s="53"/>
      <c r="D1361" s="53"/>
      <c r="E1361" s="54"/>
      <c r="F1361" s="55"/>
      <c r="G1361" s="55"/>
      <c r="H1361" s="55"/>
      <c r="I1361" s="56"/>
      <c r="J1361" s="53"/>
      <c r="K1361" s="53"/>
      <c r="L1361" s="57" t="str">
        <f aca="false">IF(C1361="","",IFERROR(INDEX(site_ID,MATCH(C1361,site_Name,0)),"Not on SITES"))</f>
        <v/>
      </c>
      <c r="M1361" s="58" t="str">
        <f aca="false">IF(E1361="","",DATE(YEAR(E1361),MONTH(E1361),1))</f>
        <v/>
      </c>
      <c r="N1361" s="57" t="str">
        <f aca="false">IF(E1361="","","FY"&amp;(YEAR(E1361)+IF(AND(FYStart&gt;1,MONTH(E1361)&gt;=FYStart),1,0))&amp;" Q"&amp;(INT(MOD(MONTH(E1361)-FYStart,12)/3)+1))</f>
        <v/>
      </c>
      <c r="O1361" s="59" t="str">
        <f aca="false">IF(OR(E1361="",N(F1361)=0),"",G1361/F1361)</f>
        <v/>
      </c>
      <c r="P1361" s="60" t="str">
        <f aca="false">IF(E1361="","",ROUND(N(G1361)*N(H1361)/60,1))</f>
        <v/>
      </c>
      <c r="Q1361" s="57" t="str">
        <f aca="false">IF(E1361="","",IF(COUNTIFS($C$2:C1361,C1361,$E$2:E1361,E1361,$B$2:B1361,B1361)&gt;1,"No","Yes"))</f>
        <v/>
      </c>
      <c r="R1361" s="61" t="str">
        <f aca="false">IF(E1361="","",IF(Q1361="No","Duplicate of an earlier response",IF(L1361="Not on SITES","Site not on SITES",IF(N(G1361)&gt;N(F1361),"Present is more than enrolled",IF(OR(I1361&lt;1,I1361&gt;5),"Score outside 1 to 5","")))))</f>
        <v/>
      </c>
    </row>
    <row r="1362" customFormat="false" ht="15" hidden="false" customHeight="false" outlineLevel="0" collapsed="false">
      <c r="A1362" s="52"/>
      <c r="B1362" s="53"/>
      <c r="C1362" s="53"/>
      <c r="D1362" s="53"/>
      <c r="E1362" s="54"/>
      <c r="F1362" s="55"/>
      <c r="G1362" s="55"/>
      <c r="H1362" s="55"/>
      <c r="I1362" s="56"/>
      <c r="J1362" s="53"/>
      <c r="K1362" s="53"/>
      <c r="L1362" s="57" t="str">
        <f aca="false">IF(C1362="","",IFERROR(INDEX(site_ID,MATCH(C1362,site_Name,0)),"Not on SITES"))</f>
        <v/>
      </c>
      <c r="M1362" s="58" t="str">
        <f aca="false">IF(E1362="","",DATE(YEAR(E1362),MONTH(E1362),1))</f>
        <v/>
      </c>
      <c r="N1362" s="57" t="str">
        <f aca="false">IF(E1362="","","FY"&amp;(YEAR(E1362)+IF(AND(FYStart&gt;1,MONTH(E1362)&gt;=FYStart),1,0))&amp;" Q"&amp;(INT(MOD(MONTH(E1362)-FYStart,12)/3)+1))</f>
        <v/>
      </c>
      <c r="O1362" s="59" t="str">
        <f aca="false">IF(OR(E1362="",N(F1362)=0),"",G1362/F1362)</f>
        <v/>
      </c>
      <c r="P1362" s="60" t="str">
        <f aca="false">IF(E1362="","",ROUND(N(G1362)*N(H1362)/60,1))</f>
        <v/>
      </c>
      <c r="Q1362" s="57" t="str">
        <f aca="false">IF(E1362="","",IF(COUNTIFS($C$2:C1362,C1362,$E$2:E1362,E1362,$B$2:B1362,B1362)&gt;1,"No","Yes"))</f>
        <v/>
      </c>
      <c r="R1362" s="61" t="str">
        <f aca="false">IF(E1362="","",IF(Q1362="No","Duplicate of an earlier response",IF(L1362="Not on SITES","Site not on SITES",IF(N(G1362)&gt;N(F1362),"Present is more than enrolled",IF(OR(I1362&lt;1,I1362&gt;5),"Score outside 1 to 5","")))))</f>
        <v/>
      </c>
    </row>
    <row r="1363" customFormat="false" ht="15" hidden="false" customHeight="false" outlineLevel="0" collapsed="false">
      <c r="A1363" s="52"/>
      <c r="B1363" s="53"/>
      <c r="C1363" s="53"/>
      <c r="D1363" s="53"/>
      <c r="E1363" s="54"/>
      <c r="F1363" s="55"/>
      <c r="G1363" s="55"/>
      <c r="H1363" s="55"/>
      <c r="I1363" s="56"/>
      <c r="J1363" s="53"/>
      <c r="K1363" s="53"/>
      <c r="L1363" s="57" t="str">
        <f aca="false">IF(C1363="","",IFERROR(INDEX(site_ID,MATCH(C1363,site_Name,0)),"Not on SITES"))</f>
        <v/>
      </c>
      <c r="M1363" s="58" t="str">
        <f aca="false">IF(E1363="","",DATE(YEAR(E1363),MONTH(E1363),1))</f>
        <v/>
      </c>
      <c r="N1363" s="57" t="str">
        <f aca="false">IF(E1363="","","FY"&amp;(YEAR(E1363)+IF(AND(FYStart&gt;1,MONTH(E1363)&gt;=FYStart),1,0))&amp;" Q"&amp;(INT(MOD(MONTH(E1363)-FYStart,12)/3)+1))</f>
        <v/>
      </c>
      <c r="O1363" s="59" t="str">
        <f aca="false">IF(OR(E1363="",N(F1363)=0),"",G1363/F1363)</f>
        <v/>
      </c>
      <c r="P1363" s="60" t="str">
        <f aca="false">IF(E1363="","",ROUND(N(G1363)*N(H1363)/60,1))</f>
        <v/>
      </c>
      <c r="Q1363" s="57" t="str">
        <f aca="false">IF(E1363="","",IF(COUNTIFS($C$2:C1363,C1363,$E$2:E1363,E1363,$B$2:B1363,B1363)&gt;1,"No","Yes"))</f>
        <v/>
      </c>
      <c r="R1363" s="61" t="str">
        <f aca="false">IF(E1363="","",IF(Q1363="No","Duplicate of an earlier response",IF(L1363="Not on SITES","Site not on SITES",IF(N(G1363)&gt;N(F1363),"Present is more than enrolled",IF(OR(I1363&lt;1,I1363&gt;5),"Score outside 1 to 5","")))))</f>
        <v/>
      </c>
    </row>
    <row r="1364" customFormat="false" ht="15" hidden="false" customHeight="false" outlineLevel="0" collapsed="false">
      <c r="A1364" s="52"/>
      <c r="B1364" s="53"/>
      <c r="C1364" s="53"/>
      <c r="D1364" s="53"/>
      <c r="E1364" s="54"/>
      <c r="F1364" s="55"/>
      <c r="G1364" s="55"/>
      <c r="H1364" s="55"/>
      <c r="I1364" s="56"/>
      <c r="J1364" s="53"/>
      <c r="K1364" s="53"/>
      <c r="L1364" s="57" t="str">
        <f aca="false">IF(C1364="","",IFERROR(INDEX(site_ID,MATCH(C1364,site_Name,0)),"Not on SITES"))</f>
        <v/>
      </c>
      <c r="M1364" s="58" t="str">
        <f aca="false">IF(E1364="","",DATE(YEAR(E1364),MONTH(E1364),1))</f>
        <v/>
      </c>
      <c r="N1364" s="57" t="str">
        <f aca="false">IF(E1364="","","FY"&amp;(YEAR(E1364)+IF(AND(FYStart&gt;1,MONTH(E1364)&gt;=FYStart),1,0))&amp;" Q"&amp;(INT(MOD(MONTH(E1364)-FYStart,12)/3)+1))</f>
        <v/>
      </c>
      <c r="O1364" s="59" t="str">
        <f aca="false">IF(OR(E1364="",N(F1364)=0),"",G1364/F1364)</f>
        <v/>
      </c>
      <c r="P1364" s="60" t="str">
        <f aca="false">IF(E1364="","",ROUND(N(G1364)*N(H1364)/60,1))</f>
        <v/>
      </c>
      <c r="Q1364" s="57" t="str">
        <f aca="false">IF(E1364="","",IF(COUNTIFS($C$2:C1364,C1364,$E$2:E1364,E1364,$B$2:B1364,B1364)&gt;1,"No","Yes"))</f>
        <v/>
      </c>
      <c r="R1364" s="61" t="str">
        <f aca="false">IF(E1364="","",IF(Q1364="No","Duplicate of an earlier response",IF(L1364="Not on SITES","Site not on SITES",IF(N(G1364)&gt;N(F1364),"Present is more than enrolled",IF(OR(I1364&lt;1,I1364&gt;5),"Score outside 1 to 5","")))))</f>
        <v/>
      </c>
    </row>
    <row r="1365" customFormat="false" ht="15" hidden="false" customHeight="false" outlineLevel="0" collapsed="false">
      <c r="A1365" s="52"/>
      <c r="B1365" s="53"/>
      <c r="C1365" s="53"/>
      <c r="D1365" s="53"/>
      <c r="E1365" s="54"/>
      <c r="F1365" s="55"/>
      <c r="G1365" s="55"/>
      <c r="H1365" s="55"/>
      <c r="I1365" s="56"/>
      <c r="J1365" s="53"/>
      <c r="K1365" s="53"/>
      <c r="L1365" s="57" t="str">
        <f aca="false">IF(C1365="","",IFERROR(INDEX(site_ID,MATCH(C1365,site_Name,0)),"Not on SITES"))</f>
        <v/>
      </c>
      <c r="M1365" s="58" t="str">
        <f aca="false">IF(E1365="","",DATE(YEAR(E1365),MONTH(E1365),1))</f>
        <v/>
      </c>
      <c r="N1365" s="57" t="str">
        <f aca="false">IF(E1365="","","FY"&amp;(YEAR(E1365)+IF(AND(FYStart&gt;1,MONTH(E1365)&gt;=FYStart),1,0))&amp;" Q"&amp;(INT(MOD(MONTH(E1365)-FYStart,12)/3)+1))</f>
        <v/>
      </c>
      <c r="O1365" s="59" t="str">
        <f aca="false">IF(OR(E1365="",N(F1365)=0),"",G1365/F1365)</f>
        <v/>
      </c>
      <c r="P1365" s="60" t="str">
        <f aca="false">IF(E1365="","",ROUND(N(G1365)*N(H1365)/60,1))</f>
        <v/>
      </c>
      <c r="Q1365" s="57" t="str">
        <f aca="false">IF(E1365="","",IF(COUNTIFS($C$2:C1365,C1365,$E$2:E1365,E1365,$B$2:B1365,B1365)&gt;1,"No","Yes"))</f>
        <v/>
      </c>
      <c r="R1365" s="61" t="str">
        <f aca="false">IF(E1365="","",IF(Q1365="No","Duplicate of an earlier response",IF(L1365="Not on SITES","Site not on SITES",IF(N(G1365)&gt;N(F1365),"Present is more than enrolled",IF(OR(I1365&lt;1,I1365&gt;5),"Score outside 1 to 5","")))))</f>
        <v/>
      </c>
    </row>
    <row r="1366" customFormat="false" ht="15" hidden="false" customHeight="false" outlineLevel="0" collapsed="false">
      <c r="A1366" s="52"/>
      <c r="B1366" s="53"/>
      <c r="C1366" s="53"/>
      <c r="D1366" s="53"/>
      <c r="E1366" s="54"/>
      <c r="F1366" s="55"/>
      <c r="G1366" s="55"/>
      <c r="H1366" s="55"/>
      <c r="I1366" s="56"/>
      <c r="J1366" s="53"/>
      <c r="K1366" s="53"/>
      <c r="L1366" s="57" t="str">
        <f aca="false">IF(C1366="","",IFERROR(INDEX(site_ID,MATCH(C1366,site_Name,0)),"Not on SITES"))</f>
        <v/>
      </c>
      <c r="M1366" s="58" t="str">
        <f aca="false">IF(E1366="","",DATE(YEAR(E1366),MONTH(E1366),1))</f>
        <v/>
      </c>
      <c r="N1366" s="57" t="str">
        <f aca="false">IF(E1366="","","FY"&amp;(YEAR(E1366)+IF(AND(FYStart&gt;1,MONTH(E1366)&gt;=FYStart),1,0))&amp;" Q"&amp;(INT(MOD(MONTH(E1366)-FYStart,12)/3)+1))</f>
        <v/>
      </c>
      <c r="O1366" s="59" t="str">
        <f aca="false">IF(OR(E1366="",N(F1366)=0),"",G1366/F1366)</f>
        <v/>
      </c>
      <c r="P1366" s="60" t="str">
        <f aca="false">IF(E1366="","",ROUND(N(G1366)*N(H1366)/60,1))</f>
        <v/>
      </c>
      <c r="Q1366" s="57" t="str">
        <f aca="false">IF(E1366="","",IF(COUNTIFS($C$2:C1366,C1366,$E$2:E1366,E1366,$B$2:B1366,B1366)&gt;1,"No","Yes"))</f>
        <v/>
      </c>
      <c r="R1366" s="61" t="str">
        <f aca="false">IF(E1366="","",IF(Q1366="No","Duplicate of an earlier response",IF(L1366="Not on SITES","Site not on SITES",IF(N(G1366)&gt;N(F1366),"Present is more than enrolled",IF(OR(I1366&lt;1,I1366&gt;5),"Score outside 1 to 5","")))))</f>
        <v/>
      </c>
    </row>
    <row r="1367" customFormat="false" ht="15" hidden="false" customHeight="false" outlineLevel="0" collapsed="false">
      <c r="A1367" s="52"/>
      <c r="B1367" s="53"/>
      <c r="C1367" s="53"/>
      <c r="D1367" s="53"/>
      <c r="E1367" s="54"/>
      <c r="F1367" s="55"/>
      <c r="G1367" s="55"/>
      <c r="H1367" s="55"/>
      <c r="I1367" s="56"/>
      <c r="J1367" s="53"/>
      <c r="K1367" s="53"/>
      <c r="L1367" s="57" t="str">
        <f aca="false">IF(C1367="","",IFERROR(INDEX(site_ID,MATCH(C1367,site_Name,0)),"Not on SITES"))</f>
        <v/>
      </c>
      <c r="M1367" s="58" t="str">
        <f aca="false">IF(E1367="","",DATE(YEAR(E1367),MONTH(E1367),1))</f>
        <v/>
      </c>
      <c r="N1367" s="57" t="str">
        <f aca="false">IF(E1367="","","FY"&amp;(YEAR(E1367)+IF(AND(FYStart&gt;1,MONTH(E1367)&gt;=FYStart),1,0))&amp;" Q"&amp;(INT(MOD(MONTH(E1367)-FYStart,12)/3)+1))</f>
        <v/>
      </c>
      <c r="O1367" s="59" t="str">
        <f aca="false">IF(OR(E1367="",N(F1367)=0),"",G1367/F1367)</f>
        <v/>
      </c>
      <c r="P1367" s="60" t="str">
        <f aca="false">IF(E1367="","",ROUND(N(G1367)*N(H1367)/60,1))</f>
        <v/>
      </c>
      <c r="Q1367" s="57" t="str">
        <f aca="false">IF(E1367="","",IF(COUNTIFS($C$2:C1367,C1367,$E$2:E1367,E1367,$B$2:B1367,B1367)&gt;1,"No","Yes"))</f>
        <v/>
      </c>
      <c r="R1367" s="61" t="str">
        <f aca="false">IF(E1367="","",IF(Q1367="No","Duplicate of an earlier response",IF(L1367="Not on SITES","Site not on SITES",IF(N(G1367)&gt;N(F1367),"Present is more than enrolled",IF(OR(I1367&lt;1,I1367&gt;5),"Score outside 1 to 5","")))))</f>
        <v/>
      </c>
    </row>
    <row r="1368" customFormat="false" ht="15" hidden="false" customHeight="false" outlineLevel="0" collapsed="false">
      <c r="A1368" s="52"/>
      <c r="B1368" s="53"/>
      <c r="C1368" s="53"/>
      <c r="D1368" s="53"/>
      <c r="E1368" s="54"/>
      <c r="F1368" s="55"/>
      <c r="G1368" s="55"/>
      <c r="H1368" s="55"/>
      <c r="I1368" s="56"/>
      <c r="J1368" s="53"/>
      <c r="K1368" s="53"/>
      <c r="L1368" s="57" t="str">
        <f aca="false">IF(C1368="","",IFERROR(INDEX(site_ID,MATCH(C1368,site_Name,0)),"Not on SITES"))</f>
        <v/>
      </c>
      <c r="M1368" s="58" t="str">
        <f aca="false">IF(E1368="","",DATE(YEAR(E1368),MONTH(E1368),1))</f>
        <v/>
      </c>
      <c r="N1368" s="57" t="str">
        <f aca="false">IF(E1368="","","FY"&amp;(YEAR(E1368)+IF(AND(FYStart&gt;1,MONTH(E1368)&gt;=FYStart),1,0))&amp;" Q"&amp;(INT(MOD(MONTH(E1368)-FYStart,12)/3)+1))</f>
        <v/>
      </c>
      <c r="O1368" s="59" t="str">
        <f aca="false">IF(OR(E1368="",N(F1368)=0),"",G1368/F1368)</f>
        <v/>
      </c>
      <c r="P1368" s="60" t="str">
        <f aca="false">IF(E1368="","",ROUND(N(G1368)*N(H1368)/60,1))</f>
        <v/>
      </c>
      <c r="Q1368" s="57" t="str">
        <f aca="false">IF(E1368="","",IF(COUNTIFS($C$2:C1368,C1368,$E$2:E1368,E1368,$B$2:B1368,B1368)&gt;1,"No","Yes"))</f>
        <v/>
      </c>
      <c r="R1368" s="61" t="str">
        <f aca="false">IF(E1368="","",IF(Q1368="No","Duplicate of an earlier response",IF(L1368="Not on SITES","Site not on SITES",IF(N(G1368)&gt;N(F1368),"Present is more than enrolled",IF(OR(I1368&lt;1,I1368&gt;5),"Score outside 1 to 5","")))))</f>
        <v/>
      </c>
    </row>
    <row r="1369" customFormat="false" ht="15" hidden="false" customHeight="false" outlineLevel="0" collapsed="false">
      <c r="A1369" s="52"/>
      <c r="B1369" s="53"/>
      <c r="C1369" s="53"/>
      <c r="D1369" s="53"/>
      <c r="E1369" s="54"/>
      <c r="F1369" s="55"/>
      <c r="G1369" s="55"/>
      <c r="H1369" s="55"/>
      <c r="I1369" s="56"/>
      <c r="J1369" s="53"/>
      <c r="K1369" s="53"/>
      <c r="L1369" s="57" t="str">
        <f aca="false">IF(C1369="","",IFERROR(INDEX(site_ID,MATCH(C1369,site_Name,0)),"Not on SITES"))</f>
        <v/>
      </c>
      <c r="M1369" s="58" t="str">
        <f aca="false">IF(E1369="","",DATE(YEAR(E1369),MONTH(E1369),1))</f>
        <v/>
      </c>
      <c r="N1369" s="57" t="str">
        <f aca="false">IF(E1369="","","FY"&amp;(YEAR(E1369)+IF(AND(FYStart&gt;1,MONTH(E1369)&gt;=FYStart),1,0))&amp;" Q"&amp;(INT(MOD(MONTH(E1369)-FYStart,12)/3)+1))</f>
        <v/>
      </c>
      <c r="O1369" s="59" t="str">
        <f aca="false">IF(OR(E1369="",N(F1369)=0),"",G1369/F1369)</f>
        <v/>
      </c>
      <c r="P1369" s="60" t="str">
        <f aca="false">IF(E1369="","",ROUND(N(G1369)*N(H1369)/60,1))</f>
        <v/>
      </c>
      <c r="Q1369" s="57" t="str">
        <f aca="false">IF(E1369="","",IF(COUNTIFS($C$2:C1369,C1369,$E$2:E1369,E1369,$B$2:B1369,B1369)&gt;1,"No","Yes"))</f>
        <v/>
      </c>
      <c r="R1369" s="61" t="str">
        <f aca="false">IF(E1369="","",IF(Q1369="No","Duplicate of an earlier response",IF(L1369="Not on SITES","Site not on SITES",IF(N(G1369)&gt;N(F1369),"Present is more than enrolled",IF(OR(I1369&lt;1,I1369&gt;5),"Score outside 1 to 5","")))))</f>
        <v/>
      </c>
    </row>
    <row r="1370" customFormat="false" ht="15" hidden="false" customHeight="false" outlineLevel="0" collapsed="false">
      <c r="A1370" s="52"/>
      <c r="B1370" s="53"/>
      <c r="C1370" s="53"/>
      <c r="D1370" s="53"/>
      <c r="E1370" s="54"/>
      <c r="F1370" s="55"/>
      <c r="G1370" s="55"/>
      <c r="H1370" s="55"/>
      <c r="I1370" s="56"/>
      <c r="J1370" s="53"/>
      <c r="K1370" s="53"/>
      <c r="L1370" s="57" t="str">
        <f aca="false">IF(C1370="","",IFERROR(INDEX(site_ID,MATCH(C1370,site_Name,0)),"Not on SITES"))</f>
        <v/>
      </c>
      <c r="M1370" s="58" t="str">
        <f aca="false">IF(E1370="","",DATE(YEAR(E1370),MONTH(E1370),1))</f>
        <v/>
      </c>
      <c r="N1370" s="57" t="str">
        <f aca="false">IF(E1370="","","FY"&amp;(YEAR(E1370)+IF(AND(FYStart&gt;1,MONTH(E1370)&gt;=FYStart),1,0))&amp;" Q"&amp;(INT(MOD(MONTH(E1370)-FYStart,12)/3)+1))</f>
        <v/>
      </c>
      <c r="O1370" s="59" t="str">
        <f aca="false">IF(OR(E1370="",N(F1370)=0),"",G1370/F1370)</f>
        <v/>
      </c>
      <c r="P1370" s="60" t="str">
        <f aca="false">IF(E1370="","",ROUND(N(G1370)*N(H1370)/60,1))</f>
        <v/>
      </c>
      <c r="Q1370" s="57" t="str">
        <f aca="false">IF(E1370="","",IF(COUNTIFS($C$2:C1370,C1370,$E$2:E1370,E1370,$B$2:B1370,B1370)&gt;1,"No","Yes"))</f>
        <v/>
      </c>
      <c r="R1370" s="61" t="str">
        <f aca="false">IF(E1370="","",IF(Q1370="No","Duplicate of an earlier response",IF(L1370="Not on SITES","Site not on SITES",IF(N(G1370)&gt;N(F1370),"Present is more than enrolled",IF(OR(I1370&lt;1,I1370&gt;5),"Score outside 1 to 5","")))))</f>
        <v/>
      </c>
    </row>
    <row r="1371" customFormat="false" ht="15" hidden="false" customHeight="false" outlineLevel="0" collapsed="false">
      <c r="A1371" s="52"/>
      <c r="B1371" s="53"/>
      <c r="C1371" s="53"/>
      <c r="D1371" s="53"/>
      <c r="E1371" s="54"/>
      <c r="F1371" s="55"/>
      <c r="G1371" s="55"/>
      <c r="H1371" s="55"/>
      <c r="I1371" s="56"/>
      <c r="J1371" s="53"/>
      <c r="K1371" s="53"/>
      <c r="L1371" s="57" t="str">
        <f aca="false">IF(C1371="","",IFERROR(INDEX(site_ID,MATCH(C1371,site_Name,0)),"Not on SITES"))</f>
        <v/>
      </c>
      <c r="M1371" s="58" t="str">
        <f aca="false">IF(E1371="","",DATE(YEAR(E1371),MONTH(E1371),1))</f>
        <v/>
      </c>
      <c r="N1371" s="57" t="str">
        <f aca="false">IF(E1371="","","FY"&amp;(YEAR(E1371)+IF(AND(FYStart&gt;1,MONTH(E1371)&gt;=FYStart),1,0))&amp;" Q"&amp;(INT(MOD(MONTH(E1371)-FYStart,12)/3)+1))</f>
        <v/>
      </c>
      <c r="O1371" s="59" t="str">
        <f aca="false">IF(OR(E1371="",N(F1371)=0),"",G1371/F1371)</f>
        <v/>
      </c>
      <c r="P1371" s="60" t="str">
        <f aca="false">IF(E1371="","",ROUND(N(G1371)*N(H1371)/60,1))</f>
        <v/>
      </c>
      <c r="Q1371" s="57" t="str">
        <f aca="false">IF(E1371="","",IF(COUNTIFS($C$2:C1371,C1371,$E$2:E1371,E1371,$B$2:B1371,B1371)&gt;1,"No","Yes"))</f>
        <v/>
      </c>
      <c r="R1371" s="61" t="str">
        <f aca="false">IF(E1371="","",IF(Q1371="No","Duplicate of an earlier response",IF(L1371="Not on SITES","Site not on SITES",IF(N(G1371)&gt;N(F1371),"Present is more than enrolled",IF(OR(I1371&lt;1,I1371&gt;5),"Score outside 1 to 5","")))))</f>
        <v/>
      </c>
    </row>
    <row r="1372" customFormat="false" ht="15" hidden="false" customHeight="false" outlineLevel="0" collapsed="false">
      <c r="A1372" s="52"/>
      <c r="B1372" s="53"/>
      <c r="C1372" s="53"/>
      <c r="D1372" s="53"/>
      <c r="E1372" s="54"/>
      <c r="F1372" s="55"/>
      <c r="G1372" s="55"/>
      <c r="H1372" s="55"/>
      <c r="I1372" s="56"/>
      <c r="J1372" s="53"/>
      <c r="K1372" s="53"/>
      <c r="L1372" s="57" t="str">
        <f aca="false">IF(C1372="","",IFERROR(INDEX(site_ID,MATCH(C1372,site_Name,0)),"Not on SITES"))</f>
        <v/>
      </c>
      <c r="M1372" s="58" t="str">
        <f aca="false">IF(E1372="","",DATE(YEAR(E1372),MONTH(E1372),1))</f>
        <v/>
      </c>
      <c r="N1372" s="57" t="str">
        <f aca="false">IF(E1372="","","FY"&amp;(YEAR(E1372)+IF(AND(FYStart&gt;1,MONTH(E1372)&gt;=FYStart),1,0))&amp;" Q"&amp;(INT(MOD(MONTH(E1372)-FYStart,12)/3)+1))</f>
        <v/>
      </c>
      <c r="O1372" s="59" t="str">
        <f aca="false">IF(OR(E1372="",N(F1372)=0),"",G1372/F1372)</f>
        <v/>
      </c>
      <c r="P1372" s="60" t="str">
        <f aca="false">IF(E1372="","",ROUND(N(G1372)*N(H1372)/60,1))</f>
        <v/>
      </c>
      <c r="Q1372" s="57" t="str">
        <f aca="false">IF(E1372="","",IF(COUNTIFS($C$2:C1372,C1372,$E$2:E1372,E1372,$B$2:B1372,B1372)&gt;1,"No","Yes"))</f>
        <v/>
      </c>
      <c r="R1372" s="61" t="str">
        <f aca="false">IF(E1372="","",IF(Q1372="No","Duplicate of an earlier response",IF(L1372="Not on SITES","Site not on SITES",IF(N(G1372)&gt;N(F1372),"Present is more than enrolled",IF(OR(I1372&lt;1,I1372&gt;5),"Score outside 1 to 5","")))))</f>
        <v/>
      </c>
    </row>
    <row r="1373" customFormat="false" ht="15" hidden="false" customHeight="false" outlineLevel="0" collapsed="false">
      <c r="A1373" s="52"/>
      <c r="B1373" s="53"/>
      <c r="C1373" s="53"/>
      <c r="D1373" s="53"/>
      <c r="E1373" s="54"/>
      <c r="F1373" s="55"/>
      <c r="G1373" s="55"/>
      <c r="H1373" s="55"/>
      <c r="I1373" s="56"/>
      <c r="J1373" s="53"/>
      <c r="K1373" s="53"/>
      <c r="L1373" s="57" t="str">
        <f aca="false">IF(C1373="","",IFERROR(INDEX(site_ID,MATCH(C1373,site_Name,0)),"Not on SITES"))</f>
        <v/>
      </c>
      <c r="M1373" s="58" t="str">
        <f aca="false">IF(E1373="","",DATE(YEAR(E1373),MONTH(E1373),1))</f>
        <v/>
      </c>
      <c r="N1373" s="57" t="str">
        <f aca="false">IF(E1373="","","FY"&amp;(YEAR(E1373)+IF(AND(FYStart&gt;1,MONTH(E1373)&gt;=FYStart),1,0))&amp;" Q"&amp;(INT(MOD(MONTH(E1373)-FYStart,12)/3)+1))</f>
        <v/>
      </c>
      <c r="O1373" s="59" t="str">
        <f aca="false">IF(OR(E1373="",N(F1373)=0),"",G1373/F1373)</f>
        <v/>
      </c>
      <c r="P1373" s="60" t="str">
        <f aca="false">IF(E1373="","",ROUND(N(G1373)*N(H1373)/60,1))</f>
        <v/>
      </c>
      <c r="Q1373" s="57" t="str">
        <f aca="false">IF(E1373="","",IF(COUNTIFS($C$2:C1373,C1373,$E$2:E1373,E1373,$B$2:B1373,B1373)&gt;1,"No","Yes"))</f>
        <v/>
      </c>
      <c r="R1373" s="61" t="str">
        <f aca="false">IF(E1373="","",IF(Q1373="No","Duplicate of an earlier response",IF(L1373="Not on SITES","Site not on SITES",IF(N(G1373)&gt;N(F1373),"Present is more than enrolled",IF(OR(I1373&lt;1,I1373&gt;5),"Score outside 1 to 5","")))))</f>
        <v/>
      </c>
    </row>
    <row r="1374" customFormat="false" ht="15" hidden="false" customHeight="false" outlineLevel="0" collapsed="false">
      <c r="A1374" s="52"/>
      <c r="B1374" s="53"/>
      <c r="C1374" s="53"/>
      <c r="D1374" s="53"/>
      <c r="E1374" s="54"/>
      <c r="F1374" s="55"/>
      <c r="G1374" s="55"/>
      <c r="H1374" s="55"/>
      <c r="I1374" s="56"/>
      <c r="J1374" s="53"/>
      <c r="K1374" s="53"/>
      <c r="L1374" s="57" t="str">
        <f aca="false">IF(C1374="","",IFERROR(INDEX(site_ID,MATCH(C1374,site_Name,0)),"Not on SITES"))</f>
        <v/>
      </c>
      <c r="M1374" s="58" t="str">
        <f aca="false">IF(E1374="","",DATE(YEAR(E1374),MONTH(E1374),1))</f>
        <v/>
      </c>
      <c r="N1374" s="57" t="str">
        <f aca="false">IF(E1374="","","FY"&amp;(YEAR(E1374)+IF(AND(FYStart&gt;1,MONTH(E1374)&gt;=FYStart),1,0))&amp;" Q"&amp;(INT(MOD(MONTH(E1374)-FYStart,12)/3)+1))</f>
        <v/>
      </c>
      <c r="O1374" s="59" t="str">
        <f aca="false">IF(OR(E1374="",N(F1374)=0),"",G1374/F1374)</f>
        <v/>
      </c>
      <c r="P1374" s="60" t="str">
        <f aca="false">IF(E1374="","",ROUND(N(G1374)*N(H1374)/60,1))</f>
        <v/>
      </c>
      <c r="Q1374" s="57" t="str">
        <f aca="false">IF(E1374="","",IF(COUNTIFS($C$2:C1374,C1374,$E$2:E1374,E1374,$B$2:B1374,B1374)&gt;1,"No","Yes"))</f>
        <v/>
      </c>
      <c r="R1374" s="61" t="str">
        <f aca="false">IF(E1374="","",IF(Q1374="No","Duplicate of an earlier response",IF(L1374="Not on SITES","Site not on SITES",IF(N(G1374)&gt;N(F1374),"Present is more than enrolled",IF(OR(I1374&lt;1,I1374&gt;5),"Score outside 1 to 5","")))))</f>
        <v/>
      </c>
    </row>
    <row r="1375" customFormat="false" ht="15" hidden="false" customHeight="false" outlineLevel="0" collapsed="false">
      <c r="A1375" s="52"/>
      <c r="B1375" s="53"/>
      <c r="C1375" s="53"/>
      <c r="D1375" s="53"/>
      <c r="E1375" s="54"/>
      <c r="F1375" s="55"/>
      <c r="G1375" s="55"/>
      <c r="H1375" s="55"/>
      <c r="I1375" s="56"/>
      <c r="J1375" s="53"/>
      <c r="K1375" s="53"/>
      <c r="L1375" s="57" t="str">
        <f aca="false">IF(C1375="","",IFERROR(INDEX(site_ID,MATCH(C1375,site_Name,0)),"Not on SITES"))</f>
        <v/>
      </c>
      <c r="M1375" s="58" t="str">
        <f aca="false">IF(E1375="","",DATE(YEAR(E1375),MONTH(E1375),1))</f>
        <v/>
      </c>
      <c r="N1375" s="57" t="str">
        <f aca="false">IF(E1375="","","FY"&amp;(YEAR(E1375)+IF(AND(FYStart&gt;1,MONTH(E1375)&gt;=FYStart),1,0))&amp;" Q"&amp;(INT(MOD(MONTH(E1375)-FYStart,12)/3)+1))</f>
        <v/>
      </c>
      <c r="O1375" s="59" t="str">
        <f aca="false">IF(OR(E1375="",N(F1375)=0),"",G1375/F1375)</f>
        <v/>
      </c>
      <c r="P1375" s="60" t="str">
        <f aca="false">IF(E1375="","",ROUND(N(G1375)*N(H1375)/60,1))</f>
        <v/>
      </c>
      <c r="Q1375" s="57" t="str">
        <f aca="false">IF(E1375="","",IF(COUNTIFS($C$2:C1375,C1375,$E$2:E1375,E1375,$B$2:B1375,B1375)&gt;1,"No","Yes"))</f>
        <v/>
      </c>
      <c r="R1375" s="61" t="str">
        <f aca="false">IF(E1375="","",IF(Q1375="No","Duplicate of an earlier response",IF(L1375="Not on SITES","Site not on SITES",IF(N(G1375)&gt;N(F1375),"Present is more than enrolled",IF(OR(I1375&lt;1,I1375&gt;5),"Score outside 1 to 5","")))))</f>
        <v/>
      </c>
    </row>
    <row r="1376" customFormat="false" ht="15" hidden="false" customHeight="false" outlineLevel="0" collapsed="false">
      <c r="A1376" s="52"/>
      <c r="B1376" s="53"/>
      <c r="C1376" s="53"/>
      <c r="D1376" s="53"/>
      <c r="E1376" s="54"/>
      <c r="F1376" s="55"/>
      <c r="G1376" s="55"/>
      <c r="H1376" s="55"/>
      <c r="I1376" s="56"/>
      <c r="J1376" s="53"/>
      <c r="K1376" s="53"/>
      <c r="L1376" s="57" t="str">
        <f aca="false">IF(C1376="","",IFERROR(INDEX(site_ID,MATCH(C1376,site_Name,0)),"Not on SITES"))</f>
        <v/>
      </c>
      <c r="M1376" s="58" t="str">
        <f aca="false">IF(E1376="","",DATE(YEAR(E1376),MONTH(E1376),1))</f>
        <v/>
      </c>
      <c r="N1376" s="57" t="str">
        <f aca="false">IF(E1376="","","FY"&amp;(YEAR(E1376)+IF(AND(FYStart&gt;1,MONTH(E1376)&gt;=FYStart),1,0))&amp;" Q"&amp;(INT(MOD(MONTH(E1376)-FYStart,12)/3)+1))</f>
        <v/>
      </c>
      <c r="O1376" s="59" t="str">
        <f aca="false">IF(OR(E1376="",N(F1376)=0),"",G1376/F1376)</f>
        <v/>
      </c>
      <c r="P1376" s="60" t="str">
        <f aca="false">IF(E1376="","",ROUND(N(G1376)*N(H1376)/60,1))</f>
        <v/>
      </c>
      <c r="Q1376" s="57" t="str">
        <f aca="false">IF(E1376="","",IF(COUNTIFS($C$2:C1376,C1376,$E$2:E1376,E1376,$B$2:B1376,B1376)&gt;1,"No","Yes"))</f>
        <v/>
      </c>
      <c r="R1376" s="61" t="str">
        <f aca="false">IF(E1376="","",IF(Q1376="No","Duplicate of an earlier response",IF(L1376="Not on SITES","Site not on SITES",IF(N(G1376)&gt;N(F1376),"Present is more than enrolled",IF(OR(I1376&lt;1,I1376&gt;5),"Score outside 1 to 5","")))))</f>
        <v/>
      </c>
    </row>
    <row r="1377" customFormat="false" ht="15" hidden="false" customHeight="false" outlineLevel="0" collapsed="false">
      <c r="A1377" s="52"/>
      <c r="B1377" s="53"/>
      <c r="C1377" s="53"/>
      <c r="D1377" s="53"/>
      <c r="E1377" s="54"/>
      <c r="F1377" s="55"/>
      <c r="G1377" s="55"/>
      <c r="H1377" s="55"/>
      <c r="I1377" s="56"/>
      <c r="J1377" s="53"/>
      <c r="K1377" s="53"/>
      <c r="L1377" s="57" t="str">
        <f aca="false">IF(C1377="","",IFERROR(INDEX(site_ID,MATCH(C1377,site_Name,0)),"Not on SITES"))</f>
        <v/>
      </c>
      <c r="M1377" s="58" t="str">
        <f aca="false">IF(E1377="","",DATE(YEAR(E1377),MONTH(E1377),1))</f>
        <v/>
      </c>
      <c r="N1377" s="57" t="str">
        <f aca="false">IF(E1377="","","FY"&amp;(YEAR(E1377)+IF(AND(FYStart&gt;1,MONTH(E1377)&gt;=FYStart),1,0))&amp;" Q"&amp;(INT(MOD(MONTH(E1377)-FYStart,12)/3)+1))</f>
        <v/>
      </c>
      <c r="O1377" s="59" t="str">
        <f aca="false">IF(OR(E1377="",N(F1377)=0),"",G1377/F1377)</f>
        <v/>
      </c>
      <c r="P1377" s="60" t="str">
        <f aca="false">IF(E1377="","",ROUND(N(G1377)*N(H1377)/60,1))</f>
        <v/>
      </c>
      <c r="Q1377" s="57" t="str">
        <f aca="false">IF(E1377="","",IF(COUNTIFS($C$2:C1377,C1377,$E$2:E1377,E1377,$B$2:B1377,B1377)&gt;1,"No","Yes"))</f>
        <v/>
      </c>
      <c r="R1377" s="61" t="str">
        <f aca="false">IF(E1377="","",IF(Q1377="No","Duplicate of an earlier response",IF(L1377="Not on SITES","Site not on SITES",IF(N(G1377)&gt;N(F1377),"Present is more than enrolled",IF(OR(I1377&lt;1,I1377&gt;5),"Score outside 1 to 5","")))))</f>
        <v/>
      </c>
    </row>
    <row r="1378" customFormat="false" ht="15" hidden="false" customHeight="false" outlineLevel="0" collapsed="false">
      <c r="A1378" s="52"/>
      <c r="B1378" s="53"/>
      <c r="C1378" s="53"/>
      <c r="D1378" s="53"/>
      <c r="E1378" s="54"/>
      <c r="F1378" s="55"/>
      <c r="G1378" s="55"/>
      <c r="H1378" s="55"/>
      <c r="I1378" s="56"/>
      <c r="J1378" s="53"/>
      <c r="K1378" s="53"/>
      <c r="L1378" s="57" t="str">
        <f aca="false">IF(C1378="","",IFERROR(INDEX(site_ID,MATCH(C1378,site_Name,0)),"Not on SITES"))</f>
        <v/>
      </c>
      <c r="M1378" s="58" t="str">
        <f aca="false">IF(E1378="","",DATE(YEAR(E1378),MONTH(E1378),1))</f>
        <v/>
      </c>
      <c r="N1378" s="57" t="str">
        <f aca="false">IF(E1378="","","FY"&amp;(YEAR(E1378)+IF(AND(FYStart&gt;1,MONTH(E1378)&gt;=FYStart),1,0))&amp;" Q"&amp;(INT(MOD(MONTH(E1378)-FYStart,12)/3)+1))</f>
        <v/>
      </c>
      <c r="O1378" s="59" t="str">
        <f aca="false">IF(OR(E1378="",N(F1378)=0),"",G1378/F1378)</f>
        <v/>
      </c>
      <c r="P1378" s="60" t="str">
        <f aca="false">IF(E1378="","",ROUND(N(G1378)*N(H1378)/60,1))</f>
        <v/>
      </c>
      <c r="Q1378" s="57" t="str">
        <f aca="false">IF(E1378="","",IF(COUNTIFS($C$2:C1378,C1378,$E$2:E1378,E1378,$B$2:B1378,B1378)&gt;1,"No","Yes"))</f>
        <v/>
      </c>
      <c r="R1378" s="61" t="str">
        <f aca="false">IF(E1378="","",IF(Q1378="No","Duplicate of an earlier response",IF(L1378="Not on SITES","Site not on SITES",IF(N(G1378)&gt;N(F1378),"Present is more than enrolled",IF(OR(I1378&lt;1,I1378&gt;5),"Score outside 1 to 5","")))))</f>
        <v/>
      </c>
    </row>
    <row r="1379" customFormat="false" ht="15" hidden="false" customHeight="false" outlineLevel="0" collapsed="false">
      <c r="A1379" s="52"/>
      <c r="B1379" s="53"/>
      <c r="C1379" s="53"/>
      <c r="D1379" s="53"/>
      <c r="E1379" s="54"/>
      <c r="F1379" s="55"/>
      <c r="G1379" s="55"/>
      <c r="H1379" s="55"/>
      <c r="I1379" s="56"/>
      <c r="J1379" s="53"/>
      <c r="K1379" s="53"/>
      <c r="L1379" s="57" t="str">
        <f aca="false">IF(C1379="","",IFERROR(INDEX(site_ID,MATCH(C1379,site_Name,0)),"Not on SITES"))</f>
        <v/>
      </c>
      <c r="M1379" s="58" t="str">
        <f aca="false">IF(E1379="","",DATE(YEAR(E1379),MONTH(E1379),1))</f>
        <v/>
      </c>
      <c r="N1379" s="57" t="str">
        <f aca="false">IF(E1379="","","FY"&amp;(YEAR(E1379)+IF(AND(FYStart&gt;1,MONTH(E1379)&gt;=FYStart),1,0))&amp;" Q"&amp;(INT(MOD(MONTH(E1379)-FYStart,12)/3)+1))</f>
        <v/>
      </c>
      <c r="O1379" s="59" t="str">
        <f aca="false">IF(OR(E1379="",N(F1379)=0),"",G1379/F1379)</f>
        <v/>
      </c>
      <c r="P1379" s="60" t="str">
        <f aca="false">IF(E1379="","",ROUND(N(G1379)*N(H1379)/60,1))</f>
        <v/>
      </c>
      <c r="Q1379" s="57" t="str">
        <f aca="false">IF(E1379="","",IF(COUNTIFS($C$2:C1379,C1379,$E$2:E1379,E1379,$B$2:B1379,B1379)&gt;1,"No","Yes"))</f>
        <v/>
      </c>
      <c r="R1379" s="61" t="str">
        <f aca="false">IF(E1379="","",IF(Q1379="No","Duplicate of an earlier response",IF(L1379="Not on SITES","Site not on SITES",IF(N(G1379)&gt;N(F1379),"Present is more than enrolled",IF(OR(I1379&lt;1,I1379&gt;5),"Score outside 1 to 5","")))))</f>
        <v/>
      </c>
    </row>
    <row r="1380" customFormat="false" ht="15" hidden="false" customHeight="false" outlineLevel="0" collapsed="false">
      <c r="A1380" s="52"/>
      <c r="B1380" s="53"/>
      <c r="C1380" s="53"/>
      <c r="D1380" s="53"/>
      <c r="E1380" s="54"/>
      <c r="F1380" s="55"/>
      <c r="G1380" s="55"/>
      <c r="H1380" s="55"/>
      <c r="I1380" s="56"/>
      <c r="J1380" s="53"/>
      <c r="K1380" s="53"/>
      <c r="L1380" s="57" t="str">
        <f aca="false">IF(C1380="","",IFERROR(INDEX(site_ID,MATCH(C1380,site_Name,0)),"Not on SITES"))</f>
        <v/>
      </c>
      <c r="M1380" s="58" t="str">
        <f aca="false">IF(E1380="","",DATE(YEAR(E1380),MONTH(E1380),1))</f>
        <v/>
      </c>
      <c r="N1380" s="57" t="str">
        <f aca="false">IF(E1380="","","FY"&amp;(YEAR(E1380)+IF(AND(FYStart&gt;1,MONTH(E1380)&gt;=FYStart),1,0))&amp;" Q"&amp;(INT(MOD(MONTH(E1380)-FYStart,12)/3)+1))</f>
        <v/>
      </c>
      <c r="O1380" s="59" t="str">
        <f aca="false">IF(OR(E1380="",N(F1380)=0),"",G1380/F1380)</f>
        <v/>
      </c>
      <c r="P1380" s="60" t="str">
        <f aca="false">IF(E1380="","",ROUND(N(G1380)*N(H1380)/60,1))</f>
        <v/>
      </c>
      <c r="Q1380" s="57" t="str">
        <f aca="false">IF(E1380="","",IF(COUNTIFS($C$2:C1380,C1380,$E$2:E1380,E1380,$B$2:B1380,B1380)&gt;1,"No","Yes"))</f>
        <v/>
      </c>
      <c r="R1380" s="61" t="str">
        <f aca="false">IF(E1380="","",IF(Q1380="No","Duplicate of an earlier response",IF(L1380="Not on SITES","Site not on SITES",IF(N(G1380)&gt;N(F1380),"Present is more than enrolled",IF(OR(I1380&lt;1,I1380&gt;5),"Score outside 1 to 5","")))))</f>
        <v/>
      </c>
    </row>
    <row r="1381" customFormat="false" ht="15" hidden="false" customHeight="false" outlineLevel="0" collapsed="false">
      <c r="A1381" s="52"/>
      <c r="B1381" s="53"/>
      <c r="C1381" s="53"/>
      <c r="D1381" s="53"/>
      <c r="E1381" s="54"/>
      <c r="F1381" s="55"/>
      <c r="G1381" s="55"/>
      <c r="H1381" s="55"/>
      <c r="I1381" s="56"/>
      <c r="J1381" s="53"/>
      <c r="K1381" s="53"/>
      <c r="L1381" s="57" t="str">
        <f aca="false">IF(C1381="","",IFERROR(INDEX(site_ID,MATCH(C1381,site_Name,0)),"Not on SITES"))</f>
        <v/>
      </c>
      <c r="M1381" s="58" t="str">
        <f aca="false">IF(E1381="","",DATE(YEAR(E1381),MONTH(E1381),1))</f>
        <v/>
      </c>
      <c r="N1381" s="57" t="str">
        <f aca="false">IF(E1381="","","FY"&amp;(YEAR(E1381)+IF(AND(FYStart&gt;1,MONTH(E1381)&gt;=FYStart),1,0))&amp;" Q"&amp;(INT(MOD(MONTH(E1381)-FYStart,12)/3)+1))</f>
        <v/>
      </c>
      <c r="O1381" s="59" t="str">
        <f aca="false">IF(OR(E1381="",N(F1381)=0),"",G1381/F1381)</f>
        <v/>
      </c>
      <c r="P1381" s="60" t="str">
        <f aca="false">IF(E1381="","",ROUND(N(G1381)*N(H1381)/60,1))</f>
        <v/>
      </c>
      <c r="Q1381" s="57" t="str">
        <f aca="false">IF(E1381="","",IF(COUNTIFS($C$2:C1381,C1381,$E$2:E1381,E1381,$B$2:B1381,B1381)&gt;1,"No","Yes"))</f>
        <v/>
      </c>
      <c r="R1381" s="61" t="str">
        <f aca="false">IF(E1381="","",IF(Q1381="No","Duplicate of an earlier response",IF(L1381="Not on SITES","Site not on SITES",IF(N(G1381)&gt;N(F1381),"Present is more than enrolled",IF(OR(I1381&lt;1,I1381&gt;5),"Score outside 1 to 5","")))))</f>
        <v/>
      </c>
    </row>
    <row r="1382" customFormat="false" ht="15" hidden="false" customHeight="false" outlineLevel="0" collapsed="false">
      <c r="A1382" s="52"/>
      <c r="B1382" s="53"/>
      <c r="C1382" s="53"/>
      <c r="D1382" s="53"/>
      <c r="E1382" s="54"/>
      <c r="F1382" s="55"/>
      <c r="G1382" s="55"/>
      <c r="H1382" s="55"/>
      <c r="I1382" s="56"/>
      <c r="J1382" s="53"/>
      <c r="K1382" s="53"/>
      <c r="L1382" s="57" t="str">
        <f aca="false">IF(C1382="","",IFERROR(INDEX(site_ID,MATCH(C1382,site_Name,0)),"Not on SITES"))</f>
        <v/>
      </c>
      <c r="M1382" s="58" t="str">
        <f aca="false">IF(E1382="","",DATE(YEAR(E1382),MONTH(E1382),1))</f>
        <v/>
      </c>
      <c r="N1382" s="57" t="str">
        <f aca="false">IF(E1382="","","FY"&amp;(YEAR(E1382)+IF(AND(FYStart&gt;1,MONTH(E1382)&gt;=FYStart),1,0))&amp;" Q"&amp;(INT(MOD(MONTH(E1382)-FYStart,12)/3)+1))</f>
        <v/>
      </c>
      <c r="O1382" s="59" t="str">
        <f aca="false">IF(OR(E1382="",N(F1382)=0),"",G1382/F1382)</f>
        <v/>
      </c>
      <c r="P1382" s="60" t="str">
        <f aca="false">IF(E1382="","",ROUND(N(G1382)*N(H1382)/60,1))</f>
        <v/>
      </c>
      <c r="Q1382" s="57" t="str">
        <f aca="false">IF(E1382="","",IF(COUNTIFS($C$2:C1382,C1382,$E$2:E1382,E1382,$B$2:B1382,B1382)&gt;1,"No","Yes"))</f>
        <v/>
      </c>
      <c r="R1382" s="61" t="str">
        <f aca="false">IF(E1382="","",IF(Q1382="No","Duplicate of an earlier response",IF(L1382="Not on SITES","Site not on SITES",IF(N(G1382)&gt;N(F1382),"Present is more than enrolled",IF(OR(I1382&lt;1,I1382&gt;5),"Score outside 1 to 5","")))))</f>
        <v/>
      </c>
    </row>
    <row r="1383" customFormat="false" ht="15" hidden="false" customHeight="false" outlineLevel="0" collapsed="false">
      <c r="A1383" s="52"/>
      <c r="B1383" s="53"/>
      <c r="C1383" s="53"/>
      <c r="D1383" s="53"/>
      <c r="E1383" s="54"/>
      <c r="F1383" s="55"/>
      <c r="G1383" s="55"/>
      <c r="H1383" s="55"/>
      <c r="I1383" s="56"/>
      <c r="J1383" s="53"/>
      <c r="K1383" s="53"/>
      <c r="L1383" s="57" t="str">
        <f aca="false">IF(C1383="","",IFERROR(INDEX(site_ID,MATCH(C1383,site_Name,0)),"Not on SITES"))</f>
        <v/>
      </c>
      <c r="M1383" s="58" t="str">
        <f aca="false">IF(E1383="","",DATE(YEAR(E1383),MONTH(E1383),1))</f>
        <v/>
      </c>
      <c r="N1383" s="57" t="str">
        <f aca="false">IF(E1383="","","FY"&amp;(YEAR(E1383)+IF(AND(FYStart&gt;1,MONTH(E1383)&gt;=FYStart),1,0))&amp;" Q"&amp;(INT(MOD(MONTH(E1383)-FYStart,12)/3)+1))</f>
        <v/>
      </c>
      <c r="O1383" s="59" t="str">
        <f aca="false">IF(OR(E1383="",N(F1383)=0),"",G1383/F1383)</f>
        <v/>
      </c>
      <c r="P1383" s="60" t="str">
        <f aca="false">IF(E1383="","",ROUND(N(G1383)*N(H1383)/60,1))</f>
        <v/>
      </c>
      <c r="Q1383" s="57" t="str">
        <f aca="false">IF(E1383="","",IF(COUNTIFS($C$2:C1383,C1383,$E$2:E1383,E1383,$B$2:B1383,B1383)&gt;1,"No","Yes"))</f>
        <v/>
      </c>
      <c r="R1383" s="61" t="str">
        <f aca="false">IF(E1383="","",IF(Q1383="No","Duplicate of an earlier response",IF(L1383="Not on SITES","Site not on SITES",IF(N(G1383)&gt;N(F1383),"Present is more than enrolled",IF(OR(I1383&lt;1,I1383&gt;5),"Score outside 1 to 5","")))))</f>
        <v/>
      </c>
    </row>
    <row r="1384" customFormat="false" ht="15" hidden="false" customHeight="false" outlineLevel="0" collapsed="false">
      <c r="A1384" s="52"/>
      <c r="B1384" s="53"/>
      <c r="C1384" s="53"/>
      <c r="D1384" s="53"/>
      <c r="E1384" s="54"/>
      <c r="F1384" s="55"/>
      <c r="G1384" s="55"/>
      <c r="H1384" s="55"/>
      <c r="I1384" s="56"/>
      <c r="J1384" s="53"/>
      <c r="K1384" s="53"/>
      <c r="L1384" s="57" t="str">
        <f aca="false">IF(C1384="","",IFERROR(INDEX(site_ID,MATCH(C1384,site_Name,0)),"Not on SITES"))</f>
        <v/>
      </c>
      <c r="M1384" s="58" t="str">
        <f aca="false">IF(E1384="","",DATE(YEAR(E1384),MONTH(E1384),1))</f>
        <v/>
      </c>
      <c r="N1384" s="57" t="str">
        <f aca="false">IF(E1384="","","FY"&amp;(YEAR(E1384)+IF(AND(FYStart&gt;1,MONTH(E1384)&gt;=FYStart),1,0))&amp;" Q"&amp;(INT(MOD(MONTH(E1384)-FYStart,12)/3)+1))</f>
        <v/>
      </c>
      <c r="O1384" s="59" t="str">
        <f aca="false">IF(OR(E1384="",N(F1384)=0),"",G1384/F1384)</f>
        <v/>
      </c>
      <c r="P1384" s="60" t="str">
        <f aca="false">IF(E1384="","",ROUND(N(G1384)*N(H1384)/60,1))</f>
        <v/>
      </c>
      <c r="Q1384" s="57" t="str">
        <f aca="false">IF(E1384="","",IF(COUNTIFS($C$2:C1384,C1384,$E$2:E1384,E1384,$B$2:B1384,B1384)&gt;1,"No","Yes"))</f>
        <v/>
      </c>
      <c r="R1384" s="61" t="str">
        <f aca="false">IF(E1384="","",IF(Q1384="No","Duplicate of an earlier response",IF(L1384="Not on SITES","Site not on SITES",IF(N(G1384)&gt;N(F1384),"Present is more than enrolled",IF(OR(I1384&lt;1,I1384&gt;5),"Score outside 1 to 5","")))))</f>
        <v/>
      </c>
    </row>
    <row r="1385" customFormat="false" ht="15" hidden="false" customHeight="false" outlineLevel="0" collapsed="false">
      <c r="A1385" s="52"/>
      <c r="B1385" s="53"/>
      <c r="C1385" s="53"/>
      <c r="D1385" s="53"/>
      <c r="E1385" s="54"/>
      <c r="F1385" s="55"/>
      <c r="G1385" s="55"/>
      <c r="H1385" s="55"/>
      <c r="I1385" s="56"/>
      <c r="J1385" s="53"/>
      <c r="K1385" s="53"/>
      <c r="L1385" s="57" t="str">
        <f aca="false">IF(C1385="","",IFERROR(INDEX(site_ID,MATCH(C1385,site_Name,0)),"Not on SITES"))</f>
        <v/>
      </c>
      <c r="M1385" s="58" t="str">
        <f aca="false">IF(E1385="","",DATE(YEAR(E1385),MONTH(E1385),1))</f>
        <v/>
      </c>
      <c r="N1385" s="57" t="str">
        <f aca="false">IF(E1385="","","FY"&amp;(YEAR(E1385)+IF(AND(FYStart&gt;1,MONTH(E1385)&gt;=FYStart),1,0))&amp;" Q"&amp;(INT(MOD(MONTH(E1385)-FYStart,12)/3)+1))</f>
        <v/>
      </c>
      <c r="O1385" s="59" t="str">
        <f aca="false">IF(OR(E1385="",N(F1385)=0),"",G1385/F1385)</f>
        <v/>
      </c>
      <c r="P1385" s="60" t="str">
        <f aca="false">IF(E1385="","",ROUND(N(G1385)*N(H1385)/60,1))</f>
        <v/>
      </c>
      <c r="Q1385" s="57" t="str">
        <f aca="false">IF(E1385="","",IF(COUNTIFS($C$2:C1385,C1385,$E$2:E1385,E1385,$B$2:B1385,B1385)&gt;1,"No","Yes"))</f>
        <v/>
      </c>
      <c r="R1385" s="61" t="str">
        <f aca="false">IF(E1385="","",IF(Q1385="No","Duplicate of an earlier response",IF(L1385="Not on SITES","Site not on SITES",IF(N(G1385)&gt;N(F1385),"Present is more than enrolled",IF(OR(I1385&lt;1,I1385&gt;5),"Score outside 1 to 5","")))))</f>
        <v/>
      </c>
    </row>
    <row r="1386" customFormat="false" ht="15" hidden="false" customHeight="false" outlineLevel="0" collapsed="false">
      <c r="A1386" s="52"/>
      <c r="B1386" s="53"/>
      <c r="C1386" s="53"/>
      <c r="D1386" s="53"/>
      <c r="E1386" s="54"/>
      <c r="F1386" s="55"/>
      <c r="G1386" s="55"/>
      <c r="H1386" s="55"/>
      <c r="I1386" s="56"/>
      <c r="J1386" s="53"/>
      <c r="K1386" s="53"/>
      <c r="L1386" s="57" t="str">
        <f aca="false">IF(C1386="","",IFERROR(INDEX(site_ID,MATCH(C1386,site_Name,0)),"Not on SITES"))</f>
        <v/>
      </c>
      <c r="M1386" s="58" t="str">
        <f aca="false">IF(E1386="","",DATE(YEAR(E1386),MONTH(E1386),1))</f>
        <v/>
      </c>
      <c r="N1386" s="57" t="str">
        <f aca="false">IF(E1386="","","FY"&amp;(YEAR(E1386)+IF(AND(FYStart&gt;1,MONTH(E1386)&gt;=FYStart),1,0))&amp;" Q"&amp;(INT(MOD(MONTH(E1386)-FYStart,12)/3)+1))</f>
        <v/>
      </c>
      <c r="O1386" s="59" t="str">
        <f aca="false">IF(OR(E1386="",N(F1386)=0),"",G1386/F1386)</f>
        <v/>
      </c>
      <c r="P1386" s="60" t="str">
        <f aca="false">IF(E1386="","",ROUND(N(G1386)*N(H1386)/60,1))</f>
        <v/>
      </c>
      <c r="Q1386" s="57" t="str">
        <f aca="false">IF(E1386="","",IF(COUNTIFS($C$2:C1386,C1386,$E$2:E1386,E1386,$B$2:B1386,B1386)&gt;1,"No","Yes"))</f>
        <v/>
      </c>
      <c r="R1386" s="61" t="str">
        <f aca="false">IF(E1386="","",IF(Q1386="No","Duplicate of an earlier response",IF(L1386="Not on SITES","Site not on SITES",IF(N(G1386)&gt;N(F1386),"Present is more than enrolled",IF(OR(I1386&lt;1,I1386&gt;5),"Score outside 1 to 5","")))))</f>
        <v/>
      </c>
    </row>
    <row r="1387" customFormat="false" ht="15" hidden="false" customHeight="false" outlineLevel="0" collapsed="false">
      <c r="A1387" s="52"/>
      <c r="B1387" s="53"/>
      <c r="C1387" s="53"/>
      <c r="D1387" s="53"/>
      <c r="E1387" s="54"/>
      <c r="F1387" s="55"/>
      <c r="G1387" s="55"/>
      <c r="H1387" s="55"/>
      <c r="I1387" s="56"/>
      <c r="J1387" s="53"/>
      <c r="K1387" s="53"/>
      <c r="L1387" s="57" t="str">
        <f aca="false">IF(C1387="","",IFERROR(INDEX(site_ID,MATCH(C1387,site_Name,0)),"Not on SITES"))</f>
        <v/>
      </c>
      <c r="M1387" s="58" t="str">
        <f aca="false">IF(E1387="","",DATE(YEAR(E1387),MONTH(E1387),1))</f>
        <v/>
      </c>
      <c r="N1387" s="57" t="str">
        <f aca="false">IF(E1387="","","FY"&amp;(YEAR(E1387)+IF(AND(FYStart&gt;1,MONTH(E1387)&gt;=FYStart),1,0))&amp;" Q"&amp;(INT(MOD(MONTH(E1387)-FYStart,12)/3)+1))</f>
        <v/>
      </c>
      <c r="O1387" s="59" t="str">
        <f aca="false">IF(OR(E1387="",N(F1387)=0),"",G1387/F1387)</f>
        <v/>
      </c>
      <c r="P1387" s="60" t="str">
        <f aca="false">IF(E1387="","",ROUND(N(G1387)*N(H1387)/60,1))</f>
        <v/>
      </c>
      <c r="Q1387" s="57" t="str">
        <f aca="false">IF(E1387="","",IF(COUNTIFS($C$2:C1387,C1387,$E$2:E1387,E1387,$B$2:B1387,B1387)&gt;1,"No","Yes"))</f>
        <v/>
      </c>
      <c r="R1387" s="61" t="str">
        <f aca="false">IF(E1387="","",IF(Q1387="No","Duplicate of an earlier response",IF(L1387="Not on SITES","Site not on SITES",IF(N(G1387)&gt;N(F1387),"Present is more than enrolled",IF(OR(I1387&lt;1,I1387&gt;5),"Score outside 1 to 5","")))))</f>
        <v/>
      </c>
    </row>
    <row r="1388" customFormat="false" ht="15" hidden="false" customHeight="false" outlineLevel="0" collapsed="false">
      <c r="A1388" s="52"/>
      <c r="B1388" s="53"/>
      <c r="C1388" s="53"/>
      <c r="D1388" s="53"/>
      <c r="E1388" s="54"/>
      <c r="F1388" s="55"/>
      <c r="G1388" s="55"/>
      <c r="H1388" s="55"/>
      <c r="I1388" s="56"/>
      <c r="J1388" s="53"/>
      <c r="K1388" s="53"/>
      <c r="L1388" s="57" t="str">
        <f aca="false">IF(C1388="","",IFERROR(INDEX(site_ID,MATCH(C1388,site_Name,0)),"Not on SITES"))</f>
        <v/>
      </c>
      <c r="M1388" s="58" t="str">
        <f aca="false">IF(E1388="","",DATE(YEAR(E1388),MONTH(E1388),1))</f>
        <v/>
      </c>
      <c r="N1388" s="57" t="str">
        <f aca="false">IF(E1388="","","FY"&amp;(YEAR(E1388)+IF(AND(FYStart&gt;1,MONTH(E1388)&gt;=FYStart),1,0))&amp;" Q"&amp;(INT(MOD(MONTH(E1388)-FYStart,12)/3)+1))</f>
        <v/>
      </c>
      <c r="O1388" s="59" t="str">
        <f aca="false">IF(OR(E1388="",N(F1388)=0),"",G1388/F1388)</f>
        <v/>
      </c>
      <c r="P1388" s="60" t="str">
        <f aca="false">IF(E1388="","",ROUND(N(G1388)*N(H1388)/60,1))</f>
        <v/>
      </c>
      <c r="Q1388" s="57" t="str">
        <f aca="false">IF(E1388="","",IF(COUNTIFS($C$2:C1388,C1388,$E$2:E1388,E1388,$B$2:B1388,B1388)&gt;1,"No","Yes"))</f>
        <v/>
      </c>
      <c r="R1388" s="61" t="str">
        <f aca="false">IF(E1388="","",IF(Q1388="No","Duplicate of an earlier response",IF(L1388="Not on SITES","Site not on SITES",IF(N(G1388)&gt;N(F1388),"Present is more than enrolled",IF(OR(I1388&lt;1,I1388&gt;5),"Score outside 1 to 5","")))))</f>
        <v/>
      </c>
    </row>
    <row r="1389" customFormat="false" ht="15" hidden="false" customHeight="false" outlineLevel="0" collapsed="false">
      <c r="A1389" s="52"/>
      <c r="B1389" s="53"/>
      <c r="C1389" s="53"/>
      <c r="D1389" s="53"/>
      <c r="E1389" s="54"/>
      <c r="F1389" s="55"/>
      <c r="G1389" s="55"/>
      <c r="H1389" s="55"/>
      <c r="I1389" s="56"/>
      <c r="J1389" s="53"/>
      <c r="K1389" s="53"/>
      <c r="L1389" s="57" t="str">
        <f aca="false">IF(C1389="","",IFERROR(INDEX(site_ID,MATCH(C1389,site_Name,0)),"Not on SITES"))</f>
        <v/>
      </c>
      <c r="M1389" s="58" t="str">
        <f aca="false">IF(E1389="","",DATE(YEAR(E1389),MONTH(E1389),1))</f>
        <v/>
      </c>
      <c r="N1389" s="57" t="str">
        <f aca="false">IF(E1389="","","FY"&amp;(YEAR(E1389)+IF(AND(FYStart&gt;1,MONTH(E1389)&gt;=FYStart),1,0))&amp;" Q"&amp;(INT(MOD(MONTH(E1389)-FYStart,12)/3)+1))</f>
        <v/>
      </c>
      <c r="O1389" s="59" t="str">
        <f aca="false">IF(OR(E1389="",N(F1389)=0),"",G1389/F1389)</f>
        <v/>
      </c>
      <c r="P1389" s="60" t="str">
        <f aca="false">IF(E1389="","",ROUND(N(G1389)*N(H1389)/60,1))</f>
        <v/>
      </c>
      <c r="Q1389" s="57" t="str">
        <f aca="false">IF(E1389="","",IF(COUNTIFS($C$2:C1389,C1389,$E$2:E1389,E1389,$B$2:B1389,B1389)&gt;1,"No","Yes"))</f>
        <v/>
      </c>
      <c r="R1389" s="61" t="str">
        <f aca="false">IF(E1389="","",IF(Q1389="No","Duplicate of an earlier response",IF(L1389="Not on SITES","Site not on SITES",IF(N(G1389)&gt;N(F1389),"Present is more than enrolled",IF(OR(I1389&lt;1,I1389&gt;5),"Score outside 1 to 5","")))))</f>
        <v/>
      </c>
    </row>
    <row r="1390" customFormat="false" ht="15" hidden="false" customHeight="false" outlineLevel="0" collapsed="false">
      <c r="A1390" s="52"/>
      <c r="B1390" s="53"/>
      <c r="C1390" s="53"/>
      <c r="D1390" s="53"/>
      <c r="E1390" s="54"/>
      <c r="F1390" s="55"/>
      <c r="G1390" s="55"/>
      <c r="H1390" s="55"/>
      <c r="I1390" s="56"/>
      <c r="J1390" s="53"/>
      <c r="K1390" s="53"/>
      <c r="L1390" s="57" t="str">
        <f aca="false">IF(C1390="","",IFERROR(INDEX(site_ID,MATCH(C1390,site_Name,0)),"Not on SITES"))</f>
        <v/>
      </c>
      <c r="M1390" s="58" t="str">
        <f aca="false">IF(E1390="","",DATE(YEAR(E1390),MONTH(E1390),1))</f>
        <v/>
      </c>
      <c r="N1390" s="57" t="str">
        <f aca="false">IF(E1390="","","FY"&amp;(YEAR(E1390)+IF(AND(FYStart&gt;1,MONTH(E1390)&gt;=FYStart),1,0))&amp;" Q"&amp;(INT(MOD(MONTH(E1390)-FYStart,12)/3)+1))</f>
        <v/>
      </c>
      <c r="O1390" s="59" t="str">
        <f aca="false">IF(OR(E1390="",N(F1390)=0),"",G1390/F1390)</f>
        <v/>
      </c>
      <c r="P1390" s="60" t="str">
        <f aca="false">IF(E1390="","",ROUND(N(G1390)*N(H1390)/60,1))</f>
        <v/>
      </c>
      <c r="Q1390" s="57" t="str">
        <f aca="false">IF(E1390="","",IF(COUNTIFS($C$2:C1390,C1390,$E$2:E1390,E1390,$B$2:B1390,B1390)&gt;1,"No","Yes"))</f>
        <v/>
      </c>
      <c r="R1390" s="61" t="str">
        <f aca="false">IF(E1390="","",IF(Q1390="No","Duplicate of an earlier response",IF(L1390="Not on SITES","Site not on SITES",IF(N(G1390)&gt;N(F1390),"Present is more than enrolled",IF(OR(I1390&lt;1,I1390&gt;5),"Score outside 1 to 5","")))))</f>
        <v/>
      </c>
    </row>
    <row r="1391" customFormat="false" ht="15" hidden="false" customHeight="false" outlineLevel="0" collapsed="false">
      <c r="A1391" s="52"/>
      <c r="B1391" s="53"/>
      <c r="C1391" s="53"/>
      <c r="D1391" s="53"/>
      <c r="E1391" s="54"/>
      <c r="F1391" s="55"/>
      <c r="G1391" s="55"/>
      <c r="H1391" s="55"/>
      <c r="I1391" s="56"/>
      <c r="J1391" s="53"/>
      <c r="K1391" s="53"/>
      <c r="L1391" s="57" t="str">
        <f aca="false">IF(C1391="","",IFERROR(INDEX(site_ID,MATCH(C1391,site_Name,0)),"Not on SITES"))</f>
        <v/>
      </c>
      <c r="M1391" s="58" t="str">
        <f aca="false">IF(E1391="","",DATE(YEAR(E1391),MONTH(E1391),1))</f>
        <v/>
      </c>
      <c r="N1391" s="57" t="str">
        <f aca="false">IF(E1391="","","FY"&amp;(YEAR(E1391)+IF(AND(FYStart&gt;1,MONTH(E1391)&gt;=FYStart),1,0))&amp;" Q"&amp;(INT(MOD(MONTH(E1391)-FYStart,12)/3)+1))</f>
        <v/>
      </c>
      <c r="O1391" s="59" t="str">
        <f aca="false">IF(OR(E1391="",N(F1391)=0),"",G1391/F1391)</f>
        <v/>
      </c>
      <c r="P1391" s="60" t="str">
        <f aca="false">IF(E1391="","",ROUND(N(G1391)*N(H1391)/60,1))</f>
        <v/>
      </c>
      <c r="Q1391" s="57" t="str">
        <f aca="false">IF(E1391="","",IF(COUNTIFS($C$2:C1391,C1391,$E$2:E1391,E1391,$B$2:B1391,B1391)&gt;1,"No","Yes"))</f>
        <v/>
      </c>
      <c r="R1391" s="61" t="str">
        <f aca="false">IF(E1391="","",IF(Q1391="No","Duplicate of an earlier response",IF(L1391="Not on SITES","Site not on SITES",IF(N(G1391)&gt;N(F1391),"Present is more than enrolled",IF(OR(I1391&lt;1,I1391&gt;5),"Score outside 1 to 5","")))))</f>
        <v/>
      </c>
    </row>
    <row r="1392" customFormat="false" ht="15" hidden="false" customHeight="false" outlineLevel="0" collapsed="false">
      <c r="A1392" s="52"/>
      <c r="B1392" s="53"/>
      <c r="C1392" s="53"/>
      <c r="D1392" s="53"/>
      <c r="E1392" s="54"/>
      <c r="F1392" s="55"/>
      <c r="G1392" s="55"/>
      <c r="H1392" s="55"/>
      <c r="I1392" s="56"/>
      <c r="J1392" s="53"/>
      <c r="K1392" s="53"/>
      <c r="L1392" s="57" t="str">
        <f aca="false">IF(C1392="","",IFERROR(INDEX(site_ID,MATCH(C1392,site_Name,0)),"Not on SITES"))</f>
        <v/>
      </c>
      <c r="M1392" s="58" t="str">
        <f aca="false">IF(E1392="","",DATE(YEAR(E1392),MONTH(E1392),1))</f>
        <v/>
      </c>
      <c r="N1392" s="57" t="str">
        <f aca="false">IF(E1392="","","FY"&amp;(YEAR(E1392)+IF(AND(FYStart&gt;1,MONTH(E1392)&gt;=FYStart),1,0))&amp;" Q"&amp;(INT(MOD(MONTH(E1392)-FYStart,12)/3)+1))</f>
        <v/>
      </c>
      <c r="O1392" s="59" t="str">
        <f aca="false">IF(OR(E1392="",N(F1392)=0),"",G1392/F1392)</f>
        <v/>
      </c>
      <c r="P1392" s="60" t="str">
        <f aca="false">IF(E1392="","",ROUND(N(G1392)*N(H1392)/60,1))</f>
        <v/>
      </c>
      <c r="Q1392" s="57" t="str">
        <f aca="false">IF(E1392="","",IF(COUNTIFS($C$2:C1392,C1392,$E$2:E1392,E1392,$B$2:B1392,B1392)&gt;1,"No","Yes"))</f>
        <v/>
      </c>
      <c r="R1392" s="61" t="str">
        <f aca="false">IF(E1392="","",IF(Q1392="No","Duplicate of an earlier response",IF(L1392="Not on SITES","Site not on SITES",IF(N(G1392)&gt;N(F1392),"Present is more than enrolled",IF(OR(I1392&lt;1,I1392&gt;5),"Score outside 1 to 5","")))))</f>
        <v/>
      </c>
    </row>
    <row r="1393" customFormat="false" ht="15" hidden="false" customHeight="false" outlineLevel="0" collapsed="false">
      <c r="A1393" s="52"/>
      <c r="B1393" s="53"/>
      <c r="C1393" s="53"/>
      <c r="D1393" s="53"/>
      <c r="E1393" s="54"/>
      <c r="F1393" s="55"/>
      <c r="G1393" s="55"/>
      <c r="H1393" s="55"/>
      <c r="I1393" s="56"/>
      <c r="J1393" s="53"/>
      <c r="K1393" s="53"/>
      <c r="L1393" s="57" t="str">
        <f aca="false">IF(C1393="","",IFERROR(INDEX(site_ID,MATCH(C1393,site_Name,0)),"Not on SITES"))</f>
        <v/>
      </c>
      <c r="M1393" s="58" t="str">
        <f aca="false">IF(E1393="","",DATE(YEAR(E1393),MONTH(E1393),1))</f>
        <v/>
      </c>
      <c r="N1393" s="57" t="str">
        <f aca="false">IF(E1393="","","FY"&amp;(YEAR(E1393)+IF(AND(FYStart&gt;1,MONTH(E1393)&gt;=FYStart),1,0))&amp;" Q"&amp;(INT(MOD(MONTH(E1393)-FYStart,12)/3)+1))</f>
        <v/>
      </c>
      <c r="O1393" s="59" t="str">
        <f aca="false">IF(OR(E1393="",N(F1393)=0),"",G1393/F1393)</f>
        <v/>
      </c>
      <c r="P1393" s="60" t="str">
        <f aca="false">IF(E1393="","",ROUND(N(G1393)*N(H1393)/60,1))</f>
        <v/>
      </c>
      <c r="Q1393" s="57" t="str">
        <f aca="false">IF(E1393="","",IF(COUNTIFS($C$2:C1393,C1393,$E$2:E1393,E1393,$B$2:B1393,B1393)&gt;1,"No","Yes"))</f>
        <v/>
      </c>
      <c r="R1393" s="61" t="str">
        <f aca="false">IF(E1393="","",IF(Q1393="No","Duplicate of an earlier response",IF(L1393="Not on SITES","Site not on SITES",IF(N(G1393)&gt;N(F1393),"Present is more than enrolled",IF(OR(I1393&lt;1,I1393&gt;5),"Score outside 1 to 5","")))))</f>
        <v/>
      </c>
    </row>
    <row r="1394" customFormat="false" ht="15" hidden="false" customHeight="false" outlineLevel="0" collapsed="false">
      <c r="A1394" s="52"/>
      <c r="B1394" s="53"/>
      <c r="C1394" s="53"/>
      <c r="D1394" s="53"/>
      <c r="E1394" s="54"/>
      <c r="F1394" s="55"/>
      <c r="G1394" s="55"/>
      <c r="H1394" s="55"/>
      <c r="I1394" s="56"/>
      <c r="J1394" s="53"/>
      <c r="K1394" s="53"/>
      <c r="L1394" s="57" t="str">
        <f aca="false">IF(C1394="","",IFERROR(INDEX(site_ID,MATCH(C1394,site_Name,0)),"Not on SITES"))</f>
        <v/>
      </c>
      <c r="M1394" s="58" t="str">
        <f aca="false">IF(E1394="","",DATE(YEAR(E1394),MONTH(E1394),1))</f>
        <v/>
      </c>
      <c r="N1394" s="57" t="str">
        <f aca="false">IF(E1394="","","FY"&amp;(YEAR(E1394)+IF(AND(FYStart&gt;1,MONTH(E1394)&gt;=FYStart),1,0))&amp;" Q"&amp;(INT(MOD(MONTH(E1394)-FYStart,12)/3)+1))</f>
        <v/>
      </c>
      <c r="O1394" s="59" t="str">
        <f aca="false">IF(OR(E1394="",N(F1394)=0),"",G1394/F1394)</f>
        <v/>
      </c>
      <c r="P1394" s="60" t="str">
        <f aca="false">IF(E1394="","",ROUND(N(G1394)*N(H1394)/60,1))</f>
        <v/>
      </c>
      <c r="Q1394" s="57" t="str">
        <f aca="false">IF(E1394="","",IF(COUNTIFS($C$2:C1394,C1394,$E$2:E1394,E1394,$B$2:B1394,B1394)&gt;1,"No","Yes"))</f>
        <v/>
      </c>
      <c r="R1394" s="61" t="str">
        <f aca="false">IF(E1394="","",IF(Q1394="No","Duplicate of an earlier response",IF(L1394="Not on SITES","Site not on SITES",IF(N(G1394)&gt;N(F1394),"Present is more than enrolled",IF(OR(I1394&lt;1,I1394&gt;5),"Score outside 1 to 5","")))))</f>
        <v/>
      </c>
    </row>
    <row r="1395" customFormat="false" ht="15" hidden="false" customHeight="false" outlineLevel="0" collapsed="false">
      <c r="A1395" s="52"/>
      <c r="B1395" s="53"/>
      <c r="C1395" s="53"/>
      <c r="D1395" s="53"/>
      <c r="E1395" s="54"/>
      <c r="F1395" s="55"/>
      <c r="G1395" s="55"/>
      <c r="H1395" s="55"/>
      <c r="I1395" s="56"/>
      <c r="J1395" s="53"/>
      <c r="K1395" s="53"/>
      <c r="L1395" s="57" t="str">
        <f aca="false">IF(C1395="","",IFERROR(INDEX(site_ID,MATCH(C1395,site_Name,0)),"Not on SITES"))</f>
        <v/>
      </c>
      <c r="M1395" s="58" t="str">
        <f aca="false">IF(E1395="","",DATE(YEAR(E1395),MONTH(E1395),1))</f>
        <v/>
      </c>
      <c r="N1395" s="57" t="str">
        <f aca="false">IF(E1395="","","FY"&amp;(YEAR(E1395)+IF(AND(FYStart&gt;1,MONTH(E1395)&gt;=FYStart),1,0))&amp;" Q"&amp;(INT(MOD(MONTH(E1395)-FYStart,12)/3)+1))</f>
        <v/>
      </c>
      <c r="O1395" s="59" t="str">
        <f aca="false">IF(OR(E1395="",N(F1395)=0),"",G1395/F1395)</f>
        <v/>
      </c>
      <c r="P1395" s="60" t="str">
        <f aca="false">IF(E1395="","",ROUND(N(G1395)*N(H1395)/60,1))</f>
        <v/>
      </c>
      <c r="Q1395" s="57" t="str">
        <f aca="false">IF(E1395="","",IF(COUNTIFS($C$2:C1395,C1395,$E$2:E1395,E1395,$B$2:B1395,B1395)&gt;1,"No","Yes"))</f>
        <v/>
      </c>
      <c r="R1395" s="61" t="str">
        <f aca="false">IF(E1395="","",IF(Q1395="No","Duplicate of an earlier response",IF(L1395="Not on SITES","Site not on SITES",IF(N(G1395)&gt;N(F1395),"Present is more than enrolled",IF(OR(I1395&lt;1,I1395&gt;5),"Score outside 1 to 5","")))))</f>
        <v/>
      </c>
    </row>
    <row r="1396" customFormat="false" ht="15" hidden="false" customHeight="false" outlineLevel="0" collapsed="false">
      <c r="A1396" s="52"/>
      <c r="B1396" s="53"/>
      <c r="C1396" s="53"/>
      <c r="D1396" s="53"/>
      <c r="E1396" s="54"/>
      <c r="F1396" s="55"/>
      <c r="G1396" s="55"/>
      <c r="H1396" s="55"/>
      <c r="I1396" s="56"/>
      <c r="J1396" s="53"/>
      <c r="K1396" s="53"/>
      <c r="L1396" s="57" t="str">
        <f aca="false">IF(C1396="","",IFERROR(INDEX(site_ID,MATCH(C1396,site_Name,0)),"Not on SITES"))</f>
        <v/>
      </c>
      <c r="M1396" s="58" t="str">
        <f aca="false">IF(E1396="","",DATE(YEAR(E1396),MONTH(E1396),1))</f>
        <v/>
      </c>
      <c r="N1396" s="57" t="str">
        <f aca="false">IF(E1396="","","FY"&amp;(YEAR(E1396)+IF(AND(FYStart&gt;1,MONTH(E1396)&gt;=FYStart),1,0))&amp;" Q"&amp;(INT(MOD(MONTH(E1396)-FYStart,12)/3)+1))</f>
        <v/>
      </c>
      <c r="O1396" s="59" t="str">
        <f aca="false">IF(OR(E1396="",N(F1396)=0),"",G1396/F1396)</f>
        <v/>
      </c>
      <c r="P1396" s="60" t="str">
        <f aca="false">IF(E1396="","",ROUND(N(G1396)*N(H1396)/60,1))</f>
        <v/>
      </c>
      <c r="Q1396" s="57" t="str">
        <f aca="false">IF(E1396="","",IF(COUNTIFS($C$2:C1396,C1396,$E$2:E1396,E1396,$B$2:B1396,B1396)&gt;1,"No","Yes"))</f>
        <v/>
      </c>
      <c r="R1396" s="61" t="str">
        <f aca="false">IF(E1396="","",IF(Q1396="No","Duplicate of an earlier response",IF(L1396="Not on SITES","Site not on SITES",IF(N(G1396)&gt;N(F1396),"Present is more than enrolled",IF(OR(I1396&lt;1,I1396&gt;5),"Score outside 1 to 5","")))))</f>
        <v/>
      </c>
    </row>
    <row r="1397" customFormat="false" ht="15" hidden="false" customHeight="false" outlineLevel="0" collapsed="false">
      <c r="A1397" s="52"/>
      <c r="B1397" s="53"/>
      <c r="C1397" s="53"/>
      <c r="D1397" s="53"/>
      <c r="E1397" s="54"/>
      <c r="F1397" s="55"/>
      <c r="G1397" s="55"/>
      <c r="H1397" s="55"/>
      <c r="I1397" s="56"/>
      <c r="J1397" s="53"/>
      <c r="K1397" s="53"/>
      <c r="L1397" s="57" t="str">
        <f aca="false">IF(C1397="","",IFERROR(INDEX(site_ID,MATCH(C1397,site_Name,0)),"Not on SITES"))</f>
        <v/>
      </c>
      <c r="M1397" s="58" t="str">
        <f aca="false">IF(E1397="","",DATE(YEAR(E1397),MONTH(E1397),1))</f>
        <v/>
      </c>
      <c r="N1397" s="57" t="str">
        <f aca="false">IF(E1397="","","FY"&amp;(YEAR(E1397)+IF(AND(FYStart&gt;1,MONTH(E1397)&gt;=FYStart),1,0))&amp;" Q"&amp;(INT(MOD(MONTH(E1397)-FYStart,12)/3)+1))</f>
        <v/>
      </c>
      <c r="O1397" s="59" t="str">
        <f aca="false">IF(OR(E1397="",N(F1397)=0),"",G1397/F1397)</f>
        <v/>
      </c>
      <c r="P1397" s="60" t="str">
        <f aca="false">IF(E1397="","",ROUND(N(G1397)*N(H1397)/60,1))</f>
        <v/>
      </c>
      <c r="Q1397" s="57" t="str">
        <f aca="false">IF(E1397="","",IF(COUNTIFS($C$2:C1397,C1397,$E$2:E1397,E1397,$B$2:B1397,B1397)&gt;1,"No","Yes"))</f>
        <v/>
      </c>
      <c r="R1397" s="61" t="str">
        <f aca="false">IF(E1397="","",IF(Q1397="No","Duplicate of an earlier response",IF(L1397="Not on SITES","Site not on SITES",IF(N(G1397)&gt;N(F1397),"Present is more than enrolled",IF(OR(I1397&lt;1,I1397&gt;5),"Score outside 1 to 5","")))))</f>
        <v/>
      </c>
    </row>
    <row r="1398" customFormat="false" ht="15" hidden="false" customHeight="false" outlineLevel="0" collapsed="false">
      <c r="A1398" s="52"/>
      <c r="B1398" s="53"/>
      <c r="C1398" s="53"/>
      <c r="D1398" s="53"/>
      <c r="E1398" s="54"/>
      <c r="F1398" s="55"/>
      <c r="G1398" s="55"/>
      <c r="H1398" s="55"/>
      <c r="I1398" s="56"/>
      <c r="J1398" s="53"/>
      <c r="K1398" s="53"/>
      <c r="L1398" s="57" t="str">
        <f aca="false">IF(C1398="","",IFERROR(INDEX(site_ID,MATCH(C1398,site_Name,0)),"Not on SITES"))</f>
        <v/>
      </c>
      <c r="M1398" s="58" t="str">
        <f aca="false">IF(E1398="","",DATE(YEAR(E1398),MONTH(E1398),1))</f>
        <v/>
      </c>
      <c r="N1398" s="57" t="str">
        <f aca="false">IF(E1398="","","FY"&amp;(YEAR(E1398)+IF(AND(FYStart&gt;1,MONTH(E1398)&gt;=FYStart),1,0))&amp;" Q"&amp;(INT(MOD(MONTH(E1398)-FYStart,12)/3)+1))</f>
        <v/>
      </c>
      <c r="O1398" s="59" t="str">
        <f aca="false">IF(OR(E1398="",N(F1398)=0),"",G1398/F1398)</f>
        <v/>
      </c>
      <c r="P1398" s="60" t="str">
        <f aca="false">IF(E1398="","",ROUND(N(G1398)*N(H1398)/60,1))</f>
        <v/>
      </c>
      <c r="Q1398" s="57" t="str">
        <f aca="false">IF(E1398="","",IF(COUNTIFS($C$2:C1398,C1398,$E$2:E1398,E1398,$B$2:B1398,B1398)&gt;1,"No","Yes"))</f>
        <v/>
      </c>
      <c r="R1398" s="61" t="str">
        <f aca="false">IF(E1398="","",IF(Q1398="No","Duplicate of an earlier response",IF(L1398="Not on SITES","Site not on SITES",IF(N(G1398)&gt;N(F1398),"Present is more than enrolled",IF(OR(I1398&lt;1,I1398&gt;5),"Score outside 1 to 5","")))))</f>
        <v/>
      </c>
    </row>
    <row r="1399" customFormat="false" ht="15" hidden="false" customHeight="false" outlineLevel="0" collapsed="false">
      <c r="A1399" s="52"/>
      <c r="B1399" s="53"/>
      <c r="C1399" s="53"/>
      <c r="D1399" s="53"/>
      <c r="E1399" s="54"/>
      <c r="F1399" s="55"/>
      <c r="G1399" s="55"/>
      <c r="H1399" s="55"/>
      <c r="I1399" s="56"/>
      <c r="J1399" s="53"/>
      <c r="K1399" s="53"/>
      <c r="L1399" s="57" t="str">
        <f aca="false">IF(C1399="","",IFERROR(INDEX(site_ID,MATCH(C1399,site_Name,0)),"Not on SITES"))</f>
        <v/>
      </c>
      <c r="M1399" s="58" t="str">
        <f aca="false">IF(E1399="","",DATE(YEAR(E1399),MONTH(E1399),1))</f>
        <v/>
      </c>
      <c r="N1399" s="57" t="str">
        <f aca="false">IF(E1399="","","FY"&amp;(YEAR(E1399)+IF(AND(FYStart&gt;1,MONTH(E1399)&gt;=FYStart),1,0))&amp;" Q"&amp;(INT(MOD(MONTH(E1399)-FYStart,12)/3)+1))</f>
        <v/>
      </c>
      <c r="O1399" s="59" t="str">
        <f aca="false">IF(OR(E1399="",N(F1399)=0),"",G1399/F1399)</f>
        <v/>
      </c>
      <c r="P1399" s="60" t="str">
        <f aca="false">IF(E1399="","",ROUND(N(G1399)*N(H1399)/60,1))</f>
        <v/>
      </c>
      <c r="Q1399" s="57" t="str">
        <f aca="false">IF(E1399="","",IF(COUNTIFS($C$2:C1399,C1399,$E$2:E1399,E1399,$B$2:B1399,B1399)&gt;1,"No","Yes"))</f>
        <v/>
      </c>
      <c r="R1399" s="61" t="str">
        <f aca="false">IF(E1399="","",IF(Q1399="No","Duplicate of an earlier response",IF(L1399="Not on SITES","Site not on SITES",IF(N(G1399)&gt;N(F1399),"Present is more than enrolled",IF(OR(I1399&lt;1,I1399&gt;5),"Score outside 1 to 5","")))))</f>
        <v/>
      </c>
    </row>
    <row r="1400" customFormat="false" ht="15" hidden="false" customHeight="false" outlineLevel="0" collapsed="false">
      <c r="A1400" s="52"/>
      <c r="B1400" s="53"/>
      <c r="C1400" s="53"/>
      <c r="D1400" s="53"/>
      <c r="E1400" s="54"/>
      <c r="F1400" s="55"/>
      <c r="G1400" s="55"/>
      <c r="H1400" s="55"/>
      <c r="I1400" s="56"/>
      <c r="J1400" s="53"/>
      <c r="K1400" s="53"/>
      <c r="L1400" s="57" t="str">
        <f aca="false">IF(C1400="","",IFERROR(INDEX(site_ID,MATCH(C1400,site_Name,0)),"Not on SITES"))</f>
        <v/>
      </c>
      <c r="M1400" s="58" t="str">
        <f aca="false">IF(E1400="","",DATE(YEAR(E1400),MONTH(E1400),1))</f>
        <v/>
      </c>
      <c r="N1400" s="57" t="str">
        <f aca="false">IF(E1400="","","FY"&amp;(YEAR(E1400)+IF(AND(FYStart&gt;1,MONTH(E1400)&gt;=FYStart),1,0))&amp;" Q"&amp;(INT(MOD(MONTH(E1400)-FYStart,12)/3)+1))</f>
        <v/>
      </c>
      <c r="O1400" s="59" t="str">
        <f aca="false">IF(OR(E1400="",N(F1400)=0),"",G1400/F1400)</f>
        <v/>
      </c>
      <c r="P1400" s="60" t="str">
        <f aca="false">IF(E1400="","",ROUND(N(G1400)*N(H1400)/60,1))</f>
        <v/>
      </c>
      <c r="Q1400" s="57" t="str">
        <f aca="false">IF(E1400="","",IF(COUNTIFS($C$2:C1400,C1400,$E$2:E1400,E1400,$B$2:B1400,B1400)&gt;1,"No","Yes"))</f>
        <v/>
      </c>
      <c r="R1400" s="61" t="str">
        <f aca="false">IF(E1400="","",IF(Q1400="No","Duplicate of an earlier response",IF(L1400="Not on SITES","Site not on SITES",IF(N(G1400)&gt;N(F1400),"Present is more than enrolled",IF(OR(I1400&lt;1,I1400&gt;5),"Score outside 1 to 5","")))))</f>
        <v/>
      </c>
    </row>
    <row r="1401" customFormat="false" ht="15" hidden="false" customHeight="false" outlineLevel="0" collapsed="false">
      <c r="A1401" s="52"/>
      <c r="B1401" s="53"/>
      <c r="C1401" s="53"/>
      <c r="D1401" s="53"/>
      <c r="E1401" s="54"/>
      <c r="F1401" s="55"/>
      <c r="G1401" s="55"/>
      <c r="H1401" s="55"/>
      <c r="I1401" s="56"/>
      <c r="J1401" s="53"/>
      <c r="K1401" s="53"/>
      <c r="L1401" s="57" t="str">
        <f aca="false">IF(C1401="","",IFERROR(INDEX(site_ID,MATCH(C1401,site_Name,0)),"Not on SITES"))</f>
        <v/>
      </c>
      <c r="M1401" s="58" t="str">
        <f aca="false">IF(E1401="","",DATE(YEAR(E1401),MONTH(E1401),1))</f>
        <v/>
      </c>
      <c r="N1401" s="57" t="str">
        <f aca="false">IF(E1401="","","FY"&amp;(YEAR(E1401)+IF(AND(FYStart&gt;1,MONTH(E1401)&gt;=FYStart),1,0))&amp;" Q"&amp;(INT(MOD(MONTH(E1401)-FYStart,12)/3)+1))</f>
        <v/>
      </c>
      <c r="O1401" s="59" t="str">
        <f aca="false">IF(OR(E1401="",N(F1401)=0),"",G1401/F1401)</f>
        <v/>
      </c>
      <c r="P1401" s="60" t="str">
        <f aca="false">IF(E1401="","",ROUND(N(G1401)*N(H1401)/60,1))</f>
        <v/>
      </c>
      <c r="Q1401" s="57" t="str">
        <f aca="false">IF(E1401="","",IF(COUNTIFS($C$2:C1401,C1401,$E$2:E1401,E1401,$B$2:B1401,B1401)&gt;1,"No","Yes"))</f>
        <v/>
      </c>
      <c r="R1401" s="61" t="str">
        <f aca="false">IF(E1401="","",IF(Q1401="No","Duplicate of an earlier response",IF(L1401="Not on SITES","Site not on SITES",IF(N(G1401)&gt;N(F1401),"Present is more than enrolled",IF(OR(I1401&lt;1,I1401&gt;5),"Score outside 1 to 5","")))))</f>
        <v/>
      </c>
    </row>
    <row r="1402" customFormat="false" ht="15" hidden="false" customHeight="false" outlineLevel="0" collapsed="false">
      <c r="A1402" s="52"/>
      <c r="B1402" s="53"/>
      <c r="C1402" s="53"/>
      <c r="D1402" s="53"/>
      <c r="E1402" s="54"/>
      <c r="F1402" s="55"/>
      <c r="G1402" s="55"/>
      <c r="H1402" s="55"/>
      <c r="I1402" s="56"/>
      <c r="J1402" s="53"/>
      <c r="K1402" s="53"/>
      <c r="L1402" s="57" t="str">
        <f aca="false">IF(C1402="","",IFERROR(INDEX(site_ID,MATCH(C1402,site_Name,0)),"Not on SITES"))</f>
        <v/>
      </c>
      <c r="M1402" s="58" t="str">
        <f aca="false">IF(E1402="","",DATE(YEAR(E1402),MONTH(E1402),1))</f>
        <v/>
      </c>
      <c r="N1402" s="57" t="str">
        <f aca="false">IF(E1402="","","FY"&amp;(YEAR(E1402)+IF(AND(FYStart&gt;1,MONTH(E1402)&gt;=FYStart),1,0))&amp;" Q"&amp;(INT(MOD(MONTH(E1402)-FYStart,12)/3)+1))</f>
        <v/>
      </c>
      <c r="O1402" s="59" t="str">
        <f aca="false">IF(OR(E1402="",N(F1402)=0),"",G1402/F1402)</f>
        <v/>
      </c>
      <c r="P1402" s="60" t="str">
        <f aca="false">IF(E1402="","",ROUND(N(G1402)*N(H1402)/60,1))</f>
        <v/>
      </c>
      <c r="Q1402" s="57" t="str">
        <f aca="false">IF(E1402="","",IF(COUNTIFS($C$2:C1402,C1402,$E$2:E1402,E1402,$B$2:B1402,B1402)&gt;1,"No","Yes"))</f>
        <v/>
      </c>
      <c r="R1402" s="61" t="str">
        <f aca="false">IF(E1402="","",IF(Q1402="No","Duplicate of an earlier response",IF(L1402="Not on SITES","Site not on SITES",IF(N(G1402)&gt;N(F1402),"Present is more than enrolled",IF(OR(I1402&lt;1,I1402&gt;5),"Score outside 1 to 5","")))))</f>
        <v/>
      </c>
    </row>
    <row r="1403" customFormat="false" ht="15" hidden="false" customHeight="false" outlineLevel="0" collapsed="false">
      <c r="A1403" s="52"/>
      <c r="B1403" s="53"/>
      <c r="C1403" s="53"/>
      <c r="D1403" s="53"/>
      <c r="E1403" s="54"/>
      <c r="F1403" s="55"/>
      <c r="G1403" s="55"/>
      <c r="H1403" s="55"/>
      <c r="I1403" s="56"/>
      <c r="J1403" s="53"/>
      <c r="K1403" s="53"/>
      <c r="L1403" s="57" t="str">
        <f aca="false">IF(C1403="","",IFERROR(INDEX(site_ID,MATCH(C1403,site_Name,0)),"Not on SITES"))</f>
        <v/>
      </c>
      <c r="M1403" s="58" t="str">
        <f aca="false">IF(E1403="","",DATE(YEAR(E1403),MONTH(E1403),1))</f>
        <v/>
      </c>
      <c r="N1403" s="57" t="str">
        <f aca="false">IF(E1403="","","FY"&amp;(YEAR(E1403)+IF(AND(FYStart&gt;1,MONTH(E1403)&gt;=FYStart),1,0))&amp;" Q"&amp;(INT(MOD(MONTH(E1403)-FYStart,12)/3)+1))</f>
        <v/>
      </c>
      <c r="O1403" s="59" t="str">
        <f aca="false">IF(OR(E1403="",N(F1403)=0),"",G1403/F1403)</f>
        <v/>
      </c>
      <c r="P1403" s="60" t="str">
        <f aca="false">IF(E1403="","",ROUND(N(G1403)*N(H1403)/60,1))</f>
        <v/>
      </c>
      <c r="Q1403" s="57" t="str">
        <f aca="false">IF(E1403="","",IF(COUNTIFS($C$2:C1403,C1403,$E$2:E1403,E1403,$B$2:B1403,B1403)&gt;1,"No","Yes"))</f>
        <v/>
      </c>
      <c r="R1403" s="61" t="str">
        <f aca="false">IF(E1403="","",IF(Q1403="No","Duplicate of an earlier response",IF(L1403="Not on SITES","Site not on SITES",IF(N(G1403)&gt;N(F1403),"Present is more than enrolled",IF(OR(I1403&lt;1,I1403&gt;5),"Score outside 1 to 5","")))))</f>
        <v/>
      </c>
    </row>
    <row r="1404" customFormat="false" ht="15" hidden="false" customHeight="false" outlineLevel="0" collapsed="false">
      <c r="A1404" s="52"/>
      <c r="B1404" s="53"/>
      <c r="C1404" s="53"/>
      <c r="D1404" s="53"/>
      <c r="E1404" s="54"/>
      <c r="F1404" s="55"/>
      <c r="G1404" s="55"/>
      <c r="H1404" s="55"/>
      <c r="I1404" s="56"/>
      <c r="J1404" s="53"/>
      <c r="K1404" s="53"/>
      <c r="L1404" s="57" t="str">
        <f aca="false">IF(C1404="","",IFERROR(INDEX(site_ID,MATCH(C1404,site_Name,0)),"Not on SITES"))</f>
        <v/>
      </c>
      <c r="M1404" s="58" t="str">
        <f aca="false">IF(E1404="","",DATE(YEAR(E1404),MONTH(E1404),1))</f>
        <v/>
      </c>
      <c r="N1404" s="57" t="str">
        <f aca="false">IF(E1404="","","FY"&amp;(YEAR(E1404)+IF(AND(FYStart&gt;1,MONTH(E1404)&gt;=FYStart),1,0))&amp;" Q"&amp;(INT(MOD(MONTH(E1404)-FYStart,12)/3)+1))</f>
        <v/>
      </c>
      <c r="O1404" s="59" t="str">
        <f aca="false">IF(OR(E1404="",N(F1404)=0),"",G1404/F1404)</f>
        <v/>
      </c>
      <c r="P1404" s="60" t="str">
        <f aca="false">IF(E1404="","",ROUND(N(G1404)*N(H1404)/60,1))</f>
        <v/>
      </c>
      <c r="Q1404" s="57" t="str">
        <f aca="false">IF(E1404="","",IF(COUNTIFS($C$2:C1404,C1404,$E$2:E1404,E1404,$B$2:B1404,B1404)&gt;1,"No","Yes"))</f>
        <v/>
      </c>
      <c r="R1404" s="61" t="str">
        <f aca="false">IF(E1404="","",IF(Q1404="No","Duplicate of an earlier response",IF(L1404="Not on SITES","Site not on SITES",IF(N(G1404)&gt;N(F1404),"Present is more than enrolled",IF(OR(I1404&lt;1,I1404&gt;5),"Score outside 1 to 5","")))))</f>
        <v/>
      </c>
    </row>
    <row r="1405" customFormat="false" ht="15" hidden="false" customHeight="false" outlineLevel="0" collapsed="false">
      <c r="A1405" s="52"/>
      <c r="B1405" s="53"/>
      <c r="C1405" s="53"/>
      <c r="D1405" s="53"/>
      <c r="E1405" s="54"/>
      <c r="F1405" s="55"/>
      <c r="G1405" s="55"/>
      <c r="H1405" s="55"/>
      <c r="I1405" s="56"/>
      <c r="J1405" s="53"/>
      <c r="K1405" s="53"/>
      <c r="L1405" s="57" t="str">
        <f aca="false">IF(C1405="","",IFERROR(INDEX(site_ID,MATCH(C1405,site_Name,0)),"Not on SITES"))</f>
        <v/>
      </c>
      <c r="M1405" s="58" t="str">
        <f aca="false">IF(E1405="","",DATE(YEAR(E1405),MONTH(E1405),1))</f>
        <v/>
      </c>
      <c r="N1405" s="57" t="str">
        <f aca="false">IF(E1405="","","FY"&amp;(YEAR(E1405)+IF(AND(FYStart&gt;1,MONTH(E1405)&gt;=FYStart),1,0))&amp;" Q"&amp;(INT(MOD(MONTH(E1405)-FYStart,12)/3)+1))</f>
        <v/>
      </c>
      <c r="O1405" s="59" t="str">
        <f aca="false">IF(OR(E1405="",N(F1405)=0),"",G1405/F1405)</f>
        <v/>
      </c>
      <c r="P1405" s="60" t="str">
        <f aca="false">IF(E1405="","",ROUND(N(G1405)*N(H1405)/60,1))</f>
        <v/>
      </c>
      <c r="Q1405" s="57" t="str">
        <f aca="false">IF(E1405="","",IF(COUNTIFS($C$2:C1405,C1405,$E$2:E1405,E1405,$B$2:B1405,B1405)&gt;1,"No","Yes"))</f>
        <v/>
      </c>
      <c r="R1405" s="61" t="str">
        <f aca="false">IF(E1405="","",IF(Q1405="No","Duplicate of an earlier response",IF(L1405="Not on SITES","Site not on SITES",IF(N(G1405)&gt;N(F1405),"Present is more than enrolled",IF(OR(I1405&lt;1,I1405&gt;5),"Score outside 1 to 5","")))))</f>
        <v/>
      </c>
    </row>
    <row r="1406" customFormat="false" ht="15" hidden="false" customHeight="false" outlineLevel="0" collapsed="false">
      <c r="A1406" s="52"/>
      <c r="B1406" s="53"/>
      <c r="C1406" s="53"/>
      <c r="D1406" s="53"/>
      <c r="E1406" s="54"/>
      <c r="F1406" s="55"/>
      <c r="G1406" s="55"/>
      <c r="H1406" s="55"/>
      <c r="I1406" s="56"/>
      <c r="J1406" s="53"/>
      <c r="K1406" s="53"/>
      <c r="L1406" s="57" t="str">
        <f aca="false">IF(C1406="","",IFERROR(INDEX(site_ID,MATCH(C1406,site_Name,0)),"Not on SITES"))</f>
        <v/>
      </c>
      <c r="M1406" s="58" t="str">
        <f aca="false">IF(E1406="","",DATE(YEAR(E1406),MONTH(E1406),1))</f>
        <v/>
      </c>
      <c r="N1406" s="57" t="str">
        <f aca="false">IF(E1406="","","FY"&amp;(YEAR(E1406)+IF(AND(FYStart&gt;1,MONTH(E1406)&gt;=FYStart),1,0))&amp;" Q"&amp;(INT(MOD(MONTH(E1406)-FYStart,12)/3)+1))</f>
        <v/>
      </c>
      <c r="O1406" s="59" t="str">
        <f aca="false">IF(OR(E1406="",N(F1406)=0),"",G1406/F1406)</f>
        <v/>
      </c>
      <c r="P1406" s="60" t="str">
        <f aca="false">IF(E1406="","",ROUND(N(G1406)*N(H1406)/60,1))</f>
        <v/>
      </c>
      <c r="Q1406" s="57" t="str">
        <f aca="false">IF(E1406="","",IF(COUNTIFS($C$2:C1406,C1406,$E$2:E1406,E1406,$B$2:B1406,B1406)&gt;1,"No","Yes"))</f>
        <v/>
      </c>
      <c r="R1406" s="61" t="str">
        <f aca="false">IF(E1406="","",IF(Q1406="No","Duplicate of an earlier response",IF(L1406="Not on SITES","Site not on SITES",IF(N(G1406)&gt;N(F1406),"Present is more than enrolled",IF(OR(I1406&lt;1,I1406&gt;5),"Score outside 1 to 5","")))))</f>
        <v/>
      </c>
    </row>
    <row r="1407" customFormat="false" ht="15" hidden="false" customHeight="false" outlineLevel="0" collapsed="false">
      <c r="A1407" s="52"/>
      <c r="B1407" s="53"/>
      <c r="C1407" s="53"/>
      <c r="D1407" s="53"/>
      <c r="E1407" s="54"/>
      <c r="F1407" s="55"/>
      <c r="G1407" s="55"/>
      <c r="H1407" s="55"/>
      <c r="I1407" s="56"/>
      <c r="J1407" s="53"/>
      <c r="K1407" s="53"/>
      <c r="L1407" s="57" t="str">
        <f aca="false">IF(C1407="","",IFERROR(INDEX(site_ID,MATCH(C1407,site_Name,0)),"Not on SITES"))</f>
        <v/>
      </c>
      <c r="M1407" s="58" t="str">
        <f aca="false">IF(E1407="","",DATE(YEAR(E1407),MONTH(E1407),1))</f>
        <v/>
      </c>
      <c r="N1407" s="57" t="str">
        <f aca="false">IF(E1407="","","FY"&amp;(YEAR(E1407)+IF(AND(FYStart&gt;1,MONTH(E1407)&gt;=FYStart),1,0))&amp;" Q"&amp;(INT(MOD(MONTH(E1407)-FYStart,12)/3)+1))</f>
        <v/>
      </c>
      <c r="O1407" s="59" t="str">
        <f aca="false">IF(OR(E1407="",N(F1407)=0),"",G1407/F1407)</f>
        <v/>
      </c>
      <c r="P1407" s="60" t="str">
        <f aca="false">IF(E1407="","",ROUND(N(G1407)*N(H1407)/60,1))</f>
        <v/>
      </c>
      <c r="Q1407" s="57" t="str">
        <f aca="false">IF(E1407="","",IF(COUNTIFS($C$2:C1407,C1407,$E$2:E1407,E1407,$B$2:B1407,B1407)&gt;1,"No","Yes"))</f>
        <v/>
      </c>
      <c r="R1407" s="61" t="str">
        <f aca="false">IF(E1407="","",IF(Q1407="No","Duplicate of an earlier response",IF(L1407="Not on SITES","Site not on SITES",IF(N(G1407)&gt;N(F1407),"Present is more than enrolled",IF(OR(I1407&lt;1,I1407&gt;5),"Score outside 1 to 5","")))))</f>
        <v/>
      </c>
    </row>
    <row r="1408" customFormat="false" ht="15" hidden="false" customHeight="false" outlineLevel="0" collapsed="false">
      <c r="A1408" s="52"/>
      <c r="B1408" s="53"/>
      <c r="C1408" s="53"/>
      <c r="D1408" s="53"/>
      <c r="E1408" s="54"/>
      <c r="F1408" s="55"/>
      <c r="G1408" s="55"/>
      <c r="H1408" s="55"/>
      <c r="I1408" s="56"/>
      <c r="J1408" s="53"/>
      <c r="K1408" s="53"/>
      <c r="L1408" s="57" t="str">
        <f aca="false">IF(C1408="","",IFERROR(INDEX(site_ID,MATCH(C1408,site_Name,0)),"Not on SITES"))</f>
        <v/>
      </c>
      <c r="M1408" s="58" t="str">
        <f aca="false">IF(E1408="","",DATE(YEAR(E1408),MONTH(E1408),1))</f>
        <v/>
      </c>
      <c r="N1408" s="57" t="str">
        <f aca="false">IF(E1408="","","FY"&amp;(YEAR(E1408)+IF(AND(FYStart&gt;1,MONTH(E1408)&gt;=FYStart),1,0))&amp;" Q"&amp;(INT(MOD(MONTH(E1408)-FYStart,12)/3)+1))</f>
        <v/>
      </c>
      <c r="O1408" s="59" t="str">
        <f aca="false">IF(OR(E1408="",N(F1408)=0),"",G1408/F1408)</f>
        <v/>
      </c>
      <c r="P1408" s="60" t="str">
        <f aca="false">IF(E1408="","",ROUND(N(G1408)*N(H1408)/60,1))</f>
        <v/>
      </c>
      <c r="Q1408" s="57" t="str">
        <f aca="false">IF(E1408="","",IF(COUNTIFS($C$2:C1408,C1408,$E$2:E1408,E1408,$B$2:B1408,B1408)&gt;1,"No","Yes"))</f>
        <v/>
      </c>
      <c r="R1408" s="61" t="str">
        <f aca="false">IF(E1408="","",IF(Q1408="No","Duplicate of an earlier response",IF(L1408="Not on SITES","Site not on SITES",IF(N(G1408)&gt;N(F1408),"Present is more than enrolled",IF(OR(I1408&lt;1,I1408&gt;5),"Score outside 1 to 5","")))))</f>
        <v/>
      </c>
    </row>
    <row r="1409" customFormat="false" ht="15" hidden="false" customHeight="false" outlineLevel="0" collapsed="false">
      <c r="A1409" s="52"/>
      <c r="B1409" s="53"/>
      <c r="C1409" s="53"/>
      <c r="D1409" s="53"/>
      <c r="E1409" s="54"/>
      <c r="F1409" s="55"/>
      <c r="G1409" s="55"/>
      <c r="H1409" s="55"/>
      <c r="I1409" s="56"/>
      <c r="J1409" s="53"/>
      <c r="K1409" s="53"/>
      <c r="L1409" s="57" t="str">
        <f aca="false">IF(C1409="","",IFERROR(INDEX(site_ID,MATCH(C1409,site_Name,0)),"Not on SITES"))</f>
        <v/>
      </c>
      <c r="M1409" s="58" t="str">
        <f aca="false">IF(E1409="","",DATE(YEAR(E1409),MONTH(E1409),1))</f>
        <v/>
      </c>
      <c r="N1409" s="57" t="str">
        <f aca="false">IF(E1409="","","FY"&amp;(YEAR(E1409)+IF(AND(FYStart&gt;1,MONTH(E1409)&gt;=FYStart),1,0))&amp;" Q"&amp;(INT(MOD(MONTH(E1409)-FYStart,12)/3)+1))</f>
        <v/>
      </c>
      <c r="O1409" s="59" t="str">
        <f aca="false">IF(OR(E1409="",N(F1409)=0),"",G1409/F1409)</f>
        <v/>
      </c>
      <c r="P1409" s="60" t="str">
        <f aca="false">IF(E1409="","",ROUND(N(G1409)*N(H1409)/60,1))</f>
        <v/>
      </c>
      <c r="Q1409" s="57" t="str">
        <f aca="false">IF(E1409="","",IF(COUNTIFS($C$2:C1409,C1409,$E$2:E1409,E1409,$B$2:B1409,B1409)&gt;1,"No","Yes"))</f>
        <v/>
      </c>
      <c r="R1409" s="61" t="str">
        <f aca="false">IF(E1409="","",IF(Q1409="No","Duplicate of an earlier response",IF(L1409="Not on SITES","Site not on SITES",IF(N(G1409)&gt;N(F1409),"Present is more than enrolled",IF(OR(I1409&lt;1,I1409&gt;5),"Score outside 1 to 5","")))))</f>
        <v/>
      </c>
    </row>
    <row r="1410" customFormat="false" ht="15" hidden="false" customHeight="false" outlineLevel="0" collapsed="false">
      <c r="A1410" s="52"/>
      <c r="B1410" s="53"/>
      <c r="C1410" s="53"/>
      <c r="D1410" s="53"/>
      <c r="E1410" s="54"/>
      <c r="F1410" s="55"/>
      <c r="G1410" s="55"/>
      <c r="H1410" s="55"/>
      <c r="I1410" s="56"/>
      <c r="J1410" s="53"/>
      <c r="K1410" s="53"/>
      <c r="L1410" s="57" t="str">
        <f aca="false">IF(C1410="","",IFERROR(INDEX(site_ID,MATCH(C1410,site_Name,0)),"Not on SITES"))</f>
        <v/>
      </c>
      <c r="M1410" s="58" t="str">
        <f aca="false">IF(E1410="","",DATE(YEAR(E1410),MONTH(E1410),1))</f>
        <v/>
      </c>
      <c r="N1410" s="57" t="str">
        <f aca="false">IF(E1410="","","FY"&amp;(YEAR(E1410)+IF(AND(FYStart&gt;1,MONTH(E1410)&gt;=FYStart),1,0))&amp;" Q"&amp;(INT(MOD(MONTH(E1410)-FYStart,12)/3)+1))</f>
        <v/>
      </c>
      <c r="O1410" s="59" t="str">
        <f aca="false">IF(OR(E1410="",N(F1410)=0),"",G1410/F1410)</f>
        <v/>
      </c>
      <c r="P1410" s="60" t="str">
        <f aca="false">IF(E1410="","",ROUND(N(G1410)*N(H1410)/60,1))</f>
        <v/>
      </c>
      <c r="Q1410" s="57" t="str">
        <f aca="false">IF(E1410="","",IF(COUNTIFS($C$2:C1410,C1410,$E$2:E1410,E1410,$B$2:B1410,B1410)&gt;1,"No","Yes"))</f>
        <v/>
      </c>
      <c r="R1410" s="61" t="str">
        <f aca="false">IF(E1410="","",IF(Q1410="No","Duplicate of an earlier response",IF(L1410="Not on SITES","Site not on SITES",IF(N(G1410)&gt;N(F1410),"Present is more than enrolled",IF(OR(I1410&lt;1,I1410&gt;5),"Score outside 1 to 5","")))))</f>
        <v/>
      </c>
    </row>
    <row r="1411" customFormat="false" ht="15" hidden="false" customHeight="false" outlineLevel="0" collapsed="false">
      <c r="A1411" s="52"/>
      <c r="B1411" s="53"/>
      <c r="C1411" s="53"/>
      <c r="D1411" s="53"/>
      <c r="E1411" s="54"/>
      <c r="F1411" s="55"/>
      <c r="G1411" s="55"/>
      <c r="H1411" s="55"/>
      <c r="I1411" s="56"/>
      <c r="J1411" s="53"/>
      <c r="K1411" s="53"/>
      <c r="L1411" s="57" t="str">
        <f aca="false">IF(C1411="","",IFERROR(INDEX(site_ID,MATCH(C1411,site_Name,0)),"Not on SITES"))</f>
        <v/>
      </c>
      <c r="M1411" s="58" t="str">
        <f aca="false">IF(E1411="","",DATE(YEAR(E1411),MONTH(E1411),1))</f>
        <v/>
      </c>
      <c r="N1411" s="57" t="str">
        <f aca="false">IF(E1411="","","FY"&amp;(YEAR(E1411)+IF(AND(FYStart&gt;1,MONTH(E1411)&gt;=FYStart),1,0))&amp;" Q"&amp;(INT(MOD(MONTH(E1411)-FYStart,12)/3)+1))</f>
        <v/>
      </c>
      <c r="O1411" s="59" t="str">
        <f aca="false">IF(OR(E1411="",N(F1411)=0),"",G1411/F1411)</f>
        <v/>
      </c>
      <c r="P1411" s="60" t="str">
        <f aca="false">IF(E1411="","",ROUND(N(G1411)*N(H1411)/60,1))</f>
        <v/>
      </c>
      <c r="Q1411" s="57" t="str">
        <f aca="false">IF(E1411="","",IF(COUNTIFS($C$2:C1411,C1411,$E$2:E1411,E1411,$B$2:B1411,B1411)&gt;1,"No","Yes"))</f>
        <v/>
      </c>
      <c r="R1411" s="61" t="str">
        <f aca="false">IF(E1411="","",IF(Q1411="No","Duplicate of an earlier response",IF(L1411="Not on SITES","Site not on SITES",IF(N(G1411)&gt;N(F1411),"Present is more than enrolled",IF(OR(I1411&lt;1,I1411&gt;5),"Score outside 1 to 5","")))))</f>
        <v/>
      </c>
    </row>
    <row r="1412" customFormat="false" ht="15" hidden="false" customHeight="false" outlineLevel="0" collapsed="false">
      <c r="A1412" s="52"/>
      <c r="B1412" s="53"/>
      <c r="C1412" s="53"/>
      <c r="D1412" s="53"/>
      <c r="E1412" s="54"/>
      <c r="F1412" s="55"/>
      <c r="G1412" s="55"/>
      <c r="H1412" s="55"/>
      <c r="I1412" s="56"/>
      <c r="J1412" s="53"/>
      <c r="K1412" s="53"/>
      <c r="L1412" s="57" t="str">
        <f aca="false">IF(C1412="","",IFERROR(INDEX(site_ID,MATCH(C1412,site_Name,0)),"Not on SITES"))</f>
        <v/>
      </c>
      <c r="M1412" s="58" t="str">
        <f aca="false">IF(E1412="","",DATE(YEAR(E1412),MONTH(E1412),1))</f>
        <v/>
      </c>
      <c r="N1412" s="57" t="str">
        <f aca="false">IF(E1412="","","FY"&amp;(YEAR(E1412)+IF(AND(FYStart&gt;1,MONTH(E1412)&gt;=FYStart),1,0))&amp;" Q"&amp;(INT(MOD(MONTH(E1412)-FYStart,12)/3)+1))</f>
        <v/>
      </c>
      <c r="O1412" s="59" t="str">
        <f aca="false">IF(OR(E1412="",N(F1412)=0),"",G1412/F1412)</f>
        <v/>
      </c>
      <c r="P1412" s="60" t="str">
        <f aca="false">IF(E1412="","",ROUND(N(G1412)*N(H1412)/60,1))</f>
        <v/>
      </c>
      <c r="Q1412" s="57" t="str">
        <f aca="false">IF(E1412="","",IF(COUNTIFS($C$2:C1412,C1412,$E$2:E1412,E1412,$B$2:B1412,B1412)&gt;1,"No","Yes"))</f>
        <v/>
      </c>
      <c r="R1412" s="61" t="str">
        <f aca="false">IF(E1412="","",IF(Q1412="No","Duplicate of an earlier response",IF(L1412="Not on SITES","Site not on SITES",IF(N(G1412)&gt;N(F1412),"Present is more than enrolled",IF(OR(I1412&lt;1,I1412&gt;5),"Score outside 1 to 5","")))))</f>
        <v/>
      </c>
    </row>
    <row r="1413" customFormat="false" ht="15" hidden="false" customHeight="false" outlineLevel="0" collapsed="false">
      <c r="A1413" s="52"/>
      <c r="B1413" s="53"/>
      <c r="C1413" s="53"/>
      <c r="D1413" s="53"/>
      <c r="E1413" s="54"/>
      <c r="F1413" s="55"/>
      <c r="G1413" s="55"/>
      <c r="H1413" s="55"/>
      <c r="I1413" s="56"/>
      <c r="J1413" s="53"/>
      <c r="K1413" s="53"/>
      <c r="L1413" s="57" t="str">
        <f aca="false">IF(C1413="","",IFERROR(INDEX(site_ID,MATCH(C1413,site_Name,0)),"Not on SITES"))</f>
        <v/>
      </c>
      <c r="M1413" s="58" t="str">
        <f aca="false">IF(E1413="","",DATE(YEAR(E1413),MONTH(E1413),1))</f>
        <v/>
      </c>
      <c r="N1413" s="57" t="str">
        <f aca="false">IF(E1413="","","FY"&amp;(YEAR(E1413)+IF(AND(FYStart&gt;1,MONTH(E1413)&gt;=FYStart),1,0))&amp;" Q"&amp;(INT(MOD(MONTH(E1413)-FYStart,12)/3)+1))</f>
        <v/>
      </c>
      <c r="O1413" s="59" t="str">
        <f aca="false">IF(OR(E1413="",N(F1413)=0),"",G1413/F1413)</f>
        <v/>
      </c>
      <c r="P1413" s="60" t="str">
        <f aca="false">IF(E1413="","",ROUND(N(G1413)*N(H1413)/60,1))</f>
        <v/>
      </c>
      <c r="Q1413" s="57" t="str">
        <f aca="false">IF(E1413="","",IF(COUNTIFS($C$2:C1413,C1413,$E$2:E1413,E1413,$B$2:B1413,B1413)&gt;1,"No","Yes"))</f>
        <v/>
      </c>
      <c r="R1413" s="61" t="str">
        <f aca="false">IF(E1413="","",IF(Q1413="No","Duplicate of an earlier response",IF(L1413="Not on SITES","Site not on SITES",IF(N(G1413)&gt;N(F1413),"Present is more than enrolled",IF(OR(I1413&lt;1,I1413&gt;5),"Score outside 1 to 5","")))))</f>
        <v/>
      </c>
    </row>
    <row r="1414" customFormat="false" ht="15" hidden="false" customHeight="false" outlineLevel="0" collapsed="false">
      <c r="A1414" s="52"/>
      <c r="B1414" s="53"/>
      <c r="C1414" s="53"/>
      <c r="D1414" s="53"/>
      <c r="E1414" s="54"/>
      <c r="F1414" s="55"/>
      <c r="G1414" s="55"/>
      <c r="H1414" s="55"/>
      <c r="I1414" s="56"/>
      <c r="J1414" s="53"/>
      <c r="K1414" s="53"/>
      <c r="L1414" s="57" t="str">
        <f aca="false">IF(C1414="","",IFERROR(INDEX(site_ID,MATCH(C1414,site_Name,0)),"Not on SITES"))</f>
        <v/>
      </c>
      <c r="M1414" s="58" t="str">
        <f aca="false">IF(E1414="","",DATE(YEAR(E1414),MONTH(E1414),1))</f>
        <v/>
      </c>
      <c r="N1414" s="57" t="str">
        <f aca="false">IF(E1414="","","FY"&amp;(YEAR(E1414)+IF(AND(FYStart&gt;1,MONTH(E1414)&gt;=FYStart),1,0))&amp;" Q"&amp;(INT(MOD(MONTH(E1414)-FYStart,12)/3)+1))</f>
        <v/>
      </c>
      <c r="O1414" s="59" t="str">
        <f aca="false">IF(OR(E1414="",N(F1414)=0),"",G1414/F1414)</f>
        <v/>
      </c>
      <c r="P1414" s="60" t="str">
        <f aca="false">IF(E1414="","",ROUND(N(G1414)*N(H1414)/60,1))</f>
        <v/>
      </c>
      <c r="Q1414" s="57" t="str">
        <f aca="false">IF(E1414="","",IF(COUNTIFS($C$2:C1414,C1414,$E$2:E1414,E1414,$B$2:B1414,B1414)&gt;1,"No","Yes"))</f>
        <v/>
      </c>
      <c r="R1414" s="61" t="str">
        <f aca="false">IF(E1414="","",IF(Q1414="No","Duplicate of an earlier response",IF(L1414="Not on SITES","Site not on SITES",IF(N(G1414)&gt;N(F1414),"Present is more than enrolled",IF(OR(I1414&lt;1,I1414&gt;5),"Score outside 1 to 5","")))))</f>
        <v/>
      </c>
    </row>
    <row r="1415" customFormat="false" ht="15" hidden="false" customHeight="false" outlineLevel="0" collapsed="false">
      <c r="A1415" s="52"/>
      <c r="B1415" s="53"/>
      <c r="C1415" s="53"/>
      <c r="D1415" s="53"/>
      <c r="E1415" s="54"/>
      <c r="F1415" s="55"/>
      <c r="G1415" s="55"/>
      <c r="H1415" s="55"/>
      <c r="I1415" s="56"/>
      <c r="J1415" s="53"/>
      <c r="K1415" s="53"/>
      <c r="L1415" s="57" t="str">
        <f aca="false">IF(C1415="","",IFERROR(INDEX(site_ID,MATCH(C1415,site_Name,0)),"Not on SITES"))</f>
        <v/>
      </c>
      <c r="M1415" s="58" t="str">
        <f aca="false">IF(E1415="","",DATE(YEAR(E1415),MONTH(E1415),1))</f>
        <v/>
      </c>
      <c r="N1415" s="57" t="str">
        <f aca="false">IF(E1415="","","FY"&amp;(YEAR(E1415)+IF(AND(FYStart&gt;1,MONTH(E1415)&gt;=FYStart),1,0))&amp;" Q"&amp;(INT(MOD(MONTH(E1415)-FYStart,12)/3)+1))</f>
        <v/>
      </c>
      <c r="O1415" s="59" t="str">
        <f aca="false">IF(OR(E1415="",N(F1415)=0),"",G1415/F1415)</f>
        <v/>
      </c>
      <c r="P1415" s="60" t="str">
        <f aca="false">IF(E1415="","",ROUND(N(G1415)*N(H1415)/60,1))</f>
        <v/>
      </c>
      <c r="Q1415" s="57" t="str">
        <f aca="false">IF(E1415="","",IF(COUNTIFS($C$2:C1415,C1415,$E$2:E1415,E1415,$B$2:B1415,B1415)&gt;1,"No","Yes"))</f>
        <v/>
      </c>
      <c r="R1415" s="61" t="str">
        <f aca="false">IF(E1415="","",IF(Q1415="No","Duplicate of an earlier response",IF(L1415="Not on SITES","Site not on SITES",IF(N(G1415)&gt;N(F1415),"Present is more than enrolled",IF(OR(I1415&lt;1,I1415&gt;5),"Score outside 1 to 5","")))))</f>
        <v/>
      </c>
    </row>
    <row r="1416" customFormat="false" ht="15" hidden="false" customHeight="false" outlineLevel="0" collapsed="false">
      <c r="A1416" s="52"/>
      <c r="B1416" s="53"/>
      <c r="C1416" s="53"/>
      <c r="D1416" s="53"/>
      <c r="E1416" s="54"/>
      <c r="F1416" s="55"/>
      <c r="G1416" s="55"/>
      <c r="H1416" s="55"/>
      <c r="I1416" s="56"/>
      <c r="J1416" s="53"/>
      <c r="K1416" s="53"/>
      <c r="L1416" s="57" t="str">
        <f aca="false">IF(C1416="","",IFERROR(INDEX(site_ID,MATCH(C1416,site_Name,0)),"Not on SITES"))</f>
        <v/>
      </c>
      <c r="M1416" s="58" t="str">
        <f aca="false">IF(E1416="","",DATE(YEAR(E1416),MONTH(E1416),1))</f>
        <v/>
      </c>
      <c r="N1416" s="57" t="str">
        <f aca="false">IF(E1416="","","FY"&amp;(YEAR(E1416)+IF(AND(FYStart&gt;1,MONTH(E1416)&gt;=FYStart),1,0))&amp;" Q"&amp;(INT(MOD(MONTH(E1416)-FYStart,12)/3)+1))</f>
        <v/>
      </c>
      <c r="O1416" s="59" t="str">
        <f aca="false">IF(OR(E1416="",N(F1416)=0),"",G1416/F1416)</f>
        <v/>
      </c>
      <c r="P1416" s="60" t="str">
        <f aca="false">IF(E1416="","",ROUND(N(G1416)*N(H1416)/60,1))</f>
        <v/>
      </c>
      <c r="Q1416" s="57" t="str">
        <f aca="false">IF(E1416="","",IF(COUNTIFS($C$2:C1416,C1416,$E$2:E1416,E1416,$B$2:B1416,B1416)&gt;1,"No","Yes"))</f>
        <v/>
      </c>
      <c r="R1416" s="61" t="str">
        <f aca="false">IF(E1416="","",IF(Q1416="No","Duplicate of an earlier response",IF(L1416="Not on SITES","Site not on SITES",IF(N(G1416)&gt;N(F1416),"Present is more than enrolled",IF(OR(I1416&lt;1,I1416&gt;5),"Score outside 1 to 5","")))))</f>
        <v/>
      </c>
    </row>
    <row r="1417" customFormat="false" ht="15" hidden="false" customHeight="false" outlineLevel="0" collapsed="false">
      <c r="A1417" s="52"/>
      <c r="B1417" s="53"/>
      <c r="C1417" s="53"/>
      <c r="D1417" s="53"/>
      <c r="E1417" s="54"/>
      <c r="F1417" s="55"/>
      <c r="G1417" s="55"/>
      <c r="H1417" s="55"/>
      <c r="I1417" s="56"/>
      <c r="J1417" s="53"/>
      <c r="K1417" s="53"/>
      <c r="L1417" s="57" t="str">
        <f aca="false">IF(C1417="","",IFERROR(INDEX(site_ID,MATCH(C1417,site_Name,0)),"Not on SITES"))</f>
        <v/>
      </c>
      <c r="M1417" s="58" t="str">
        <f aca="false">IF(E1417="","",DATE(YEAR(E1417),MONTH(E1417),1))</f>
        <v/>
      </c>
      <c r="N1417" s="57" t="str">
        <f aca="false">IF(E1417="","","FY"&amp;(YEAR(E1417)+IF(AND(FYStart&gt;1,MONTH(E1417)&gt;=FYStart),1,0))&amp;" Q"&amp;(INT(MOD(MONTH(E1417)-FYStart,12)/3)+1))</f>
        <v/>
      </c>
      <c r="O1417" s="59" t="str">
        <f aca="false">IF(OR(E1417="",N(F1417)=0),"",G1417/F1417)</f>
        <v/>
      </c>
      <c r="P1417" s="60" t="str">
        <f aca="false">IF(E1417="","",ROUND(N(G1417)*N(H1417)/60,1))</f>
        <v/>
      </c>
      <c r="Q1417" s="57" t="str">
        <f aca="false">IF(E1417="","",IF(COUNTIFS($C$2:C1417,C1417,$E$2:E1417,E1417,$B$2:B1417,B1417)&gt;1,"No","Yes"))</f>
        <v/>
      </c>
      <c r="R1417" s="61" t="str">
        <f aca="false">IF(E1417="","",IF(Q1417="No","Duplicate of an earlier response",IF(L1417="Not on SITES","Site not on SITES",IF(N(G1417)&gt;N(F1417),"Present is more than enrolled",IF(OR(I1417&lt;1,I1417&gt;5),"Score outside 1 to 5","")))))</f>
        <v/>
      </c>
    </row>
    <row r="1418" customFormat="false" ht="15" hidden="false" customHeight="false" outlineLevel="0" collapsed="false">
      <c r="A1418" s="52"/>
      <c r="B1418" s="53"/>
      <c r="C1418" s="53"/>
      <c r="D1418" s="53"/>
      <c r="E1418" s="54"/>
      <c r="F1418" s="55"/>
      <c r="G1418" s="55"/>
      <c r="H1418" s="55"/>
      <c r="I1418" s="56"/>
      <c r="J1418" s="53"/>
      <c r="K1418" s="53"/>
      <c r="L1418" s="57" t="str">
        <f aca="false">IF(C1418="","",IFERROR(INDEX(site_ID,MATCH(C1418,site_Name,0)),"Not on SITES"))</f>
        <v/>
      </c>
      <c r="M1418" s="58" t="str">
        <f aca="false">IF(E1418="","",DATE(YEAR(E1418),MONTH(E1418),1))</f>
        <v/>
      </c>
      <c r="N1418" s="57" t="str">
        <f aca="false">IF(E1418="","","FY"&amp;(YEAR(E1418)+IF(AND(FYStart&gt;1,MONTH(E1418)&gt;=FYStart),1,0))&amp;" Q"&amp;(INT(MOD(MONTH(E1418)-FYStart,12)/3)+1))</f>
        <v/>
      </c>
      <c r="O1418" s="59" t="str">
        <f aca="false">IF(OR(E1418="",N(F1418)=0),"",G1418/F1418)</f>
        <v/>
      </c>
      <c r="P1418" s="60" t="str">
        <f aca="false">IF(E1418="","",ROUND(N(G1418)*N(H1418)/60,1))</f>
        <v/>
      </c>
      <c r="Q1418" s="57" t="str">
        <f aca="false">IF(E1418="","",IF(COUNTIFS($C$2:C1418,C1418,$E$2:E1418,E1418,$B$2:B1418,B1418)&gt;1,"No","Yes"))</f>
        <v/>
      </c>
      <c r="R1418" s="61" t="str">
        <f aca="false">IF(E1418="","",IF(Q1418="No","Duplicate of an earlier response",IF(L1418="Not on SITES","Site not on SITES",IF(N(G1418)&gt;N(F1418),"Present is more than enrolled",IF(OR(I1418&lt;1,I1418&gt;5),"Score outside 1 to 5","")))))</f>
        <v/>
      </c>
    </row>
    <row r="1419" customFormat="false" ht="15" hidden="false" customHeight="false" outlineLevel="0" collapsed="false">
      <c r="A1419" s="52"/>
      <c r="B1419" s="53"/>
      <c r="C1419" s="53"/>
      <c r="D1419" s="53"/>
      <c r="E1419" s="54"/>
      <c r="F1419" s="55"/>
      <c r="G1419" s="55"/>
      <c r="H1419" s="55"/>
      <c r="I1419" s="56"/>
      <c r="J1419" s="53"/>
      <c r="K1419" s="53"/>
      <c r="L1419" s="57" t="str">
        <f aca="false">IF(C1419="","",IFERROR(INDEX(site_ID,MATCH(C1419,site_Name,0)),"Not on SITES"))</f>
        <v/>
      </c>
      <c r="M1419" s="58" t="str">
        <f aca="false">IF(E1419="","",DATE(YEAR(E1419),MONTH(E1419),1))</f>
        <v/>
      </c>
      <c r="N1419" s="57" t="str">
        <f aca="false">IF(E1419="","","FY"&amp;(YEAR(E1419)+IF(AND(FYStart&gt;1,MONTH(E1419)&gt;=FYStart),1,0))&amp;" Q"&amp;(INT(MOD(MONTH(E1419)-FYStart,12)/3)+1))</f>
        <v/>
      </c>
      <c r="O1419" s="59" t="str">
        <f aca="false">IF(OR(E1419="",N(F1419)=0),"",G1419/F1419)</f>
        <v/>
      </c>
      <c r="P1419" s="60" t="str">
        <f aca="false">IF(E1419="","",ROUND(N(G1419)*N(H1419)/60,1))</f>
        <v/>
      </c>
      <c r="Q1419" s="57" t="str">
        <f aca="false">IF(E1419="","",IF(COUNTIFS($C$2:C1419,C1419,$E$2:E1419,E1419,$B$2:B1419,B1419)&gt;1,"No","Yes"))</f>
        <v/>
      </c>
      <c r="R1419" s="61" t="str">
        <f aca="false">IF(E1419="","",IF(Q1419="No","Duplicate of an earlier response",IF(L1419="Not on SITES","Site not on SITES",IF(N(G1419)&gt;N(F1419),"Present is more than enrolled",IF(OR(I1419&lt;1,I1419&gt;5),"Score outside 1 to 5","")))))</f>
        <v/>
      </c>
    </row>
    <row r="1420" customFormat="false" ht="15" hidden="false" customHeight="false" outlineLevel="0" collapsed="false">
      <c r="A1420" s="52"/>
      <c r="B1420" s="53"/>
      <c r="C1420" s="53"/>
      <c r="D1420" s="53"/>
      <c r="E1420" s="54"/>
      <c r="F1420" s="55"/>
      <c r="G1420" s="55"/>
      <c r="H1420" s="55"/>
      <c r="I1420" s="56"/>
      <c r="J1420" s="53"/>
      <c r="K1420" s="53"/>
      <c r="L1420" s="57" t="str">
        <f aca="false">IF(C1420="","",IFERROR(INDEX(site_ID,MATCH(C1420,site_Name,0)),"Not on SITES"))</f>
        <v/>
      </c>
      <c r="M1420" s="58" t="str">
        <f aca="false">IF(E1420="","",DATE(YEAR(E1420),MONTH(E1420),1))</f>
        <v/>
      </c>
      <c r="N1420" s="57" t="str">
        <f aca="false">IF(E1420="","","FY"&amp;(YEAR(E1420)+IF(AND(FYStart&gt;1,MONTH(E1420)&gt;=FYStart),1,0))&amp;" Q"&amp;(INT(MOD(MONTH(E1420)-FYStart,12)/3)+1))</f>
        <v/>
      </c>
      <c r="O1420" s="59" t="str">
        <f aca="false">IF(OR(E1420="",N(F1420)=0),"",G1420/F1420)</f>
        <v/>
      </c>
      <c r="P1420" s="60" t="str">
        <f aca="false">IF(E1420="","",ROUND(N(G1420)*N(H1420)/60,1))</f>
        <v/>
      </c>
      <c r="Q1420" s="57" t="str">
        <f aca="false">IF(E1420="","",IF(COUNTIFS($C$2:C1420,C1420,$E$2:E1420,E1420,$B$2:B1420,B1420)&gt;1,"No","Yes"))</f>
        <v/>
      </c>
      <c r="R1420" s="61" t="str">
        <f aca="false">IF(E1420="","",IF(Q1420="No","Duplicate of an earlier response",IF(L1420="Not on SITES","Site not on SITES",IF(N(G1420)&gt;N(F1420),"Present is more than enrolled",IF(OR(I1420&lt;1,I1420&gt;5),"Score outside 1 to 5","")))))</f>
        <v/>
      </c>
    </row>
    <row r="1421" customFormat="false" ht="15" hidden="false" customHeight="false" outlineLevel="0" collapsed="false">
      <c r="A1421" s="52"/>
      <c r="B1421" s="53"/>
      <c r="C1421" s="53"/>
      <c r="D1421" s="53"/>
      <c r="E1421" s="54"/>
      <c r="F1421" s="55"/>
      <c r="G1421" s="55"/>
      <c r="H1421" s="55"/>
      <c r="I1421" s="56"/>
      <c r="J1421" s="53"/>
      <c r="K1421" s="53"/>
      <c r="L1421" s="57" t="str">
        <f aca="false">IF(C1421="","",IFERROR(INDEX(site_ID,MATCH(C1421,site_Name,0)),"Not on SITES"))</f>
        <v/>
      </c>
      <c r="M1421" s="58" t="str">
        <f aca="false">IF(E1421="","",DATE(YEAR(E1421),MONTH(E1421),1))</f>
        <v/>
      </c>
      <c r="N1421" s="57" t="str">
        <f aca="false">IF(E1421="","","FY"&amp;(YEAR(E1421)+IF(AND(FYStart&gt;1,MONTH(E1421)&gt;=FYStart),1,0))&amp;" Q"&amp;(INT(MOD(MONTH(E1421)-FYStart,12)/3)+1))</f>
        <v/>
      </c>
      <c r="O1421" s="59" t="str">
        <f aca="false">IF(OR(E1421="",N(F1421)=0),"",G1421/F1421)</f>
        <v/>
      </c>
      <c r="P1421" s="60" t="str">
        <f aca="false">IF(E1421="","",ROUND(N(G1421)*N(H1421)/60,1))</f>
        <v/>
      </c>
      <c r="Q1421" s="57" t="str">
        <f aca="false">IF(E1421="","",IF(COUNTIFS($C$2:C1421,C1421,$E$2:E1421,E1421,$B$2:B1421,B1421)&gt;1,"No","Yes"))</f>
        <v/>
      </c>
      <c r="R1421" s="61" t="str">
        <f aca="false">IF(E1421="","",IF(Q1421="No","Duplicate of an earlier response",IF(L1421="Not on SITES","Site not on SITES",IF(N(G1421)&gt;N(F1421),"Present is more than enrolled",IF(OR(I1421&lt;1,I1421&gt;5),"Score outside 1 to 5","")))))</f>
        <v/>
      </c>
    </row>
    <row r="1422" customFormat="false" ht="15" hidden="false" customHeight="false" outlineLevel="0" collapsed="false">
      <c r="A1422" s="52"/>
      <c r="B1422" s="53"/>
      <c r="C1422" s="53"/>
      <c r="D1422" s="53"/>
      <c r="E1422" s="54"/>
      <c r="F1422" s="55"/>
      <c r="G1422" s="55"/>
      <c r="H1422" s="55"/>
      <c r="I1422" s="56"/>
      <c r="J1422" s="53"/>
      <c r="K1422" s="53"/>
      <c r="L1422" s="57" t="str">
        <f aca="false">IF(C1422="","",IFERROR(INDEX(site_ID,MATCH(C1422,site_Name,0)),"Not on SITES"))</f>
        <v/>
      </c>
      <c r="M1422" s="58" t="str">
        <f aca="false">IF(E1422="","",DATE(YEAR(E1422),MONTH(E1422),1))</f>
        <v/>
      </c>
      <c r="N1422" s="57" t="str">
        <f aca="false">IF(E1422="","","FY"&amp;(YEAR(E1422)+IF(AND(FYStart&gt;1,MONTH(E1422)&gt;=FYStart),1,0))&amp;" Q"&amp;(INT(MOD(MONTH(E1422)-FYStart,12)/3)+1))</f>
        <v/>
      </c>
      <c r="O1422" s="59" t="str">
        <f aca="false">IF(OR(E1422="",N(F1422)=0),"",G1422/F1422)</f>
        <v/>
      </c>
      <c r="P1422" s="60" t="str">
        <f aca="false">IF(E1422="","",ROUND(N(G1422)*N(H1422)/60,1))</f>
        <v/>
      </c>
      <c r="Q1422" s="57" t="str">
        <f aca="false">IF(E1422="","",IF(COUNTIFS($C$2:C1422,C1422,$E$2:E1422,E1422,$B$2:B1422,B1422)&gt;1,"No","Yes"))</f>
        <v/>
      </c>
      <c r="R1422" s="61" t="str">
        <f aca="false">IF(E1422="","",IF(Q1422="No","Duplicate of an earlier response",IF(L1422="Not on SITES","Site not on SITES",IF(N(G1422)&gt;N(F1422),"Present is more than enrolled",IF(OR(I1422&lt;1,I1422&gt;5),"Score outside 1 to 5","")))))</f>
        <v/>
      </c>
    </row>
    <row r="1423" customFormat="false" ht="15" hidden="false" customHeight="false" outlineLevel="0" collapsed="false">
      <c r="A1423" s="52"/>
      <c r="B1423" s="53"/>
      <c r="C1423" s="53"/>
      <c r="D1423" s="53"/>
      <c r="E1423" s="54"/>
      <c r="F1423" s="55"/>
      <c r="G1423" s="55"/>
      <c r="H1423" s="55"/>
      <c r="I1423" s="56"/>
      <c r="J1423" s="53"/>
      <c r="K1423" s="53"/>
      <c r="L1423" s="57" t="str">
        <f aca="false">IF(C1423="","",IFERROR(INDEX(site_ID,MATCH(C1423,site_Name,0)),"Not on SITES"))</f>
        <v/>
      </c>
      <c r="M1423" s="58" t="str">
        <f aca="false">IF(E1423="","",DATE(YEAR(E1423),MONTH(E1423),1))</f>
        <v/>
      </c>
      <c r="N1423" s="57" t="str">
        <f aca="false">IF(E1423="","","FY"&amp;(YEAR(E1423)+IF(AND(FYStart&gt;1,MONTH(E1423)&gt;=FYStart),1,0))&amp;" Q"&amp;(INT(MOD(MONTH(E1423)-FYStart,12)/3)+1))</f>
        <v/>
      </c>
      <c r="O1423" s="59" t="str">
        <f aca="false">IF(OR(E1423="",N(F1423)=0),"",G1423/F1423)</f>
        <v/>
      </c>
      <c r="P1423" s="60" t="str">
        <f aca="false">IF(E1423="","",ROUND(N(G1423)*N(H1423)/60,1))</f>
        <v/>
      </c>
      <c r="Q1423" s="57" t="str">
        <f aca="false">IF(E1423="","",IF(COUNTIFS($C$2:C1423,C1423,$E$2:E1423,E1423,$B$2:B1423,B1423)&gt;1,"No","Yes"))</f>
        <v/>
      </c>
      <c r="R1423" s="61" t="str">
        <f aca="false">IF(E1423="","",IF(Q1423="No","Duplicate of an earlier response",IF(L1423="Not on SITES","Site not on SITES",IF(N(G1423)&gt;N(F1423),"Present is more than enrolled",IF(OR(I1423&lt;1,I1423&gt;5),"Score outside 1 to 5","")))))</f>
        <v/>
      </c>
    </row>
    <row r="1424" customFormat="false" ht="15" hidden="false" customHeight="false" outlineLevel="0" collapsed="false">
      <c r="A1424" s="52"/>
      <c r="B1424" s="53"/>
      <c r="C1424" s="53"/>
      <c r="D1424" s="53"/>
      <c r="E1424" s="54"/>
      <c r="F1424" s="55"/>
      <c r="G1424" s="55"/>
      <c r="H1424" s="55"/>
      <c r="I1424" s="56"/>
      <c r="J1424" s="53"/>
      <c r="K1424" s="53"/>
      <c r="L1424" s="57" t="str">
        <f aca="false">IF(C1424="","",IFERROR(INDEX(site_ID,MATCH(C1424,site_Name,0)),"Not on SITES"))</f>
        <v/>
      </c>
      <c r="M1424" s="58" t="str">
        <f aca="false">IF(E1424="","",DATE(YEAR(E1424),MONTH(E1424),1))</f>
        <v/>
      </c>
      <c r="N1424" s="57" t="str">
        <f aca="false">IF(E1424="","","FY"&amp;(YEAR(E1424)+IF(AND(FYStart&gt;1,MONTH(E1424)&gt;=FYStart),1,0))&amp;" Q"&amp;(INT(MOD(MONTH(E1424)-FYStart,12)/3)+1))</f>
        <v/>
      </c>
      <c r="O1424" s="59" t="str">
        <f aca="false">IF(OR(E1424="",N(F1424)=0),"",G1424/F1424)</f>
        <v/>
      </c>
      <c r="P1424" s="60" t="str">
        <f aca="false">IF(E1424="","",ROUND(N(G1424)*N(H1424)/60,1))</f>
        <v/>
      </c>
      <c r="Q1424" s="57" t="str">
        <f aca="false">IF(E1424="","",IF(COUNTIFS($C$2:C1424,C1424,$E$2:E1424,E1424,$B$2:B1424,B1424)&gt;1,"No","Yes"))</f>
        <v/>
      </c>
      <c r="R1424" s="61" t="str">
        <f aca="false">IF(E1424="","",IF(Q1424="No","Duplicate of an earlier response",IF(L1424="Not on SITES","Site not on SITES",IF(N(G1424)&gt;N(F1424),"Present is more than enrolled",IF(OR(I1424&lt;1,I1424&gt;5),"Score outside 1 to 5","")))))</f>
        <v/>
      </c>
    </row>
    <row r="1425" customFormat="false" ht="15" hidden="false" customHeight="false" outlineLevel="0" collapsed="false">
      <c r="A1425" s="52"/>
      <c r="B1425" s="53"/>
      <c r="C1425" s="53"/>
      <c r="D1425" s="53"/>
      <c r="E1425" s="54"/>
      <c r="F1425" s="55"/>
      <c r="G1425" s="55"/>
      <c r="H1425" s="55"/>
      <c r="I1425" s="56"/>
      <c r="J1425" s="53"/>
      <c r="K1425" s="53"/>
      <c r="L1425" s="57" t="str">
        <f aca="false">IF(C1425="","",IFERROR(INDEX(site_ID,MATCH(C1425,site_Name,0)),"Not on SITES"))</f>
        <v/>
      </c>
      <c r="M1425" s="58" t="str">
        <f aca="false">IF(E1425="","",DATE(YEAR(E1425),MONTH(E1425),1))</f>
        <v/>
      </c>
      <c r="N1425" s="57" t="str">
        <f aca="false">IF(E1425="","","FY"&amp;(YEAR(E1425)+IF(AND(FYStart&gt;1,MONTH(E1425)&gt;=FYStart),1,0))&amp;" Q"&amp;(INT(MOD(MONTH(E1425)-FYStart,12)/3)+1))</f>
        <v/>
      </c>
      <c r="O1425" s="59" t="str">
        <f aca="false">IF(OR(E1425="",N(F1425)=0),"",G1425/F1425)</f>
        <v/>
      </c>
      <c r="P1425" s="60" t="str">
        <f aca="false">IF(E1425="","",ROUND(N(G1425)*N(H1425)/60,1))</f>
        <v/>
      </c>
      <c r="Q1425" s="57" t="str">
        <f aca="false">IF(E1425="","",IF(COUNTIFS($C$2:C1425,C1425,$E$2:E1425,E1425,$B$2:B1425,B1425)&gt;1,"No","Yes"))</f>
        <v/>
      </c>
      <c r="R1425" s="61" t="str">
        <f aca="false">IF(E1425="","",IF(Q1425="No","Duplicate of an earlier response",IF(L1425="Not on SITES","Site not on SITES",IF(N(G1425)&gt;N(F1425),"Present is more than enrolled",IF(OR(I1425&lt;1,I1425&gt;5),"Score outside 1 to 5","")))))</f>
        <v/>
      </c>
    </row>
    <row r="1426" customFormat="false" ht="15" hidden="false" customHeight="false" outlineLevel="0" collapsed="false">
      <c r="A1426" s="52"/>
      <c r="B1426" s="53"/>
      <c r="C1426" s="53"/>
      <c r="D1426" s="53"/>
      <c r="E1426" s="54"/>
      <c r="F1426" s="55"/>
      <c r="G1426" s="55"/>
      <c r="H1426" s="55"/>
      <c r="I1426" s="56"/>
      <c r="J1426" s="53"/>
      <c r="K1426" s="53"/>
      <c r="L1426" s="57" t="str">
        <f aca="false">IF(C1426="","",IFERROR(INDEX(site_ID,MATCH(C1426,site_Name,0)),"Not on SITES"))</f>
        <v/>
      </c>
      <c r="M1426" s="58" t="str">
        <f aca="false">IF(E1426="","",DATE(YEAR(E1426),MONTH(E1426),1))</f>
        <v/>
      </c>
      <c r="N1426" s="57" t="str">
        <f aca="false">IF(E1426="","","FY"&amp;(YEAR(E1426)+IF(AND(FYStart&gt;1,MONTH(E1426)&gt;=FYStart),1,0))&amp;" Q"&amp;(INT(MOD(MONTH(E1426)-FYStart,12)/3)+1))</f>
        <v/>
      </c>
      <c r="O1426" s="59" t="str">
        <f aca="false">IF(OR(E1426="",N(F1426)=0),"",G1426/F1426)</f>
        <v/>
      </c>
      <c r="P1426" s="60" t="str">
        <f aca="false">IF(E1426="","",ROUND(N(G1426)*N(H1426)/60,1))</f>
        <v/>
      </c>
      <c r="Q1426" s="57" t="str">
        <f aca="false">IF(E1426="","",IF(COUNTIFS($C$2:C1426,C1426,$E$2:E1426,E1426,$B$2:B1426,B1426)&gt;1,"No","Yes"))</f>
        <v/>
      </c>
      <c r="R1426" s="61" t="str">
        <f aca="false">IF(E1426="","",IF(Q1426="No","Duplicate of an earlier response",IF(L1426="Not on SITES","Site not on SITES",IF(N(G1426)&gt;N(F1426),"Present is more than enrolled",IF(OR(I1426&lt;1,I1426&gt;5),"Score outside 1 to 5","")))))</f>
        <v/>
      </c>
    </row>
    <row r="1427" customFormat="false" ht="15" hidden="false" customHeight="false" outlineLevel="0" collapsed="false">
      <c r="A1427" s="52"/>
      <c r="B1427" s="53"/>
      <c r="C1427" s="53"/>
      <c r="D1427" s="53"/>
      <c r="E1427" s="54"/>
      <c r="F1427" s="55"/>
      <c r="G1427" s="55"/>
      <c r="H1427" s="55"/>
      <c r="I1427" s="56"/>
      <c r="J1427" s="53"/>
      <c r="K1427" s="53"/>
      <c r="L1427" s="57" t="str">
        <f aca="false">IF(C1427="","",IFERROR(INDEX(site_ID,MATCH(C1427,site_Name,0)),"Not on SITES"))</f>
        <v/>
      </c>
      <c r="M1427" s="58" t="str">
        <f aca="false">IF(E1427="","",DATE(YEAR(E1427),MONTH(E1427),1))</f>
        <v/>
      </c>
      <c r="N1427" s="57" t="str">
        <f aca="false">IF(E1427="","","FY"&amp;(YEAR(E1427)+IF(AND(FYStart&gt;1,MONTH(E1427)&gt;=FYStart),1,0))&amp;" Q"&amp;(INT(MOD(MONTH(E1427)-FYStart,12)/3)+1))</f>
        <v/>
      </c>
      <c r="O1427" s="59" t="str">
        <f aca="false">IF(OR(E1427="",N(F1427)=0),"",G1427/F1427)</f>
        <v/>
      </c>
      <c r="P1427" s="60" t="str">
        <f aca="false">IF(E1427="","",ROUND(N(G1427)*N(H1427)/60,1))</f>
        <v/>
      </c>
      <c r="Q1427" s="57" t="str">
        <f aca="false">IF(E1427="","",IF(COUNTIFS($C$2:C1427,C1427,$E$2:E1427,E1427,$B$2:B1427,B1427)&gt;1,"No","Yes"))</f>
        <v/>
      </c>
      <c r="R1427" s="61" t="str">
        <f aca="false">IF(E1427="","",IF(Q1427="No","Duplicate of an earlier response",IF(L1427="Not on SITES","Site not on SITES",IF(N(G1427)&gt;N(F1427),"Present is more than enrolled",IF(OR(I1427&lt;1,I1427&gt;5),"Score outside 1 to 5","")))))</f>
        <v/>
      </c>
    </row>
    <row r="1428" customFormat="false" ht="15" hidden="false" customHeight="false" outlineLevel="0" collapsed="false">
      <c r="A1428" s="52"/>
      <c r="B1428" s="53"/>
      <c r="C1428" s="53"/>
      <c r="D1428" s="53"/>
      <c r="E1428" s="54"/>
      <c r="F1428" s="55"/>
      <c r="G1428" s="55"/>
      <c r="H1428" s="55"/>
      <c r="I1428" s="56"/>
      <c r="J1428" s="53"/>
      <c r="K1428" s="53"/>
      <c r="L1428" s="57" t="str">
        <f aca="false">IF(C1428="","",IFERROR(INDEX(site_ID,MATCH(C1428,site_Name,0)),"Not on SITES"))</f>
        <v/>
      </c>
      <c r="M1428" s="58" t="str">
        <f aca="false">IF(E1428="","",DATE(YEAR(E1428),MONTH(E1428),1))</f>
        <v/>
      </c>
      <c r="N1428" s="57" t="str">
        <f aca="false">IF(E1428="","","FY"&amp;(YEAR(E1428)+IF(AND(FYStart&gt;1,MONTH(E1428)&gt;=FYStart),1,0))&amp;" Q"&amp;(INT(MOD(MONTH(E1428)-FYStart,12)/3)+1))</f>
        <v/>
      </c>
      <c r="O1428" s="59" t="str">
        <f aca="false">IF(OR(E1428="",N(F1428)=0),"",G1428/F1428)</f>
        <v/>
      </c>
      <c r="P1428" s="60" t="str">
        <f aca="false">IF(E1428="","",ROUND(N(G1428)*N(H1428)/60,1))</f>
        <v/>
      </c>
      <c r="Q1428" s="57" t="str">
        <f aca="false">IF(E1428="","",IF(COUNTIFS($C$2:C1428,C1428,$E$2:E1428,E1428,$B$2:B1428,B1428)&gt;1,"No","Yes"))</f>
        <v/>
      </c>
      <c r="R1428" s="61" t="str">
        <f aca="false">IF(E1428="","",IF(Q1428="No","Duplicate of an earlier response",IF(L1428="Not on SITES","Site not on SITES",IF(N(G1428)&gt;N(F1428),"Present is more than enrolled",IF(OR(I1428&lt;1,I1428&gt;5),"Score outside 1 to 5","")))))</f>
        <v/>
      </c>
    </row>
    <row r="1429" customFormat="false" ht="15" hidden="false" customHeight="false" outlineLevel="0" collapsed="false">
      <c r="A1429" s="52"/>
      <c r="B1429" s="53"/>
      <c r="C1429" s="53"/>
      <c r="D1429" s="53"/>
      <c r="E1429" s="54"/>
      <c r="F1429" s="55"/>
      <c r="G1429" s="55"/>
      <c r="H1429" s="55"/>
      <c r="I1429" s="56"/>
      <c r="J1429" s="53"/>
      <c r="K1429" s="53"/>
      <c r="L1429" s="57" t="str">
        <f aca="false">IF(C1429="","",IFERROR(INDEX(site_ID,MATCH(C1429,site_Name,0)),"Not on SITES"))</f>
        <v/>
      </c>
      <c r="M1429" s="58" t="str">
        <f aca="false">IF(E1429="","",DATE(YEAR(E1429),MONTH(E1429),1))</f>
        <v/>
      </c>
      <c r="N1429" s="57" t="str">
        <f aca="false">IF(E1429="","","FY"&amp;(YEAR(E1429)+IF(AND(FYStart&gt;1,MONTH(E1429)&gt;=FYStart),1,0))&amp;" Q"&amp;(INT(MOD(MONTH(E1429)-FYStart,12)/3)+1))</f>
        <v/>
      </c>
      <c r="O1429" s="59" t="str">
        <f aca="false">IF(OR(E1429="",N(F1429)=0),"",G1429/F1429)</f>
        <v/>
      </c>
      <c r="P1429" s="60" t="str">
        <f aca="false">IF(E1429="","",ROUND(N(G1429)*N(H1429)/60,1))</f>
        <v/>
      </c>
      <c r="Q1429" s="57" t="str">
        <f aca="false">IF(E1429="","",IF(COUNTIFS($C$2:C1429,C1429,$E$2:E1429,E1429,$B$2:B1429,B1429)&gt;1,"No","Yes"))</f>
        <v/>
      </c>
      <c r="R1429" s="61" t="str">
        <f aca="false">IF(E1429="","",IF(Q1429="No","Duplicate of an earlier response",IF(L1429="Not on SITES","Site not on SITES",IF(N(G1429)&gt;N(F1429),"Present is more than enrolled",IF(OR(I1429&lt;1,I1429&gt;5),"Score outside 1 to 5","")))))</f>
        <v/>
      </c>
    </row>
    <row r="1430" customFormat="false" ht="15" hidden="false" customHeight="false" outlineLevel="0" collapsed="false">
      <c r="A1430" s="52"/>
      <c r="B1430" s="53"/>
      <c r="C1430" s="53"/>
      <c r="D1430" s="53"/>
      <c r="E1430" s="54"/>
      <c r="F1430" s="55"/>
      <c r="G1430" s="55"/>
      <c r="H1430" s="55"/>
      <c r="I1430" s="56"/>
      <c r="J1430" s="53"/>
      <c r="K1430" s="53"/>
      <c r="L1430" s="57" t="str">
        <f aca="false">IF(C1430="","",IFERROR(INDEX(site_ID,MATCH(C1430,site_Name,0)),"Not on SITES"))</f>
        <v/>
      </c>
      <c r="M1430" s="58" t="str">
        <f aca="false">IF(E1430="","",DATE(YEAR(E1430),MONTH(E1430),1))</f>
        <v/>
      </c>
      <c r="N1430" s="57" t="str">
        <f aca="false">IF(E1430="","","FY"&amp;(YEAR(E1430)+IF(AND(FYStart&gt;1,MONTH(E1430)&gt;=FYStart),1,0))&amp;" Q"&amp;(INT(MOD(MONTH(E1430)-FYStart,12)/3)+1))</f>
        <v/>
      </c>
      <c r="O1430" s="59" t="str">
        <f aca="false">IF(OR(E1430="",N(F1430)=0),"",G1430/F1430)</f>
        <v/>
      </c>
      <c r="P1430" s="60" t="str">
        <f aca="false">IF(E1430="","",ROUND(N(G1430)*N(H1430)/60,1))</f>
        <v/>
      </c>
      <c r="Q1430" s="57" t="str">
        <f aca="false">IF(E1430="","",IF(COUNTIFS($C$2:C1430,C1430,$E$2:E1430,E1430,$B$2:B1430,B1430)&gt;1,"No","Yes"))</f>
        <v/>
      </c>
      <c r="R1430" s="61" t="str">
        <f aca="false">IF(E1430="","",IF(Q1430="No","Duplicate of an earlier response",IF(L1430="Not on SITES","Site not on SITES",IF(N(G1430)&gt;N(F1430),"Present is more than enrolled",IF(OR(I1430&lt;1,I1430&gt;5),"Score outside 1 to 5","")))))</f>
        <v/>
      </c>
    </row>
    <row r="1431" customFormat="false" ht="15" hidden="false" customHeight="false" outlineLevel="0" collapsed="false">
      <c r="A1431" s="52"/>
      <c r="B1431" s="53"/>
      <c r="C1431" s="53"/>
      <c r="D1431" s="53"/>
      <c r="E1431" s="54"/>
      <c r="F1431" s="55"/>
      <c r="G1431" s="55"/>
      <c r="H1431" s="55"/>
      <c r="I1431" s="56"/>
      <c r="J1431" s="53"/>
      <c r="K1431" s="53"/>
      <c r="L1431" s="57" t="str">
        <f aca="false">IF(C1431="","",IFERROR(INDEX(site_ID,MATCH(C1431,site_Name,0)),"Not on SITES"))</f>
        <v/>
      </c>
      <c r="M1431" s="58" t="str">
        <f aca="false">IF(E1431="","",DATE(YEAR(E1431),MONTH(E1431),1))</f>
        <v/>
      </c>
      <c r="N1431" s="57" t="str">
        <f aca="false">IF(E1431="","","FY"&amp;(YEAR(E1431)+IF(AND(FYStart&gt;1,MONTH(E1431)&gt;=FYStart),1,0))&amp;" Q"&amp;(INT(MOD(MONTH(E1431)-FYStart,12)/3)+1))</f>
        <v/>
      </c>
      <c r="O1431" s="59" t="str">
        <f aca="false">IF(OR(E1431="",N(F1431)=0),"",G1431/F1431)</f>
        <v/>
      </c>
      <c r="P1431" s="60" t="str">
        <f aca="false">IF(E1431="","",ROUND(N(G1431)*N(H1431)/60,1))</f>
        <v/>
      </c>
      <c r="Q1431" s="57" t="str">
        <f aca="false">IF(E1431="","",IF(COUNTIFS($C$2:C1431,C1431,$E$2:E1431,E1431,$B$2:B1431,B1431)&gt;1,"No","Yes"))</f>
        <v/>
      </c>
      <c r="R1431" s="61" t="str">
        <f aca="false">IF(E1431="","",IF(Q1431="No","Duplicate of an earlier response",IF(L1431="Not on SITES","Site not on SITES",IF(N(G1431)&gt;N(F1431),"Present is more than enrolled",IF(OR(I1431&lt;1,I1431&gt;5),"Score outside 1 to 5","")))))</f>
        <v/>
      </c>
    </row>
    <row r="1432" customFormat="false" ht="15" hidden="false" customHeight="false" outlineLevel="0" collapsed="false">
      <c r="A1432" s="52"/>
      <c r="B1432" s="53"/>
      <c r="C1432" s="53"/>
      <c r="D1432" s="53"/>
      <c r="E1432" s="54"/>
      <c r="F1432" s="55"/>
      <c r="G1432" s="55"/>
      <c r="H1432" s="55"/>
      <c r="I1432" s="56"/>
      <c r="J1432" s="53"/>
      <c r="K1432" s="53"/>
      <c r="L1432" s="57" t="str">
        <f aca="false">IF(C1432="","",IFERROR(INDEX(site_ID,MATCH(C1432,site_Name,0)),"Not on SITES"))</f>
        <v/>
      </c>
      <c r="M1432" s="58" t="str">
        <f aca="false">IF(E1432="","",DATE(YEAR(E1432),MONTH(E1432),1))</f>
        <v/>
      </c>
      <c r="N1432" s="57" t="str">
        <f aca="false">IF(E1432="","","FY"&amp;(YEAR(E1432)+IF(AND(FYStart&gt;1,MONTH(E1432)&gt;=FYStart),1,0))&amp;" Q"&amp;(INT(MOD(MONTH(E1432)-FYStart,12)/3)+1))</f>
        <v/>
      </c>
      <c r="O1432" s="59" t="str">
        <f aca="false">IF(OR(E1432="",N(F1432)=0),"",G1432/F1432)</f>
        <v/>
      </c>
      <c r="P1432" s="60" t="str">
        <f aca="false">IF(E1432="","",ROUND(N(G1432)*N(H1432)/60,1))</f>
        <v/>
      </c>
      <c r="Q1432" s="57" t="str">
        <f aca="false">IF(E1432="","",IF(COUNTIFS($C$2:C1432,C1432,$E$2:E1432,E1432,$B$2:B1432,B1432)&gt;1,"No","Yes"))</f>
        <v/>
      </c>
      <c r="R1432" s="61" t="str">
        <f aca="false">IF(E1432="","",IF(Q1432="No","Duplicate of an earlier response",IF(L1432="Not on SITES","Site not on SITES",IF(N(G1432)&gt;N(F1432),"Present is more than enrolled",IF(OR(I1432&lt;1,I1432&gt;5),"Score outside 1 to 5","")))))</f>
        <v/>
      </c>
    </row>
    <row r="1433" customFormat="false" ht="15" hidden="false" customHeight="false" outlineLevel="0" collapsed="false">
      <c r="A1433" s="52"/>
      <c r="B1433" s="53"/>
      <c r="C1433" s="53"/>
      <c r="D1433" s="53"/>
      <c r="E1433" s="54"/>
      <c r="F1433" s="55"/>
      <c r="G1433" s="55"/>
      <c r="H1433" s="55"/>
      <c r="I1433" s="56"/>
      <c r="J1433" s="53"/>
      <c r="K1433" s="53"/>
      <c r="L1433" s="57" t="str">
        <f aca="false">IF(C1433="","",IFERROR(INDEX(site_ID,MATCH(C1433,site_Name,0)),"Not on SITES"))</f>
        <v/>
      </c>
      <c r="M1433" s="58" t="str">
        <f aca="false">IF(E1433="","",DATE(YEAR(E1433),MONTH(E1433),1))</f>
        <v/>
      </c>
      <c r="N1433" s="57" t="str">
        <f aca="false">IF(E1433="","","FY"&amp;(YEAR(E1433)+IF(AND(FYStart&gt;1,MONTH(E1433)&gt;=FYStart),1,0))&amp;" Q"&amp;(INT(MOD(MONTH(E1433)-FYStart,12)/3)+1))</f>
        <v/>
      </c>
      <c r="O1433" s="59" t="str">
        <f aca="false">IF(OR(E1433="",N(F1433)=0),"",G1433/F1433)</f>
        <v/>
      </c>
      <c r="P1433" s="60" t="str">
        <f aca="false">IF(E1433="","",ROUND(N(G1433)*N(H1433)/60,1))</f>
        <v/>
      </c>
      <c r="Q1433" s="57" t="str">
        <f aca="false">IF(E1433="","",IF(COUNTIFS($C$2:C1433,C1433,$E$2:E1433,E1433,$B$2:B1433,B1433)&gt;1,"No","Yes"))</f>
        <v/>
      </c>
      <c r="R1433" s="61" t="str">
        <f aca="false">IF(E1433="","",IF(Q1433="No","Duplicate of an earlier response",IF(L1433="Not on SITES","Site not on SITES",IF(N(G1433)&gt;N(F1433),"Present is more than enrolled",IF(OR(I1433&lt;1,I1433&gt;5),"Score outside 1 to 5","")))))</f>
        <v/>
      </c>
    </row>
    <row r="1434" customFormat="false" ht="15" hidden="false" customHeight="false" outlineLevel="0" collapsed="false">
      <c r="A1434" s="52"/>
      <c r="B1434" s="53"/>
      <c r="C1434" s="53"/>
      <c r="D1434" s="53"/>
      <c r="E1434" s="54"/>
      <c r="F1434" s="55"/>
      <c r="G1434" s="55"/>
      <c r="H1434" s="55"/>
      <c r="I1434" s="56"/>
      <c r="J1434" s="53"/>
      <c r="K1434" s="53"/>
      <c r="L1434" s="57" t="str">
        <f aca="false">IF(C1434="","",IFERROR(INDEX(site_ID,MATCH(C1434,site_Name,0)),"Not on SITES"))</f>
        <v/>
      </c>
      <c r="M1434" s="58" t="str">
        <f aca="false">IF(E1434="","",DATE(YEAR(E1434),MONTH(E1434),1))</f>
        <v/>
      </c>
      <c r="N1434" s="57" t="str">
        <f aca="false">IF(E1434="","","FY"&amp;(YEAR(E1434)+IF(AND(FYStart&gt;1,MONTH(E1434)&gt;=FYStart),1,0))&amp;" Q"&amp;(INT(MOD(MONTH(E1434)-FYStart,12)/3)+1))</f>
        <v/>
      </c>
      <c r="O1434" s="59" t="str">
        <f aca="false">IF(OR(E1434="",N(F1434)=0),"",G1434/F1434)</f>
        <v/>
      </c>
      <c r="P1434" s="60" t="str">
        <f aca="false">IF(E1434="","",ROUND(N(G1434)*N(H1434)/60,1))</f>
        <v/>
      </c>
      <c r="Q1434" s="57" t="str">
        <f aca="false">IF(E1434="","",IF(COUNTIFS($C$2:C1434,C1434,$E$2:E1434,E1434,$B$2:B1434,B1434)&gt;1,"No","Yes"))</f>
        <v/>
      </c>
      <c r="R1434" s="61" t="str">
        <f aca="false">IF(E1434="","",IF(Q1434="No","Duplicate of an earlier response",IF(L1434="Not on SITES","Site not on SITES",IF(N(G1434)&gt;N(F1434),"Present is more than enrolled",IF(OR(I1434&lt;1,I1434&gt;5),"Score outside 1 to 5","")))))</f>
        <v/>
      </c>
    </row>
    <row r="1435" customFormat="false" ht="15" hidden="false" customHeight="false" outlineLevel="0" collapsed="false">
      <c r="A1435" s="52"/>
      <c r="B1435" s="53"/>
      <c r="C1435" s="53"/>
      <c r="D1435" s="53"/>
      <c r="E1435" s="54"/>
      <c r="F1435" s="55"/>
      <c r="G1435" s="55"/>
      <c r="H1435" s="55"/>
      <c r="I1435" s="56"/>
      <c r="J1435" s="53"/>
      <c r="K1435" s="53"/>
      <c r="L1435" s="57" t="str">
        <f aca="false">IF(C1435="","",IFERROR(INDEX(site_ID,MATCH(C1435,site_Name,0)),"Not on SITES"))</f>
        <v/>
      </c>
      <c r="M1435" s="58" t="str">
        <f aca="false">IF(E1435="","",DATE(YEAR(E1435),MONTH(E1435),1))</f>
        <v/>
      </c>
      <c r="N1435" s="57" t="str">
        <f aca="false">IF(E1435="","","FY"&amp;(YEAR(E1435)+IF(AND(FYStart&gt;1,MONTH(E1435)&gt;=FYStart),1,0))&amp;" Q"&amp;(INT(MOD(MONTH(E1435)-FYStart,12)/3)+1))</f>
        <v/>
      </c>
      <c r="O1435" s="59" t="str">
        <f aca="false">IF(OR(E1435="",N(F1435)=0),"",G1435/F1435)</f>
        <v/>
      </c>
      <c r="P1435" s="60" t="str">
        <f aca="false">IF(E1435="","",ROUND(N(G1435)*N(H1435)/60,1))</f>
        <v/>
      </c>
      <c r="Q1435" s="57" t="str">
        <f aca="false">IF(E1435="","",IF(COUNTIFS($C$2:C1435,C1435,$E$2:E1435,E1435,$B$2:B1435,B1435)&gt;1,"No","Yes"))</f>
        <v/>
      </c>
      <c r="R1435" s="61" t="str">
        <f aca="false">IF(E1435="","",IF(Q1435="No","Duplicate of an earlier response",IF(L1435="Not on SITES","Site not on SITES",IF(N(G1435)&gt;N(F1435),"Present is more than enrolled",IF(OR(I1435&lt;1,I1435&gt;5),"Score outside 1 to 5","")))))</f>
        <v/>
      </c>
    </row>
    <row r="1436" customFormat="false" ht="15" hidden="false" customHeight="false" outlineLevel="0" collapsed="false">
      <c r="A1436" s="52"/>
      <c r="B1436" s="53"/>
      <c r="C1436" s="53"/>
      <c r="D1436" s="53"/>
      <c r="E1436" s="54"/>
      <c r="F1436" s="55"/>
      <c r="G1436" s="55"/>
      <c r="H1436" s="55"/>
      <c r="I1436" s="56"/>
      <c r="J1436" s="53"/>
      <c r="K1436" s="53"/>
      <c r="L1436" s="57" t="str">
        <f aca="false">IF(C1436="","",IFERROR(INDEX(site_ID,MATCH(C1436,site_Name,0)),"Not on SITES"))</f>
        <v/>
      </c>
      <c r="M1436" s="58" t="str">
        <f aca="false">IF(E1436="","",DATE(YEAR(E1436),MONTH(E1436),1))</f>
        <v/>
      </c>
      <c r="N1436" s="57" t="str">
        <f aca="false">IF(E1436="","","FY"&amp;(YEAR(E1436)+IF(AND(FYStart&gt;1,MONTH(E1436)&gt;=FYStart),1,0))&amp;" Q"&amp;(INT(MOD(MONTH(E1436)-FYStart,12)/3)+1))</f>
        <v/>
      </c>
      <c r="O1436" s="59" t="str">
        <f aca="false">IF(OR(E1436="",N(F1436)=0),"",G1436/F1436)</f>
        <v/>
      </c>
      <c r="P1436" s="60" t="str">
        <f aca="false">IF(E1436="","",ROUND(N(G1436)*N(H1436)/60,1))</f>
        <v/>
      </c>
      <c r="Q1436" s="57" t="str">
        <f aca="false">IF(E1436="","",IF(COUNTIFS($C$2:C1436,C1436,$E$2:E1436,E1436,$B$2:B1436,B1436)&gt;1,"No","Yes"))</f>
        <v/>
      </c>
      <c r="R1436" s="61" t="str">
        <f aca="false">IF(E1436="","",IF(Q1436="No","Duplicate of an earlier response",IF(L1436="Not on SITES","Site not on SITES",IF(N(G1436)&gt;N(F1436),"Present is more than enrolled",IF(OR(I1436&lt;1,I1436&gt;5),"Score outside 1 to 5","")))))</f>
        <v/>
      </c>
    </row>
    <row r="1437" customFormat="false" ht="15" hidden="false" customHeight="false" outlineLevel="0" collapsed="false">
      <c r="A1437" s="52"/>
      <c r="B1437" s="53"/>
      <c r="C1437" s="53"/>
      <c r="D1437" s="53"/>
      <c r="E1437" s="54"/>
      <c r="F1437" s="55"/>
      <c r="G1437" s="55"/>
      <c r="H1437" s="55"/>
      <c r="I1437" s="56"/>
      <c r="J1437" s="53"/>
      <c r="K1437" s="53"/>
      <c r="L1437" s="57" t="str">
        <f aca="false">IF(C1437="","",IFERROR(INDEX(site_ID,MATCH(C1437,site_Name,0)),"Not on SITES"))</f>
        <v/>
      </c>
      <c r="M1437" s="58" t="str">
        <f aca="false">IF(E1437="","",DATE(YEAR(E1437),MONTH(E1437),1))</f>
        <v/>
      </c>
      <c r="N1437" s="57" t="str">
        <f aca="false">IF(E1437="","","FY"&amp;(YEAR(E1437)+IF(AND(FYStart&gt;1,MONTH(E1437)&gt;=FYStart),1,0))&amp;" Q"&amp;(INT(MOD(MONTH(E1437)-FYStart,12)/3)+1))</f>
        <v/>
      </c>
      <c r="O1437" s="59" t="str">
        <f aca="false">IF(OR(E1437="",N(F1437)=0),"",G1437/F1437)</f>
        <v/>
      </c>
      <c r="P1437" s="60" t="str">
        <f aca="false">IF(E1437="","",ROUND(N(G1437)*N(H1437)/60,1))</f>
        <v/>
      </c>
      <c r="Q1437" s="57" t="str">
        <f aca="false">IF(E1437="","",IF(COUNTIFS($C$2:C1437,C1437,$E$2:E1437,E1437,$B$2:B1437,B1437)&gt;1,"No","Yes"))</f>
        <v/>
      </c>
      <c r="R1437" s="61" t="str">
        <f aca="false">IF(E1437="","",IF(Q1437="No","Duplicate of an earlier response",IF(L1437="Not on SITES","Site not on SITES",IF(N(G1437)&gt;N(F1437),"Present is more than enrolled",IF(OR(I1437&lt;1,I1437&gt;5),"Score outside 1 to 5","")))))</f>
        <v/>
      </c>
    </row>
    <row r="1438" customFormat="false" ht="15" hidden="false" customHeight="false" outlineLevel="0" collapsed="false">
      <c r="A1438" s="52"/>
      <c r="B1438" s="53"/>
      <c r="C1438" s="53"/>
      <c r="D1438" s="53"/>
      <c r="E1438" s="54"/>
      <c r="F1438" s="55"/>
      <c r="G1438" s="55"/>
      <c r="H1438" s="55"/>
      <c r="I1438" s="56"/>
      <c r="J1438" s="53"/>
      <c r="K1438" s="53"/>
      <c r="L1438" s="57" t="str">
        <f aca="false">IF(C1438="","",IFERROR(INDEX(site_ID,MATCH(C1438,site_Name,0)),"Not on SITES"))</f>
        <v/>
      </c>
      <c r="M1438" s="58" t="str">
        <f aca="false">IF(E1438="","",DATE(YEAR(E1438),MONTH(E1438),1))</f>
        <v/>
      </c>
      <c r="N1438" s="57" t="str">
        <f aca="false">IF(E1438="","","FY"&amp;(YEAR(E1438)+IF(AND(FYStart&gt;1,MONTH(E1438)&gt;=FYStart),1,0))&amp;" Q"&amp;(INT(MOD(MONTH(E1438)-FYStart,12)/3)+1))</f>
        <v/>
      </c>
      <c r="O1438" s="59" t="str">
        <f aca="false">IF(OR(E1438="",N(F1438)=0),"",G1438/F1438)</f>
        <v/>
      </c>
      <c r="P1438" s="60" t="str">
        <f aca="false">IF(E1438="","",ROUND(N(G1438)*N(H1438)/60,1))</f>
        <v/>
      </c>
      <c r="Q1438" s="57" t="str">
        <f aca="false">IF(E1438="","",IF(COUNTIFS($C$2:C1438,C1438,$E$2:E1438,E1438,$B$2:B1438,B1438)&gt;1,"No","Yes"))</f>
        <v/>
      </c>
      <c r="R1438" s="61" t="str">
        <f aca="false">IF(E1438="","",IF(Q1438="No","Duplicate of an earlier response",IF(L1438="Not on SITES","Site not on SITES",IF(N(G1438)&gt;N(F1438),"Present is more than enrolled",IF(OR(I1438&lt;1,I1438&gt;5),"Score outside 1 to 5","")))))</f>
        <v/>
      </c>
    </row>
    <row r="1439" customFormat="false" ht="15" hidden="false" customHeight="false" outlineLevel="0" collapsed="false">
      <c r="A1439" s="52"/>
      <c r="B1439" s="53"/>
      <c r="C1439" s="53"/>
      <c r="D1439" s="53"/>
      <c r="E1439" s="54"/>
      <c r="F1439" s="55"/>
      <c r="G1439" s="55"/>
      <c r="H1439" s="55"/>
      <c r="I1439" s="56"/>
      <c r="J1439" s="53"/>
      <c r="K1439" s="53"/>
      <c r="L1439" s="57" t="str">
        <f aca="false">IF(C1439="","",IFERROR(INDEX(site_ID,MATCH(C1439,site_Name,0)),"Not on SITES"))</f>
        <v/>
      </c>
      <c r="M1439" s="58" t="str">
        <f aca="false">IF(E1439="","",DATE(YEAR(E1439),MONTH(E1439),1))</f>
        <v/>
      </c>
      <c r="N1439" s="57" t="str">
        <f aca="false">IF(E1439="","","FY"&amp;(YEAR(E1439)+IF(AND(FYStart&gt;1,MONTH(E1439)&gt;=FYStart),1,0))&amp;" Q"&amp;(INT(MOD(MONTH(E1439)-FYStart,12)/3)+1))</f>
        <v/>
      </c>
      <c r="O1439" s="59" t="str">
        <f aca="false">IF(OR(E1439="",N(F1439)=0),"",G1439/F1439)</f>
        <v/>
      </c>
      <c r="P1439" s="60" t="str">
        <f aca="false">IF(E1439="","",ROUND(N(G1439)*N(H1439)/60,1))</f>
        <v/>
      </c>
      <c r="Q1439" s="57" t="str">
        <f aca="false">IF(E1439="","",IF(COUNTIFS($C$2:C1439,C1439,$E$2:E1439,E1439,$B$2:B1439,B1439)&gt;1,"No","Yes"))</f>
        <v/>
      </c>
      <c r="R1439" s="61" t="str">
        <f aca="false">IF(E1439="","",IF(Q1439="No","Duplicate of an earlier response",IF(L1439="Not on SITES","Site not on SITES",IF(N(G1439)&gt;N(F1439),"Present is more than enrolled",IF(OR(I1439&lt;1,I1439&gt;5),"Score outside 1 to 5","")))))</f>
        <v/>
      </c>
    </row>
    <row r="1440" customFormat="false" ht="15" hidden="false" customHeight="false" outlineLevel="0" collapsed="false">
      <c r="A1440" s="52"/>
      <c r="B1440" s="53"/>
      <c r="C1440" s="53"/>
      <c r="D1440" s="53"/>
      <c r="E1440" s="54"/>
      <c r="F1440" s="55"/>
      <c r="G1440" s="55"/>
      <c r="H1440" s="55"/>
      <c r="I1440" s="56"/>
      <c r="J1440" s="53"/>
      <c r="K1440" s="53"/>
      <c r="L1440" s="57" t="str">
        <f aca="false">IF(C1440="","",IFERROR(INDEX(site_ID,MATCH(C1440,site_Name,0)),"Not on SITES"))</f>
        <v/>
      </c>
      <c r="M1440" s="58" t="str">
        <f aca="false">IF(E1440="","",DATE(YEAR(E1440),MONTH(E1440),1))</f>
        <v/>
      </c>
      <c r="N1440" s="57" t="str">
        <f aca="false">IF(E1440="","","FY"&amp;(YEAR(E1440)+IF(AND(FYStart&gt;1,MONTH(E1440)&gt;=FYStart),1,0))&amp;" Q"&amp;(INT(MOD(MONTH(E1440)-FYStart,12)/3)+1))</f>
        <v/>
      </c>
      <c r="O1440" s="59" t="str">
        <f aca="false">IF(OR(E1440="",N(F1440)=0),"",G1440/F1440)</f>
        <v/>
      </c>
      <c r="P1440" s="60" t="str">
        <f aca="false">IF(E1440="","",ROUND(N(G1440)*N(H1440)/60,1))</f>
        <v/>
      </c>
      <c r="Q1440" s="57" t="str">
        <f aca="false">IF(E1440="","",IF(COUNTIFS($C$2:C1440,C1440,$E$2:E1440,E1440,$B$2:B1440,B1440)&gt;1,"No","Yes"))</f>
        <v/>
      </c>
      <c r="R1440" s="61" t="str">
        <f aca="false">IF(E1440="","",IF(Q1440="No","Duplicate of an earlier response",IF(L1440="Not on SITES","Site not on SITES",IF(N(G1440)&gt;N(F1440),"Present is more than enrolled",IF(OR(I1440&lt;1,I1440&gt;5),"Score outside 1 to 5","")))))</f>
        <v/>
      </c>
    </row>
    <row r="1441" customFormat="false" ht="15" hidden="false" customHeight="false" outlineLevel="0" collapsed="false">
      <c r="A1441" s="52"/>
      <c r="B1441" s="53"/>
      <c r="C1441" s="53"/>
      <c r="D1441" s="53"/>
      <c r="E1441" s="54"/>
      <c r="F1441" s="55"/>
      <c r="G1441" s="55"/>
      <c r="H1441" s="55"/>
      <c r="I1441" s="56"/>
      <c r="J1441" s="53"/>
      <c r="K1441" s="53"/>
      <c r="L1441" s="57" t="str">
        <f aca="false">IF(C1441="","",IFERROR(INDEX(site_ID,MATCH(C1441,site_Name,0)),"Not on SITES"))</f>
        <v/>
      </c>
      <c r="M1441" s="58" t="str">
        <f aca="false">IF(E1441="","",DATE(YEAR(E1441),MONTH(E1441),1))</f>
        <v/>
      </c>
      <c r="N1441" s="57" t="str">
        <f aca="false">IF(E1441="","","FY"&amp;(YEAR(E1441)+IF(AND(FYStart&gt;1,MONTH(E1441)&gt;=FYStart),1,0))&amp;" Q"&amp;(INT(MOD(MONTH(E1441)-FYStart,12)/3)+1))</f>
        <v/>
      </c>
      <c r="O1441" s="59" t="str">
        <f aca="false">IF(OR(E1441="",N(F1441)=0),"",G1441/F1441)</f>
        <v/>
      </c>
      <c r="P1441" s="60" t="str">
        <f aca="false">IF(E1441="","",ROUND(N(G1441)*N(H1441)/60,1))</f>
        <v/>
      </c>
      <c r="Q1441" s="57" t="str">
        <f aca="false">IF(E1441="","",IF(COUNTIFS($C$2:C1441,C1441,$E$2:E1441,E1441,$B$2:B1441,B1441)&gt;1,"No","Yes"))</f>
        <v/>
      </c>
      <c r="R1441" s="61" t="str">
        <f aca="false">IF(E1441="","",IF(Q1441="No","Duplicate of an earlier response",IF(L1441="Not on SITES","Site not on SITES",IF(N(G1441)&gt;N(F1441),"Present is more than enrolled",IF(OR(I1441&lt;1,I1441&gt;5),"Score outside 1 to 5","")))))</f>
        <v/>
      </c>
    </row>
    <row r="1442" customFormat="false" ht="15" hidden="false" customHeight="false" outlineLevel="0" collapsed="false">
      <c r="A1442" s="52"/>
      <c r="B1442" s="53"/>
      <c r="C1442" s="53"/>
      <c r="D1442" s="53"/>
      <c r="E1442" s="54"/>
      <c r="F1442" s="55"/>
      <c r="G1442" s="55"/>
      <c r="H1442" s="55"/>
      <c r="I1442" s="56"/>
      <c r="J1442" s="53"/>
      <c r="K1442" s="53"/>
      <c r="L1442" s="57" t="str">
        <f aca="false">IF(C1442="","",IFERROR(INDEX(site_ID,MATCH(C1442,site_Name,0)),"Not on SITES"))</f>
        <v/>
      </c>
      <c r="M1442" s="58" t="str">
        <f aca="false">IF(E1442="","",DATE(YEAR(E1442),MONTH(E1442),1))</f>
        <v/>
      </c>
      <c r="N1442" s="57" t="str">
        <f aca="false">IF(E1442="","","FY"&amp;(YEAR(E1442)+IF(AND(FYStart&gt;1,MONTH(E1442)&gt;=FYStart),1,0))&amp;" Q"&amp;(INT(MOD(MONTH(E1442)-FYStart,12)/3)+1))</f>
        <v/>
      </c>
      <c r="O1442" s="59" t="str">
        <f aca="false">IF(OR(E1442="",N(F1442)=0),"",G1442/F1442)</f>
        <v/>
      </c>
      <c r="P1442" s="60" t="str">
        <f aca="false">IF(E1442="","",ROUND(N(G1442)*N(H1442)/60,1))</f>
        <v/>
      </c>
      <c r="Q1442" s="57" t="str">
        <f aca="false">IF(E1442="","",IF(COUNTIFS($C$2:C1442,C1442,$E$2:E1442,E1442,$B$2:B1442,B1442)&gt;1,"No","Yes"))</f>
        <v/>
      </c>
      <c r="R1442" s="61" t="str">
        <f aca="false">IF(E1442="","",IF(Q1442="No","Duplicate of an earlier response",IF(L1442="Not on SITES","Site not on SITES",IF(N(G1442)&gt;N(F1442),"Present is more than enrolled",IF(OR(I1442&lt;1,I1442&gt;5),"Score outside 1 to 5","")))))</f>
        <v/>
      </c>
    </row>
    <row r="1443" customFormat="false" ht="15" hidden="false" customHeight="false" outlineLevel="0" collapsed="false">
      <c r="A1443" s="52"/>
      <c r="B1443" s="53"/>
      <c r="C1443" s="53"/>
      <c r="D1443" s="53"/>
      <c r="E1443" s="54"/>
      <c r="F1443" s="55"/>
      <c r="G1443" s="55"/>
      <c r="H1443" s="55"/>
      <c r="I1443" s="56"/>
      <c r="J1443" s="53"/>
      <c r="K1443" s="53"/>
      <c r="L1443" s="57" t="str">
        <f aca="false">IF(C1443="","",IFERROR(INDEX(site_ID,MATCH(C1443,site_Name,0)),"Not on SITES"))</f>
        <v/>
      </c>
      <c r="M1443" s="58" t="str">
        <f aca="false">IF(E1443="","",DATE(YEAR(E1443),MONTH(E1443),1))</f>
        <v/>
      </c>
      <c r="N1443" s="57" t="str">
        <f aca="false">IF(E1443="","","FY"&amp;(YEAR(E1443)+IF(AND(FYStart&gt;1,MONTH(E1443)&gt;=FYStart),1,0))&amp;" Q"&amp;(INT(MOD(MONTH(E1443)-FYStart,12)/3)+1))</f>
        <v/>
      </c>
      <c r="O1443" s="59" t="str">
        <f aca="false">IF(OR(E1443="",N(F1443)=0),"",G1443/F1443)</f>
        <v/>
      </c>
      <c r="P1443" s="60" t="str">
        <f aca="false">IF(E1443="","",ROUND(N(G1443)*N(H1443)/60,1))</f>
        <v/>
      </c>
      <c r="Q1443" s="57" t="str">
        <f aca="false">IF(E1443="","",IF(COUNTIFS($C$2:C1443,C1443,$E$2:E1443,E1443,$B$2:B1443,B1443)&gt;1,"No","Yes"))</f>
        <v/>
      </c>
      <c r="R1443" s="61" t="str">
        <f aca="false">IF(E1443="","",IF(Q1443="No","Duplicate of an earlier response",IF(L1443="Not on SITES","Site not on SITES",IF(N(G1443)&gt;N(F1443),"Present is more than enrolled",IF(OR(I1443&lt;1,I1443&gt;5),"Score outside 1 to 5","")))))</f>
        <v/>
      </c>
    </row>
    <row r="1444" customFormat="false" ht="15" hidden="false" customHeight="false" outlineLevel="0" collapsed="false">
      <c r="A1444" s="52"/>
      <c r="B1444" s="53"/>
      <c r="C1444" s="53"/>
      <c r="D1444" s="53"/>
      <c r="E1444" s="54"/>
      <c r="F1444" s="55"/>
      <c r="G1444" s="55"/>
      <c r="H1444" s="55"/>
      <c r="I1444" s="56"/>
      <c r="J1444" s="53"/>
      <c r="K1444" s="53"/>
      <c r="L1444" s="57" t="str">
        <f aca="false">IF(C1444="","",IFERROR(INDEX(site_ID,MATCH(C1444,site_Name,0)),"Not on SITES"))</f>
        <v/>
      </c>
      <c r="M1444" s="58" t="str">
        <f aca="false">IF(E1444="","",DATE(YEAR(E1444),MONTH(E1444),1))</f>
        <v/>
      </c>
      <c r="N1444" s="57" t="str">
        <f aca="false">IF(E1444="","","FY"&amp;(YEAR(E1444)+IF(AND(FYStart&gt;1,MONTH(E1444)&gt;=FYStart),1,0))&amp;" Q"&amp;(INT(MOD(MONTH(E1444)-FYStart,12)/3)+1))</f>
        <v/>
      </c>
      <c r="O1444" s="59" t="str">
        <f aca="false">IF(OR(E1444="",N(F1444)=0),"",G1444/F1444)</f>
        <v/>
      </c>
      <c r="P1444" s="60" t="str">
        <f aca="false">IF(E1444="","",ROUND(N(G1444)*N(H1444)/60,1))</f>
        <v/>
      </c>
      <c r="Q1444" s="57" t="str">
        <f aca="false">IF(E1444="","",IF(COUNTIFS($C$2:C1444,C1444,$E$2:E1444,E1444,$B$2:B1444,B1444)&gt;1,"No","Yes"))</f>
        <v/>
      </c>
      <c r="R1444" s="61" t="str">
        <f aca="false">IF(E1444="","",IF(Q1444="No","Duplicate of an earlier response",IF(L1444="Not on SITES","Site not on SITES",IF(N(G1444)&gt;N(F1444),"Present is more than enrolled",IF(OR(I1444&lt;1,I1444&gt;5),"Score outside 1 to 5","")))))</f>
        <v/>
      </c>
    </row>
    <row r="1445" customFormat="false" ht="15" hidden="false" customHeight="false" outlineLevel="0" collapsed="false">
      <c r="A1445" s="52"/>
      <c r="B1445" s="53"/>
      <c r="C1445" s="53"/>
      <c r="D1445" s="53"/>
      <c r="E1445" s="54"/>
      <c r="F1445" s="55"/>
      <c r="G1445" s="55"/>
      <c r="H1445" s="55"/>
      <c r="I1445" s="56"/>
      <c r="J1445" s="53"/>
      <c r="K1445" s="53"/>
      <c r="L1445" s="57" t="str">
        <f aca="false">IF(C1445="","",IFERROR(INDEX(site_ID,MATCH(C1445,site_Name,0)),"Not on SITES"))</f>
        <v/>
      </c>
      <c r="M1445" s="58" t="str">
        <f aca="false">IF(E1445="","",DATE(YEAR(E1445),MONTH(E1445),1))</f>
        <v/>
      </c>
      <c r="N1445" s="57" t="str">
        <f aca="false">IF(E1445="","","FY"&amp;(YEAR(E1445)+IF(AND(FYStart&gt;1,MONTH(E1445)&gt;=FYStart),1,0))&amp;" Q"&amp;(INT(MOD(MONTH(E1445)-FYStart,12)/3)+1))</f>
        <v/>
      </c>
      <c r="O1445" s="59" t="str">
        <f aca="false">IF(OR(E1445="",N(F1445)=0),"",G1445/F1445)</f>
        <v/>
      </c>
      <c r="P1445" s="60" t="str">
        <f aca="false">IF(E1445="","",ROUND(N(G1445)*N(H1445)/60,1))</f>
        <v/>
      </c>
      <c r="Q1445" s="57" t="str">
        <f aca="false">IF(E1445="","",IF(COUNTIFS($C$2:C1445,C1445,$E$2:E1445,E1445,$B$2:B1445,B1445)&gt;1,"No","Yes"))</f>
        <v/>
      </c>
      <c r="R1445" s="61" t="str">
        <f aca="false">IF(E1445="","",IF(Q1445="No","Duplicate of an earlier response",IF(L1445="Not on SITES","Site not on SITES",IF(N(G1445)&gt;N(F1445),"Present is more than enrolled",IF(OR(I1445&lt;1,I1445&gt;5),"Score outside 1 to 5","")))))</f>
        <v/>
      </c>
    </row>
    <row r="1446" customFormat="false" ht="15" hidden="false" customHeight="false" outlineLevel="0" collapsed="false">
      <c r="A1446" s="52"/>
      <c r="B1446" s="53"/>
      <c r="C1446" s="53"/>
      <c r="D1446" s="53"/>
      <c r="E1446" s="54"/>
      <c r="F1446" s="55"/>
      <c r="G1446" s="55"/>
      <c r="H1446" s="55"/>
      <c r="I1446" s="56"/>
      <c r="J1446" s="53"/>
      <c r="K1446" s="53"/>
      <c r="L1446" s="57" t="str">
        <f aca="false">IF(C1446="","",IFERROR(INDEX(site_ID,MATCH(C1446,site_Name,0)),"Not on SITES"))</f>
        <v/>
      </c>
      <c r="M1446" s="58" t="str">
        <f aca="false">IF(E1446="","",DATE(YEAR(E1446),MONTH(E1446),1))</f>
        <v/>
      </c>
      <c r="N1446" s="57" t="str">
        <f aca="false">IF(E1446="","","FY"&amp;(YEAR(E1446)+IF(AND(FYStart&gt;1,MONTH(E1446)&gt;=FYStart),1,0))&amp;" Q"&amp;(INT(MOD(MONTH(E1446)-FYStart,12)/3)+1))</f>
        <v/>
      </c>
      <c r="O1446" s="59" t="str">
        <f aca="false">IF(OR(E1446="",N(F1446)=0),"",G1446/F1446)</f>
        <v/>
      </c>
      <c r="P1446" s="60" t="str">
        <f aca="false">IF(E1446="","",ROUND(N(G1446)*N(H1446)/60,1))</f>
        <v/>
      </c>
      <c r="Q1446" s="57" t="str">
        <f aca="false">IF(E1446="","",IF(COUNTIFS($C$2:C1446,C1446,$E$2:E1446,E1446,$B$2:B1446,B1446)&gt;1,"No","Yes"))</f>
        <v/>
      </c>
      <c r="R1446" s="61" t="str">
        <f aca="false">IF(E1446="","",IF(Q1446="No","Duplicate of an earlier response",IF(L1446="Not on SITES","Site not on SITES",IF(N(G1446)&gt;N(F1446),"Present is more than enrolled",IF(OR(I1446&lt;1,I1446&gt;5),"Score outside 1 to 5","")))))</f>
        <v/>
      </c>
    </row>
    <row r="1447" customFormat="false" ht="15" hidden="false" customHeight="false" outlineLevel="0" collapsed="false">
      <c r="A1447" s="52"/>
      <c r="B1447" s="53"/>
      <c r="C1447" s="53"/>
      <c r="D1447" s="53"/>
      <c r="E1447" s="54"/>
      <c r="F1447" s="55"/>
      <c r="G1447" s="55"/>
      <c r="H1447" s="55"/>
      <c r="I1447" s="56"/>
      <c r="J1447" s="53"/>
      <c r="K1447" s="53"/>
      <c r="L1447" s="57" t="str">
        <f aca="false">IF(C1447="","",IFERROR(INDEX(site_ID,MATCH(C1447,site_Name,0)),"Not on SITES"))</f>
        <v/>
      </c>
      <c r="M1447" s="58" t="str">
        <f aca="false">IF(E1447="","",DATE(YEAR(E1447),MONTH(E1447),1))</f>
        <v/>
      </c>
      <c r="N1447" s="57" t="str">
        <f aca="false">IF(E1447="","","FY"&amp;(YEAR(E1447)+IF(AND(FYStart&gt;1,MONTH(E1447)&gt;=FYStart),1,0))&amp;" Q"&amp;(INT(MOD(MONTH(E1447)-FYStart,12)/3)+1))</f>
        <v/>
      </c>
      <c r="O1447" s="59" t="str">
        <f aca="false">IF(OR(E1447="",N(F1447)=0),"",G1447/F1447)</f>
        <v/>
      </c>
      <c r="P1447" s="60" t="str">
        <f aca="false">IF(E1447="","",ROUND(N(G1447)*N(H1447)/60,1))</f>
        <v/>
      </c>
      <c r="Q1447" s="57" t="str">
        <f aca="false">IF(E1447="","",IF(COUNTIFS($C$2:C1447,C1447,$E$2:E1447,E1447,$B$2:B1447,B1447)&gt;1,"No","Yes"))</f>
        <v/>
      </c>
      <c r="R1447" s="61" t="str">
        <f aca="false">IF(E1447="","",IF(Q1447="No","Duplicate of an earlier response",IF(L1447="Not on SITES","Site not on SITES",IF(N(G1447)&gt;N(F1447),"Present is more than enrolled",IF(OR(I1447&lt;1,I1447&gt;5),"Score outside 1 to 5","")))))</f>
        <v/>
      </c>
    </row>
    <row r="1448" customFormat="false" ht="15" hidden="false" customHeight="false" outlineLevel="0" collapsed="false">
      <c r="A1448" s="52"/>
      <c r="B1448" s="53"/>
      <c r="C1448" s="53"/>
      <c r="D1448" s="53"/>
      <c r="E1448" s="54"/>
      <c r="F1448" s="55"/>
      <c r="G1448" s="55"/>
      <c r="H1448" s="55"/>
      <c r="I1448" s="56"/>
      <c r="J1448" s="53"/>
      <c r="K1448" s="53"/>
      <c r="L1448" s="57" t="str">
        <f aca="false">IF(C1448="","",IFERROR(INDEX(site_ID,MATCH(C1448,site_Name,0)),"Not on SITES"))</f>
        <v/>
      </c>
      <c r="M1448" s="58" t="str">
        <f aca="false">IF(E1448="","",DATE(YEAR(E1448),MONTH(E1448),1))</f>
        <v/>
      </c>
      <c r="N1448" s="57" t="str">
        <f aca="false">IF(E1448="","","FY"&amp;(YEAR(E1448)+IF(AND(FYStart&gt;1,MONTH(E1448)&gt;=FYStart),1,0))&amp;" Q"&amp;(INT(MOD(MONTH(E1448)-FYStart,12)/3)+1))</f>
        <v/>
      </c>
      <c r="O1448" s="59" t="str">
        <f aca="false">IF(OR(E1448="",N(F1448)=0),"",G1448/F1448)</f>
        <v/>
      </c>
      <c r="P1448" s="60" t="str">
        <f aca="false">IF(E1448="","",ROUND(N(G1448)*N(H1448)/60,1))</f>
        <v/>
      </c>
      <c r="Q1448" s="57" t="str">
        <f aca="false">IF(E1448="","",IF(COUNTIFS($C$2:C1448,C1448,$E$2:E1448,E1448,$B$2:B1448,B1448)&gt;1,"No","Yes"))</f>
        <v/>
      </c>
      <c r="R1448" s="61" t="str">
        <f aca="false">IF(E1448="","",IF(Q1448="No","Duplicate of an earlier response",IF(L1448="Not on SITES","Site not on SITES",IF(N(G1448)&gt;N(F1448),"Present is more than enrolled",IF(OR(I1448&lt;1,I1448&gt;5),"Score outside 1 to 5","")))))</f>
        <v/>
      </c>
    </row>
    <row r="1449" customFormat="false" ht="15" hidden="false" customHeight="false" outlineLevel="0" collapsed="false">
      <c r="A1449" s="52"/>
      <c r="B1449" s="53"/>
      <c r="C1449" s="53"/>
      <c r="D1449" s="53"/>
      <c r="E1449" s="54"/>
      <c r="F1449" s="55"/>
      <c r="G1449" s="55"/>
      <c r="H1449" s="55"/>
      <c r="I1449" s="56"/>
      <c r="J1449" s="53"/>
      <c r="K1449" s="53"/>
      <c r="L1449" s="57" t="str">
        <f aca="false">IF(C1449="","",IFERROR(INDEX(site_ID,MATCH(C1449,site_Name,0)),"Not on SITES"))</f>
        <v/>
      </c>
      <c r="M1449" s="58" t="str">
        <f aca="false">IF(E1449="","",DATE(YEAR(E1449),MONTH(E1449),1))</f>
        <v/>
      </c>
      <c r="N1449" s="57" t="str">
        <f aca="false">IF(E1449="","","FY"&amp;(YEAR(E1449)+IF(AND(FYStart&gt;1,MONTH(E1449)&gt;=FYStart),1,0))&amp;" Q"&amp;(INT(MOD(MONTH(E1449)-FYStart,12)/3)+1))</f>
        <v/>
      </c>
      <c r="O1449" s="59" t="str">
        <f aca="false">IF(OR(E1449="",N(F1449)=0),"",G1449/F1449)</f>
        <v/>
      </c>
      <c r="P1449" s="60" t="str">
        <f aca="false">IF(E1449="","",ROUND(N(G1449)*N(H1449)/60,1))</f>
        <v/>
      </c>
      <c r="Q1449" s="57" t="str">
        <f aca="false">IF(E1449="","",IF(COUNTIFS($C$2:C1449,C1449,$E$2:E1449,E1449,$B$2:B1449,B1449)&gt;1,"No","Yes"))</f>
        <v/>
      </c>
      <c r="R1449" s="61" t="str">
        <f aca="false">IF(E1449="","",IF(Q1449="No","Duplicate of an earlier response",IF(L1449="Not on SITES","Site not on SITES",IF(N(G1449)&gt;N(F1449),"Present is more than enrolled",IF(OR(I1449&lt;1,I1449&gt;5),"Score outside 1 to 5","")))))</f>
        <v/>
      </c>
    </row>
    <row r="1450" customFormat="false" ht="15" hidden="false" customHeight="false" outlineLevel="0" collapsed="false">
      <c r="A1450" s="52"/>
      <c r="B1450" s="53"/>
      <c r="C1450" s="53"/>
      <c r="D1450" s="53"/>
      <c r="E1450" s="54"/>
      <c r="F1450" s="55"/>
      <c r="G1450" s="55"/>
      <c r="H1450" s="55"/>
      <c r="I1450" s="56"/>
      <c r="J1450" s="53"/>
      <c r="K1450" s="53"/>
      <c r="L1450" s="57" t="str">
        <f aca="false">IF(C1450="","",IFERROR(INDEX(site_ID,MATCH(C1450,site_Name,0)),"Not on SITES"))</f>
        <v/>
      </c>
      <c r="M1450" s="58" t="str">
        <f aca="false">IF(E1450="","",DATE(YEAR(E1450),MONTH(E1450),1))</f>
        <v/>
      </c>
      <c r="N1450" s="57" t="str">
        <f aca="false">IF(E1450="","","FY"&amp;(YEAR(E1450)+IF(AND(FYStart&gt;1,MONTH(E1450)&gt;=FYStart),1,0))&amp;" Q"&amp;(INT(MOD(MONTH(E1450)-FYStart,12)/3)+1))</f>
        <v/>
      </c>
      <c r="O1450" s="59" t="str">
        <f aca="false">IF(OR(E1450="",N(F1450)=0),"",G1450/F1450)</f>
        <v/>
      </c>
      <c r="P1450" s="60" t="str">
        <f aca="false">IF(E1450="","",ROUND(N(G1450)*N(H1450)/60,1))</f>
        <v/>
      </c>
      <c r="Q1450" s="57" t="str">
        <f aca="false">IF(E1450="","",IF(COUNTIFS($C$2:C1450,C1450,$E$2:E1450,E1450,$B$2:B1450,B1450)&gt;1,"No","Yes"))</f>
        <v/>
      </c>
      <c r="R1450" s="61" t="str">
        <f aca="false">IF(E1450="","",IF(Q1450="No","Duplicate of an earlier response",IF(L1450="Not on SITES","Site not on SITES",IF(N(G1450)&gt;N(F1450),"Present is more than enrolled",IF(OR(I1450&lt;1,I1450&gt;5),"Score outside 1 to 5","")))))</f>
        <v/>
      </c>
    </row>
    <row r="1451" customFormat="false" ht="15" hidden="false" customHeight="false" outlineLevel="0" collapsed="false">
      <c r="A1451" s="52"/>
      <c r="B1451" s="53"/>
      <c r="C1451" s="53"/>
      <c r="D1451" s="53"/>
      <c r="E1451" s="54"/>
      <c r="F1451" s="55"/>
      <c r="G1451" s="55"/>
      <c r="H1451" s="55"/>
      <c r="I1451" s="56"/>
      <c r="J1451" s="53"/>
      <c r="K1451" s="53"/>
      <c r="L1451" s="57" t="str">
        <f aca="false">IF(C1451="","",IFERROR(INDEX(site_ID,MATCH(C1451,site_Name,0)),"Not on SITES"))</f>
        <v/>
      </c>
      <c r="M1451" s="58" t="str">
        <f aca="false">IF(E1451="","",DATE(YEAR(E1451),MONTH(E1451),1))</f>
        <v/>
      </c>
      <c r="N1451" s="57" t="str">
        <f aca="false">IF(E1451="","","FY"&amp;(YEAR(E1451)+IF(AND(FYStart&gt;1,MONTH(E1451)&gt;=FYStart),1,0))&amp;" Q"&amp;(INT(MOD(MONTH(E1451)-FYStart,12)/3)+1))</f>
        <v/>
      </c>
      <c r="O1451" s="59" t="str">
        <f aca="false">IF(OR(E1451="",N(F1451)=0),"",G1451/F1451)</f>
        <v/>
      </c>
      <c r="P1451" s="60" t="str">
        <f aca="false">IF(E1451="","",ROUND(N(G1451)*N(H1451)/60,1))</f>
        <v/>
      </c>
      <c r="Q1451" s="57" t="str">
        <f aca="false">IF(E1451="","",IF(COUNTIFS($C$2:C1451,C1451,$E$2:E1451,E1451,$B$2:B1451,B1451)&gt;1,"No","Yes"))</f>
        <v/>
      </c>
      <c r="R1451" s="61" t="str">
        <f aca="false">IF(E1451="","",IF(Q1451="No","Duplicate of an earlier response",IF(L1451="Not on SITES","Site not on SITES",IF(N(G1451)&gt;N(F1451),"Present is more than enrolled",IF(OR(I1451&lt;1,I1451&gt;5),"Score outside 1 to 5","")))))</f>
        <v/>
      </c>
    </row>
    <row r="1452" customFormat="false" ht="15" hidden="false" customHeight="false" outlineLevel="0" collapsed="false">
      <c r="A1452" s="52"/>
      <c r="B1452" s="53"/>
      <c r="C1452" s="53"/>
      <c r="D1452" s="53"/>
      <c r="E1452" s="54"/>
      <c r="F1452" s="55"/>
      <c r="G1452" s="55"/>
      <c r="H1452" s="55"/>
      <c r="I1452" s="56"/>
      <c r="J1452" s="53"/>
      <c r="K1452" s="53"/>
      <c r="L1452" s="57" t="str">
        <f aca="false">IF(C1452="","",IFERROR(INDEX(site_ID,MATCH(C1452,site_Name,0)),"Not on SITES"))</f>
        <v/>
      </c>
      <c r="M1452" s="58" t="str">
        <f aca="false">IF(E1452="","",DATE(YEAR(E1452),MONTH(E1452),1))</f>
        <v/>
      </c>
      <c r="N1452" s="57" t="str">
        <f aca="false">IF(E1452="","","FY"&amp;(YEAR(E1452)+IF(AND(FYStart&gt;1,MONTH(E1452)&gt;=FYStart),1,0))&amp;" Q"&amp;(INT(MOD(MONTH(E1452)-FYStart,12)/3)+1))</f>
        <v/>
      </c>
      <c r="O1452" s="59" t="str">
        <f aca="false">IF(OR(E1452="",N(F1452)=0),"",G1452/F1452)</f>
        <v/>
      </c>
      <c r="P1452" s="60" t="str">
        <f aca="false">IF(E1452="","",ROUND(N(G1452)*N(H1452)/60,1))</f>
        <v/>
      </c>
      <c r="Q1452" s="57" t="str">
        <f aca="false">IF(E1452="","",IF(COUNTIFS($C$2:C1452,C1452,$E$2:E1452,E1452,$B$2:B1452,B1452)&gt;1,"No","Yes"))</f>
        <v/>
      </c>
      <c r="R1452" s="61" t="str">
        <f aca="false">IF(E1452="","",IF(Q1452="No","Duplicate of an earlier response",IF(L1452="Not on SITES","Site not on SITES",IF(N(G1452)&gt;N(F1452),"Present is more than enrolled",IF(OR(I1452&lt;1,I1452&gt;5),"Score outside 1 to 5","")))))</f>
        <v/>
      </c>
    </row>
    <row r="1453" customFormat="false" ht="15" hidden="false" customHeight="false" outlineLevel="0" collapsed="false">
      <c r="A1453" s="52"/>
      <c r="B1453" s="53"/>
      <c r="C1453" s="53"/>
      <c r="D1453" s="53"/>
      <c r="E1453" s="54"/>
      <c r="F1453" s="55"/>
      <c r="G1453" s="55"/>
      <c r="H1453" s="55"/>
      <c r="I1453" s="56"/>
      <c r="J1453" s="53"/>
      <c r="K1453" s="53"/>
      <c r="L1453" s="57" t="str">
        <f aca="false">IF(C1453="","",IFERROR(INDEX(site_ID,MATCH(C1453,site_Name,0)),"Not on SITES"))</f>
        <v/>
      </c>
      <c r="M1453" s="58" t="str">
        <f aca="false">IF(E1453="","",DATE(YEAR(E1453),MONTH(E1453),1))</f>
        <v/>
      </c>
      <c r="N1453" s="57" t="str">
        <f aca="false">IF(E1453="","","FY"&amp;(YEAR(E1453)+IF(AND(FYStart&gt;1,MONTH(E1453)&gt;=FYStart),1,0))&amp;" Q"&amp;(INT(MOD(MONTH(E1453)-FYStart,12)/3)+1))</f>
        <v/>
      </c>
      <c r="O1453" s="59" t="str">
        <f aca="false">IF(OR(E1453="",N(F1453)=0),"",G1453/F1453)</f>
        <v/>
      </c>
      <c r="P1453" s="60" t="str">
        <f aca="false">IF(E1453="","",ROUND(N(G1453)*N(H1453)/60,1))</f>
        <v/>
      </c>
      <c r="Q1453" s="57" t="str">
        <f aca="false">IF(E1453="","",IF(COUNTIFS($C$2:C1453,C1453,$E$2:E1453,E1453,$B$2:B1453,B1453)&gt;1,"No","Yes"))</f>
        <v/>
      </c>
      <c r="R1453" s="61" t="str">
        <f aca="false">IF(E1453="","",IF(Q1453="No","Duplicate of an earlier response",IF(L1453="Not on SITES","Site not on SITES",IF(N(G1453)&gt;N(F1453),"Present is more than enrolled",IF(OR(I1453&lt;1,I1453&gt;5),"Score outside 1 to 5","")))))</f>
        <v/>
      </c>
    </row>
    <row r="1454" customFormat="false" ht="15" hidden="false" customHeight="false" outlineLevel="0" collapsed="false">
      <c r="A1454" s="52"/>
      <c r="B1454" s="53"/>
      <c r="C1454" s="53"/>
      <c r="D1454" s="53"/>
      <c r="E1454" s="54"/>
      <c r="F1454" s="55"/>
      <c r="G1454" s="55"/>
      <c r="H1454" s="55"/>
      <c r="I1454" s="56"/>
      <c r="J1454" s="53"/>
      <c r="K1454" s="53"/>
      <c r="L1454" s="57" t="str">
        <f aca="false">IF(C1454="","",IFERROR(INDEX(site_ID,MATCH(C1454,site_Name,0)),"Not on SITES"))</f>
        <v/>
      </c>
      <c r="M1454" s="58" t="str">
        <f aca="false">IF(E1454="","",DATE(YEAR(E1454),MONTH(E1454),1))</f>
        <v/>
      </c>
      <c r="N1454" s="57" t="str">
        <f aca="false">IF(E1454="","","FY"&amp;(YEAR(E1454)+IF(AND(FYStart&gt;1,MONTH(E1454)&gt;=FYStart),1,0))&amp;" Q"&amp;(INT(MOD(MONTH(E1454)-FYStart,12)/3)+1))</f>
        <v/>
      </c>
      <c r="O1454" s="59" t="str">
        <f aca="false">IF(OR(E1454="",N(F1454)=0),"",G1454/F1454)</f>
        <v/>
      </c>
      <c r="P1454" s="60" t="str">
        <f aca="false">IF(E1454="","",ROUND(N(G1454)*N(H1454)/60,1))</f>
        <v/>
      </c>
      <c r="Q1454" s="57" t="str">
        <f aca="false">IF(E1454="","",IF(COUNTIFS($C$2:C1454,C1454,$E$2:E1454,E1454,$B$2:B1454,B1454)&gt;1,"No","Yes"))</f>
        <v/>
      </c>
      <c r="R1454" s="61" t="str">
        <f aca="false">IF(E1454="","",IF(Q1454="No","Duplicate of an earlier response",IF(L1454="Not on SITES","Site not on SITES",IF(N(G1454)&gt;N(F1454),"Present is more than enrolled",IF(OR(I1454&lt;1,I1454&gt;5),"Score outside 1 to 5","")))))</f>
        <v/>
      </c>
    </row>
    <row r="1455" customFormat="false" ht="15" hidden="false" customHeight="false" outlineLevel="0" collapsed="false">
      <c r="A1455" s="52"/>
      <c r="B1455" s="53"/>
      <c r="C1455" s="53"/>
      <c r="D1455" s="53"/>
      <c r="E1455" s="54"/>
      <c r="F1455" s="55"/>
      <c r="G1455" s="55"/>
      <c r="H1455" s="55"/>
      <c r="I1455" s="56"/>
      <c r="J1455" s="53"/>
      <c r="K1455" s="53"/>
      <c r="L1455" s="57" t="str">
        <f aca="false">IF(C1455="","",IFERROR(INDEX(site_ID,MATCH(C1455,site_Name,0)),"Not on SITES"))</f>
        <v/>
      </c>
      <c r="M1455" s="58" t="str">
        <f aca="false">IF(E1455="","",DATE(YEAR(E1455),MONTH(E1455),1))</f>
        <v/>
      </c>
      <c r="N1455" s="57" t="str">
        <f aca="false">IF(E1455="","","FY"&amp;(YEAR(E1455)+IF(AND(FYStart&gt;1,MONTH(E1455)&gt;=FYStart),1,0))&amp;" Q"&amp;(INT(MOD(MONTH(E1455)-FYStart,12)/3)+1))</f>
        <v/>
      </c>
      <c r="O1455" s="59" t="str">
        <f aca="false">IF(OR(E1455="",N(F1455)=0),"",G1455/F1455)</f>
        <v/>
      </c>
      <c r="P1455" s="60" t="str">
        <f aca="false">IF(E1455="","",ROUND(N(G1455)*N(H1455)/60,1))</f>
        <v/>
      </c>
      <c r="Q1455" s="57" t="str">
        <f aca="false">IF(E1455="","",IF(COUNTIFS($C$2:C1455,C1455,$E$2:E1455,E1455,$B$2:B1455,B1455)&gt;1,"No","Yes"))</f>
        <v/>
      </c>
      <c r="R1455" s="61" t="str">
        <f aca="false">IF(E1455="","",IF(Q1455="No","Duplicate of an earlier response",IF(L1455="Not on SITES","Site not on SITES",IF(N(G1455)&gt;N(F1455),"Present is more than enrolled",IF(OR(I1455&lt;1,I1455&gt;5),"Score outside 1 to 5","")))))</f>
        <v/>
      </c>
    </row>
    <row r="1456" customFormat="false" ht="15" hidden="false" customHeight="false" outlineLevel="0" collapsed="false">
      <c r="A1456" s="52"/>
      <c r="B1456" s="53"/>
      <c r="C1456" s="53"/>
      <c r="D1456" s="53"/>
      <c r="E1456" s="54"/>
      <c r="F1456" s="55"/>
      <c r="G1456" s="55"/>
      <c r="H1456" s="55"/>
      <c r="I1456" s="56"/>
      <c r="J1456" s="53"/>
      <c r="K1456" s="53"/>
      <c r="L1456" s="57" t="str">
        <f aca="false">IF(C1456="","",IFERROR(INDEX(site_ID,MATCH(C1456,site_Name,0)),"Not on SITES"))</f>
        <v/>
      </c>
      <c r="M1456" s="58" t="str">
        <f aca="false">IF(E1456="","",DATE(YEAR(E1456),MONTH(E1456),1))</f>
        <v/>
      </c>
      <c r="N1456" s="57" t="str">
        <f aca="false">IF(E1456="","","FY"&amp;(YEAR(E1456)+IF(AND(FYStart&gt;1,MONTH(E1456)&gt;=FYStart),1,0))&amp;" Q"&amp;(INT(MOD(MONTH(E1456)-FYStart,12)/3)+1))</f>
        <v/>
      </c>
      <c r="O1456" s="59" t="str">
        <f aca="false">IF(OR(E1456="",N(F1456)=0),"",G1456/F1456)</f>
        <v/>
      </c>
      <c r="P1456" s="60" t="str">
        <f aca="false">IF(E1456="","",ROUND(N(G1456)*N(H1456)/60,1))</f>
        <v/>
      </c>
      <c r="Q1456" s="57" t="str">
        <f aca="false">IF(E1456="","",IF(COUNTIFS($C$2:C1456,C1456,$E$2:E1456,E1456,$B$2:B1456,B1456)&gt;1,"No","Yes"))</f>
        <v/>
      </c>
      <c r="R1456" s="61" t="str">
        <f aca="false">IF(E1456="","",IF(Q1456="No","Duplicate of an earlier response",IF(L1456="Not on SITES","Site not on SITES",IF(N(G1456)&gt;N(F1456),"Present is more than enrolled",IF(OR(I1456&lt;1,I1456&gt;5),"Score outside 1 to 5","")))))</f>
        <v/>
      </c>
    </row>
    <row r="1457" customFormat="false" ht="15" hidden="false" customHeight="false" outlineLevel="0" collapsed="false">
      <c r="A1457" s="52"/>
      <c r="B1457" s="53"/>
      <c r="C1457" s="53"/>
      <c r="D1457" s="53"/>
      <c r="E1457" s="54"/>
      <c r="F1457" s="55"/>
      <c r="G1457" s="55"/>
      <c r="H1457" s="55"/>
      <c r="I1457" s="56"/>
      <c r="J1457" s="53"/>
      <c r="K1457" s="53"/>
      <c r="L1457" s="57" t="str">
        <f aca="false">IF(C1457="","",IFERROR(INDEX(site_ID,MATCH(C1457,site_Name,0)),"Not on SITES"))</f>
        <v/>
      </c>
      <c r="M1457" s="58" t="str">
        <f aca="false">IF(E1457="","",DATE(YEAR(E1457),MONTH(E1457),1))</f>
        <v/>
      </c>
      <c r="N1457" s="57" t="str">
        <f aca="false">IF(E1457="","","FY"&amp;(YEAR(E1457)+IF(AND(FYStart&gt;1,MONTH(E1457)&gt;=FYStart),1,0))&amp;" Q"&amp;(INT(MOD(MONTH(E1457)-FYStart,12)/3)+1))</f>
        <v/>
      </c>
      <c r="O1457" s="59" t="str">
        <f aca="false">IF(OR(E1457="",N(F1457)=0),"",G1457/F1457)</f>
        <v/>
      </c>
      <c r="P1457" s="60" t="str">
        <f aca="false">IF(E1457="","",ROUND(N(G1457)*N(H1457)/60,1))</f>
        <v/>
      </c>
      <c r="Q1457" s="57" t="str">
        <f aca="false">IF(E1457="","",IF(COUNTIFS($C$2:C1457,C1457,$E$2:E1457,E1457,$B$2:B1457,B1457)&gt;1,"No","Yes"))</f>
        <v/>
      </c>
      <c r="R1457" s="61" t="str">
        <f aca="false">IF(E1457="","",IF(Q1457="No","Duplicate of an earlier response",IF(L1457="Not on SITES","Site not on SITES",IF(N(G1457)&gt;N(F1457),"Present is more than enrolled",IF(OR(I1457&lt;1,I1457&gt;5),"Score outside 1 to 5","")))))</f>
        <v/>
      </c>
    </row>
    <row r="1458" customFormat="false" ht="15" hidden="false" customHeight="false" outlineLevel="0" collapsed="false">
      <c r="A1458" s="52"/>
      <c r="B1458" s="53"/>
      <c r="C1458" s="53"/>
      <c r="D1458" s="53"/>
      <c r="E1458" s="54"/>
      <c r="F1458" s="55"/>
      <c r="G1458" s="55"/>
      <c r="H1458" s="55"/>
      <c r="I1458" s="56"/>
      <c r="J1458" s="53"/>
      <c r="K1458" s="53"/>
      <c r="L1458" s="57" t="str">
        <f aca="false">IF(C1458="","",IFERROR(INDEX(site_ID,MATCH(C1458,site_Name,0)),"Not on SITES"))</f>
        <v/>
      </c>
      <c r="M1458" s="58" t="str">
        <f aca="false">IF(E1458="","",DATE(YEAR(E1458),MONTH(E1458),1))</f>
        <v/>
      </c>
      <c r="N1458" s="57" t="str">
        <f aca="false">IF(E1458="","","FY"&amp;(YEAR(E1458)+IF(AND(FYStart&gt;1,MONTH(E1458)&gt;=FYStart),1,0))&amp;" Q"&amp;(INT(MOD(MONTH(E1458)-FYStart,12)/3)+1))</f>
        <v/>
      </c>
      <c r="O1458" s="59" t="str">
        <f aca="false">IF(OR(E1458="",N(F1458)=0),"",G1458/F1458)</f>
        <v/>
      </c>
      <c r="P1458" s="60" t="str">
        <f aca="false">IF(E1458="","",ROUND(N(G1458)*N(H1458)/60,1))</f>
        <v/>
      </c>
      <c r="Q1458" s="57" t="str">
        <f aca="false">IF(E1458="","",IF(COUNTIFS($C$2:C1458,C1458,$E$2:E1458,E1458,$B$2:B1458,B1458)&gt;1,"No","Yes"))</f>
        <v/>
      </c>
      <c r="R1458" s="61" t="str">
        <f aca="false">IF(E1458="","",IF(Q1458="No","Duplicate of an earlier response",IF(L1458="Not on SITES","Site not on SITES",IF(N(G1458)&gt;N(F1458),"Present is more than enrolled",IF(OR(I1458&lt;1,I1458&gt;5),"Score outside 1 to 5","")))))</f>
        <v/>
      </c>
    </row>
    <row r="1459" customFormat="false" ht="15" hidden="false" customHeight="false" outlineLevel="0" collapsed="false">
      <c r="A1459" s="52"/>
      <c r="B1459" s="53"/>
      <c r="C1459" s="53"/>
      <c r="D1459" s="53"/>
      <c r="E1459" s="54"/>
      <c r="F1459" s="55"/>
      <c r="G1459" s="55"/>
      <c r="H1459" s="55"/>
      <c r="I1459" s="56"/>
      <c r="J1459" s="53"/>
      <c r="K1459" s="53"/>
      <c r="L1459" s="57" t="str">
        <f aca="false">IF(C1459="","",IFERROR(INDEX(site_ID,MATCH(C1459,site_Name,0)),"Not on SITES"))</f>
        <v/>
      </c>
      <c r="M1459" s="58" t="str">
        <f aca="false">IF(E1459="","",DATE(YEAR(E1459),MONTH(E1459),1))</f>
        <v/>
      </c>
      <c r="N1459" s="57" t="str">
        <f aca="false">IF(E1459="","","FY"&amp;(YEAR(E1459)+IF(AND(FYStart&gt;1,MONTH(E1459)&gt;=FYStart),1,0))&amp;" Q"&amp;(INT(MOD(MONTH(E1459)-FYStart,12)/3)+1))</f>
        <v/>
      </c>
      <c r="O1459" s="59" t="str">
        <f aca="false">IF(OR(E1459="",N(F1459)=0),"",G1459/F1459)</f>
        <v/>
      </c>
      <c r="P1459" s="60" t="str">
        <f aca="false">IF(E1459="","",ROUND(N(G1459)*N(H1459)/60,1))</f>
        <v/>
      </c>
      <c r="Q1459" s="57" t="str">
        <f aca="false">IF(E1459="","",IF(COUNTIFS($C$2:C1459,C1459,$E$2:E1459,E1459,$B$2:B1459,B1459)&gt;1,"No","Yes"))</f>
        <v/>
      </c>
      <c r="R1459" s="61" t="str">
        <f aca="false">IF(E1459="","",IF(Q1459="No","Duplicate of an earlier response",IF(L1459="Not on SITES","Site not on SITES",IF(N(G1459)&gt;N(F1459),"Present is more than enrolled",IF(OR(I1459&lt;1,I1459&gt;5),"Score outside 1 to 5","")))))</f>
        <v/>
      </c>
    </row>
    <row r="1460" customFormat="false" ht="15" hidden="false" customHeight="false" outlineLevel="0" collapsed="false">
      <c r="A1460" s="52"/>
      <c r="B1460" s="53"/>
      <c r="C1460" s="53"/>
      <c r="D1460" s="53"/>
      <c r="E1460" s="54"/>
      <c r="F1460" s="55"/>
      <c r="G1460" s="55"/>
      <c r="H1460" s="55"/>
      <c r="I1460" s="56"/>
      <c r="J1460" s="53"/>
      <c r="K1460" s="53"/>
      <c r="L1460" s="57" t="str">
        <f aca="false">IF(C1460="","",IFERROR(INDEX(site_ID,MATCH(C1460,site_Name,0)),"Not on SITES"))</f>
        <v/>
      </c>
      <c r="M1460" s="58" t="str">
        <f aca="false">IF(E1460="","",DATE(YEAR(E1460),MONTH(E1460),1))</f>
        <v/>
      </c>
      <c r="N1460" s="57" t="str">
        <f aca="false">IF(E1460="","","FY"&amp;(YEAR(E1460)+IF(AND(FYStart&gt;1,MONTH(E1460)&gt;=FYStart),1,0))&amp;" Q"&amp;(INT(MOD(MONTH(E1460)-FYStart,12)/3)+1))</f>
        <v/>
      </c>
      <c r="O1460" s="59" t="str">
        <f aca="false">IF(OR(E1460="",N(F1460)=0),"",G1460/F1460)</f>
        <v/>
      </c>
      <c r="P1460" s="60" t="str">
        <f aca="false">IF(E1460="","",ROUND(N(G1460)*N(H1460)/60,1))</f>
        <v/>
      </c>
      <c r="Q1460" s="57" t="str">
        <f aca="false">IF(E1460="","",IF(COUNTIFS($C$2:C1460,C1460,$E$2:E1460,E1460,$B$2:B1460,B1460)&gt;1,"No","Yes"))</f>
        <v/>
      </c>
      <c r="R1460" s="61" t="str">
        <f aca="false">IF(E1460="","",IF(Q1460="No","Duplicate of an earlier response",IF(L1460="Not on SITES","Site not on SITES",IF(N(G1460)&gt;N(F1460),"Present is more than enrolled",IF(OR(I1460&lt;1,I1460&gt;5),"Score outside 1 to 5","")))))</f>
        <v/>
      </c>
    </row>
    <row r="1461" customFormat="false" ht="15" hidden="false" customHeight="false" outlineLevel="0" collapsed="false">
      <c r="A1461" s="52"/>
      <c r="B1461" s="53"/>
      <c r="C1461" s="53"/>
      <c r="D1461" s="53"/>
      <c r="E1461" s="54"/>
      <c r="F1461" s="55"/>
      <c r="G1461" s="55"/>
      <c r="H1461" s="55"/>
      <c r="I1461" s="56"/>
      <c r="J1461" s="53"/>
      <c r="K1461" s="53"/>
      <c r="L1461" s="57" t="str">
        <f aca="false">IF(C1461="","",IFERROR(INDEX(site_ID,MATCH(C1461,site_Name,0)),"Not on SITES"))</f>
        <v/>
      </c>
      <c r="M1461" s="58" t="str">
        <f aca="false">IF(E1461="","",DATE(YEAR(E1461),MONTH(E1461),1))</f>
        <v/>
      </c>
      <c r="N1461" s="57" t="str">
        <f aca="false">IF(E1461="","","FY"&amp;(YEAR(E1461)+IF(AND(FYStart&gt;1,MONTH(E1461)&gt;=FYStart),1,0))&amp;" Q"&amp;(INT(MOD(MONTH(E1461)-FYStart,12)/3)+1))</f>
        <v/>
      </c>
      <c r="O1461" s="59" t="str">
        <f aca="false">IF(OR(E1461="",N(F1461)=0),"",G1461/F1461)</f>
        <v/>
      </c>
      <c r="P1461" s="60" t="str">
        <f aca="false">IF(E1461="","",ROUND(N(G1461)*N(H1461)/60,1))</f>
        <v/>
      </c>
      <c r="Q1461" s="57" t="str">
        <f aca="false">IF(E1461="","",IF(COUNTIFS($C$2:C1461,C1461,$E$2:E1461,E1461,$B$2:B1461,B1461)&gt;1,"No","Yes"))</f>
        <v/>
      </c>
      <c r="R1461" s="61" t="str">
        <f aca="false">IF(E1461="","",IF(Q1461="No","Duplicate of an earlier response",IF(L1461="Not on SITES","Site not on SITES",IF(N(G1461)&gt;N(F1461),"Present is more than enrolled",IF(OR(I1461&lt;1,I1461&gt;5),"Score outside 1 to 5","")))))</f>
        <v/>
      </c>
    </row>
    <row r="1462" customFormat="false" ht="15" hidden="false" customHeight="false" outlineLevel="0" collapsed="false">
      <c r="A1462" s="52"/>
      <c r="B1462" s="53"/>
      <c r="C1462" s="53"/>
      <c r="D1462" s="53"/>
      <c r="E1462" s="54"/>
      <c r="F1462" s="55"/>
      <c r="G1462" s="55"/>
      <c r="H1462" s="55"/>
      <c r="I1462" s="56"/>
      <c r="J1462" s="53"/>
      <c r="K1462" s="53"/>
      <c r="L1462" s="57" t="str">
        <f aca="false">IF(C1462="","",IFERROR(INDEX(site_ID,MATCH(C1462,site_Name,0)),"Not on SITES"))</f>
        <v/>
      </c>
      <c r="M1462" s="58" t="str">
        <f aca="false">IF(E1462="","",DATE(YEAR(E1462),MONTH(E1462),1))</f>
        <v/>
      </c>
      <c r="N1462" s="57" t="str">
        <f aca="false">IF(E1462="","","FY"&amp;(YEAR(E1462)+IF(AND(FYStart&gt;1,MONTH(E1462)&gt;=FYStart),1,0))&amp;" Q"&amp;(INT(MOD(MONTH(E1462)-FYStart,12)/3)+1))</f>
        <v/>
      </c>
      <c r="O1462" s="59" t="str">
        <f aca="false">IF(OR(E1462="",N(F1462)=0),"",G1462/F1462)</f>
        <v/>
      </c>
      <c r="P1462" s="60" t="str">
        <f aca="false">IF(E1462="","",ROUND(N(G1462)*N(H1462)/60,1))</f>
        <v/>
      </c>
      <c r="Q1462" s="57" t="str">
        <f aca="false">IF(E1462="","",IF(COUNTIFS($C$2:C1462,C1462,$E$2:E1462,E1462,$B$2:B1462,B1462)&gt;1,"No","Yes"))</f>
        <v/>
      </c>
      <c r="R1462" s="61" t="str">
        <f aca="false">IF(E1462="","",IF(Q1462="No","Duplicate of an earlier response",IF(L1462="Not on SITES","Site not on SITES",IF(N(G1462)&gt;N(F1462),"Present is more than enrolled",IF(OR(I1462&lt;1,I1462&gt;5),"Score outside 1 to 5","")))))</f>
        <v/>
      </c>
    </row>
    <row r="1463" customFormat="false" ht="15" hidden="false" customHeight="false" outlineLevel="0" collapsed="false">
      <c r="A1463" s="52"/>
      <c r="B1463" s="53"/>
      <c r="C1463" s="53"/>
      <c r="D1463" s="53"/>
      <c r="E1463" s="54"/>
      <c r="F1463" s="55"/>
      <c r="G1463" s="55"/>
      <c r="H1463" s="55"/>
      <c r="I1463" s="56"/>
      <c r="J1463" s="53"/>
      <c r="K1463" s="53"/>
      <c r="L1463" s="57" t="str">
        <f aca="false">IF(C1463="","",IFERROR(INDEX(site_ID,MATCH(C1463,site_Name,0)),"Not on SITES"))</f>
        <v/>
      </c>
      <c r="M1463" s="58" t="str">
        <f aca="false">IF(E1463="","",DATE(YEAR(E1463),MONTH(E1463),1))</f>
        <v/>
      </c>
      <c r="N1463" s="57" t="str">
        <f aca="false">IF(E1463="","","FY"&amp;(YEAR(E1463)+IF(AND(FYStart&gt;1,MONTH(E1463)&gt;=FYStart),1,0))&amp;" Q"&amp;(INT(MOD(MONTH(E1463)-FYStart,12)/3)+1))</f>
        <v/>
      </c>
      <c r="O1463" s="59" t="str">
        <f aca="false">IF(OR(E1463="",N(F1463)=0),"",G1463/F1463)</f>
        <v/>
      </c>
      <c r="P1463" s="60" t="str">
        <f aca="false">IF(E1463="","",ROUND(N(G1463)*N(H1463)/60,1))</f>
        <v/>
      </c>
      <c r="Q1463" s="57" t="str">
        <f aca="false">IF(E1463="","",IF(COUNTIFS($C$2:C1463,C1463,$E$2:E1463,E1463,$B$2:B1463,B1463)&gt;1,"No","Yes"))</f>
        <v/>
      </c>
      <c r="R1463" s="61" t="str">
        <f aca="false">IF(E1463="","",IF(Q1463="No","Duplicate of an earlier response",IF(L1463="Not on SITES","Site not on SITES",IF(N(G1463)&gt;N(F1463),"Present is more than enrolled",IF(OR(I1463&lt;1,I1463&gt;5),"Score outside 1 to 5","")))))</f>
        <v/>
      </c>
    </row>
    <row r="1464" customFormat="false" ht="15" hidden="false" customHeight="false" outlineLevel="0" collapsed="false">
      <c r="A1464" s="52"/>
      <c r="B1464" s="53"/>
      <c r="C1464" s="53"/>
      <c r="D1464" s="53"/>
      <c r="E1464" s="54"/>
      <c r="F1464" s="55"/>
      <c r="G1464" s="55"/>
      <c r="H1464" s="55"/>
      <c r="I1464" s="56"/>
      <c r="J1464" s="53"/>
      <c r="K1464" s="53"/>
      <c r="L1464" s="57" t="str">
        <f aca="false">IF(C1464="","",IFERROR(INDEX(site_ID,MATCH(C1464,site_Name,0)),"Not on SITES"))</f>
        <v/>
      </c>
      <c r="M1464" s="58" t="str">
        <f aca="false">IF(E1464="","",DATE(YEAR(E1464),MONTH(E1464),1))</f>
        <v/>
      </c>
      <c r="N1464" s="57" t="str">
        <f aca="false">IF(E1464="","","FY"&amp;(YEAR(E1464)+IF(AND(FYStart&gt;1,MONTH(E1464)&gt;=FYStart),1,0))&amp;" Q"&amp;(INT(MOD(MONTH(E1464)-FYStart,12)/3)+1))</f>
        <v/>
      </c>
      <c r="O1464" s="59" t="str">
        <f aca="false">IF(OR(E1464="",N(F1464)=0),"",G1464/F1464)</f>
        <v/>
      </c>
      <c r="P1464" s="60" t="str">
        <f aca="false">IF(E1464="","",ROUND(N(G1464)*N(H1464)/60,1))</f>
        <v/>
      </c>
      <c r="Q1464" s="57" t="str">
        <f aca="false">IF(E1464="","",IF(COUNTIFS($C$2:C1464,C1464,$E$2:E1464,E1464,$B$2:B1464,B1464)&gt;1,"No","Yes"))</f>
        <v/>
      </c>
      <c r="R1464" s="61" t="str">
        <f aca="false">IF(E1464="","",IF(Q1464="No","Duplicate of an earlier response",IF(L1464="Not on SITES","Site not on SITES",IF(N(G1464)&gt;N(F1464),"Present is more than enrolled",IF(OR(I1464&lt;1,I1464&gt;5),"Score outside 1 to 5","")))))</f>
        <v/>
      </c>
    </row>
    <row r="1465" customFormat="false" ht="15" hidden="false" customHeight="false" outlineLevel="0" collapsed="false">
      <c r="A1465" s="52"/>
      <c r="B1465" s="53"/>
      <c r="C1465" s="53"/>
      <c r="D1465" s="53"/>
      <c r="E1465" s="54"/>
      <c r="F1465" s="55"/>
      <c r="G1465" s="55"/>
      <c r="H1465" s="55"/>
      <c r="I1465" s="56"/>
      <c r="J1465" s="53"/>
      <c r="K1465" s="53"/>
      <c r="L1465" s="57" t="str">
        <f aca="false">IF(C1465="","",IFERROR(INDEX(site_ID,MATCH(C1465,site_Name,0)),"Not on SITES"))</f>
        <v/>
      </c>
      <c r="M1465" s="58" t="str">
        <f aca="false">IF(E1465="","",DATE(YEAR(E1465),MONTH(E1465),1))</f>
        <v/>
      </c>
      <c r="N1465" s="57" t="str">
        <f aca="false">IF(E1465="","","FY"&amp;(YEAR(E1465)+IF(AND(FYStart&gt;1,MONTH(E1465)&gt;=FYStart),1,0))&amp;" Q"&amp;(INT(MOD(MONTH(E1465)-FYStart,12)/3)+1))</f>
        <v/>
      </c>
      <c r="O1465" s="59" t="str">
        <f aca="false">IF(OR(E1465="",N(F1465)=0),"",G1465/F1465)</f>
        <v/>
      </c>
      <c r="P1465" s="60" t="str">
        <f aca="false">IF(E1465="","",ROUND(N(G1465)*N(H1465)/60,1))</f>
        <v/>
      </c>
      <c r="Q1465" s="57" t="str">
        <f aca="false">IF(E1465="","",IF(COUNTIFS($C$2:C1465,C1465,$E$2:E1465,E1465,$B$2:B1465,B1465)&gt;1,"No","Yes"))</f>
        <v/>
      </c>
      <c r="R1465" s="61" t="str">
        <f aca="false">IF(E1465="","",IF(Q1465="No","Duplicate of an earlier response",IF(L1465="Not on SITES","Site not on SITES",IF(N(G1465)&gt;N(F1465),"Present is more than enrolled",IF(OR(I1465&lt;1,I1465&gt;5),"Score outside 1 to 5","")))))</f>
        <v/>
      </c>
    </row>
    <row r="1466" customFormat="false" ht="15" hidden="false" customHeight="false" outlineLevel="0" collapsed="false">
      <c r="A1466" s="52"/>
      <c r="B1466" s="53"/>
      <c r="C1466" s="53"/>
      <c r="D1466" s="53"/>
      <c r="E1466" s="54"/>
      <c r="F1466" s="55"/>
      <c r="G1466" s="55"/>
      <c r="H1466" s="55"/>
      <c r="I1466" s="56"/>
      <c r="J1466" s="53"/>
      <c r="K1466" s="53"/>
      <c r="L1466" s="57" t="str">
        <f aca="false">IF(C1466="","",IFERROR(INDEX(site_ID,MATCH(C1466,site_Name,0)),"Not on SITES"))</f>
        <v/>
      </c>
      <c r="M1466" s="58" t="str">
        <f aca="false">IF(E1466="","",DATE(YEAR(E1466),MONTH(E1466),1))</f>
        <v/>
      </c>
      <c r="N1466" s="57" t="str">
        <f aca="false">IF(E1466="","","FY"&amp;(YEAR(E1466)+IF(AND(FYStart&gt;1,MONTH(E1466)&gt;=FYStart),1,0))&amp;" Q"&amp;(INT(MOD(MONTH(E1466)-FYStart,12)/3)+1))</f>
        <v/>
      </c>
      <c r="O1466" s="59" t="str">
        <f aca="false">IF(OR(E1466="",N(F1466)=0),"",G1466/F1466)</f>
        <v/>
      </c>
      <c r="P1466" s="60" t="str">
        <f aca="false">IF(E1466="","",ROUND(N(G1466)*N(H1466)/60,1))</f>
        <v/>
      </c>
      <c r="Q1466" s="57" t="str">
        <f aca="false">IF(E1466="","",IF(COUNTIFS($C$2:C1466,C1466,$E$2:E1466,E1466,$B$2:B1466,B1466)&gt;1,"No","Yes"))</f>
        <v/>
      </c>
      <c r="R1466" s="61" t="str">
        <f aca="false">IF(E1466="","",IF(Q1466="No","Duplicate of an earlier response",IF(L1466="Not on SITES","Site not on SITES",IF(N(G1466)&gt;N(F1466),"Present is more than enrolled",IF(OR(I1466&lt;1,I1466&gt;5),"Score outside 1 to 5","")))))</f>
        <v/>
      </c>
    </row>
    <row r="1467" customFormat="false" ht="15" hidden="false" customHeight="false" outlineLevel="0" collapsed="false">
      <c r="A1467" s="52"/>
      <c r="B1467" s="53"/>
      <c r="C1467" s="53"/>
      <c r="D1467" s="53"/>
      <c r="E1467" s="54"/>
      <c r="F1467" s="55"/>
      <c r="G1467" s="55"/>
      <c r="H1467" s="55"/>
      <c r="I1467" s="56"/>
      <c r="J1467" s="53"/>
      <c r="K1467" s="53"/>
      <c r="L1467" s="57" t="str">
        <f aca="false">IF(C1467="","",IFERROR(INDEX(site_ID,MATCH(C1467,site_Name,0)),"Not on SITES"))</f>
        <v/>
      </c>
      <c r="M1467" s="58" t="str">
        <f aca="false">IF(E1467="","",DATE(YEAR(E1467),MONTH(E1467),1))</f>
        <v/>
      </c>
      <c r="N1467" s="57" t="str">
        <f aca="false">IF(E1467="","","FY"&amp;(YEAR(E1467)+IF(AND(FYStart&gt;1,MONTH(E1467)&gt;=FYStart),1,0))&amp;" Q"&amp;(INT(MOD(MONTH(E1467)-FYStart,12)/3)+1))</f>
        <v/>
      </c>
      <c r="O1467" s="59" t="str">
        <f aca="false">IF(OR(E1467="",N(F1467)=0),"",G1467/F1467)</f>
        <v/>
      </c>
      <c r="P1467" s="60" t="str">
        <f aca="false">IF(E1467="","",ROUND(N(G1467)*N(H1467)/60,1))</f>
        <v/>
      </c>
      <c r="Q1467" s="57" t="str">
        <f aca="false">IF(E1467="","",IF(COUNTIFS($C$2:C1467,C1467,$E$2:E1467,E1467,$B$2:B1467,B1467)&gt;1,"No","Yes"))</f>
        <v/>
      </c>
      <c r="R1467" s="61" t="str">
        <f aca="false">IF(E1467="","",IF(Q1467="No","Duplicate of an earlier response",IF(L1467="Not on SITES","Site not on SITES",IF(N(G1467)&gt;N(F1467),"Present is more than enrolled",IF(OR(I1467&lt;1,I1467&gt;5),"Score outside 1 to 5","")))))</f>
        <v/>
      </c>
    </row>
    <row r="1468" customFormat="false" ht="15" hidden="false" customHeight="false" outlineLevel="0" collapsed="false">
      <c r="A1468" s="52"/>
      <c r="B1468" s="53"/>
      <c r="C1468" s="53"/>
      <c r="D1468" s="53"/>
      <c r="E1468" s="54"/>
      <c r="F1468" s="55"/>
      <c r="G1468" s="55"/>
      <c r="H1468" s="55"/>
      <c r="I1468" s="56"/>
      <c r="J1468" s="53"/>
      <c r="K1468" s="53"/>
      <c r="L1468" s="57" t="str">
        <f aca="false">IF(C1468="","",IFERROR(INDEX(site_ID,MATCH(C1468,site_Name,0)),"Not on SITES"))</f>
        <v/>
      </c>
      <c r="M1468" s="58" t="str">
        <f aca="false">IF(E1468="","",DATE(YEAR(E1468),MONTH(E1468),1))</f>
        <v/>
      </c>
      <c r="N1468" s="57" t="str">
        <f aca="false">IF(E1468="","","FY"&amp;(YEAR(E1468)+IF(AND(FYStart&gt;1,MONTH(E1468)&gt;=FYStart),1,0))&amp;" Q"&amp;(INT(MOD(MONTH(E1468)-FYStart,12)/3)+1))</f>
        <v/>
      </c>
      <c r="O1468" s="59" t="str">
        <f aca="false">IF(OR(E1468="",N(F1468)=0),"",G1468/F1468)</f>
        <v/>
      </c>
      <c r="P1468" s="60" t="str">
        <f aca="false">IF(E1468="","",ROUND(N(G1468)*N(H1468)/60,1))</f>
        <v/>
      </c>
      <c r="Q1468" s="57" t="str">
        <f aca="false">IF(E1468="","",IF(COUNTIFS($C$2:C1468,C1468,$E$2:E1468,E1468,$B$2:B1468,B1468)&gt;1,"No","Yes"))</f>
        <v/>
      </c>
      <c r="R1468" s="61" t="str">
        <f aca="false">IF(E1468="","",IF(Q1468="No","Duplicate of an earlier response",IF(L1468="Not on SITES","Site not on SITES",IF(N(G1468)&gt;N(F1468),"Present is more than enrolled",IF(OR(I1468&lt;1,I1468&gt;5),"Score outside 1 to 5","")))))</f>
        <v/>
      </c>
    </row>
    <row r="1469" customFormat="false" ht="15" hidden="false" customHeight="false" outlineLevel="0" collapsed="false">
      <c r="A1469" s="52"/>
      <c r="B1469" s="53"/>
      <c r="C1469" s="53"/>
      <c r="D1469" s="53"/>
      <c r="E1469" s="54"/>
      <c r="F1469" s="55"/>
      <c r="G1469" s="55"/>
      <c r="H1469" s="55"/>
      <c r="I1469" s="56"/>
      <c r="J1469" s="53"/>
      <c r="K1469" s="53"/>
      <c r="L1469" s="57" t="str">
        <f aca="false">IF(C1469="","",IFERROR(INDEX(site_ID,MATCH(C1469,site_Name,0)),"Not on SITES"))</f>
        <v/>
      </c>
      <c r="M1469" s="58" t="str">
        <f aca="false">IF(E1469="","",DATE(YEAR(E1469),MONTH(E1469),1))</f>
        <v/>
      </c>
      <c r="N1469" s="57" t="str">
        <f aca="false">IF(E1469="","","FY"&amp;(YEAR(E1469)+IF(AND(FYStart&gt;1,MONTH(E1469)&gt;=FYStart),1,0))&amp;" Q"&amp;(INT(MOD(MONTH(E1469)-FYStart,12)/3)+1))</f>
        <v/>
      </c>
      <c r="O1469" s="59" t="str">
        <f aca="false">IF(OR(E1469="",N(F1469)=0),"",G1469/F1469)</f>
        <v/>
      </c>
      <c r="P1469" s="60" t="str">
        <f aca="false">IF(E1469="","",ROUND(N(G1469)*N(H1469)/60,1))</f>
        <v/>
      </c>
      <c r="Q1469" s="57" t="str">
        <f aca="false">IF(E1469="","",IF(COUNTIFS($C$2:C1469,C1469,$E$2:E1469,E1469,$B$2:B1469,B1469)&gt;1,"No","Yes"))</f>
        <v/>
      </c>
      <c r="R1469" s="61" t="str">
        <f aca="false">IF(E1469="","",IF(Q1469="No","Duplicate of an earlier response",IF(L1469="Not on SITES","Site not on SITES",IF(N(G1469)&gt;N(F1469),"Present is more than enrolled",IF(OR(I1469&lt;1,I1469&gt;5),"Score outside 1 to 5","")))))</f>
        <v/>
      </c>
    </row>
    <row r="1470" customFormat="false" ht="15" hidden="false" customHeight="false" outlineLevel="0" collapsed="false">
      <c r="A1470" s="52"/>
      <c r="B1470" s="53"/>
      <c r="C1470" s="53"/>
      <c r="D1470" s="53"/>
      <c r="E1470" s="54"/>
      <c r="F1470" s="55"/>
      <c r="G1470" s="55"/>
      <c r="H1470" s="55"/>
      <c r="I1470" s="56"/>
      <c r="J1470" s="53"/>
      <c r="K1470" s="53"/>
      <c r="L1470" s="57" t="str">
        <f aca="false">IF(C1470="","",IFERROR(INDEX(site_ID,MATCH(C1470,site_Name,0)),"Not on SITES"))</f>
        <v/>
      </c>
      <c r="M1470" s="58" t="str">
        <f aca="false">IF(E1470="","",DATE(YEAR(E1470),MONTH(E1470),1))</f>
        <v/>
      </c>
      <c r="N1470" s="57" t="str">
        <f aca="false">IF(E1470="","","FY"&amp;(YEAR(E1470)+IF(AND(FYStart&gt;1,MONTH(E1470)&gt;=FYStart),1,0))&amp;" Q"&amp;(INT(MOD(MONTH(E1470)-FYStart,12)/3)+1))</f>
        <v/>
      </c>
      <c r="O1470" s="59" t="str">
        <f aca="false">IF(OR(E1470="",N(F1470)=0),"",G1470/F1470)</f>
        <v/>
      </c>
      <c r="P1470" s="60" t="str">
        <f aca="false">IF(E1470="","",ROUND(N(G1470)*N(H1470)/60,1))</f>
        <v/>
      </c>
      <c r="Q1470" s="57" t="str">
        <f aca="false">IF(E1470="","",IF(COUNTIFS($C$2:C1470,C1470,$E$2:E1470,E1470,$B$2:B1470,B1470)&gt;1,"No","Yes"))</f>
        <v/>
      </c>
      <c r="R1470" s="61" t="str">
        <f aca="false">IF(E1470="","",IF(Q1470="No","Duplicate of an earlier response",IF(L1470="Not on SITES","Site not on SITES",IF(N(G1470)&gt;N(F1470),"Present is more than enrolled",IF(OR(I1470&lt;1,I1470&gt;5),"Score outside 1 to 5","")))))</f>
        <v/>
      </c>
    </row>
    <row r="1471" customFormat="false" ht="15" hidden="false" customHeight="false" outlineLevel="0" collapsed="false">
      <c r="A1471" s="52"/>
      <c r="B1471" s="53"/>
      <c r="C1471" s="53"/>
      <c r="D1471" s="53"/>
      <c r="E1471" s="54"/>
      <c r="F1471" s="55"/>
      <c r="G1471" s="55"/>
      <c r="H1471" s="55"/>
      <c r="I1471" s="56"/>
      <c r="J1471" s="53"/>
      <c r="K1471" s="53"/>
      <c r="L1471" s="57" t="str">
        <f aca="false">IF(C1471="","",IFERROR(INDEX(site_ID,MATCH(C1471,site_Name,0)),"Not on SITES"))</f>
        <v/>
      </c>
      <c r="M1471" s="58" t="str">
        <f aca="false">IF(E1471="","",DATE(YEAR(E1471),MONTH(E1471),1))</f>
        <v/>
      </c>
      <c r="N1471" s="57" t="str">
        <f aca="false">IF(E1471="","","FY"&amp;(YEAR(E1471)+IF(AND(FYStart&gt;1,MONTH(E1471)&gt;=FYStart),1,0))&amp;" Q"&amp;(INT(MOD(MONTH(E1471)-FYStart,12)/3)+1))</f>
        <v/>
      </c>
      <c r="O1471" s="59" t="str">
        <f aca="false">IF(OR(E1471="",N(F1471)=0),"",G1471/F1471)</f>
        <v/>
      </c>
      <c r="P1471" s="60" t="str">
        <f aca="false">IF(E1471="","",ROUND(N(G1471)*N(H1471)/60,1))</f>
        <v/>
      </c>
      <c r="Q1471" s="57" t="str">
        <f aca="false">IF(E1471="","",IF(COUNTIFS($C$2:C1471,C1471,$E$2:E1471,E1471,$B$2:B1471,B1471)&gt;1,"No","Yes"))</f>
        <v/>
      </c>
      <c r="R1471" s="61" t="str">
        <f aca="false">IF(E1471="","",IF(Q1471="No","Duplicate of an earlier response",IF(L1471="Not on SITES","Site not on SITES",IF(N(G1471)&gt;N(F1471),"Present is more than enrolled",IF(OR(I1471&lt;1,I1471&gt;5),"Score outside 1 to 5","")))))</f>
        <v/>
      </c>
    </row>
    <row r="1472" customFormat="false" ht="15" hidden="false" customHeight="false" outlineLevel="0" collapsed="false">
      <c r="A1472" s="52"/>
      <c r="B1472" s="53"/>
      <c r="C1472" s="53"/>
      <c r="D1472" s="53"/>
      <c r="E1472" s="54"/>
      <c r="F1472" s="55"/>
      <c r="G1472" s="55"/>
      <c r="H1472" s="55"/>
      <c r="I1472" s="56"/>
      <c r="J1472" s="53"/>
      <c r="K1472" s="53"/>
      <c r="L1472" s="57" t="str">
        <f aca="false">IF(C1472="","",IFERROR(INDEX(site_ID,MATCH(C1472,site_Name,0)),"Not on SITES"))</f>
        <v/>
      </c>
      <c r="M1472" s="58" t="str">
        <f aca="false">IF(E1472="","",DATE(YEAR(E1472),MONTH(E1472),1))</f>
        <v/>
      </c>
      <c r="N1472" s="57" t="str">
        <f aca="false">IF(E1472="","","FY"&amp;(YEAR(E1472)+IF(AND(FYStart&gt;1,MONTH(E1472)&gt;=FYStart),1,0))&amp;" Q"&amp;(INT(MOD(MONTH(E1472)-FYStart,12)/3)+1))</f>
        <v/>
      </c>
      <c r="O1472" s="59" t="str">
        <f aca="false">IF(OR(E1472="",N(F1472)=0),"",G1472/F1472)</f>
        <v/>
      </c>
      <c r="P1472" s="60" t="str">
        <f aca="false">IF(E1472="","",ROUND(N(G1472)*N(H1472)/60,1))</f>
        <v/>
      </c>
      <c r="Q1472" s="57" t="str">
        <f aca="false">IF(E1472="","",IF(COUNTIFS($C$2:C1472,C1472,$E$2:E1472,E1472,$B$2:B1472,B1472)&gt;1,"No","Yes"))</f>
        <v/>
      </c>
      <c r="R1472" s="61" t="str">
        <f aca="false">IF(E1472="","",IF(Q1472="No","Duplicate of an earlier response",IF(L1472="Not on SITES","Site not on SITES",IF(N(G1472)&gt;N(F1472),"Present is more than enrolled",IF(OR(I1472&lt;1,I1472&gt;5),"Score outside 1 to 5","")))))</f>
        <v/>
      </c>
    </row>
    <row r="1473" customFormat="false" ht="15" hidden="false" customHeight="false" outlineLevel="0" collapsed="false">
      <c r="A1473" s="52"/>
      <c r="B1473" s="53"/>
      <c r="C1473" s="53"/>
      <c r="D1473" s="53"/>
      <c r="E1473" s="54"/>
      <c r="F1473" s="55"/>
      <c r="G1473" s="55"/>
      <c r="H1473" s="55"/>
      <c r="I1473" s="56"/>
      <c r="J1473" s="53"/>
      <c r="K1473" s="53"/>
      <c r="L1473" s="57" t="str">
        <f aca="false">IF(C1473="","",IFERROR(INDEX(site_ID,MATCH(C1473,site_Name,0)),"Not on SITES"))</f>
        <v/>
      </c>
      <c r="M1473" s="58" t="str">
        <f aca="false">IF(E1473="","",DATE(YEAR(E1473),MONTH(E1473),1))</f>
        <v/>
      </c>
      <c r="N1473" s="57" t="str">
        <f aca="false">IF(E1473="","","FY"&amp;(YEAR(E1473)+IF(AND(FYStart&gt;1,MONTH(E1473)&gt;=FYStart),1,0))&amp;" Q"&amp;(INT(MOD(MONTH(E1473)-FYStart,12)/3)+1))</f>
        <v/>
      </c>
      <c r="O1473" s="59" t="str">
        <f aca="false">IF(OR(E1473="",N(F1473)=0),"",G1473/F1473)</f>
        <v/>
      </c>
      <c r="P1473" s="60" t="str">
        <f aca="false">IF(E1473="","",ROUND(N(G1473)*N(H1473)/60,1))</f>
        <v/>
      </c>
      <c r="Q1473" s="57" t="str">
        <f aca="false">IF(E1473="","",IF(COUNTIFS($C$2:C1473,C1473,$E$2:E1473,E1473,$B$2:B1473,B1473)&gt;1,"No","Yes"))</f>
        <v/>
      </c>
      <c r="R1473" s="61" t="str">
        <f aca="false">IF(E1473="","",IF(Q1473="No","Duplicate of an earlier response",IF(L1473="Not on SITES","Site not on SITES",IF(N(G1473)&gt;N(F1473),"Present is more than enrolled",IF(OR(I1473&lt;1,I1473&gt;5),"Score outside 1 to 5","")))))</f>
        <v/>
      </c>
    </row>
    <row r="1474" customFormat="false" ht="15" hidden="false" customHeight="false" outlineLevel="0" collapsed="false">
      <c r="A1474" s="52"/>
      <c r="B1474" s="53"/>
      <c r="C1474" s="53"/>
      <c r="D1474" s="53"/>
      <c r="E1474" s="54"/>
      <c r="F1474" s="55"/>
      <c r="G1474" s="55"/>
      <c r="H1474" s="55"/>
      <c r="I1474" s="56"/>
      <c r="J1474" s="53"/>
      <c r="K1474" s="53"/>
      <c r="L1474" s="57" t="str">
        <f aca="false">IF(C1474="","",IFERROR(INDEX(site_ID,MATCH(C1474,site_Name,0)),"Not on SITES"))</f>
        <v/>
      </c>
      <c r="M1474" s="58" t="str">
        <f aca="false">IF(E1474="","",DATE(YEAR(E1474),MONTH(E1474),1))</f>
        <v/>
      </c>
      <c r="N1474" s="57" t="str">
        <f aca="false">IF(E1474="","","FY"&amp;(YEAR(E1474)+IF(AND(FYStart&gt;1,MONTH(E1474)&gt;=FYStart),1,0))&amp;" Q"&amp;(INT(MOD(MONTH(E1474)-FYStart,12)/3)+1))</f>
        <v/>
      </c>
      <c r="O1474" s="59" t="str">
        <f aca="false">IF(OR(E1474="",N(F1474)=0),"",G1474/F1474)</f>
        <v/>
      </c>
      <c r="P1474" s="60" t="str">
        <f aca="false">IF(E1474="","",ROUND(N(G1474)*N(H1474)/60,1))</f>
        <v/>
      </c>
      <c r="Q1474" s="57" t="str">
        <f aca="false">IF(E1474="","",IF(COUNTIFS($C$2:C1474,C1474,$E$2:E1474,E1474,$B$2:B1474,B1474)&gt;1,"No","Yes"))</f>
        <v/>
      </c>
      <c r="R1474" s="61" t="str">
        <f aca="false">IF(E1474="","",IF(Q1474="No","Duplicate of an earlier response",IF(L1474="Not on SITES","Site not on SITES",IF(N(G1474)&gt;N(F1474),"Present is more than enrolled",IF(OR(I1474&lt;1,I1474&gt;5),"Score outside 1 to 5","")))))</f>
        <v/>
      </c>
    </row>
    <row r="1475" customFormat="false" ht="15" hidden="false" customHeight="false" outlineLevel="0" collapsed="false">
      <c r="A1475" s="52"/>
      <c r="B1475" s="53"/>
      <c r="C1475" s="53"/>
      <c r="D1475" s="53"/>
      <c r="E1475" s="54"/>
      <c r="F1475" s="55"/>
      <c r="G1475" s="55"/>
      <c r="H1475" s="55"/>
      <c r="I1475" s="56"/>
      <c r="J1475" s="53"/>
      <c r="K1475" s="53"/>
      <c r="L1475" s="57" t="str">
        <f aca="false">IF(C1475="","",IFERROR(INDEX(site_ID,MATCH(C1475,site_Name,0)),"Not on SITES"))</f>
        <v/>
      </c>
      <c r="M1475" s="58" t="str">
        <f aca="false">IF(E1475="","",DATE(YEAR(E1475),MONTH(E1475),1))</f>
        <v/>
      </c>
      <c r="N1475" s="57" t="str">
        <f aca="false">IF(E1475="","","FY"&amp;(YEAR(E1475)+IF(AND(FYStart&gt;1,MONTH(E1475)&gt;=FYStart),1,0))&amp;" Q"&amp;(INT(MOD(MONTH(E1475)-FYStart,12)/3)+1))</f>
        <v/>
      </c>
      <c r="O1475" s="59" t="str">
        <f aca="false">IF(OR(E1475="",N(F1475)=0),"",G1475/F1475)</f>
        <v/>
      </c>
      <c r="P1475" s="60" t="str">
        <f aca="false">IF(E1475="","",ROUND(N(G1475)*N(H1475)/60,1))</f>
        <v/>
      </c>
      <c r="Q1475" s="57" t="str">
        <f aca="false">IF(E1475="","",IF(COUNTIFS($C$2:C1475,C1475,$E$2:E1475,E1475,$B$2:B1475,B1475)&gt;1,"No","Yes"))</f>
        <v/>
      </c>
      <c r="R1475" s="61" t="str">
        <f aca="false">IF(E1475="","",IF(Q1475="No","Duplicate of an earlier response",IF(L1475="Not on SITES","Site not on SITES",IF(N(G1475)&gt;N(F1475),"Present is more than enrolled",IF(OR(I1475&lt;1,I1475&gt;5),"Score outside 1 to 5","")))))</f>
        <v/>
      </c>
    </row>
    <row r="1476" customFormat="false" ht="15" hidden="false" customHeight="false" outlineLevel="0" collapsed="false">
      <c r="A1476" s="52"/>
      <c r="B1476" s="53"/>
      <c r="C1476" s="53"/>
      <c r="D1476" s="53"/>
      <c r="E1476" s="54"/>
      <c r="F1476" s="55"/>
      <c r="G1476" s="55"/>
      <c r="H1476" s="55"/>
      <c r="I1476" s="56"/>
      <c r="J1476" s="53"/>
      <c r="K1476" s="53"/>
      <c r="L1476" s="57" t="str">
        <f aca="false">IF(C1476="","",IFERROR(INDEX(site_ID,MATCH(C1476,site_Name,0)),"Not on SITES"))</f>
        <v/>
      </c>
      <c r="M1476" s="58" t="str">
        <f aca="false">IF(E1476="","",DATE(YEAR(E1476),MONTH(E1476),1))</f>
        <v/>
      </c>
      <c r="N1476" s="57" t="str">
        <f aca="false">IF(E1476="","","FY"&amp;(YEAR(E1476)+IF(AND(FYStart&gt;1,MONTH(E1476)&gt;=FYStart),1,0))&amp;" Q"&amp;(INT(MOD(MONTH(E1476)-FYStart,12)/3)+1))</f>
        <v/>
      </c>
      <c r="O1476" s="59" t="str">
        <f aca="false">IF(OR(E1476="",N(F1476)=0),"",G1476/F1476)</f>
        <v/>
      </c>
      <c r="P1476" s="60" t="str">
        <f aca="false">IF(E1476="","",ROUND(N(G1476)*N(H1476)/60,1))</f>
        <v/>
      </c>
      <c r="Q1476" s="57" t="str">
        <f aca="false">IF(E1476="","",IF(COUNTIFS($C$2:C1476,C1476,$E$2:E1476,E1476,$B$2:B1476,B1476)&gt;1,"No","Yes"))</f>
        <v/>
      </c>
      <c r="R1476" s="61" t="str">
        <f aca="false">IF(E1476="","",IF(Q1476="No","Duplicate of an earlier response",IF(L1476="Not on SITES","Site not on SITES",IF(N(G1476)&gt;N(F1476),"Present is more than enrolled",IF(OR(I1476&lt;1,I1476&gt;5),"Score outside 1 to 5","")))))</f>
        <v/>
      </c>
    </row>
    <row r="1477" customFormat="false" ht="15" hidden="false" customHeight="false" outlineLevel="0" collapsed="false">
      <c r="A1477" s="52"/>
      <c r="B1477" s="53"/>
      <c r="C1477" s="53"/>
      <c r="D1477" s="53"/>
      <c r="E1477" s="54"/>
      <c r="F1477" s="55"/>
      <c r="G1477" s="55"/>
      <c r="H1477" s="55"/>
      <c r="I1477" s="56"/>
      <c r="J1477" s="53"/>
      <c r="K1477" s="53"/>
      <c r="L1477" s="57" t="str">
        <f aca="false">IF(C1477="","",IFERROR(INDEX(site_ID,MATCH(C1477,site_Name,0)),"Not on SITES"))</f>
        <v/>
      </c>
      <c r="M1477" s="58" t="str">
        <f aca="false">IF(E1477="","",DATE(YEAR(E1477),MONTH(E1477),1))</f>
        <v/>
      </c>
      <c r="N1477" s="57" t="str">
        <f aca="false">IF(E1477="","","FY"&amp;(YEAR(E1477)+IF(AND(FYStart&gt;1,MONTH(E1477)&gt;=FYStart),1,0))&amp;" Q"&amp;(INT(MOD(MONTH(E1477)-FYStart,12)/3)+1))</f>
        <v/>
      </c>
      <c r="O1477" s="59" t="str">
        <f aca="false">IF(OR(E1477="",N(F1477)=0),"",G1477/F1477)</f>
        <v/>
      </c>
      <c r="P1477" s="60" t="str">
        <f aca="false">IF(E1477="","",ROUND(N(G1477)*N(H1477)/60,1))</f>
        <v/>
      </c>
      <c r="Q1477" s="57" t="str">
        <f aca="false">IF(E1477="","",IF(COUNTIFS($C$2:C1477,C1477,$E$2:E1477,E1477,$B$2:B1477,B1477)&gt;1,"No","Yes"))</f>
        <v/>
      </c>
      <c r="R1477" s="61" t="str">
        <f aca="false">IF(E1477="","",IF(Q1477="No","Duplicate of an earlier response",IF(L1477="Not on SITES","Site not on SITES",IF(N(G1477)&gt;N(F1477),"Present is more than enrolled",IF(OR(I1477&lt;1,I1477&gt;5),"Score outside 1 to 5","")))))</f>
        <v/>
      </c>
    </row>
    <row r="1478" customFormat="false" ht="15" hidden="false" customHeight="false" outlineLevel="0" collapsed="false">
      <c r="A1478" s="52"/>
      <c r="B1478" s="53"/>
      <c r="C1478" s="53"/>
      <c r="D1478" s="53"/>
      <c r="E1478" s="54"/>
      <c r="F1478" s="55"/>
      <c r="G1478" s="55"/>
      <c r="H1478" s="55"/>
      <c r="I1478" s="56"/>
      <c r="J1478" s="53"/>
      <c r="K1478" s="53"/>
      <c r="L1478" s="57" t="str">
        <f aca="false">IF(C1478="","",IFERROR(INDEX(site_ID,MATCH(C1478,site_Name,0)),"Not on SITES"))</f>
        <v/>
      </c>
      <c r="M1478" s="58" t="str">
        <f aca="false">IF(E1478="","",DATE(YEAR(E1478),MONTH(E1478),1))</f>
        <v/>
      </c>
      <c r="N1478" s="57" t="str">
        <f aca="false">IF(E1478="","","FY"&amp;(YEAR(E1478)+IF(AND(FYStart&gt;1,MONTH(E1478)&gt;=FYStart),1,0))&amp;" Q"&amp;(INT(MOD(MONTH(E1478)-FYStart,12)/3)+1))</f>
        <v/>
      </c>
      <c r="O1478" s="59" t="str">
        <f aca="false">IF(OR(E1478="",N(F1478)=0),"",G1478/F1478)</f>
        <v/>
      </c>
      <c r="P1478" s="60" t="str">
        <f aca="false">IF(E1478="","",ROUND(N(G1478)*N(H1478)/60,1))</f>
        <v/>
      </c>
      <c r="Q1478" s="57" t="str">
        <f aca="false">IF(E1478="","",IF(COUNTIFS($C$2:C1478,C1478,$E$2:E1478,E1478,$B$2:B1478,B1478)&gt;1,"No","Yes"))</f>
        <v/>
      </c>
      <c r="R1478" s="61" t="str">
        <f aca="false">IF(E1478="","",IF(Q1478="No","Duplicate of an earlier response",IF(L1478="Not on SITES","Site not on SITES",IF(N(G1478)&gt;N(F1478),"Present is more than enrolled",IF(OR(I1478&lt;1,I1478&gt;5),"Score outside 1 to 5","")))))</f>
        <v/>
      </c>
    </row>
    <row r="1479" customFormat="false" ht="15" hidden="false" customHeight="false" outlineLevel="0" collapsed="false">
      <c r="A1479" s="52"/>
      <c r="B1479" s="53"/>
      <c r="C1479" s="53"/>
      <c r="D1479" s="53"/>
      <c r="E1479" s="54"/>
      <c r="F1479" s="55"/>
      <c r="G1479" s="55"/>
      <c r="H1479" s="55"/>
      <c r="I1479" s="56"/>
      <c r="J1479" s="53"/>
      <c r="K1479" s="53"/>
      <c r="L1479" s="57" t="str">
        <f aca="false">IF(C1479="","",IFERROR(INDEX(site_ID,MATCH(C1479,site_Name,0)),"Not on SITES"))</f>
        <v/>
      </c>
      <c r="M1479" s="58" t="str">
        <f aca="false">IF(E1479="","",DATE(YEAR(E1479),MONTH(E1479),1))</f>
        <v/>
      </c>
      <c r="N1479" s="57" t="str">
        <f aca="false">IF(E1479="","","FY"&amp;(YEAR(E1479)+IF(AND(FYStart&gt;1,MONTH(E1479)&gt;=FYStart),1,0))&amp;" Q"&amp;(INT(MOD(MONTH(E1479)-FYStart,12)/3)+1))</f>
        <v/>
      </c>
      <c r="O1479" s="59" t="str">
        <f aca="false">IF(OR(E1479="",N(F1479)=0),"",G1479/F1479)</f>
        <v/>
      </c>
      <c r="P1479" s="60" t="str">
        <f aca="false">IF(E1479="","",ROUND(N(G1479)*N(H1479)/60,1))</f>
        <v/>
      </c>
      <c r="Q1479" s="57" t="str">
        <f aca="false">IF(E1479="","",IF(COUNTIFS($C$2:C1479,C1479,$E$2:E1479,E1479,$B$2:B1479,B1479)&gt;1,"No","Yes"))</f>
        <v/>
      </c>
      <c r="R1479" s="61" t="str">
        <f aca="false">IF(E1479="","",IF(Q1479="No","Duplicate of an earlier response",IF(L1479="Not on SITES","Site not on SITES",IF(N(G1479)&gt;N(F1479),"Present is more than enrolled",IF(OR(I1479&lt;1,I1479&gt;5),"Score outside 1 to 5","")))))</f>
        <v/>
      </c>
    </row>
    <row r="1480" customFormat="false" ht="15" hidden="false" customHeight="false" outlineLevel="0" collapsed="false">
      <c r="A1480" s="52"/>
      <c r="B1480" s="53"/>
      <c r="C1480" s="53"/>
      <c r="D1480" s="53"/>
      <c r="E1480" s="54"/>
      <c r="F1480" s="55"/>
      <c r="G1480" s="55"/>
      <c r="H1480" s="55"/>
      <c r="I1480" s="56"/>
      <c r="J1480" s="53"/>
      <c r="K1480" s="53"/>
      <c r="L1480" s="57" t="str">
        <f aca="false">IF(C1480="","",IFERROR(INDEX(site_ID,MATCH(C1480,site_Name,0)),"Not on SITES"))</f>
        <v/>
      </c>
      <c r="M1480" s="58" t="str">
        <f aca="false">IF(E1480="","",DATE(YEAR(E1480),MONTH(E1480),1))</f>
        <v/>
      </c>
      <c r="N1480" s="57" t="str">
        <f aca="false">IF(E1480="","","FY"&amp;(YEAR(E1480)+IF(AND(FYStart&gt;1,MONTH(E1480)&gt;=FYStart),1,0))&amp;" Q"&amp;(INT(MOD(MONTH(E1480)-FYStart,12)/3)+1))</f>
        <v/>
      </c>
      <c r="O1480" s="59" t="str">
        <f aca="false">IF(OR(E1480="",N(F1480)=0),"",G1480/F1480)</f>
        <v/>
      </c>
      <c r="P1480" s="60" t="str">
        <f aca="false">IF(E1480="","",ROUND(N(G1480)*N(H1480)/60,1))</f>
        <v/>
      </c>
      <c r="Q1480" s="57" t="str">
        <f aca="false">IF(E1480="","",IF(COUNTIFS($C$2:C1480,C1480,$E$2:E1480,E1480,$B$2:B1480,B1480)&gt;1,"No","Yes"))</f>
        <v/>
      </c>
      <c r="R1480" s="61" t="str">
        <f aca="false">IF(E1480="","",IF(Q1480="No","Duplicate of an earlier response",IF(L1480="Not on SITES","Site not on SITES",IF(N(G1480)&gt;N(F1480),"Present is more than enrolled",IF(OR(I1480&lt;1,I1480&gt;5),"Score outside 1 to 5","")))))</f>
        <v/>
      </c>
    </row>
    <row r="1481" customFormat="false" ht="15" hidden="false" customHeight="false" outlineLevel="0" collapsed="false">
      <c r="A1481" s="52"/>
      <c r="B1481" s="53"/>
      <c r="C1481" s="53"/>
      <c r="D1481" s="53"/>
      <c r="E1481" s="54"/>
      <c r="F1481" s="55"/>
      <c r="G1481" s="55"/>
      <c r="H1481" s="55"/>
      <c r="I1481" s="56"/>
      <c r="J1481" s="53"/>
      <c r="K1481" s="53"/>
      <c r="L1481" s="57" t="str">
        <f aca="false">IF(C1481="","",IFERROR(INDEX(site_ID,MATCH(C1481,site_Name,0)),"Not on SITES"))</f>
        <v/>
      </c>
      <c r="M1481" s="58" t="str">
        <f aca="false">IF(E1481="","",DATE(YEAR(E1481),MONTH(E1481),1))</f>
        <v/>
      </c>
      <c r="N1481" s="57" t="str">
        <f aca="false">IF(E1481="","","FY"&amp;(YEAR(E1481)+IF(AND(FYStart&gt;1,MONTH(E1481)&gt;=FYStart),1,0))&amp;" Q"&amp;(INT(MOD(MONTH(E1481)-FYStart,12)/3)+1))</f>
        <v/>
      </c>
      <c r="O1481" s="59" t="str">
        <f aca="false">IF(OR(E1481="",N(F1481)=0),"",G1481/F1481)</f>
        <v/>
      </c>
      <c r="P1481" s="60" t="str">
        <f aca="false">IF(E1481="","",ROUND(N(G1481)*N(H1481)/60,1))</f>
        <v/>
      </c>
      <c r="Q1481" s="57" t="str">
        <f aca="false">IF(E1481="","",IF(COUNTIFS($C$2:C1481,C1481,$E$2:E1481,E1481,$B$2:B1481,B1481)&gt;1,"No","Yes"))</f>
        <v/>
      </c>
      <c r="R1481" s="61" t="str">
        <f aca="false">IF(E1481="","",IF(Q1481="No","Duplicate of an earlier response",IF(L1481="Not on SITES","Site not on SITES",IF(N(G1481)&gt;N(F1481),"Present is more than enrolled",IF(OR(I1481&lt;1,I1481&gt;5),"Score outside 1 to 5","")))))</f>
        <v/>
      </c>
    </row>
    <row r="1482" customFormat="false" ht="15" hidden="false" customHeight="false" outlineLevel="0" collapsed="false">
      <c r="A1482" s="52"/>
      <c r="B1482" s="53"/>
      <c r="C1482" s="53"/>
      <c r="D1482" s="53"/>
      <c r="E1482" s="54"/>
      <c r="F1482" s="55"/>
      <c r="G1482" s="55"/>
      <c r="H1482" s="55"/>
      <c r="I1482" s="56"/>
      <c r="J1482" s="53"/>
      <c r="K1482" s="53"/>
      <c r="L1482" s="57" t="str">
        <f aca="false">IF(C1482="","",IFERROR(INDEX(site_ID,MATCH(C1482,site_Name,0)),"Not on SITES"))</f>
        <v/>
      </c>
      <c r="M1482" s="58" t="str">
        <f aca="false">IF(E1482="","",DATE(YEAR(E1482),MONTH(E1482),1))</f>
        <v/>
      </c>
      <c r="N1482" s="57" t="str">
        <f aca="false">IF(E1482="","","FY"&amp;(YEAR(E1482)+IF(AND(FYStart&gt;1,MONTH(E1482)&gt;=FYStart),1,0))&amp;" Q"&amp;(INT(MOD(MONTH(E1482)-FYStart,12)/3)+1))</f>
        <v/>
      </c>
      <c r="O1482" s="59" t="str">
        <f aca="false">IF(OR(E1482="",N(F1482)=0),"",G1482/F1482)</f>
        <v/>
      </c>
      <c r="P1482" s="60" t="str">
        <f aca="false">IF(E1482="","",ROUND(N(G1482)*N(H1482)/60,1))</f>
        <v/>
      </c>
      <c r="Q1482" s="57" t="str">
        <f aca="false">IF(E1482="","",IF(COUNTIFS($C$2:C1482,C1482,$E$2:E1482,E1482,$B$2:B1482,B1482)&gt;1,"No","Yes"))</f>
        <v/>
      </c>
      <c r="R1482" s="61" t="str">
        <f aca="false">IF(E1482="","",IF(Q1482="No","Duplicate of an earlier response",IF(L1482="Not on SITES","Site not on SITES",IF(N(G1482)&gt;N(F1482),"Present is more than enrolled",IF(OR(I1482&lt;1,I1482&gt;5),"Score outside 1 to 5","")))))</f>
        <v/>
      </c>
    </row>
    <row r="1483" customFormat="false" ht="15" hidden="false" customHeight="false" outlineLevel="0" collapsed="false">
      <c r="A1483" s="52"/>
      <c r="B1483" s="53"/>
      <c r="C1483" s="53"/>
      <c r="D1483" s="53"/>
      <c r="E1483" s="54"/>
      <c r="F1483" s="55"/>
      <c r="G1483" s="55"/>
      <c r="H1483" s="55"/>
      <c r="I1483" s="56"/>
      <c r="J1483" s="53"/>
      <c r="K1483" s="53"/>
      <c r="L1483" s="57" t="str">
        <f aca="false">IF(C1483="","",IFERROR(INDEX(site_ID,MATCH(C1483,site_Name,0)),"Not on SITES"))</f>
        <v/>
      </c>
      <c r="M1483" s="58" t="str">
        <f aca="false">IF(E1483="","",DATE(YEAR(E1483),MONTH(E1483),1))</f>
        <v/>
      </c>
      <c r="N1483" s="57" t="str">
        <f aca="false">IF(E1483="","","FY"&amp;(YEAR(E1483)+IF(AND(FYStart&gt;1,MONTH(E1483)&gt;=FYStart),1,0))&amp;" Q"&amp;(INT(MOD(MONTH(E1483)-FYStart,12)/3)+1))</f>
        <v/>
      </c>
      <c r="O1483" s="59" t="str">
        <f aca="false">IF(OR(E1483="",N(F1483)=0),"",G1483/F1483)</f>
        <v/>
      </c>
      <c r="P1483" s="60" t="str">
        <f aca="false">IF(E1483="","",ROUND(N(G1483)*N(H1483)/60,1))</f>
        <v/>
      </c>
      <c r="Q1483" s="57" t="str">
        <f aca="false">IF(E1483="","",IF(COUNTIFS($C$2:C1483,C1483,$E$2:E1483,E1483,$B$2:B1483,B1483)&gt;1,"No","Yes"))</f>
        <v/>
      </c>
      <c r="R1483" s="61" t="str">
        <f aca="false">IF(E1483="","",IF(Q1483="No","Duplicate of an earlier response",IF(L1483="Not on SITES","Site not on SITES",IF(N(G1483)&gt;N(F1483),"Present is more than enrolled",IF(OR(I1483&lt;1,I1483&gt;5),"Score outside 1 to 5","")))))</f>
        <v/>
      </c>
    </row>
    <row r="1484" customFormat="false" ht="15" hidden="false" customHeight="false" outlineLevel="0" collapsed="false">
      <c r="A1484" s="52"/>
      <c r="B1484" s="53"/>
      <c r="C1484" s="53"/>
      <c r="D1484" s="53"/>
      <c r="E1484" s="54"/>
      <c r="F1484" s="55"/>
      <c r="G1484" s="55"/>
      <c r="H1484" s="55"/>
      <c r="I1484" s="56"/>
      <c r="J1484" s="53"/>
      <c r="K1484" s="53"/>
      <c r="L1484" s="57" t="str">
        <f aca="false">IF(C1484="","",IFERROR(INDEX(site_ID,MATCH(C1484,site_Name,0)),"Not on SITES"))</f>
        <v/>
      </c>
      <c r="M1484" s="58" t="str">
        <f aca="false">IF(E1484="","",DATE(YEAR(E1484),MONTH(E1484),1))</f>
        <v/>
      </c>
      <c r="N1484" s="57" t="str">
        <f aca="false">IF(E1484="","","FY"&amp;(YEAR(E1484)+IF(AND(FYStart&gt;1,MONTH(E1484)&gt;=FYStart),1,0))&amp;" Q"&amp;(INT(MOD(MONTH(E1484)-FYStart,12)/3)+1))</f>
        <v/>
      </c>
      <c r="O1484" s="59" t="str">
        <f aca="false">IF(OR(E1484="",N(F1484)=0),"",G1484/F1484)</f>
        <v/>
      </c>
      <c r="P1484" s="60" t="str">
        <f aca="false">IF(E1484="","",ROUND(N(G1484)*N(H1484)/60,1))</f>
        <v/>
      </c>
      <c r="Q1484" s="57" t="str">
        <f aca="false">IF(E1484="","",IF(COUNTIFS($C$2:C1484,C1484,$E$2:E1484,E1484,$B$2:B1484,B1484)&gt;1,"No","Yes"))</f>
        <v/>
      </c>
      <c r="R1484" s="61" t="str">
        <f aca="false">IF(E1484="","",IF(Q1484="No","Duplicate of an earlier response",IF(L1484="Not on SITES","Site not on SITES",IF(N(G1484)&gt;N(F1484),"Present is more than enrolled",IF(OR(I1484&lt;1,I1484&gt;5),"Score outside 1 to 5","")))))</f>
        <v/>
      </c>
    </row>
    <row r="1485" customFormat="false" ht="15" hidden="false" customHeight="false" outlineLevel="0" collapsed="false">
      <c r="A1485" s="52"/>
      <c r="B1485" s="53"/>
      <c r="C1485" s="53"/>
      <c r="D1485" s="53"/>
      <c r="E1485" s="54"/>
      <c r="F1485" s="55"/>
      <c r="G1485" s="55"/>
      <c r="H1485" s="55"/>
      <c r="I1485" s="56"/>
      <c r="J1485" s="53"/>
      <c r="K1485" s="53"/>
      <c r="L1485" s="57" t="str">
        <f aca="false">IF(C1485="","",IFERROR(INDEX(site_ID,MATCH(C1485,site_Name,0)),"Not on SITES"))</f>
        <v/>
      </c>
      <c r="M1485" s="58" t="str">
        <f aca="false">IF(E1485="","",DATE(YEAR(E1485),MONTH(E1485),1))</f>
        <v/>
      </c>
      <c r="N1485" s="57" t="str">
        <f aca="false">IF(E1485="","","FY"&amp;(YEAR(E1485)+IF(AND(FYStart&gt;1,MONTH(E1485)&gt;=FYStart),1,0))&amp;" Q"&amp;(INT(MOD(MONTH(E1485)-FYStart,12)/3)+1))</f>
        <v/>
      </c>
      <c r="O1485" s="59" t="str">
        <f aca="false">IF(OR(E1485="",N(F1485)=0),"",G1485/F1485)</f>
        <v/>
      </c>
      <c r="P1485" s="60" t="str">
        <f aca="false">IF(E1485="","",ROUND(N(G1485)*N(H1485)/60,1))</f>
        <v/>
      </c>
      <c r="Q1485" s="57" t="str">
        <f aca="false">IF(E1485="","",IF(COUNTIFS($C$2:C1485,C1485,$E$2:E1485,E1485,$B$2:B1485,B1485)&gt;1,"No","Yes"))</f>
        <v/>
      </c>
      <c r="R1485" s="61" t="str">
        <f aca="false">IF(E1485="","",IF(Q1485="No","Duplicate of an earlier response",IF(L1485="Not on SITES","Site not on SITES",IF(N(G1485)&gt;N(F1485),"Present is more than enrolled",IF(OR(I1485&lt;1,I1485&gt;5),"Score outside 1 to 5","")))))</f>
        <v/>
      </c>
    </row>
    <row r="1486" customFormat="false" ht="15" hidden="false" customHeight="false" outlineLevel="0" collapsed="false">
      <c r="A1486" s="52"/>
      <c r="B1486" s="53"/>
      <c r="C1486" s="53"/>
      <c r="D1486" s="53"/>
      <c r="E1486" s="54"/>
      <c r="F1486" s="55"/>
      <c r="G1486" s="55"/>
      <c r="H1486" s="55"/>
      <c r="I1486" s="56"/>
      <c r="J1486" s="53"/>
      <c r="K1486" s="53"/>
      <c r="L1486" s="57" t="str">
        <f aca="false">IF(C1486="","",IFERROR(INDEX(site_ID,MATCH(C1486,site_Name,0)),"Not on SITES"))</f>
        <v/>
      </c>
      <c r="M1486" s="58" t="str">
        <f aca="false">IF(E1486="","",DATE(YEAR(E1486),MONTH(E1486),1))</f>
        <v/>
      </c>
      <c r="N1486" s="57" t="str">
        <f aca="false">IF(E1486="","","FY"&amp;(YEAR(E1486)+IF(AND(FYStart&gt;1,MONTH(E1486)&gt;=FYStart),1,0))&amp;" Q"&amp;(INT(MOD(MONTH(E1486)-FYStart,12)/3)+1))</f>
        <v/>
      </c>
      <c r="O1486" s="59" t="str">
        <f aca="false">IF(OR(E1486="",N(F1486)=0),"",G1486/F1486)</f>
        <v/>
      </c>
      <c r="P1486" s="60" t="str">
        <f aca="false">IF(E1486="","",ROUND(N(G1486)*N(H1486)/60,1))</f>
        <v/>
      </c>
      <c r="Q1486" s="57" t="str">
        <f aca="false">IF(E1486="","",IF(COUNTIFS($C$2:C1486,C1486,$E$2:E1486,E1486,$B$2:B1486,B1486)&gt;1,"No","Yes"))</f>
        <v/>
      </c>
      <c r="R1486" s="61" t="str">
        <f aca="false">IF(E1486="","",IF(Q1486="No","Duplicate of an earlier response",IF(L1486="Not on SITES","Site not on SITES",IF(N(G1486)&gt;N(F1486),"Present is more than enrolled",IF(OR(I1486&lt;1,I1486&gt;5),"Score outside 1 to 5","")))))</f>
        <v/>
      </c>
    </row>
    <row r="1487" customFormat="false" ht="15" hidden="false" customHeight="false" outlineLevel="0" collapsed="false">
      <c r="A1487" s="52"/>
      <c r="B1487" s="53"/>
      <c r="C1487" s="53"/>
      <c r="D1487" s="53"/>
      <c r="E1487" s="54"/>
      <c r="F1487" s="55"/>
      <c r="G1487" s="55"/>
      <c r="H1487" s="55"/>
      <c r="I1487" s="56"/>
      <c r="J1487" s="53"/>
      <c r="K1487" s="53"/>
      <c r="L1487" s="57" t="str">
        <f aca="false">IF(C1487="","",IFERROR(INDEX(site_ID,MATCH(C1487,site_Name,0)),"Not on SITES"))</f>
        <v/>
      </c>
      <c r="M1487" s="58" t="str">
        <f aca="false">IF(E1487="","",DATE(YEAR(E1487),MONTH(E1487),1))</f>
        <v/>
      </c>
      <c r="N1487" s="57" t="str">
        <f aca="false">IF(E1487="","","FY"&amp;(YEAR(E1487)+IF(AND(FYStart&gt;1,MONTH(E1487)&gt;=FYStart),1,0))&amp;" Q"&amp;(INT(MOD(MONTH(E1487)-FYStart,12)/3)+1))</f>
        <v/>
      </c>
      <c r="O1487" s="59" t="str">
        <f aca="false">IF(OR(E1487="",N(F1487)=0),"",G1487/F1487)</f>
        <v/>
      </c>
      <c r="P1487" s="60" t="str">
        <f aca="false">IF(E1487="","",ROUND(N(G1487)*N(H1487)/60,1))</f>
        <v/>
      </c>
      <c r="Q1487" s="57" t="str">
        <f aca="false">IF(E1487="","",IF(COUNTIFS($C$2:C1487,C1487,$E$2:E1487,E1487,$B$2:B1487,B1487)&gt;1,"No","Yes"))</f>
        <v/>
      </c>
      <c r="R1487" s="61" t="str">
        <f aca="false">IF(E1487="","",IF(Q1487="No","Duplicate of an earlier response",IF(L1487="Not on SITES","Site not on SITES",IF(N(G1487)&gt;N(F1487),"Present is more than enrolled",IF(OR(I1487&lt;1,I1487&gt;5),"Score outside 1 to 5","")))))</f>
        <v/>
      </c>
    </row>
    <row r="1488" customFormat="false" ht="15" hidden="false" customHeight="false" outlineLevel="0" collapsed="false">
      <c r="A1488" s="52"/>
      <c r="B1488" s="53"/>
      <c r="C1488" s="53"/>
      <c r="D1488" s="53"/>
      <c r="E1488" s="54"/>
      <c r="F1488" s="55"/>
      <c r="G1488" s="55"/>
      <c r="H1488" s="55"/>
      <c r="I1488" s="56"/>
      <c r="J1488" s="53"/>
      <c r="K1488" s="53"/>
      <c r="L1488" s="57" t="str">
        <f aca="false">IF(C1488="","",IFERROR(INDEX(site_ID,MATCH(C1488,site_Name,0)),"Not on SITES"))</f>
        <v/>
      </c>
      <c r="M1488" s="58" t="str">
        <f aca="false">IF(E1488="","",DATE(YEAR(E1488),MONTH(E1488),1))</f>
        <v/>
      </c>
      <c r="N1488" s="57" t="str">
        <f aca="false">IF(E1488="","","FY"&amp;(YEAR(E1488)+IF(AND(FYStart&gt;1,MONTH(E1488)&gt;=FYStart),1,0))&amp;" Q"&amp;(INT(MOD(MONTH(E1488)-FYStart,12)/3)+1))</f>
        <v/>
      </c>
      <c r="O1488" s="59" t="str">
        <f aca="false">IF(OR(E1488="",N(F1488)=0),"",G1488/F1488)</f>
        <v/>
      </c>
      <c r="P1488" s="60" t="str">
        <f aca="false">IF(E1488="","",ROUND(N(G1488)*N(H1488)/60,1))</f>
        <v/>
      </c>
      <c r="Q1488" s="57" t="str">
        <f aca="false">IF(E1488="","",IF(COUNTIFS($C$2:C1488,C1488,$E$2:E1488,E1488,$B$2:B1488,B1488)&gt;1,"No","Yes"))</f>
        <v/>
      </c>
      <c r="R1488" s="61" t="str">
        <f aca="false">IF(E1488="","",IF(Q1488="No","Duplicate of an earlier response",IF(L1488="Not on SITES","Site not on SITES",IF(N(G1488)&gt;N(F1488),"Present is more than enrolled",IF(OR(I1488&lt;1,I1488&gt;5),"Score outside 1 to 5","")))))</f>
        <v/>
      </c>
    </row>
    <row r="1489" customFormat="false" ht="15" hidden="false" customHeight="false" outlineLevel="0" collapsed="false">
      <c r="A1489" s="52"/>
      <c r="B1489" s="53"/>
      <c r="C1489" s="53"/>
      <c r="D1489" s="53"/>
      <c r="E1489" s="54"/>
      <c r="F1489" s="55"/>
      <c r="G1489" s="55"/>
      <c r="H1489" s="55"/>
      <c r="I1489" s="56"/>
      <c r="J1489" s="53"/>
      <c r="K1489" s="53"/>
      <c r="L1489" s="57" t="str">
        <f aca="false">IF(C1489="","",IFERROR(INDEX(site_ID,MATCH(C1489,site_Name,0)),"Not on SITES"))</f>
        <v/>
      </c>
      <c r="M1489" s="58" t="str">
        <f aca="false">IF(E1489="","",DATE(YEAR(E1489),MONTH(E1489),1))</f>
        <v/>
      </c>
      <c r="N1489" s="57" t="str">
        <f aca="false">IF(E1489="","","FY"&amp;(YEAR(E1489)+IF(AND(FYStart&gt;1,MONTH(E1489)&gt;=FYStart),1,0))&amp;" Q"&amp;(INT(MOD(MONTH(E1489)-FYStart,12)/3)+1))</f>
        <v/>
      </c>
      <c r="O1489" s="59" t="str">
        <f aca="false">IF(OR(E1489="",N(F1489)=0),"",G1489/F1489)</f>
        <v/>
      </c>
      <c r="P1489" s="60" t="str">
        <f aca="false">IF(E1489="","",ROUND(N(G1489)*N(H1489)/60,1))</f>
        <v/>
      </c>
      <c r="Q1489" s="57" t="str">
        <f aca="false">IF(E1489="","",IF(COUNTIFS($C$2:C1489,C1489,$E$2:E1489,E1489,$B$2:B1489,B1489)&gt;1,"No","Yes"))</f>
        <v/>
      </c>
      <c r="R1489" s="61" t="str">
        <f aca="false">IF(E1489="","",IF(Q1489="No","Duplicate of an earlier response",IF(L1489="Not on SITES","Site not on SITES",IF(N(G1489)&gt;N(F1489),"Present is more than enrolled",IF(OR(I1489&lt;1,I1489&gt;5),"Score outside 1 to 5","")))))</f>
        <v/>
      </c>
    </row>
    <row r="1490" customFormat="false" ht="15" hidden="false" customHeight="false" outlineLevel="0" collapsed="false">
      <c r="A1490" s="52"/>
      <c r="B1490" s="53"/>
      <c r="C1490" s="53"/>
      <c r="D1490" s="53"/>
      <c r="E1490" s="54"/>
      <c r="F1490" s="55"/>
      <c r="G1490" s="55"/>
      <c r="H1490" s="55"/>
      <c r="I1490" s="56"/>
      <c r="J1490" s="53"/>
      <c r="K1490" s="53"/>
      <c r="L1490" s="57" t="str">
        <f aca="false">IF(C1490="","",IFERROR(INDEX(site_ID,MATCH(C1490,site_Name,0)),"Not on SITES"))</f>
        <v/>
      </c>
      <c r="M1490" s="58" t="str">
        <f aca="false">IF(E1490="","",DATE(YEAR(E1490),MONTH(E1490),1))</f>
        <v/>
      </c>
      <c r="N1490" s="57" t="str">
        <f aca="false">IF(E1490="","","FY"&amp;(YEAR(E1490)+IF(AND(FYStart&gt;1,MONTH(E1490)&gt;=FYStart),1,0))&amp;" Q"&amp;(INT(MOD(MONTH(E1490)-FYStart,12)/3)+1))</f>
        <v/>
      </c>
      <c r="O1490" s="59" t="str">
        <f aca="false">IF(OR(E1490="",N(F1490)=0),"",G1490/F1490)</f>
        <v/>
      </c>
      <c r="P1490" s="60" t="str">
        <f aca="false">IF(E1490="","",ROUND(N(G1490)*N(H1490)/60,1))</f>
        <v/>
      </c>
      <c r="Q1490" s="57" t="str">
        <f aca="false">IF(E1490="","",IF(COUNTIFS($C$2:C1490,C1490,$E$2:E1490,E1490,$B$2:B1490,B1490)&gt;1,"No","Yes"))</f>
        <v/>
      </c>
      <c r="R1490" s="61" t="str">
        <f aca="false">IF(E1490="","",IF(Q1490="No","Duplicate of an earlier response",IF(L1490="Not on SITES","Site not on SITES",IF(N(G1490)&gt;N(F1490),"Present is more than enrolled",IF(OR(I1490&lt;1,I1490&gt;5),"Score outside 1 to 5","")))))</f>
        <v/>
      </c>
    </row>
    <row r="1491" customFormat="false" ht="15" hidden="false" customHeight="false" outlineLevel="0" collapsed="false">
      <c r="A1491" s="52"/>
      <c r="B1491" s="53"/>
      <c r="C1491" s="53"/>
      <c r="D1491" s="53"/>
      <c r="E1491" s="54"/>
      <c r="F1491" s="55"/>
      <c r="G1491" s="55"/>
      <c r="H1491" s="55"/>
      <c r="I1491" s="56"/>
      <c r="J1491" s="53"/>
      <c r="K1491" s="53"/>
      <c r="L1491" s="57" t="str">
        <f aca="false">IF(C1491="","",IFERROR(INDEX(site_ID,MATCH(C1491,site_Name,0)),"Not on SITES"))</f>
        <v/>
      </c>
      <c r="M1491" s="58" t="str">
        <f aca="false">IF(E1491="","",DATE(YEAR(E1491),MONTH(E1491),1))</f>
        <v/>
      </c>
      <c r="N1491" s="57" t="str">
        <f aca="false">IF(E1491="","","FY"&amp;(YEAR(E1491)+IF(AND(FYStart&gt;1,MONTH(E1491)&gt;=FYStart),1,0))&amp;" Q"&amp;(INT(MOD(MONTH(E1491)-FYStart,12)/3)+1))</f>
        <v/>
      </c>
      <c r="O1491" s="59" t="str">
        <f aca="false">IF(OR(E1491="",N(F1491)=0),"",G1491/F1491)</f>
        <v/>
      </c>
      <c r="P1491" s="60" t="str">
        <f aca="false">IF(E1491="","",ROUND(N(G1491)*N(H1491)/60,1))</f>
        <v/>
      </c>
      <c r="Q1491" s="57" t="str">
        <f aca="false">IF(E1491="","",IF(COUNTIFS($C$2:C1491,C1491,$E$2:E1491,E1491,$B$2:B1491,B1491)&gt;1,"No","Yes"))</f>
        <v/>
      </c>
      <c r="R1491" s="61" t="str">
        <f aca="false">IF(E1491="","",IF(Q1491="No","Duplicate of an earlier response",IF(L1491="Not on SITES","Site not on SITES",IF(N(G1491)&gt;N(F1491),"Present is more than enrolled",IF(OR(I1491&lt;1,I1491&gt;5),"Score outside 1 to 5","")))))</f>
        <v/>
      </c>
    </row>
    <row r="1492" customFormat="false" ht="15" hidden="false" customHeight="false" outlineLevel="0" collapsed="false">
      <c r="A1492" s="52"/>
      <c r="B1492" s="53"/>
      <c r="C1492" s="53"/>
      <c r="D1492" s="53"/>
      <c r="E1492" s="54"/>
      <c r="F1492" s="55"/>
      <c r="G1492" s="55"/>
      <c r="H1492" s="55"/>
      <c r="I1492" s="56"/>
      <c r="J1492" s="53"/>
      <c r="K1492" s="53"/>
      <c r="L1492" s="57" t="str">
        <f aca="false">IF(C1492="","",IFERROR(INDEX(site_ID,MATCH(C1492,site_Name,0)),"Not on SITES"))</f>
        <v/>
      </c>
      <c r="M1492" s="58" t="str">
        <f aca="false">IF(E1492="","",DATE(YEAR(E1492),MONTH(E1492),1))</f>
        <v/>
      </c>
      <c r="N1492" s="57" t="str">
        <f aca="false">IF(E1492="","","FY"&amp;(YEAR(E1492)+IF(AND(FYStart&gt;1,MONTH(E1492)&gt;=FYStart),1,0))&amp;" Q"&amp;(INT(MOD(MONTH(E1492)-FYStart,12)/3)+1))</f>
        <v/>
      </c>
      <c r="O1492" s="59" t="str">
        <f aca="false">IF(OR(E1492="",N(F1492)=0),"",G1492/F1492)</f>
        <v/>
      </c>
      <c r="P1492" s="60" t="str">
        <f aca="false">IF(E1492="","",ROUND(N(G1492)*N(H1492)/60,1))</f>
        <v/>
      </c>
      <c r="Q1492" s="57" t="str">
        <f aca="false">IF(E1492="","",IF(COUNTIFS($C$2:C1492,C1492,$E$2:E1492,E1492,$B$2:B1492,B1492)&gt;1,"No","Yes"))</f>
        <v/>
      </c>
      <c r="R1492" s="61" t="str">
        <f aca="false">IF(E1492="","",IF(Q1492="No","Duplicate of an earlier response",IF(L1492="Not on SITES","Site not on SITES",IF(N(G1492)&gt;N(F1492),"Present is more than enrolled",IF(OR(I1492&lt;1,I1492&gt;5),"Score outside 1 to 5","")))))</f>
        <v/>
      </c>
    </row>
    <row r="1493" customFormat="false" ht="15" hidden="false" customHeight="false" outlineLevel="0" collapsed="false">
      <c r="A1493" s="52"/>
      <c r="B1493" s="53"/>
      <c r="C1493" s="53"/>
      <c r="D1493" s="53"/>
      <c r="E1493" s="54"/>
      <c r="F1493" s="55"/>
      <c r="G1493" s="55"/>
      <c r="H1493" s="55"/>
      <c r="I1493" s="56"/>
      <c r="J1493" s="53"/>
      <c r="K1493" s="53"/>
      <c r="L1493" s="57" t="str">
        <f aca="false">IF(C1493="","",IFERROR(INDEX(site_ID,MATCH(C1493,site_Name,0)),"Not on SITES"))</f>
        <v/>
      </c>
      <c r="M1493" s="58" t="str">
        <f aca="false">IF(E1493="","",DATE(YEAR(E1493),MONTH(E1493),1))</f>
        <v/>
      </c>
      <c r="N1493" s="57" t="str">
        <f aca="false">IF(E1493="","","FY"&amp;(YEAR(E1493)+IF(AND(FYStart&gt;1,MONTH(E1493)&gt;=FYStart),1,0))&amp;" Q"&amp;(INT(MOD(MONTH(E1493)-FYStart,12)/3)+1))</f>
        <v/>
      </c>
      <c r="O1493" s="59" t="str">
        <f aca="false">IF(OR(E1493="",N(F1493)=0),"",G1493/F1493)</f>
        <v/>
      </c>
      <c r="P1493" s="60" t="str">
        <f aca="false">IF(E1493="","",ROUND(N(G1493)*N(H1493)/60,1))</f>
        <v/>
      </c>
      <c r="Q1493" s="57" t="str">
        <f aca="false">IF(E1493="","",IF(COUNTIFS($C$2:C1493,C1493,$E$2:E1493,E1493,$B$2:B1493,B1493)&gt;1,"No","Yes"))</f>
        <v/>
      </c>
      <c r="R1493" s="61" t="str">
        <f aca="false">IF(E1493="","",IF(Q1493="No","Duplicate of an earlier response",IF(L1493="Not on SITES","Site not on SITES",IF(N(G1493)&gt;N(F1493),"Present is more than enrolled",IF(OR(I1493&lt;1,I1493&gt;5),"Score outside 1 to 5","")))))</f>
        <v/>
      </c>
    </row>
    <row r="1494" customFormat="false" ht="15" hidden="false" customHeight="false" outlineLevel="0" collapsed="false">
      <c r="A1494" s="52"/>
      <c r="B1494" s="53"/>
      <c r="C1494" s="53"/>
      <c r="D1494" s="53"/>
      <c r="E1494" s="54"/>
      <c r="F1494" s="55"/>
      <c r="G1494" s="55"/>
      <c r="H1494" s="55"/>
      <c r="I1494" s="56"/>
      <c r="J1494" s="53"/>
      <c r="K1494" s="53"/>
      <c r="L1494" s="57" t="str">
        <f aca="false">IF(C1494="","",IFERROR(INDEX(site_ID,MATCH(C1494,site_Name,0)),"Not on SITES"))</f>
        <v/>
      </c>
      <c r="M1494" s="58" t="str">
        <f aca="false">IF(E1494="","",DATE(YEAR(E1494),MONTH(E1494),1))</f>
        <v/>
      </c>
      <c r="N1494" s="57" t="str">
        <f aca="false">IF(E1494="","","FY"&amp;(YEAR(E1494)+IF(AND(FYStart&gt;1,MONTH(E1494)&gt;=FYStart),1,0))&amp;" Q"&amp;(INT(MOD(MONTH(E1494)-FYStart,12)/3)+1))</f>
        <v/>
      </c>
      <c r="O1494" s="59" t="str">
        <f aca="false">IF(OR(E1494="",N(F1494)=0),"",G1494/F1494)</f>
        <v/>
      </c>
      <c r="P1494" s="60" t="str">
        <f aca="false">IF(E1494="","",ROUND(N(G1494)*N(H1494)/60,1))</f>
        <v/>
      </c>
      <c r="Q1494" s="57" t="str">
        <f aca="false">IF(E1494="","",IF(COUNTIFS($C$2:C1494,C1494,$E$2:E1494,E1494,$B$2:B1494,B1494)&gt;1,"No","Yes"))</f>
        <v/>
      </c>
      <c r="R1494" s="61" t="str">
        <f aca="false">IF(E1494="","",IF(Q1494="No","Duplicate of an earlier response",IF(L1494="Not on SITES","Site not on SITES",IF(N(G1494)&gt;N(F1494),"Present is more than enrolled",IF(OR(I1494&lt;1,I1494&gt;5),"Score outside 1 to 5","")))))</f>
        <v/>
      </c>
    </row>
    <row r="1495" customFormat="false" ht="15" hidden="false" customHeight="false" outlineLevel="0" collapsed="false">
      <c r="A1495" s="52"/>
      <c r="B1495" s="53"/>
      <c r="C1495" s="53"/>
      <c r="D1495" s="53"/>
      <c r="E1495" s="54"/>
      <c r="F1495" s="55"/>
      <c r="G1495" s="55"/>
      <c r="H1495" s="55"/>
      <c r="I1495" s="56"/>
      <c r="J1495" s="53"/>
      <c r="K1495" s="53"/>
      <c r="L1495" s="57" t="str">
        <f aca="false">IF(C1495="","",IFERROR(INDEX(site_ID,MATCH(C1495,site_Name,0)),"Not on SITES"))</f>
        <v/>
      </c>
      <c r="M1495" s="58" t="str">
        <f aca="false">IF(E1495="","",DATE(YEAR(E1495),MONTH(E1495),1))</f>
        <v/>
      </c>
      <c r="N1495" s="57" t="str">
        <f aca="false">IF(E1495="","","FY"&amp;(YEAR(E1495)+IF(AND(FYStart&gt;1,MONTH(E1495)&gt;=FYStart),1,0))&amp;" Q"&amp;(INT(MOD(MONTH(E1495)-FYStart,12)/3)+1))</f>
        <v/>
      </c>
      <c r="O1495" s="59" t="str">
        <f aca="false">IF(OR(E1495="",N(F1495)=0),"",G1495/F1495)</f>
        <v/>
      </c>
      <c r="P1495" s="60" t="str">
        <f aca="false">IF(E1495="","",ROUND(N(G1495)*N(H1495)/60,1))</f>
        <v/>
      </c>
      <c r="Q1495" s="57" t="str">
        <f aca="false">IF(E1495="","",IF(COUNTIFS($C$2:C1495,C1495,$E$2:E1495,E1495,$B$2:B1495,B1495)&gt;1,"No","Yes"))</f>
        <v/>
      </c>
      <c r="R1495" s="61" t="str">
        <f aca="false">IF(E1495="","",IF(Q1495="No","Duplicate of an earlier response",IF(L1495="Not on SITES","Site not on SITES",IF(N(G1495)&gt;N(F1495),"Present is more than enrolled",IF(OR(I1495&lt;1,I1495&gt;5),"Score outside 1 to 5","")))))</f>
        <v/>
      </c>
    </row>
    <row r="1496" customFormat="false" ht="15" hidden="false" customHeight="false" outlineLevel="0" collapsed="false">
      <c r="A1496" s="52"/>
      <c r="B1496" s="53"/>
      <c r="C1496" s="53"/>
      <c r="D1496" s="53"/>
      <c r="E1496" s="54"/>
      <c r="F1496" s="55"/>
      <c r="G1496" s="55"/>
      <c r="H1496" s="55"/>
      <c r="I1496" s="56"/>
      <c r="J1496" s="53"/>
      <c r="K1496" s="53"/>
      <c r="L1496" s="57" t="str">
        <f aca="false">IF(C1496="","",IFERROR(INDEX(site_ID,MATCH(C1496,site_Name,0)),"Not on SITES"))</f>
        <v/>
      </c>
      <c r="M1496" s="58" t="str">
        <f aca="false">IF(E1496="","",DATE(YEAR(E1496),MONTH(E1496),1))</f>
        <v/>
      </c>
      <c r="N1496" s="57" t="str">
        <f aca="false">IF(E1496="","","FY"&amp;(YEAR(E1496)+IF(AND(FYStart&gt;1,MONTH(E1496)&gt;=FYStart),1,0))&amp;" Q"&amp;(INT(MOD(MONTH(E1496)-FYStart,12)/3)+1))</f>
        <v/>
      </c>
      <c r="O1496" s="59" t="str">
        <f aca="false">IF(OR(E1496="",N(F1496)=0),"",G1496/F1496)</f>
        <v/>
      </c>
      <c r="P1496" s="60" t="str">
        <f aca="false">IF(E1496="","",ROUND(N(G1496)*N(H1496)/60,1))</f>
        <v/>
      </c>
      <c r="Q1496" s="57" t="str">
        <f aca="false">IF(E1496="","",IF(COUNTIFS($C$2:C1496,C1496,$E$2:E1496,E1496,$B$2:B1496,B1496)&gt;1,"No","Yes"))</f>
        <v/>
      </c>
      <c r="R1496" s="61" t="str">
        <f aca="false">IF(E1496="","",IF(Q1496="No","Duplicate of an earlier response",IF(L1496="Not on SITES","Site not on SITES",IF(N(G1496)&gt;N(F1496),"Present is more than enrolled",IF(OR(I1496&lt;1,I1496&gt;5),"Score outside 1 to 5","")))))</f>
        <v/>
      </c>
    </row>
    <row r="1497" customFormat="false" ht="15" hidden="false" customHeight="false" outlineLevel="0" collapsed="false">
      <c r="A1497" s="52"/>
      <c r="B1497" s="53"/>
      <c r="C1497" s="53"/>
      <c r="D1497" s="53"/>
      <c r="E1497" s="54"/>
      <c r="F1497" s="55"/>
      <c r="G1497" s="55"/>
      <c r="H1497" s="55"/>
      <c r="I1497" s="56"/>
      <c r="J1497" s="53"/>
      <c r="K1497" s="53"/>
      <c r="L1497" s="57" t="str">
        <f aca="false">IF(C1497="","",IFERROR(INDEX(site_ID,MATCH(C1497,site_Name,0)),"Not on SITES"))</f>
        <v/>
      </c>
      <c r="M1497" s="58" t="str">
        <f aca="false">IF(E1497="","",DATE(YEAR(E1497),MONTH(E1497),1))</f>
        <v/>
      </c>
      <c r="N1497" s="57" t="str">
        <f aca="false">IF(E1497="","","FY"&amp;(YEAR(E1497)+IF(AND(FYStart&gt;1,MONTH(E1497)&gt;=FYStart),1,0))&amp;" Q"&amp;(INT(MOD(MONTH(E1497)-FYStart,12)/3)+1))</f>
        <v/>
      </c>
      <c r="O1497" s="59" t="str">
        <f aca="false">IF(OR(E1497="",N(F1497)=0),"",G1497/F1497)</f>
        <v/>
      </c>
      <c r="P1497" s="60" t="str">
        <f aca="false">IF(E1497="","",ROUND(N(G1497)*N(H1497)/60,1))</f>
        <v/>
      </c>
      <c r="Q1497" s="57" t="str">
        <f aca="false">IF(E1497="","",IF(COUNTIFS($C$2:C1497,C1497,$E$2:E1497,E1497,$B$2:B1497,B1497)&gt;1,"No","Yes"))</f>
        <v/>
      </c>
      <c r="R1497" s="61" t="str">
        <f aca="false">IF(E1497="","",IF(Q1497="No","Duplicate of an earlier response",IF(L1497="Not on SITES","Site not on SITES",IF(N(G1497)&gt;N(F1497),"Present is more than enrolled",IF(OR(I1497&lt;1,I1497&gt;5),"Score outside 1 to 5","")))))</f>
        <v/>
      </c>
    </row>
    <row r="1498" customFormat="false" ht="15" hidden="false" customHeight="false" outlineLevel="0" collapsed="false">
      <c r="A1498" s="52"/>
      <c r="B1498" s="53"/>
      <c r="C1498" s="53"/>
      <c r="D1498" s="53"/>
      <c r="E1498" s="54"/>
      <c r="F1498" s="55"/>
      <c r="G1498" s="55"/>
      <c r="H1498" s="55"/>
      <c r="I1498" s="56"/>
      <c r="J1498" s="53"/>
      <c r="K1498" s="53"/>
      <c r="L1498" s="57" t="str">
        <f aca="false">IF(C1498="","",IFERROR(INDEX(site_ID,MATCH(C1498,site_Name,0)),"Not on SITES"))</f>
        <v/>
      </c>
      <c r="M1498" s="58" t="str">
        <f aca="false">IF(E1498="","",DATE(YEAR(E1498),MONTH(E1498),1))</f>
        <v/>
      </c>
      <c r="N1498" s="57" t="str">
        <f aca="false">IF(E1498="","","FY"&amp;(YEAR(E1498)+IF(AND(FYStart&gt;1,MONTH(E1498)&gt;=FYStart),1,0))&amp;" Q"&amp;(INT(MOD(MONTH(E1498)-FYStart,12)/3)+1))</f>
        <v/>
      </c>
      <c r="O1498" s="59" t="str">
        <f aca="false">IF(OR(E1498="",N(F1498)=0),"",G1498/F1498)</f>
        <v/>
      </c>
      <c r="P1498" s="60" t="str">
        <f aca="false">IF(E1498="","",ROUND(N(G1498)*N(H1498)/60,1))</f>
        <v/>
      </c>
      <c r="Q1498" s="57" t="str">
        <f aca="false">IF(E1498="","",IF(COUNTIFS($C$2:C1498,C1498,$E$2:E1498,E1498,$B$2:B1498,B1498)&gt;1,"No","Yes"))</f>
        <v/>
      </c>
      <c r="R1498" s="61" t="str">
        <f aca="false">IF(E1498="","",IF(Q1498="No","Duplicate of an earlier response",IF(L1498="Not on SITES","Site not on SITES",IF(N(G1498)&gt;N(F1498),"Present is more than enrolled",IF(OR(I1498&lt;1,I1498&gt;5),"Score outside 1 to 5","")))))</f>
        <v/>
      </c>
    </row>
    <row r="1499" customFormat="false" ht="15" hidden="false" customHeight="false" outlineLevel="0" collapsed="false">
      <c r="A1499" s="52"/>
      <c r="B1499" s="53"/>
      <c r="C1499" s="53"/>
      <c r="D1499" s="53"/>
      <c r="E1499" s="54"/>
      <c r="F1499" s="55"/>
      <c r="G1499" s="55"/>
      <c r="H1499" s="55"/>
      <c r="I1499" s="56"/>
      <c r="J1499" s="53"/>
      <c r="K1499" s="53"/>
      <c r="L1499" s="57" t="str">
        <f aca="false">IF(C1499="","",IFERROR(INDEX(site_ID,MATCH(C1499,site_Name,0)),"Not on SITES"))</f>
        <v/>
      </c>
      <c r="M1499" s="58" t="str">
        <f aca="false">IF(E1499="","",DATE(YEAR(E1499),MONTH(E1499),1))</f>
        <v/>
      </c>
      <c r="N1499" s="57" t="str">
        <f aca="false">IF(E1499="","","FY"&amp;(YEAR(E1499)+IF(AND(FYStart&gt;1,MONTH(E1499)&gt;=FYStart),1,0))&amp;" Q"&amp;(INT(MOD(MONTH(E1499)-FYStart,12)/3)+1))</f>
        <v/>
      </c>
      <c r="O1499" s="59" t="str">
        <f aca="false">IF(OR(E1499="",N(F1499)=0),"",G1499/F1499)</f>
        <v/>
      </c>
      <c r="P1499" s="60" t="str">
        <f aca="false">IF(E1499="","",ROUND(N(G1499)*N(H1499)/60,1))</f>
        <v/>
      </c>
      <c r="Q1499" s="57" t="str">
        <f aca="false">IF(E1499="","",IF(COUNTIFS($C$2:C1499,C1499,$E$2:E1499,E1499,$B$2:B1499,B1499)&gt;1,"No","Yes"))</f>
        <v/>
      </c>
      <c r="R1499" s="61" t="str">
        <f aca="false">IF(E1499="","",IF(Q1499="No","Duplicate of an earlier response",IF(L1499="Not on SITES","Site not on SITES",IF(N(G1499)&gt;N(F1499),"Present is more than enrolled",IF(OR(I1499&lt;1,I1499&gt;5),"Score outside 1 to 5","")))))</f>
        <v/>
      </c>
    </row>
    <row r="1500" customFormat="false" ht="15" hidden="false" customHeight="false" outlineLevel="0" collapsed="false">
      <c r="A1500" s="52"/>
      <c r="B1500" s="53"/>
      <c r="C1500" s="53"/>
      <c r="D1500" s="53"/>
      <c r="E1500" s="54"/>
      <c r="F1500" s="55"/>
      <c r="G1500" s="55"/>
      <c r="H1500" s="55"/>
      <c r="I1500" s="56"/>
      <c r="J1500" s="53"/>
      <c r="K1500" s="53"/>
      <c r="L1500" s="57" t="str">
        <f aca="false">IF(C1500="","",IFERROR(INDEX(site_ID,MATCH(C1500,site_Name,0)),"Not on SITES"))</f>
        <v/>
      </c>
      <c r="M1500" s="58" t="str">
        <f aca="false">IF(E1500="","",DATE(YEAR(E1500),MONTH(E1500),1))</f>
        <v/>
      </c>
      <c r="N1500" s="57" t="str">
        <f aca="false">IF(E1500="","","FY"&amp;(YEAR(E1500)+IF(AND(FYStart&gt;1,MONTH(E1500)&gt;=FYStart),1,0))&amp;" Q"&amp;(INT(MOD(MONTH(E1500)-FYStart,12)/3)+1))</f>
        <v/>
      </c>
      <c r="O1500" s="59" t="str">
        <f aca="false">IF(OR(E1500="",N(F1500)=0),"",G1500/F1500)</f>
        <v/>
      </c>
      <c r="P1500" s="60" t="str">
        <f aca="false">IF(E1500="","",ROUND(N(G1500)*N(H1500)/60,1))</f>
        <v/>
      </c>
      <c r="Q1500" s="57" t="str">
        <f aca="false">IF(E1500="","",IF(COUNTIFS($C$2:C1500,C1500,$E$2:E1500,E1500,$B$2:B1500,B1500)&gt;1,"No","Yes"))</f>
        <v/>
      </c>
      <c r="R1500" s="61" t="str">
        <f aca="false">IF(E1500="","",IF(Q1500="No","Duplicate of an earlier response",IF(L1500="Not on SITES","Site not on SITES",IF(N(G1500)&gt;N(F1500),"Present is more than enrolled",IF(OR(I1500&lt;1,I1500&gt;5),"Score outside 1 to 5","")))))</f>
        <v/>
      </c>
    </row>
    <row r="1501" customFormat="false" ht="15" hidden="false" customHeight="false" outlineLevel="0" collapsed="false">
      <c r="A1501" s="52"/>
      <c r="B1501" s="53"/>
      <c r="C1501" s="53"/>
      <c r="D1501" s="53"/>
      <c r="E1501" s="54"/>
      <c r="F1501" s="55"/>
      <c r="G1501" s="55"/>
      <c r="H1501" s="55"/>
      <c r="I1501" s="56"/>
      <c r="J1501" s="53"/>
      <c r="K1501" s="53"/>
      <c r="L1501" s="57" t="str">
        <f aca="false">IF(C1501="","",IFERROR(INDEX(site_ID,MATCH(C1501,site_Name,0)),"Not on SITES"))</f>
        <v/>
      </c>
      <c r="M1501" s="58" t="str">
        <f aca="false">IF(E1501="","",DATE(YEAR(E1501),MONTH(E1501),1))</f>
        <v/>
      </c>
      <c r="N1501" s="57" t="str">
        <f aca="false">IF(E1501="","","FY"&amp;(YEAR(E1501)+IF(AND(FYStart&gt;1,MONTH(E1501)&gt;=FYStart),1,0))&amp;" Q"&amp;(INT(MOD(MONTH(E1501)-FYStart,12)/3)+1))</f>
        <v/>
      </c>
      <c r="O1501" s="59" t="str">
        <f aca="false">IF(OR(E1501="",N(F1501)=0),"",G1501/F1501)</f>
        <v/>
      </c>
      <c r="P1501" s="60" t="str">
        <f aca="false">IF(E1501="","",ROUND(N(G1501)*N(H1501)/60,1))</f>
        <v/>
      </c>
      <c r="Q1501" s="57" t="str">
        <f aca="false">IF(E1501="","",IF(COUNTIFS($C$2:C1501,C1501,$E$2:E1501,E1501,$B$2:B1501,B1501)&gt;1,"No","Yes"))</f>
        <v/>
      </c>
      <c r="R1501" s="61" t="str">
        <f aca="false">IF(E1501="","",IF(Q1501="No","Duplicate of an earlier response",IF(L1501="Not on SITES","Site not on SITES",IF(N(G1501)&gt;N(F1501),"Present is more than enrolled",IF(OR(I1501&lt;1,I1501&gt;5),"Score outside 1 to 5","")))))</f>
        <v/>
      </c>
    </row>
  </sheetData>
  <sheetProtection sheet="true" formatColumns="false" formatRows="false" sort="false" autoFilter="false"/>
  <autoFilter ref="A1:R1501"/>
  <conditionalFormatting sqref="R2:R1501">
    <cfRule type="expression" priority="2" aboveAverage="0" equalAverage="0" bottom="0" percent="0" rank="0" text="" dxfId="1">
      <formula>$R2&lt;&gt;""</formula>
    </cfRule>
  </conditionalFormatting>
  <conditionalFormatting sqref="G2:G1501">
    <cfRule type="expression" priority="3" aboveAverage="0" equalAverage="0" bottom="0" percent="0" rank="0" text="" dxfId="1">
      <formula>AND(ISNUMBER($G2),$G2&gt;$F2)</formula>
    </cfRule>
  </conditionalFormatting>
  <conditionalFormatting sqref="I2:I1501">
    <cfRule type="expression" priority="4" aboveAverage="0" equalAverage="0" bottom="0" percent="0" rank="0" text="" dxfId="1">
      <formula>AND(ISNUMBER($I2),OR($I2&lt;1,$I2&gt;5))</formula>
    </cfRule>
  </conditionalFormatting>
  <conditionalFormatting sqref="Q2:Q1501">
    <cfRule type="expression" priority="5" aboveAverage="0" equalAverage="0" bottom="0" percent="0" rank="0" text="" dxfId="1">
      <formula>$Q2="No"</formula>
    </cfRule>
  </conditionalFormatting>
  <dataValidations count="5">
    <dataValidation allowBlank="true" error="Pick a value from the list." errorStyle="stop" errorTitle="Not on the list" operator="between" showDropDown="false" showErrorMessage="true" showInputMessage="false" sqref="B2:B1501" type="list">
      <formula1>FacNames</formula1>
      <formula2>0</formula2>
    </dataValidation>
    <dataValidation allowBlank="true" error="Pick a value from the list." errorStyle="stop" errorTitle="Not on the list" operator="between" showDropDown="false" showErrorMessage="true" showInputMessage="false" sqref="C2:C1501" type="list">
      <formula1>SiteNames</formula1>
      <formula2>0</formula2>
    </dataValidation>
    <dataValidation allowBlank="true" error="Pick a value from the list." errorStyle="stop" errorTitle="Not on the list" operator="between" showDropDown="false" showErrorMessage="true" showInputMessage="false" sqref="D2:D1501" type="list">
      <formula1>ProgramList</formula1>
      <formula2>0</formula2>
    </dataValidation>
    <dataValidation allowBlank="true" error="Enter a date such as 9/14/2026." errorStyle="stop" errorTitle="Check the date" operator="between" showDropDown="false" showErrorMessage="true" showInputMessage="false" sqref="E2:E1501" type="date">
      <formula1>DATE(2020,1,1)</formula1>
      <formula2>DATE(2035,12,31)</formula2>
    </dataValidation>
    <dataValidation allowBlank="true" error="Enter a whole number of students." errorStyle="stop" errorTitle="Check the number" operator="between" showDropDown="false" showErrorMessage="true" showInputMessage="false" sqref="F2:G1501" type="whole">
      <formula1>0</formula1>
      <formula2>60</formula2>
    </dataValidation>
  </dataValidations>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453B8"/>
    <pageSetUpPr fitToPage="true"/>
  </sheetPr>
  <dimension ref="B1:O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9"/>
    <col collapsed="false" customWidth="true" hidden="false" outlineLevel="0" max="3" min="3" style="0" width="26"/>
    <col collapsed="false" customWidth="true" hidden="false" outlineLevel="0" max="4" min="4" style="0" width="18"/>
    <col collapsed="false" customWidth="true" hidden="false" outlineLevel="0" max="5" min="5" style="0" width="16"/>
    <col collapsed="false" customWidth="true" hidden="false" outlineLevel="0" max="6" min="6" style="0" width="10"/>
    <col collapsed="false" customWidth="true" hidden="false" outlineLevel="0" max="7" min="7" style="0" width="11"/>
    <col collapsed="false" customWidth="true" hidden="false" outlineLevel="0" max="9" min="8" style="0" width="12"/>
    <col collapsed="false" customWidth="true" hidden="false" outlineLevel="0" max="10" min="10" style="0" width="11"/>
    <col collapsed="false" customWidth="true" hidden="false" outlineLevel="0" max="11" min="11" style="0" width="12"/>
    <col collapsed="false" customWidth="true" hidden="false" outlineLevel="0" max="13" min="12" style="0" width="11"/>
    <col collapsed="false" customWidth="true" hidden="false" outlineLevel="0" max="14" min="14" style="0" width="10"/>
    <col collapsed="false" customWidth="true" hidden="false" outlineLevel="0" max="15" min="15" style="0" width="17"/>
  </cols>
  <sheetData>
    <row r="1" customFormat="false" ht="33.75" hidden="false" customHeight="true" outlineLevel="0" collapsed="false">
      <c r="B1" s="1" t="s">
        <v>169</v>
      </c>
    </row>
    <row r="2" customFormat="false" ht="15" hidden="false" customHeight="false" outlineLevel="0" collapsed="false">
      <c r="B2" s="2" t="str">
        <f aca="false">"School year to date, with report status for "&amp;TEXT(ReportMonth,"mmmm yyyy")&amp;". Data current as of "&amp;TEXT(AsOf,"mmmm d, yyyy")&amp;"."</f>
        <v>School year to date, with report status for May 2026. Data current as of May 29, 2026.</v>
      </c>
    </row>
    <row r="4" customFormat="false" ht="33.75" hidden="false" customHeight="true" outlineLevel="0" collapsed="false">
      <c r="B4" s="38" t="s">
        <v>100</v>
      </c>
      <c r="C4" s="38" t="s">
        <v>87</v>
      </c>
      <c r="D4" s="38" t="s">
        <v>81</v>
      </c>
      <c r="E4" s="38" t="s">
        <v>170</v>
      </c>
      <c r="F4" s="38" t="s">
        <v>82</v>
      </c>
      <c r="G4" s="38" t="s">
        <v>95</v>
      </c>
      <c r="H4" s="38" t="s">
        <v>77</v>
      </c>
      <c r="I4" s="38" t="s">
        <v>84</v>
      </c>
      <c r="J4" s="38" t="s">
        <v>78</v>
      </c>
      <c r="K4" s="38" t="s">
        <v>171</v>
      </c>
      <c r="L4" s="38" t="s">
        <v>172</v>
      </c>
      <c r="M4" s="38" t="s">
        <v>173</v>
      </c>
      <c r="N4" s="38" t="s">
        <v>174</v>
      </c>
      <c r="O4" s="38" t="s">
        <v>175</v>
      </c>
    </row>
    <row r="5" customFormat="false" ht="18" hidden="false" customHeight="true" outlineLevel="0" collapsed="false">
      <c r="B5" s="62" t="str">
        <f aca="false">INDEX(site_ID,1)</f>
        <v>LW-101</v>
      </c>
      <c r="C5" s="39" t="str">
        <f aca="false">INDEX(site_Name,1)</f>
        <v>Alder Street Elementary</v>
      </c>
      <c r="D5" s="46" t="str">
        <f aca="false">INDEX(site_Program,1)</f>
        <v>Visual Arts</v>
      </c>
      <c r="E5" s="46" t="str">
        <f aca="false">INDEX(site_Fac,1)</f>
        <v>Amara Boateng</v>
      </c>
      <c r="F5" s="23" t="n">
        <f aca="false">COUNTIFS(lg_SiteID,$B5,lg_Include,"Yes")</f>
        <v>32</v>
      </c>
      <c r="G5" s="23" t="n">
        <f aca="false">SUMIFS(lg_Present,lg_SiteID,$B5,lg_Include,"Yes")</f>
        <v>459</v>
      </c>
      <c r="H5" s="40" t="n">
        <f aca="false">IFERROR(SUMIFS(lg_Present,lg_SiteID,$B5,lg_Include,"Yes")/SUMIFS(lg_Enrolled,lg_SiteID,$B5,lg_Include,"Yes"),0)</f>
        <v>0.762458471760797</v>
      </c>
      <c r="I5" s="41" t="n">
        <f aca="false">IFERROR(AVERAGEIFS(lg_Score,lg_SiteID,$B5,lg_Include,"Yes",lg_Score,"&gt;=1",lg_Score,"&lt;=5"),0)</f>
        <v>3.6625</v>
      </c>
      <c r="J5" s="23" t="n">
        <f aca="false">SUMIFS(lg_Hours,lg_SiteID,$B5,lg_Include,"Yes")</f>
        <v>551</v>
      </c>
      <c r="K5" s="63" t="n">
        <f aca="false">_xlfn.MAXIFS(lg_Date,lg_SiteID,$B5)</f>
        <v>46162</v>
      </c>
      <c r="L5" s="64" t="n">
        <f aca="false">IF(K5=0,"",AsOf-K5)</f>
        <v>9</v>
      </c>
      <c r="M5" s="64" t="n">
        <f aca="false">COUNTIFS(lg_SiteID,$B5,lg_Month,ReportMonth,lg_Include,"Yes")</f>
        <v>3</v>
      </c>
      <c r="N5" s="64" t="n">
        <f aca="false">INDEX(site_Planned,1)</f>
        <v>4</v>
      </c>
      <c r="O5" s="62" t="str">
        <f aca="false">IF(M5=0,"Missing reports",IF(M5&lt;N5*0.75,"Behind",IF(N(L5)&gt;GapDays,"Check dates","Up to date")))</f>
        <v>Up to date</v>
      </c>
    </row>
    <row r="6" customFormat="false" ht="18" hidden="false" customHeight="true" outlineLevel="0" collapsed="false">
      <c r="B6" s="62" t="str">
        <f aca="false">INDEX(site_ID,2)</f>
        <v>LW-102</v>
      </c>
      <c r="C6" s="39" t="str">
        <f aca="false">INDEX(site_Name,2)</f>
        <v>Brookhaven Middle</v>
      </c>
      <c r="D6" s="46" t="str">
        <f aca="false">INDEX(site_Program,2)</f>
        <v>Theater</v>
      </c>
      <c r="E6" s="46" t="str">
        <f aca="false">INDEX(site_Fac,2)</f>
        <v>Lucas Ferreira</v>
      </c>
      <c r="F6" s="23" t="n">
        <f aca="false">COUNTIFS(lg_SiteID,$B6,lg_Include,"Yes")</f>
        <v>32</v>
      </c>
      <c r="G6" s="23" t="n">
        <f aca="false">SUMIFS(lg_Present,lg_SiteID,$B6,lg_Include,"Yes")</f>
        <v>510</v>
      </c>
      <c r="H6" s="40" t="n">
        <f aca="false">IFERROR(SUMIFS(lg_Present,lg_SiteID,$B6,lg_Include,"Yes")/SUMIFS(lg_Enrolled,lg_SiteID,$B6,lg_Include,"Yes"),0)</f>
        <v>0.905861456483126</v>
      </c>
      <c r="I6" s="41" t="n">
        <f aca="false">IFERROR(AVERAGEIFS(lg_Score,lg_SiteID,$B6,lg_Include,"Yes",lg_Score,"&gt;=1",lg_Score,"&lt;=5"),0)</f>
        <v>3.334375</v>
      </c>
      <c r="J6" s="23" t="n">
        <f aca="false">SUMIFS(lg_Hours,lg_SiteID,$B6,lg_Include,"Yes")</f>
        <v>614.6</v>
      </c>
      <c r="K6" s="63" t="n">
        <f aca="false">_xlfn.MAXIFS(lg_Date,lg_SiteID,$B6)</f>
        <v>46155</v>
      </c>
      <c r="L6" s="64" t="n">
        <f aca="false">IF(K6=0,"",AsOf-K6)</f>
        <v>16</v>
      </c>
      <c r="M6" s="64" t="n">
        <f aca="false">COUNTIFS(lg_SiteID,$B6,lg_Month,ReportMonth,lg_Include,"Yes")</f>
        <v>2</v>
      </c>
      <c r="N6" s="64" t="n">
        <f aca="false">INDEX(site_Planned,2)</f>
        <v>4</v>
      </c>
      <c r="O6" s="62" t="str">
        <f aca="false">IF(M6=0,"Missing reports",IF(M6&lt;N6*0.75,"Behind",IF(N(L6)&gt;GapDays,"Check dates","Up to date")))</f>
        <v>Behind</v>
      </c>
    </row>
    <row r="7" customFormat="false" ht="18" hidden="false" customHeight="true" outlineLevel="0" collapsed="false">
      <c r="B7" s="62" t="str">
        <f aca="false">INDEX(site_ID,3)</f>
        <v>LW-103</v>
      </c>
      <c r="C7" s="39" t="str">
        <f aca="false">INDEX(site_Name,3)</f>
        <v>Carver Hill Elementary</v>
      </c>
      <c r="D7" s="46" t="str">
        <f aca="false">INDEX(site_Program,3)</f>
        <v>Music</v>
      </c>
      <c r="E7" s="46" t="str">
        <f aca="false">INDEX(site_Fac,3)</f>
        <v>Dana Whitcomb</v>
      </c>
      <c r="F7" s="23" t="n">
        <f aca="false">COUNTIFS(lg_SiteID,$B7,lg_Include,"Yes")</f>
        <v>31</v>
      </c>
      <c r="G7" s="23" t="n">
        <f aca="false">SUMIFS(lg_Present,lg_SiteID,$B7,lg_Include,"Yes")</f>
        <v>372</v>
      </c>
      <c r="H7" s="40" t="n">
        <f aca="false">IFERROR(SUMIFS(lg_Present,lg_SiteID,$B7,lg_Include,"Yes")/SUMIFS(lg_Enrolled,lg_SiteID,$B7,lg_Include,"Yes"),0)</f>
        <v>0.75609756097561</v>
      </c>
      <c r="I7" s="41" t="n">
        <f aca="false">IFERROR(AVERAGEIFS(lg_Score,lg_SiteID,$B7,lg_Include,"Yes",lg_Score,"&gt;=1",lg_Score,"&lt;=5"),0)</f>
        <v>3.67666666666667</v>
      </c>
      <c r="J7" s="23" t="n">
        <f aca="false">SUMIFS(lg_Hours,lg_SiteID,$B7,lg_Include,"Yes")</f>
        <v>431.7</v>
      </c>
      <c r="K7" s="63" t="n">
        <f aca="false">_xlfn.MAXIFS(lg_Date,lg_SiteID,$B7)</f>
        <v>46160</v>
      </c>
      <c r="L7" s="64" t="n">
        <f aca="false">IF(K7=0,"",AsOf-K7)</f>
        <v>11</v>
      </c>
      <c r="M7" s="64" t="n">
        <f aca="false">COUNTIFS(lg_SiteID,$B7,lg_Month,ReportMonth,lg_Include,"Yes")</f>
        <v>3</v>
      </c>
      <c r="N7" s="64" t="n">
        <f aca="false">INDEX(site_Planned,3)</f>
        <v>4</v>
      </c>
      <c r="O7" s="62" t="str">
        <f aca="false">IF(M7=0,"Missing reports",IF(M7&lt;N7*0.75,"Behind",IF(N(L7)&gt;GapDays,"Check dates","Up to date")))</f>
        <v>Up to date</v>
      </c>
    </row>
    <row r="8" customFormat="false" ht="18" hidden="false" customHeight="true" outlineLevel="0" collapsed="false">
      <c r="B8" s="62" t="str">
        <f aca="false">INDEX(site_ID,4)</f>
        <v>LW-104</v>
      </c>
      <c r="C8" s="39" t="str">
        <f aca="false">INDEX(site_Name,4)</f>
        <v>Dunmore Academy</v>
      </c>
      <c r="D8" s="46" t="str">
        <f aca="false">INDEX(site_Program,4)</f>
        <v>Dance and Movement</v>
      </c>
      <c r="E8" s="46" t="str">
        <f aca="false">INDEX(site_Fac,4)</f>
        <v>Jun Park</v>
      </c>
      <c r="F8" s="23" t="n">
        <f aca="false">COUNTIFS(lg_SiteID,$B8,lg_Include,"Yes")</f>
        <v>32</v>
      </c>
      <c r="G8" s="23" t="n">
        <f aca="false">SUMIFS(lg_Present,lg_SiteID,$B8,lg_Include,"Yes")</f>
        <v>372</v>
      </c>
      <c r="H8" s="40" t="n">
        <f aca="false">IFERROR(SUMIFS(lg_Present,lg_SiteID,$B8,lg_Include,"Yes")/SUMIFS(lg_Enrolled,lg_SiteID,$B8,lg_Include,"Yes"),0)</f>
        <v>0.729411764705882</v>
      </c>
      <c r="I8" s="41" t="n">
        <f aca="false">IFERROR(AVERAGEIFS(lg_Score,lg_SiteID,$B8,lg_Include,"Yes",lg_Score,"&gt;=1",lg_Score,"&lt;=5"),0)</f>
        <v>3.615625</v>
      </c>
      <c r="J8" s="23" t="n">
        <f aca="false">SUMIFS(lg_Hours,lg_SiteID,$B8,lg_Include,"Yes")</f>
        <v>464.8</v>
      </c>
      <c r="K8" s="63" t="n">
        <f aca="false">_xlfn.MAXIFS(lg_Date,lg_SiteID,$B8)</f>
        <v>46163</v>
      </c>
      <c r="L8" s="64" t="n">
        <f aca="false">IF(K8=0,"",AsOf-K8)</f>
        <v>8</v>
      </c>
      <c r="M8" s="64" t="n">
        <f aca="false">COUNTIFS(lg_SiteID,$B8,lg_Month,ReportMonth,lg_Include,"Yes")</f>
        <v>3</v>
      </c>
      <c r="N8" s="64" t="n">
        <f aca="false">INDEX(site_Planned,4)</f>
        <v>4</v>
      </c>
      <c r="O8" s="62" t="str">
        <f aca="false">IF(M8=0,"Missing reports",IF(M8&lt;N8*0.75,"Behind",IF(N(L8)&gt;GapDays,"Check dates","Up to date")))</f>
        <v>Up to date</v>
      </c>
    </row>
    <row r="9" customFormat="false" ht="18" hidden="false" customHeight="true" outlineLevel="0" collapsed="false">
      <c r="B9" s="62" t="str">
        <f aca="false">INDEX(site_ID,5)</f>
        <v>LW-105</v>
      </c>
      <c r="C9" s="39" t="str">
        <f aca="false">INDEX(site_Name,5)</f>
        <v>East Fork Elementary</v>
      </c>
      <c r="D9" s="46" t="str">
        <f aca="false">INDEX(site_Program,5)</f>
        <v>Digital Media</v>
      </c>
      <c r="E9" s="46" t="str">
        <f aca="false">INDEX(site_Fac,5)</f>
        <v>Talia Moreno</v>
      </c>
      <c r="F9" s="23" t="n">
        <f aca="false">COUNTIFS(lg_SiteID,$B9,lg_Include,"Yes")</f>
        <v>31</v>
      </c>
      <c r="G9" s="23" t="n">
        <f aca="false">SUMIFS(lg_Present,lg_SiteID,$B9,lg_Include,"Yes")</f>
        <v>361</v>
      </c>
      <c r="H9" s="40" t="n">
        <f aca="false">IFERROR(SUMIFS(lg_Present,lg_SiteID,$B9,lg_Include,"Yes")/SUMIFS(lg_Enrolled,lg_SiteID,$B9,lg_Include,"Yes"),0)</f>
        <v>0.820454545454545</v>
      </c>
      <c r="I9" s="41" t="n">
        <f aca="false">IFERROR(AVERAGEIFS(lg_Score,lg_SiteID,$B9,lg_Include,"Yes",lg_Score,"&gt;=1",lg_Score,"&lt;=5"),0)</f>
        <v>3.57741935483871</v>
      </c>
      <c r="J9" s="23" t="n">
        <f aca="false">SUMIFS(lg_Hours,lg_SiteID,$B9,lg_Include,"Yes")</f>
        <v>541.5</v>
      </c>
      <c r="K9" s="63" t="n">
        <f aca="false">_xlfn.MAXIFS(lg_Date,lg_SiteID,$B9)</f>
        <v>46163</v>
      </c>
      <c r="L9" s="64" t="n">
        <f aca="false">IF(K9=0,"",AsOf-K9)</f>
        <v>8</v>
      </c>
      <c r="M9" s="64" t="n">
        <f aca="false">COUNTIFS(lg_SiteID,$B9,lg_Month,ReportMonth,lg_Include,"Yes")</f>
        <v>3</v>
      </c>
      <c r="N9" s="64" t="n">
        <f aca="false">INDEX(site_Planned,5)</f>
        <v>4</v>
      </c>
      <c r="O9" s="62" t="str">
        <f aca="false">IF(M9=0,"Missing reports",IF(M9&lt;N9*0.75,"Behind",IF(N(L9)&gt;GapDays,"Check dates","Up to date")))</f>
        <v>Up to date</v>
      </c>
    </row>
    <row r="10" customFormat="false" ht="18" hidden="false" customHeight="true" outlineLevel="0" collapsed="false">
      <c r="B10" s="62" t="str">
        <f aca="false">INDEX(site_ID,6)</f>
        <v>LW-106</v>
      </c>
      <c r="C10" s="39" t="str">
        <f aca="false">INDEX(site_Name,6)</f>
        <v>Fairmont Park Middle</v>
      </c>
      <c r="D10" s="46" t="str">
        <f aca="false">INDEX(site_Program,6)</f>
        <v>Visual Arts</v>
      </c>
      <c r="E10" s="46" t="str">
        <f aca="false">INDEX(site_Fac,6)</f>
        <v>Theo Banfield</v>
      </c>
      <c r="F10" s="23" t="n">
        <f aca="false">COUNTIFS(lg_SiteID,$B10,lg_Include,"Yes")</f>
        <v>31</v>
      </c>
      <c r="G10" s="23" t="n">
        <f aca="false">SUMIFS(lg_Present,lg_SiteID,$B10,lg_Include,"Yes")</f>
        <v>438</v>
      </c>
      <c r="H10" s="40" t="n">
        <f aca="false">IFERROR(SUMIFS(lg_Present,lg_SiteID,$B10,lg_Include,"Yes")/SUMIFS(lg_Enrolled,lg_SiteID,$B10,lg_Include,"Yes"),0)</f>
        <v>0.80073126142596</v>
      </c>
      <c r="I10" s="41" t="n">
        <f aca="false">IFERROR(AVERAGEIFS(lg_Score,lg_SiteID,$B10,lg_Include,"Yes",lg_Score,"&gt;=1",lg_Score,"&lt;=5"),0)</f>
        <v>3.40967741935484</v>
      </c>
      <c r="J10" s="23" t="n">
        <f aca="false">SUMIFS(lg_Hours,lg_SiteID,$B10,lg_Include,"Yes")</f>
        <v>519.7</v>
      </c>
      <c r="K10" s="63" t="n">
        <f aca="false">_xlfn.MAXIFS(lg_Date,lg_SiteID,$B10)</f>
        <v>46161</v>
      </c>
      <c r="L10" s="64" t="n">
        <f aca="false">IF(K10=0,"",AsOf-K10)</f>
        <v>10</v>
      </c>
      <c r="M10" s="64" t="n">
        <f aca="false">COUNTIFS(lg_SiteID,$B10,lg_Month,ReportMonth,lg_Include,"Yes")</f>
        <v>3</v>
      </c>
      <c r="N10" s="64" t="n">
        <f aca="false">INDEX(site_Planned,6)</f>
        <v>4</v>
      </c>
      <c r="O10" s="62" t="str">
        <f aca="false">IF(M10=0,"Missing reports",IF(M10&lt;N10*0.75,"Behind",IF(N(L10)&gt;GapDays,"Check dates","Up to date")))</f>
        <v>Up to date</v>
      </c>
    </row>
    <row r="11" customFormat="false" ht="18" hidden="false" customHeight="true" outlineLevel="0" collapsed="false">
      <c r="B11" s="62" t="str">
        <f aca="false">INDEX(site_ID,7)</f>
        <v>LW-107</v>
      </c>
      <c r="C11" s="39" t="str">
        <f aca="false">INDEX(site_Name,7)</f>
        <v>Glenwood Elementary</v>
      </c>
      <c r="D11" s="46" t="str">
        <f aca="false">INDEX(site_Program,7)</f>
        <v>Theater</v>
      </c>
      <c r="E11" s="46" t="str">
        <f aca="false">INDEX(site_Fac,7)</f>
        <v>Simone Lacy</v>
      </c>
      <c r="F11" s="23" t="n">
        <f aca="false">COUNTIFS(lg_SiteID,$B11,lg_Include,"Yes")</f>
        <v>30</v>
      </c>
      <c r="G11" s="23" t="n">
        <f aca="false">SUMIFS(lg_Present,lg_SiteID,$B11,lg_Include,"Yes")</f>
        <v>410</v>
      </c>
      <c r="H11" s="40" t="n">
        <f aca="false">IFERROR(SUMIFS(lg_Present,lg_SiteID,$B11,lg_Include,"Yes")/SUMIFS(lg_Enrolled,lg_SiteID,$B11,lg_Include,"Yes"),0)</f>
        <v>0.838445807770961</v>
      </c>
      <c r="I11" s="41" t="n">
        <f aca="false">IFERROR(AVERAGEIFS(lg_Score,lg_SiteID,$B11,lg_Include,"Yes",lg_Score,"&gt;=1",lg_Score,"&lt;=5"),0)</f>
        <v>3.27</v>
      </c>
      <c r="J11" s="23" t="n">
        <f aca="false">SUMIFS(lg_Hours,lg_SiteID,$B11,lg_Include,"Yes")</f>
        <v>486.1</v>
      </c>
      <c r="K11" s="63" t="n">
        <f aca="false">_xlfn.MAXIFS(lg_Date,lg_SiteID,$B11)</f>
        <v>46140</v>
      </c>
      <c r="L11" s="64" t="n">
        <f aca="false">IF(K11=0,"",AsOf-K11)</f>
        <v>31</v>
      </c>
      <c r="M11" s="64" t="n">
        <f aca="false">COUNTIFS(lg_SiteID,$B11,lg_Month,ReportMonth,lg_Include,"Yes")</f>
        <v>0</v>
      </c>
      <c r="N11" s="64" t="n">
        <f aca="false">INDEX(site_Planned,7)</f>
        <v>4</v>
      </c>
      <c r="O11" s="62" t="str">
        <f aca="false">IF(M11=0,"Missing reports",IF(M11&lt;N11*0.75,"Behind",IF(N(L11)&gt;GapDays,"Check dates","Up to date")))</f>
        <v>Missing reports</v>
      </c>
    </row>
    <row r="12" customFormat="false" ht="18" hidden="false" customHeight="true" outlineLevel="0" collapsed="false">
      <c r="B12" s="62" t="str">
        <f aca="false">INDEX(site_ID,8)</f>
        <v>LW-108</v>
      </c>
      <c r="C12" s="39" t="str">
        <f aca="false">INDEX(site_Name,8)</f>
        <v>Harbor View K-8</v>
      </c>
      <c r="D12" s="46" t="str">
        <f aca="false">INDEX(site_Program,8)</f>
        <v>Music</v>
      </c>
      <c r="E12" s="46" t="str">
        <f aca="false">INDEX(site_Fac,8)</f>
        <v>Owen Prewitt</v>
      </c>
      <c r="F12" s="23" t="n">
        <f aca="false">COUNTIFS(lg_SiteID,$B12,lg_Include,"Yes")</f>
        <v>32</v>
      </c>
      <c r="G12" s="23" t="n">
        <f aca="false">SUMIFS(lg_Present,lg_SiteID,$B12,lg_Include,"Yes")</f>
        <v>412</v>
      </c>
      <c r="H12" s="40" t="n">
        <f aca="false">IFERROR(SUMIFS(lg_Present,lg_SiteID,$B12,lg_Include,"Yes")/SUMIFS(lg_Enrolled,lg_SiteID,$B12,lg_Include,"Yes"),0)</f>
        <v>0.840816326530612</v>
      </c>
      <c r="I12" s="41" t="n">
        <f aca="false">IFERROR(AVERAGEIFS(lg_Score,lg_SiteID,$B12,lg_Include,"Yes",lg_Score,"&gt;=1",lg_Score,"&lt;=5"),0)</f>
        <v>3.89375</v>
      </c>
      <c r="J12" s="23" t="n">
        <f aca="false">SUMIFS(lg_Hours,lg_SiteID,$B12,lg_Include,"Yes")</f>
        <v>476.1</v>
      </c>
      <c r="K12" s="63" t="n">
        <f aca="false">_xlfn.MAXIFS(lg_Date,lg_SiteID,$B12)</f>
        <v>46161</v>
      </c>
      <c r="L12" s="64" t="n">
        <f aca="false">IF(K12=0,"",AsOf-K12)</f>
        <v>10</v>
      </c>
      <c r="M12" s="64" t="n">
        <f aca="false">COUNTIFS(lg_SiteID,$B12,lg_Month,ReportMonth,lg_Include,"Yes")</f>
        <v>3</v>
      </c>
      <c r="N12" s="64" t="n">
        <f aca="false">INDEX(site_Planned,8)</f>
        <v>4</v>
      </c>
      <c r="O12" s="62" t="str">
        <f aca="false">IF(M12=0,"Missing reports",IF(M12&lt;N12*0.75,"Behind",IF(N(L12)&gt;GapDays,"Check dates","Up to date")))</f>
        <v>Up to date</v>
      </c>
    </row>
    <row r="13" customFormat="false" ht="18" hidden="false" customHeight="true" outlineLevel="0" collapsed="false">
      <c r="B13" s="62" t="str">
        <f aca="false">INDEX(site_ID,9)</f>
        <v>LW-109</v>
      </c>
      <c r="C13" s="39" t="str">
        <f aca="false">INDEX(site_Name,9)</f>
        <v>Ironbridge Elementary</v>
      </c>
      <c r="D13" s="46" t="str">
        <f aca="false">INDEX(site_Program,9)</f>
        <v>Dance and Movement</v>
      </c>
      <c r="E13" s="46" t="str">
        <f aca="false">INDEX(site_Fac,9)</f>
        <v>Amara Boateng</v>
      </c>
      <c r="F13" s="23" t="n">
        <f aca="false">COUNTIFS(lg_SiteID,$B13,lg_Include,"Yes")</f>
        <v>32</v>
      </c>
      <c r="G13" s="23" t="n">
        <f aca="false">SUMIFS(lg_Present,lg_SiteID,$B13,lg_Include,"Yes")</f>
        <v>456</v>
      </c>
      <c r="H13" s="40" t="n">
        <f aca="false">IFERROR(SUMIFS(lg_Present,lg_SiteID,$B13,lg_Include,"Yes")/SUMIFS(lg_Enrolled,lg_SiteID,$B13,lg_Include,"Yes"),0)</f>
        <v>0.829090909090909</v>
      </c>
      <c r="I13" s="41" t="n">
        <f aca="false">IFERROR(AVERAGEIFS(lg_Score,lg_SiteID,$B13,lg_Include,"Yes",lg_Score,"&gt;=1",lg_Score,"&lt;=5"),0)</f>
        <v>3.425</v>
      </c>
      <c r="J13" s="23" t="n">
        <f aca="false">SUMIFS(lg_Hours,lg_SiteID,$B13,lg_Include,"Yes")</f>
        <v>540.9</v>
      </c>
      <c r="K13" s="63" t="n">
        <f aca="false">_xlfn.MAXIFS(lg_Date,lg_SiteID,$B13)</f>
        <v>46161</v>
      </c>
      <c r="L13" s="64" t="n">
        <f aca="false">IF(K13=0,"",AsOf-K13)</f>
        <v>10</v>
      </c>
      <c r="M13" s="64" t="n">
        <f aca="false">COUNTIFS(lg_SiteID,$B13,lg_Month,ReportMonth,lg_Include,"Yes")</f>
        <v>3</v>
      </c>
      <c r="N13" s="64" t="n">
        <f aca="false">INDEX(site_Planned,9)</f>
        <v>4</v>
      </c>
      <c r="O13" s="62" t="str">
        <f aca="false">IF(M13=0,"Missing reports",IF(M13&lt;N13*0.75,"Behind",IF(N(L13)&gt;GapDays,"Check dates","Up to date")))</f>
        <v>Up to date</v>
      </c>
    </row>
    <row r="14" customFormat="false" ht="18" hidden="false" customHeight="true" outlineLevel="0" collapsed="false">
      <c r="B14" s="62" t="str">
        <f aca="false">INDEX(site_ID,10)</f>
        <v>LW-110</v>
      </c>
      <c r="C14" s="39" t="str">
        <f aca="false">INDEX(site_Name,10)</f>
        <v>Juniper Ridge Middle</v>
      </c>
      <c r="D14" s="46" t="str">
        <f aca="false">INDEX(site_Program,10)</f>
        <v>Digital Media</v>
      </c>
      <c r="E14" s="46" t="str">
        <f aca="false">INDEX(site_Fac,10)</f>
        <v>Lucas Ferreira</v>
      </c>
      <c r="F14" s="23" t="n">
        <f aca="false">COUNTIFS(lg_SiteID,$B14,lg_Include,"Yes")</f>
        <v>32</v>
      </c>
      <c r="G14" s="23" t="n">
        <f aca="false">SUMIFS(lg_Present,lg_SiteID,$B14,lg_Include,"Yes")</f>
        <v>347</v>
      </c>
      <c r="H14" s="40" t="n">
        <f aca="false">IFERROR(SUMIFS(lg_Present,lg_SiteID,$B14,lg_Include,"Yes")/SUMIFS(lg_Enrolled,lg_SiteID,$B14,lg_Include,"Yes"),0)</f>
        <v>0.803240740740741</v>
      </c>
      <c r="I14" s="41" t="n">
        <f aca="false">IFERROR(AVERAGEIFS(lg_Score,lg_SiteID,$B14,lg_Include,"Yes",lg_Score,"&gt;=1",lg_Score,"&lt;=5"),0)</f>
        <v>3.675</v>
      </c>
      <c r="J14" s="23" t="n">
        <f aca="false">SUMIFS(lg_Hours,lg_SiteID,$B14,lg_Include,"Yes")</f>
        <v>520.5</v>
      </c>
      <c r="K14" s="63" t="n">
        <f aca="false">_xlfn.MAXIFS(lg_Date,lg_SiteID,$B14)</f>
        <v>46163</v>
      </c>
      <c r="L14" s="64" t="n">
        <f aca="false">IF(K14=0,"",AsOf-K14)</f>
        <v>8</v>
      </c>
      <c r="M14" s="64" t="n">
        <f aca="false">COUNTIFS(lg_SiteID,$B14,lg_Month,ReportMonth,lg_Include,"Yes")</f>
        <v>3</v>
      </c>
      <c r="N14" s="64" t="n">
        <f aca="false">INDEX(site_Planned,10)</f>
        <v>4</v>
      </c>
      <c r="O14" s="62" t="str">
        <f aca="false">IF(M14=0,"Missing reports",IF(M14&lt;N14*0.75,"Behind",IF(N(L14)&gt;GapDays,"Check dates","Up to date")))</f>
        <v>Up to date</v>
      </c>
    </row>
    <row r="15" customFormat="false" ht="18" hidden="false" customHeight="true" outlineLevel="0" collapsed="false">
      <c r="B15" s="62" t="str">
        <f aca="false">INDEX(site_ID,11)</f>
        <v>LW-111</v>
      </c>
      <c r="C15" s="39" t="str">
        <f aca="false">INDEX(site_Name,11)</f>
        <v>Kessler Elementary</v>
      </c>
      <c r="D15" s="46" t="str">
        <f aca="false">INDEX(site_Program,11)</f>
        <v>Visual Arts</v>
      </c>
      <c r="E15" s="46" t="str">
        <f aca="false">INDEX(site_Fac,11)</f>
        <v>Dana Whitcomb</v>
      </c>
      <c r="F15" s="23" t="n">
        <f aca="false">COUNTIFS(lg_SiteID,$B15,lg_Include,"Yes")</f>
        <v>61</v>
      </c>
      <c r="G15" s="23" t="n">
        <f aca="false">SUMIFS(lg_Present,lg_SiteID,$B15,lg_Include,"Yes")</f>
        <v>1027</v>
      </c>
      <c r="H15" s="40" t="n">
        <f aca="false">IFERROR(SUMIFS(lg_Present,lg_SiteID,$B15,lg_Include,"Yes")/SUMIFS(lg_Enrolled,lg_SiteID,$B15,lg_Include,"Yes"),0)</f>
        <v>0.785168195718655</v>
      </c>
      <c r="I15" s="41" t="n">
        <f aca="false">IFERROR(AVERAGEIFS(lg_Score,lg_SiteID,$B15,lg_Include,"Yes",lg_Score,"&gt;=1",lg_Score,"&lt;=5"),0)</f>
        <v>3.49344262295082</v>
      </c>
      <c r="J15" s="23" t="n">
        <f aca="false">SUMIFS(lg_Hours,lg_SiteID,$B15,lg_Include,"Yes")</f>
        <v>1227.7</v>
      </c>
      <c r="K15" s="63" t="n">
        <f aca="false">_xlfn.MAXIFS(lg_Date,lg_SiteID,$B15)</f>
        <v>46153</v>
      </c>
      <c r="L15" s="64" t="n">
        <f aca="false">IF(K15=0,"",AsOf-K15)</f>
        <v>18</v>
      </c>
      <c r="M15" s="64" t="n">
        <f aca="false">COUNTIFS(lg_SiteID,$B15,lg_Month,ReportMonth,lg_Include,"Yes")</f>
        <v>3</v>
      </c>
      <c r="N15" s="64" t="n">
        <f aca="false">INDEX(site_Planned,11)</f>
        <v>8</v>
      </c>
      <c r="O15" s="62" t="str">
        <f aca="false">IF(M15=0,"Missing reports",IF(M15&lt;N15*0.75,"Behind",IF(N(L15)&gt;GapDays,"Check dates","Up to date")))</f>
        <v>Behind</v>
      </c>
    </row>
    <row r="16" customFormat="false" ht="18" hidden="false" customHeight="true" outlineLevel="0" collapsed="false">
      <c r="B16" s="62" t="str">
        <f aca="false">INDEX(site_ID,12)</f>
        <v>LW-112</v>
      </c>
      <c r="C16" s="39" t="str">
        <f aca="false">INDEX(site_Name,12)</f>
        <v>Lakeside Prep</v>
      </c>
      <c r="D16" s="46" t="str">
        <f aca="false">INDEX(site_Program,12)</f>
        <v>Theater</v>
      </c>
      <c r="E16" s="46" t="str">
        <f aca="false">INDEX(site_Fac,12)</f>
        <v>Jun Park</v>
      </c>
      <c r="F16" s="23" t="n">
        <f aca="false">COUNTIFS(lg_SiteID,$B16,lg_Include,"Yes")</f>
        <v>31</v>
      </c>
      <c r="G16" s="23" t="n">
        <f aca="false">SUMIFS(lg_Present,lg_SiteID,$B16,lg_Include,"Yes")</f>
        <v>568</v>
      </c>
      <c r="H16" s="40" t="n">
        <f aca="false">IFERROR(SUMIFS(lg_Present,lg_SiteID,$B16,lg_Include,"Yes")/SUMIFS(lg_Enrolled,lg_SiteID,$B16,lg_Include,"Yes"),0)</f>
        <v>0.872503840245776</v>
      </c>
      <c r="I16" s="41" t="n">
        <f aca="false">IFERROR(AVERAGEIFS(lg_Score,lg_SiteID,$B16,lg_Include,"Yes",lg_Score,"&gt;=1",lg_Score,"&lt;=5"),0)</f>
        <v>3.71290322580645</v>
      </c>
      <c r="J16" s="23" t="n">
        <f aca="false">SUMIFS(lg_Hours,lg_SiteID,$B16,lg_Include,"Yes")</f>
        <v>678.4</v>
      </c>
      <c r="K16" s="63" t="n">
        <f aca="false">_xlfn.MAXIFS(lg_Date,lg_SiteID,$B16)</f>
        <v>46163</v>
      </c>
      <c r="L16" s="64" t="n">
        <f aca="false">IF(K16=0,"",AsOf-K16)</f>
        <v>8</v>
      </c>
      <c r="M16" s="64" t="n">
        <f aca="false">COUNTIFS(lg_SiteID,$B16,lg_Month,ReportMonth,lg_Include,"Yes")</f>
        <v>3</v>
      </c>
      <c r="N16" s="64" t="n">
        <f aca="false">INDEX(site_Planned,12)</f>
        <v>4</v>
      </c>
      <c r="O16" s="62" t="str">
        <f aca="false">IF(M16=0,"Missing reports",IF(M16&lt;N16*0.75,"Behind",IF(N(L16)&gt;GapDays,"Check dates","Up to date")))</f>
        <v>Up to date</v>
      </c>
    </row>
    <row r="17" customFormat="false" ht="18" hidden="false" customHeight="true" outlineLevel="0" collapsed="false">
      <c r="B17" s="62" t="str">
        <f aca="false">INDEX(site_ID,13)</f>
        <v>LW-113</v>
      </c>
      <c r="C17" s="39" t="str">
        <f aca="false">INDEX(site_Name,13)</f>
        <v>Maple Crossing Elementary</v>
      </c>
      <c r="D17" s="46" t="str">
        <f aca="false">INDEX(site_Program,13)</f>
        <v>Music</v>
      </c>
      <c r="E17" s="46" t="str">
        <f aca="false">INDEX(site_Fac,13)</f>
        <v>Talia Moreno</v>
      </c>
      <c r="F17" s="23" t="n">
        <f aca="false">COUNTIFS(lg_SiteID,$B17,lg_Include,"Yes")</f>
        <v>33</v>
      </c>
      <c r="G17" s="23" t="n">
        <f aca="false">SUMIFS(lg_Present,lg_SiteID,$B17,lg_Include,"Yes")</f>
        <v>515</v>
      </c>
      <c r="H17" s="40" t="n">
        <f aca="false">IFERROR(SUMIFS(lg_Present,lg_SiteID,$B17,lg_Include,"Yes")/SUMIFS(lg_Enrolled,lg_SiteID,$B17,lg_Include,"Yes"),0)</f>
        <v>0.749636098981077</v>
      </c>
      <c r="I17" s="41" t="n">
        <f aca="false">IFERROR(AVERAGEIFS(lg_Score,lg_SiteID,$B17,lg_Include,"Yes",lg_Score,"&gt;=1",lg_Score,"&lt;=5"),0)</f>
        <v>3.87575757575758</v>
      </c>
      <c r="J17" s="23" t="n">
        <f aca="false">SUMIFS(lg_Hours,lg_SiteID,$B17,lg_Include,"Yes")</f>
        <v>605.2</v>
      </c>
      <c r="K17" s="63" t="n">
        <f aca="false">_xlfn.MAXIFS(lg_Date,lg_SiteID,$B17)</f>
        <v>46160</v>
      </c>
      <c r="L17" s="64" t="n">
        <f aca="false">IF(K17=0,"",AsOf-K17)</f>
        <v>11</v>
      </c>
      <c r="M17" s="64" t="n">
        <f aca="false">COUNTIFS(lg_SiteID,$B17,lg_Month,ReportMonth,lg_Include,"Yes")</f>
        <v>3</v>
      </c>
      <c r="N17" s="64" t="n">
        <f aca="false">INDEX(site_Planned,13)</f>
        <v>4</v>
      </c>
      <c r="O17" s="62" t="str">
        <f aca="false">IF(M17=0,"Missing reports",IF(M17&lt;N17*0.75,"Behind",IF(N(L17)&gt;GapDays,"Check dates","Up to date")))</f>
        <v>Up to date</v>
      </c>
    </row>
    <row r="18" customFormat="false" ht="18" hidden="false" customHeight="true" outlineLevel="0" collapsed="false">
      <c r="B18" s="62" t="str">
        <f aca="false">INDEX(site_ID,14)</f>
        <v>LW-114</v>
      </c>
      <c r="C18" s="39" t="str">
        <f aca="false">INDEX(site_Name,14)</f>
        <v>North Shoals Middle</v>
      </c>
      <c r="D18" s="46" t="str">
        <f aca="false">INDEX(site_Program,14)</f>
        <v>Dance and Movement</v>
      </c>
      <c r="E18" s="46" t="str">
        <f aca="false">INDEX(site_Fac,14)</f>
        <v>Theo Banfield</v>
      </c>
      <c r="F18" s="23" t="n">
        <f aca="false">COUNTIFS(lg_SiteID,$B18,lg_Include,"Yes")</f>
        <v>32</v>
      </c>
      <c r="G18" s="23" t="n">
        <f aca="false">SUMIFS(lg_Present,lg_SiteID,$B18,lg_Include,"Yes")</f>
        <v>482</v>
      </c>
      <c r="H18" s="40" t="n">
        <f aca="false">IFERROR(SUMIFS(lg_Present,lg_SiteID,$B18,lg_Include,"Yes")/SUMIFS(lg_Enrolled,lg_SiteID,$B18,lg_Include,"Yes"),0)</f>
        <v>0.847100175746924</v>
      </c>
      <c r="I18" s="41" t="n">
        <f aca="false">IFERROR(AVERAGEIFS(lg_Score,lg_SiteID,$B18,lg_Include,"Yes",lg_Score,"&gt;=1",lg_Score,"&lt;=5"),0)</f>
        <v>3.790625</v>
      </c>
      <c r="J18" s="23" t="n">
        <f aca="false">SUMIFS(lg_Hours,lg_SiteID,$B18,lg_Include,"Yes")</f>
        <v>557.9</v>
      </c>
      <c r="K18" s="63" t="n">
        <f aca="false">_xlfn.MAXIFS(lg_Date,lg_SiteID,$B18)</f>
        <v>46163</v>
      </c>
      <c r="L18" s="64" t="n">
        <f aca="false">IF(K18=0,"",AsOf-K18)</f>
        <v>8</v>
      </c>
      <c r="M18" s="64" t="n">
        <f aca="false">COUNTIFS(lg_SiteID,$B18,lg_Month,ReportMonth,lg_Include,"Yes")</f>
        <v>3</v>
      </c>
      <c r="N18" s="64" t="n">
        <f aca="false">INDEX(site_Planned,14)</f>
        <v>4</v>
      </c>
      <c r="O18" s="62" t="str">
        <f aca="false">IF(M18=0,"Missing reports",IF(M18&lt;N18*0.75,"Behind",IF(N(L18)&gt;GapDays,"Check dates","Up to date")))</f>
        <v>Up to date</v>
      </c>
    </row>
    <row r="19" customFormat="false" ht="18" hidden="false" customHeight="true" outlineLevel="0" collapsed="false">
      <c r="B19" s="62" t="str">
        <f aca="false">INDEX(site_ID,15)</f>
        <v>LW-115</v>
      </c>
      <c r="C19" s="39" t="str">
        <f aca="false">INDEX(site_Name,15)</f>
        <v>Oakhurst Elementary</v>
      </c>
      <c r="D19" s="46" t="str">
        <f aca="false">INDEX(site_Program,15)</f>
        <v>Digital Media</v>
      </c>
      <c r="E19" s="46" t="str">
        <f aca="false">INDEX(site_Fac,15)</f>
        <v>Simone Lacy</v>
      </c>
      <c r="F19" s="23" t="n">
        <f aca="false">COUNTIFS(lg_SiteID,$B19,lg_Include,"Yes")</f>
        <v>56</v>
      </c>
      <c r="G19" s="23" t="n">
        <f aca="false">SUMIFS(lg_Present,lg_SiteID,$B19,lg_Include,"Yes")</f>
        <v>871</v>
      </c>
      <c r="H19" s="40" t="n">
        <f aca="false">IFERROR(SUMIFS(lg_Present,lg_SiteID,$B19,lg_Include,"Yes")/SUMIFS(lg_Enrolled,lg_SiteID,$B19,lg_Include,"Yes"),0)</f>
        <v>0.87891019172553</v>
      </c>
      <c r="I19" s="41" t="n">
        <f aca="false">IFERROR(AVERAGEIFS(lg_Score,lg_SiteID,$B19,lg_Include,"Yes",lg_Score,"&gt;=1",lg_Score,"&lt;=5"),0)</f>
        <v>3.66964285714286</v>
      </c>
      <c r="J19" s="23" t="n">
        <f aca="false">SUMIFS(lg_Hours,lg_SiteID,$B19,lg_Include,"Yes")</f>
        <v>1306.5</v>
      </c>
      <c r="K19" s="63" t="n">
        <f aca="false">_xlfn.MAXIFS(lg_Date,lg_SiteID,$B19)</f>
        <v>46141</v>
      </c>
      <c r="L19" s="64" t="n">
        <f aca="false">IF(K19=0,"",AsOf-K19)</f>
        <v>30</v>
      </c>
      <c r="M19" s="64" t="n">
        <f aca="false">COUNTIFS(lg_SiteID,$B19,lg_Month,ReportMonth,lg_Include,"Yes")</f>
        <v>0</v>
      </c>
      <c r="N19" s="64" t="n">
        <f aca="false">INDEX(site_Planned,15)</f>
        <v>8</v>
      </c>
      <c r="O19" s="62" t="str">
        <f aca="false">IF(M19=0,"Missing reports",IF(M19&lt;N19*0.75,"Behind",IF(N(L19)&gt;GapDays,"Check dates","Up to date")))</f>
        <v>Missing reports</v>
      </c>
    </row>
    <row r="20" customFormat="false" ht="18" hidden="false" customHeight="true" outlineLevel="0" collapsed="false">
      <c r="B20" s="62" t="str">
        <f aca="false">INDEX(site_ID,16)</f>
        <v>LW-116</v>
      </c>
      <c r="C20" s="39" t="str">
        <f aca="false">INDEX(site_Name,16)</f>
        <v>Pinewood Community School</v>
      </c>
      <c r="D20" s="46" t="str">
        <f aca="false">INDEX(site_Program,16)</f>
        <v>Dance and Movement</v>
      </c>
      <c r="E20" s="46" t="str">
        <f aca="false">INDEX(site_Fac,16)</f>
        <v>Owen Prewitt</v>
      </c>
      <c r="F20" s="23" t="n">
        <f aca="false">COUNTIFS(lg_SiteID,$B20,lg_Include,"Yes")</f>
        <v>64</v>
      </c>
      <c r="G20" s="23" t="n">
        <f aca="false">SUMIFS(lg_Present,lg_SiteID,$B20,lg_Include,"Yes")</f>
        <v>785</v>
      </c>
      <c r="H20" s="40" t="n">
        <f aca="false">IFERROR(SUMIFS(lg_Present,lg_SiteID,$B20,lg_Include,"Yes")/SUMIFS(lg_Enrolled,lg_SiteID,$B20,lg_Include,"Yes"),0)</f>
        <v>0.777998017839445</v>
      </c>
      <c r="I20" s="41" t="n">
        <f aca="false">IFERROR(AVERAGEIFS(lg_Score,lg_SiteID,$B20,lg_Include,"Yes",lg_Score,"&gt;=1",lg_Score,"&lt;=5"),0)</f>
        <v>3.465625</v>
      </c>
      <c r="J20" s="23" t="n">
        <f aca="false">SUMIFS(lg_Hours,lg_SiteID,$B20,lg_Include,"Yes")</f>
        <v>936</v>
      </c>
      <c r="K20" s="63" t="n">
        <f aca="false">_xlfn.MAXIFS(lg_Date,lg_SiteID,$B20)</f>
        <v>46163</v>
      </c>
      <c r="L20" s="64" t="n">
        <f aca="false">IF(K20=0,"",AsOf-K20)</f>
        <v>8</v>
      </c>
      <c r="M20" s="64" t="n">
        <f aca="false">COUNTIFS(lg_SiteID,$B20,lg_Month,ReportMonth,lg_Include,"Yes")</f>
        <v>6</v>
      </c>
      <c r="N20" s="64" t="n">
        <f aca="false">INDEX(site_Planned,16)</f>
        <v>8</v>
      </c>
      <c r="O20" s="62" t="str">
        <f aca="false">IF(M20=0,"Missing reports",IF(M20&lt;N20*0.75,"Behind",IF(N(L20)&gt;GapDays,"Check dates","Up to date")))</f>
        <v>Up to date</v>
      </c>
    </row>
    <row r="21" customFormat="false" ht="18" hidden="false" customHeight="true" outlineLevel="0" collapsed="false">
      <c r="B21" s="62" t="str">
        <f aca="false">INDEX(site_ID,17)</f>
        <v>LW-117</v>
      </c>
      <c r="C21" s="39" t="str">
        <f aca="false">INDEX(site_Name,17)</f>
        <v>Quarry Road Elementary</v>
      </c>
      <c r="D21" s="46" t="str">
        <f aca="false">INDEX(site_Program,17)</f>
        <v>Digital Media</v>
      </c>
      <c r="E21" s="46" t="str">
        <f aca="false">INDEX(site_Fac,17)</f>
        <v>Amara Boateng</v>
      </c>
      <c r="F21" s="23" t="n">
        <f aca="false">COUNTIFS(lg_SiteID,$B21,lg_Include,"Yes")</f>
        <v>31</v>
      </c>
      <c r="G21" s="23" t="n">
        <f aca="false">SUMIFS(lg_Present,lg_SiteID,$B21,lg_Include,"Yes")</f>
        <v>527</v>
      </c>
      <c r="H21" s="40" t="n">
        <f aca="false">IFERROR(SUMIFS(lg_Present,lg_SiteID,$B21,lg_Include,"Yes")/SUMIFS(lg_Enrolled,lg_SiteID,$B21,lg_Include,"Yes"),0)</f>
        <v>0.8234375</v>
      </c>
      <c r="I21" s="41" t="n">
        <f aca="false">IFERROR(AVERAGEIFS(lg_Score,lg_SiteID,$B21,lg_Include,"Yes",lg_Score,"&gt;=1",lg_Score,"&lt;=5"),0)</f>
        <v>3.61612903225806</v>
      </c>
      <c r="J21" s="23" t="n">
        <f aca="false">SUMIFS(lg_Hours,lg_SiteID,$B21,lg_Include,"Yes")</f>
        <v>790.5</v>
      </c>
      <c r="K21" s="63" t="n">
        <f aca="false">_xlfn.MAXIFS(lg_Date,lg_SiteID,$B21)</f>
        <v>46163</v>
      </c>
      <c r="L21" s="64" t="n">
        <f aca="false">IF(K21=0,"",AsOf-K21)</f>
        <v>8</v>
      </c>
      <c r="M21" s="64" t="n">
        <f aca="false">COUNTIFS(lg_SiteID,$B21,lg_Month,ReportMonth,lg_Include,"Yes")</f>
        <v>3</v>
      </c>
      <c r="N21" s="64" t="n">
        <f aca="false">INDEX(site_Planned,17)</f>
        <v>4</v>
      </c>
      <c r="O21" s="62" t="str">
        <f aca="false">IF(M21=0,"Missing reports",IF(M21&lt;N21*0.75,"Behind",IF(N(L21)&gt;GapDays,"Check dates","Up to date")))</f>
        <v>Up to date</v>
      </c>
    </row>
    <row r="22" customFormat="false" ht="18" hidden="false" customHeight="true" outlineLevel="0" collapsed="false">
      <c r="B22" s="62" t="str">
        <f aca="false">INDEX(site_ID,18)</f>
        <v>LW-118</v>
      </c>
      <c r="C22" s="39" t="str">
        <f aca="false">INDEX(site_Name,18)</f>
        <v>Riverside Arts Magnet</v>
      </c>
      <c r="D22" s="46" t="str">
        <f aca="false">INDEX(site_Program,18)</f>
        <v>Dance and Movement</v>
      </c>
      <c r="E22" s="46" t="str">
        <f aca="false">INDEX(site_Fac,18)</f>
        <v>Lucas Ferreira</v>
      </c>
      <c r="F22" s="23" t="n">
        <f aca="false">COUNTIFS(lg_SiteID,$B22,lg_Include,"Yes")</f>
        <v>61</v>
      </c>
      <c r="G22" s="23" t="n">
        <f aca="false">SUMIFS(lg_Present,lg_SiteID,$B22,lg_Include,"Yes")</f>
        <v>641</v>
      </c>
      <c r="H22" s="40" t="n">
        <f aca="false">IFERROR(SUMIFS(lg_Present,lg_SiteID,$B22,lg_Include,"Yes")/SUMIFS(lg_Enrolled,lg_SiteID,$B22,lg_Include,"Yes"),0)</f>
        <v>0.834635416666667</v>
      </c>
      <c r="I22" s="41" t="n">
        <f aca="false">IFERROR(AVERAGEIFS(lg_Score,lg_SiteID,$B22,lg_Include,"Yes",lg_Score,"&gt;=1",lg_Score,"&lt;=5"),0)</f>
        <v>3.82295081967213</v>
      </c>
      <c r="J22" s="23" t="n">
        <f aca="false">SUMIFS(lg_Hours,lg_SiteID,$B22,lg_Include,"Yes")</f>
        <v>784.4</v>
      </c>
      <c r="K22" s="63" t="n">
        <f aca="false">_xlfn.MAXIFS(lg_Date,lg_SiteID,$B22)</f>
        <v>46164</v>
      </c>
      <c r="L22" s="64" t="n">
        <f aca="false">IF(K22=0,"",AsOf-K22)</f>
        <v>7</v>
      </c>
      <c r="M22" s="64" t="n">
        <f aca="false">COUNTIFS(lg_SiteID,$B22,lg_Month,ReportMonth,lg_Include,"Yes")</f>
        <v>7</v>
      </c>
      <c r="N22" s="64" t="n">
        <f aca="false">INDEX(site_Planned,18)</f>
        <v>8</v>
      </c>
      <c r="O22" s="62" t="str">
        <f aca="false">IF(M22=0,"Missing reports",IF(M22&lt;N22*0.75,"Behind",IF(N(L22)&gt;GapDays,"Check dates","Up to date")))</f>
        <v>Up to date</v>
      </c>
    </row>
    <row r="23" customFormat="false" ht="18" hidden="false" customHeight="true" outlineLevel="0" collapsed="false">
      <c r="B23" s="62" t="str">
        <f aca="false">INDEX(site_ID,19)</f>
        <v>LW-119</v>
      </c>
      <c r="C23" s="39" t="str">
        <f aca="false">INDEX(site_Name,19)</f>
        <v>Sable Creek Middle</v>
      </c>
      <c r="D23" s="46" t="str">
        <f aca="false">INDEX(site_Program,19)</f>
        <v>Dance and Movement</v>
      </c>
      <c r="E23" s="46" t="str">
        <f aca="false">INDEX(site_Fac,19)</f>
        <v>Dana Whitcomb</v>
      </c>
      <c r="F23" s="23" t="n">
        <f aca="false">COUNTIFS(lg_SiteID,$B23,lg_Include,"Yes")</f>
        <v>32</v>
      </c>
      <c r="G23" s="23" t="n">
        <f aca="false">SUMIFS(lg_Present,lg_SiteID,$B23,lg_Include,"Yes")</f>
        <v>447</v>
      </c>
      <c r="H23" s="40" t="n">
        <f aca="false">IFERROR(SUMIFS(lg_Present,lg_SiteID,$B23,lg_Include,"Yes")/SUMIFS(lg_Enrolled,lg_SiteID,$B23,lg_Include,"Yes"),0)</f>
        <v>0.876470588235294</v>
      </c>
      <c r="I23" s="41" t="n">
        <f aca="false">IFERROR(AVERAGEIFS(lg_Score,lg_SiteID,$B23,lg_Include,"Yes",lg_Score,"&gt;=1",lg_Score,"&lt;=5"),0)</f>
        <v>3.4875</v>
      </c>
      <c r="J23" s="23" t="n">
        <f aca="false">SUMIFS(lg_Hours,lg_SiteID,$B23,lg_Include,"Yes")</f>
        <v>521.3</v>
      </c>
      <c r="K23" s="63" t="n">
        <f aca="false">_xlfn.MAXIFS(lg_Date,lg_SiteID,$B23)</f>
        <v>46160</v>
      </c>
      <c r="L23" s="64" t="n">
        <f aca="false">IF(K23=0,"",AsOf-K23)</f>
        <v>11</v>
      </c>
      <c r="M23" s="64" t="n">
        <f aca="false">COUNTIFS(lg_SiteID,$B23,lg_Month,ReportMonth,lg_Include,"Yes")</f>
        <v>3</v>
      </c>
      <c r="N23" s="64" t="n">
        <f aca="false">INDEX(site_Planned,19)</f>
        <v>4</v>
      </c>
      <c r="O23" s="62" t="str">
        <f aca="false">IF(M23=0,"Missing reports",IF(M23&lt;N23*0.75,"Behind",IF(N(L23)&gt;GapDays,"Check dates","Up to date")))</f>
        <v>Up to date</v>
      </c>
    </row>
    <row r="24" customFormat="false" ht="18" hidden="false" customHeight="true" outlineLevel="0" collapsed="false">
      <c r="B24" s="62" t="str">
        <f aca="false">INDEX(site_ID,20)</f>
        <v>LW-120</v>
      </c>
      <c r="C24" s="39" t="str">
        <f aca="false">INDEX(site_Name,20)</f>
        <v>Twin Oaks Elementary</v>
      </c>
      <c r="D24" s="46" t="str">
        <f aca="false">INDEX(site_Program,20)</f>
        <v>Theater</v>
      </c>
      <c r="E24" s="46" t="str">
        <f aca="false">INDEX(site_Fac,20)</f>
        <v>Jun Park</v>
      </c>
      <c r="F24" s="23" t="n">
        <f aca="false">COUNTIFS(lg_SiteID,$B24,lg_Include,"Yes")</f>
        <v>64</v>
      </c>
      <c r="G24" s="23" t="n">
        <f aca="false">SUMIFS(lg_Present,lg_SiteID,$B24,lg_Include,"Yes")</f>
        <v>820</v>
      </c>
      <c r="H24" s="40" t="n">
        <f aca="false">IFERROR(SUMIFS(lg_Present,lg_SiteID,$B24,lg_Include,"Yes")/SUMIFS(lg_Enrolled,lg_SiteID,$B24,lg_Include,"Yes"),0)</f>
        <v>0.853277835587929</v>
      </c>
      <c r="I24" s="41" t="n">
        <f aca="false">IFERROR(AVERAGEIFS(lg_Score,lg_SiteID,$B24,lg_Include,"Yes",lg_Score,"&gt;=1",lg_Score,"&lt;=5"),0)</f>
        <v>3.48125</v>
      </c>
      <c r="J24" s="23" t="n">
        <f aca="false">SUMIFS(lg_Hours,lg_SiteID,$B24,lg_Include,"Yes")</f>
        <v>933.7</v>
      </c>
      <c r="K24" s="63" t="n">
        <f aca="false">_xlfn.MAXIFS(lg_Date,lg_SiteID,$B24)</f>
        <v>46162</v>
      </c>
      <c r="L24" s="64" t="n">
        <f aca="false">IF(K24=0,"",AsOf-K24)</f>
        <v>9</v>
      </c>
      <c r="M24" s="64" t="n">
        <f aca="false">COUNTIFS(lg_SiteID,$B24,lg_Month,ReportMonth,lg_Include,"Yes")</f>
        <v>5</v>
      </c>
      <c r="N24" s="64" t="n">
        <f aca="false">INDEX(site_Planned,20)</f>
        <v>8</v>
      </c>
      <c r="O24" s="62" t="str">
        <f aca="false">IF(M24=0,"Missing reports",IF(M24&lt;N24*0.75,"Behind",IF(N(L24)&gt;GapDays,"Check dates","Up to date")))</f>
        <v>Behind</v>
      </c>
    </row>
    <row r="25" customFormat="false" ht="15" hidden="false" customHeight="false" outlineLevel="0" collapsed="false">
      <c r="B25" s="42" t="s">
        <v>176</v>
      </c>
      <c r="C25" s="42"/>
      <c r="D25" s="42"/>
      <c r="E25" s="42"/>
      <c r="F25" s="43" t="n">
        <f aca="false">SUM(F5:F24)</f>
        <v>780</v>
      </c>
      <c r="G25" s="43" t="n">
        <f aca="false">SUM(G5:G24)</f>
        <v>10820</v>
      </c>
      <c r="H25" s="44" t="n">
        <f aca="false">IFERROR(SUMIFS(lg_Present,lg_Include,"Yes")/SUMIFS(lg_Enrolled,lg_Include,"Yes"),0)</f>
        <v>0.81913846619729</v>
      </c>
      <c r="I25" s="45" t="n">
        <f aca="false">IFERROR(AVERAGEIFS(lg_Score,lg_Include,"Yes",lg_Score,"&gt;=1",lg_Score,"&lt;=5"),0)</f>
        <v>3.59537869062901</v>
      </c>
      <c r="J25" s="43" t="n">
        <f aca="false">SUM(J5:J24)</f>
        <v>13488.5</v>
      </c>
      <c r="K25" s="42"/>
      <c r="L25" s="42"/>
      <c r="M25" s="65" t="n">
        <f aca="false">SUM(M5:M24)</f>
        <v>62</v>
      </c>
      <c r="N25" s="65" t="n">
        <f aca="false">SUM(N5:N24)</f>
        <v>100</v>
      </c>
      <c r="O25" s="65" t="str">
        <f aca="false">COUNTIF(O5:O24,"Missing reports")&amp;" missing, "&amp;COUNTIF(O5:O24,"Behind")&amp;" behind"</f>
        <v>2 missing, 3 behind</v>
      </c>
    </row>
    <row r="27" customFormat="false" ht="15" hidden="false" customHeight="false" outlineLevel="0" collapsed="false">
      <c r="B27" s="25" t="s">
        <v>177</v>
      </c>
    </row>
  </sheetData>
  <sheetProtection sheet="true" formatColumns="false" formatRows="false" sort="false" autoFilter="false"/>
  <conditionalFormatting sqref="O5:O24">
    <cfRule type="expression" priority="2" aboveAverage="0" equalAverage="0" bottom="0" percent="0" rank="0" text="" dxfId="13">
      <formula>$O5="Up to date"</formula>
    </cfRule>
    <cfRule type="expression" priority="3" aboveAverage="0" equalAverage="0" bottom="0" percent="0" rank="0" text="" dxfId="1">
      <formula>$O5="Missing reports"</formula>
    </cfRule>
    <cfRule type="expression" priority="4" aboveAverage="0" equalAverage="0" bottom="0" percent="0" rank="0" text="" dxfId="14">
      <formula>OR($O5="Behind",$O5="Check dates")</formula>
    </cfRule>
  </conditionalFormatting>
  <conditionalFormatting sqref="H5:H24">
    <cfRule type="expression" priority="5" aboveAverage="0" equalAverage="0" bottom="0" percent="0" rank="0" text="" dxfId="2">
      <formula>$H5&lt;AttGoal</formula>
    </cfRule>
  </conditionalFormatting>
  <conditionalFormatting sqref="L5:L24">
    <cfRule type="expression" priority="6" aboveAverage="0" equalAverage="0" bottom="0" percent="0" rank="0" text="" dxfId="3">
      <formula>AND(ISNUMBER($L5),$L5&gt;GapDays)</formula>
    </cfRule>
  </conditionalFormatting>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453B8"/>
    <pageSetUpPr fitToPage="true"/>
  </sheetPr>
  <dimension ref="B1:I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2"/>
    <col collapsed="false" customWidth="true" hidden="false" outlineLevel="0" max="4" min="3" style="0" width="10"/>
    <col collapsed="false" customWidth="true" hidden="false" outlineLevel="0" max="5" min="5" style="0" width="11"/>
    <col collapsed="false" customWidth="true" hidden="false" outlineLevel="0" max="9" min="6" style="0" width="12"/>
    <col collapsed="false" customWidth="true" hidden="false" outlineLevel="0" max="10" min="10" style="0" width="3"/>
  </cols>
  <sheetData>
    <row r="1" customFormat="false" ht="33.75" hidden="false" customHeight="true" outlineLevel="0" collapsed="false">
      <c r="B1" s="1" t="s">
        <v>178</v>
      </c>
    </row>
    <row r="2" customFormat="false" ht="18" hidden="false" customHeight="true" outlineLevel="0" collapsed="false">
      <c r="B2" s="66" t="s">
        <v>179</v>
      </c>
    </row>
    <row r="4" customFormat="false" ht="33.75" hidden="false" customHeight="true" outlineLevel="0" collapsed="false">
      <c r="B4" s="38" t="s">
        <v>101</v>
      </c>
      <c r="C4" s="38" t="s">
        <v>102</v>
      </c>
      <c r="D4" s="38" t="s">
        <v>82</v>
      </c>
      <c r="E4" s="38" t="s">
        <v>75</v>
      </c>
      <c r="F4" s="38" t="s">
        <v>95</v>
      </c>
      <c r="G4" s="38" t="s">
        <v>77</v>
      </c>
      <c r="H4" s="38" t="s">
        <v>84</v>
      </c>
      <c r="I4" s="38" t="s">
        <v>78</v>
      </c>
    </row>
    <row r="5" customFormat="false" ht="18" hidden="false" customHeight="true" outlineLevel="0" collapsed="false">
      <c r="B5" s="67" t="n">
        <f aca="false">INDEX(MonthList,1)</f>
        <v>45839</v>
      </c>
      <c r="C5" s="62" t="str">
        <f aca="false">INDEX(MonthQuarter,1)</f>
        <v>FY2026 Q1</v>
      </c>
      <c r="D5" s="68" t="n">
        <f aca="false">COUNTIFS(lg_Month,$B5,lg_Include,"Yes")</f>
        <v>0</v>
      </c>
      <c r="E5" s="69" t="n">
        <f aca="false">SUMPRODUCT((site_ID&lt;&gt;"")*(COUNTIFS(lg_SiteID,site_ID,lg_Month,$B5,lg_Include,"Yes")&gt;0))</f>
        <v>0</v>
      </c>
      <c r="F5" s="68" t="n">
        <f aca="false">SUMIFS(lg_Present,lg_Month,$B5,lg_Include,"Yes")</f>
        <v>0</v>
      </c>
      <c r="G5" s="40" t="str">
        <f aca="false">IFERROR(SUMIFS(lg_Present,lg_Month,$B5,lg_Include,"Yes")/SUMIFS(lg_Enrolled,lg_Month,$B5,lg_Include,"Yes"),"")</f>
        <v/>
      </c>
      <c r="H5" s="41" t="str">
        <f aca="false">IFERROR(AVERAGEIFS(lg_Score,lg_Month,$B5,lg_Include,"Yes",lg_Score,"&gt;=1",lg_Score,"&lt;=5"),"")</f>
        <v/>
      </c>
      <c r="I5" s="68" t="n">
        <f aca="false">SUMIFS(lg_Hours,lg_Month,$B5,lg_Include,"Yes")</f>
        <v>0</v>
      </c>
    </row>
    <row r="6" customFormat="false" ht="18" hidden="false" customHeight="true" outlineLevel="0" collapsed="false">
      <c r="B6" s="67" t="n">
        <f aca="false">INDEX(MonthList,2)</f>
        <v>45870</v>
      </c>
      <c r="C6" s="62" t="str">
        <f aca="false">INDEX(MonthQuarter,2)</f>
        <v>FY2026 Q1</v>
      </c>
      <c r="D6" s="68" t="n">
        <f aca="false">COUNTIFS(lg_Month,$B6,lg_Include,"Yes")</f>
        <v>0</v>
      </c>
      <c r="E6" s="69" t="n">
        <f aca="false">SUMPRODUCT((site_ID&lt;&gt;"")*(COUNTIFS(lg_SiteID,site_ID,lg_Month,$B6,lg_Include,"Yes")&gt;0))</f>
        <v>0</v>
      </c>
      <c r="F6" s="68" t="n">
        <f aca="false">SUMIFS(lg_Present,lg_Month,$B6,lg_Include,"Yes")</f>
        <v>0</v>
      </c>
      <c r="G6" s="40" t="str">
        <f aca="false">IFERROR(SUMIFS(lg_Present,lg_Month,$B6,lg_Include,"Yes")/SUMIFS(lg_Enrolled,lg_Month,$B6,lg_Include,"Yes"),"")</f>
        <v/>
      </c>
      <c r="H6" s="41" t="str">
        <f aca="false">IFERROR(AVERAGEIFS(lg_Score,lg_Month,$B6,lg_Include,"Yes",lg_Score,"&gt;=1",lg_Score,"&lt;=5"),"")</f>
        <v/>
      </c>
      <c r="I6" s="68" t="n">
        <f aca="false">SUMIFS(lg_Hours,lg_Month,$B6,lg_Include,"Yes")</f>
        <v>0</v>
      </c>
    </row>
    <row r="7" customFormat="false" ht="18" hidden="false" customHeight="true" outlineLevel="0" collapsed="false">
      <c r="B7" s="67" t="n">
        <f aca="false">INDEX(MonthList,3)</f>
        <v>45901</v>
      </c>
      <c r="C7" s="62" t="str">
        <f aca="false">INDEX(MonthQuarter,3)</f>
        <v>FY2026 Q1</v>
      </c>
      <c r="D7" s="68" t="n">
        <f aca="false">COUNTIFS(lg_Month,$B7,lg_Include,"Yes")</f>
        <v>81</v>
      </c>
      <c r="E7" s="69" t="n">
        <f aca="false">SUMPRODUCT((site_ID&lt;&gt;"")*(COUNTIFS(lg_SiteID,site_ID,lg_Month,$B7,lg_Include,"Yes")&gt;0))</f>
        <v>20</v>
      </c>
      <c r="F7" s="68" t="n">
        <f aca="false">SUMIFS(lg_Present,lg_Month,$B7,lg_Include,"Yes")</f>
        <v>1069</v>
      </c>
      <c r="G7" s="40" t="n">
        <f aca="false">IFERROR(SUMIFS(lg_Present,lg_Month,$B7,lg_Include,"Yes")/SUMIFS(lg_Enrolled,lg_Month,$B7,lg_Include,"Yes"),"")</f>
        <v>0.851114649681529</v>
      </c>
      <c r="H7" s="41" t="n">
        <f aca="false">IFERROR(AVERAGEIFS(lg_Score,lg_Month,$B7,lg_Include,"Yes",lg_Score,"&gt;=1",lg_Score,"&lt;=5"),"")</f>
        <v>3.14197530864198</v>
      </c>
      <c r="I7" s="68" t="n">
        <f aca="false">SUMIFS(lg_Hours,lg_Month,$B7,lg_Include,"Yes")</f>
        <v>1342.5</v>
      </c>
    </row>
    <row r="8" customFormat="false" ht="18" hidden="false" customHeight="true" outlineLevel="0" collapsed="false">
      <c r="B8" s="67" t="n">
        <f aca="false">INDEX(MonthList,4)</f>
        <v>45931</v>
      </c>
      <c r="C8" s="62" t="str">
        <f aca="false">INDEX(MonthQuarter,4)</f>
        <v>FY2026 Q2</v>
      </c>
      <c r="D8" s="68" t="n">
        <f aca="false">COUNTIFS(lg_Month,$B8,lg_Include,"Yes")</f>
        <v>109</v>
      </c>
      <c r="E8" s="69" t="n">
        <f aca="false">SUMPRODUCT((site_ID&lt;&gt;"")*(COUNTIFS(lg_SiteID,site_ID,lg_Month,$B8,lg_Include,"Yes")&gt;0))</f>
        <v>20</v>
      </c>
      <c r="F8" s="68" t="n">
        <f aca="false">SUMIFS(lg_Present,lg_Month,$B8,lg_Include,"Yes")</f>
        <v>1576</v>
      </c>
      <c r="G8" s="40" t="n">
        <f aca="false">IFERROR(SUMIFS(lg_Present,lg_Month,$B8,lg_Include,"Yes")/SUMIFS(lg_Enrolled,lg_Month,$B8,lg_Include,"Yes"),"")</f>
        <v>0.854663774403471</v>
      </c>
      <c r="H8" s="41" t="n">
        <f aca="false">IFERROR(AVERAGEIFS(lg_Score,lg_Month,$B8,lg_Include,"Yes",lg_Score,"&gt;=1",lg_Score,"&lt;=5"),"")</f>
        <v>3.28073394495413</v>
      </c>
      <c r="I8" s="68" t="n">
        <f aca="false">SUMIFS(lg_Hours,lg_Month,$B8,lg_Include,"Yes")</f>
        <v>1981.1</v>
      </c>
    </row>
    <row r="9" customFormat="false" ht="18" hidden="false" customHeight="true" outlineLevel="0" collapsed="false">
      <c r="B9" s="67" t="n">
        <f aca="false">INDEX(MonthList,5)</f>
        <v>45962</v>
      </c>
      <c r="C9" s="62" t="str">
        <f aca="false">INDEX(MonthQuarter,5)</f>
        <v>FY2026 Q2</v>
      </c>
      <c r="D9" s="68" t="n">
        <f aca="false">COUNTIFS(lg_Month,$B9,lg_Include,"Yes")</f>
        <v>72</v>
      </c>
      <c r="E9" s="69" t="n">
        <f aca="false">SUMPRODUCT((site_ID&lt;&gt;"")*(COUNTIFS(lg_SiteID,site_ID,lg_Month,$B9,lg_Include,"Yes")&gt;0))</f>
        <v>20</v>
      </c>
      <c r="F9" s="68" t="n">
        <f aca="false">SUMIFS(lg_Present,lg_Month,$B9,lg_Include,"Yes")</f>
        <v>1049</v>
      </c>
      <c r="G9" s="40" t="n">
        <f aca="false">IFERROR(SUMIFS(lg_Present,lg_Month,$B9,lg_Include,"Yes")/SUMIFS(lg_Enrolled,lg_Month,$B9,lg_Include,"Yes"),"")</f>
        <v>0.828593996840442</v>
      </c>
      <c r="H9" s="41" t="n">
        <f aca="false">IFERROR(AVERAGEIFS(lg_Score,lg_Month,$B9,lg_Include,"Yes",lg_Score,"&gt;=1",lg_Score,"&lt;=5"),"")</f>
        <v>3.39305555555556</v>
      </c>
      <c r="I9" s="68" t="n">
        <f aca="false">SUMIFS(lg_Hours,lg_Month,$B9,lg_Include,"Yes")</f>
        <v>1306.6</v>
      </c>
    </row>
    <row r="10" customFormat="false" ht="18" hidden="false" customHeight="true" outlineLevel="0" collapsed="false">
      <c r="B10" s="67" t="n">
        <f aca="false">INDEX(MonthList,6)</f>
        <v>45992</v>
      </c>
      <c r="C10" s="62" t="str">
        <f aca="false">INDEX(MonthQuarter,6)</f>
        <v>FY2026 Q2</v>
      </c>
      <c r="D10" s="68" t="n">
        <f aca="false">COUNTIFS(lg_Month,$B10,lg_Include,"Yes")</f>
        <v>74</v>
      </c>
      <c r="E10" s="69" t="n">
        <f aca="false">SUMPRODUCT((site_ID&lt;&gt;"")*(COUNTIFS(lg_SiteID,site_ID,lg_Month,$B10,lg_Include,"Yes")&gt;0))</f>
        <v>20</v>
      </c>
      <c r="F10" s="68" t="n">
        <f aca="false">SUMIFS(lg_Present,lg_Month,$B10,lg_Include,"Yes")</f>
        <v>973</v>
      </c>
      <c r="G10" s="40" t="n">
        <f aca="false">IFERROR(SUMIFS(lg_Present,lg_Month,$B10,lg_Include,"Yes")/SUMIFS(lg_Enrolled,lg_Month,$B10,lg_Include,"Yes"),"")</f>
        <v>0.750771604938272</v>
      </c>
      <c r="H10" s="41" t="n">
        <f aca="false">IFERROR(AVERAGEIFS(lg_Score,lg_Month,$B10,lg_Include,"Yes",lg_Score,"&gt;=1",lg_Score,"&lt;=5"),"")</f>
        <v>3.52837837837838</v>
      </c>
      <c r="I10" s="68" t="n">
        <f aca="false">SUMIFS(lg_Hours,lg_Month,$B10,lg_Include,"Yes")</f>
        <v>1213.3</v>
      </c>
    </row>
    <row r="11" customFormat="false" ht="18" hidden="false" customHeight="true" outlineLevel="0" collapsed="false">
      <c r="B11" s="67" t="n">
        <f aca="false">INDEX(MonthList,7)</f>
        <v>46023</v>
      </c>
      <c r="C11" s="62" t="str">
        <f aca="false">INDEX(MonthQuarter,7)</f>
        <v>FY2026 Q3</v>
      </c>
      <c r="D11" s="68" t="n">
        <f aca="false">COUNTIFS(lg_Month,$B11,lg_Include,"Yes")</f>
        <v>98</v>
      </c>
      <c r="E11" s="69" t="n">
        <f aca="false">SUMPRODUCT((site_ID&lt;&gt;"")*(COUNTIFS(lg_SiteID,site_ID,lg_Month,$B11,lg_Include,"Yes")&gt;0))</f>
        <v>20</v>
      </c>
      <c r="F11" s="68" t="n">
        <f aca="false">SUMIFS(lg_Present,lg_Month,$B11,lg_Include,"Yes")</f>
        <v>1370</v>
      </c>
      <c r="G11" s="40" t="n">
        <f aca="false">IFERROR(SUMIFS(lg_Present,lg_Month,$B11,lg_Include,"Yes")/SUMIFS(lg_Enrolled,lg_Month,$B11,lg_Include,"Yes"),"")</f>
        <v>0.809692671394799</v>
      </c>
      <c r="H11" s="41" t="n">
        <f aca="false">IFERROR(AVERAGEIFS(lg_Score,lg_Month,$B11,lg_Include,"Yes",lg_Score,"&gt;=1",lg_Score,"&lt;=5"),"")</f>
        <v>3.61734693877551</v>
      </c>
      <c r="I11" s="68" t="n">
        <f aca="false">SUMIFS(lg_Hours,lg_Month,$B11,lg_Include,"Yes")</f>
        <v>1703.5</v>
      </c>
    </row>
    <row r="12" customFormat="false" ht="18" hidden="false" customHeight="true" outlineLevel="0" collapsed="false">
      <c r="B12" s="67" t="n">
        <f aca="false">INDEX(MonthList,8)</f>
        <v>46054</v>
      </c>
      <c r="C12" s="62" t="str">
        <f aca="false">INDEX(MonthQuarter,8)</f>
        <v>FY2026 Q3</v>
      </c>
      <c r="D12" s="68" t="n">
        <f aca="false">COUNTIFS(lg_Month,$B12,lg_Include,"Yes")</f>
        <v>96</v>
      </c>
      <c r="E12" s="69" t="n">
        <f aca="false">SUMPRODUCT((site_ID&lt;&gt;"")*(COUNTIFS(lg_SiteID,site_ID,lg_Month,$B12,lg_Include,"Yes")&gt;0))</f>
        <v>20</v>
      </c>
      <c r="F12" s="68" t="n">
        <f aca="false">SUMIFS(lg_Present,lg_Month,$B12,lg_Include,"Yes")</f>
        <v>1241</v>
      </c>
      <c r="G12" s="40" t="n">
        <f aca="false">IFERROR(SUMIFS(lg_Present,lg_Month,$B12,lg_Include,"Yes")/SUMIFS(lg_Enrolled,lg_Month,$B12,lg_Include,"Yes"),"")</f>
        <v>0.762753534111862</v>
      </c>
      <c r="H12" s="41" t="n">
        <f aca="false">IFERROR(AVERAGEIFS(lg_Score,lg_Month,$B12,lg_Include,"Yes",lg_Score,"&gt;=1",lg_Score,"&lt;=5"),"")</f>
        <v>3.71354166666667</v>
      </c>
      <c r="I12" s="68" t="n">
        <f aca="false">SUMIFS(lg_Hours,lg_Month,$B12,lg_Include,"Yes")</f>
        <v>1524.7</v>
      </c>
    </row>
    <row r="13" customFormat="false" ht="18" hidden="false" customHeight="true" outlineLevel="0" collapsed="false">
      <c r="B13" s="67" t="n">
        <f aca="false">INDEX(MonthList,9)</f>
        <v>46082</v>
      </c>
      <c r="C13" s="62" t="str">
        <f aca="false">INDEX(MonthQuarter,9)</f>
        <v>FY2026 Q3</v>
      </c>
      <c r="D13" s="68" t="n">
        <f aca="false">COUNTIFS(lg_Month,$B13,lg_Include,"Yes")</f>
        <v>98</v>
      </c>
      <c r="E13" s="69" t="n">
        <f aca="false">SUMPRODUCT((site_ID&lt;&gt;"")*(COUNTIFS(lg_SiteID,site_ID,lg_Month,$B13,lg_Include,"Yes")&gt;0))</f>
        <v>20</v>
      </c>
      <c r="F13" s="68" t="n">
        <f aca="false">SUMIFS(lg_Present,lg_Month,$B13,lg_Include,"Yes")</f>
        <v>1395</v>
      </c>
      <c r="G13" s="40" t="n">
        <f aca="false">IFERROR(SUMIFS(lg_Present,lg_Month,$B13,lg_Include,"Yes")/SUMIFS(lg_Enrolled,lg_Month,$B13,lg_Include,"Yes"),"")</f>
        <v>0.841375150784077</v>
      </c>
      <c r="H13" s="41" t="n">
        <f aca="false">IFERROR(AVERAGEIFS(lg_Score,lg_Month,$B13,lg_Include,"Yes",lg_Score,"&gt;=1",lg_Score,"&lt;=5"),"")</f>
        <v>3.84285714285714</v>
      </c>
      <c r="I13" s="68" t="n">
        <f aca="false">SUMIFS(lg_Hours,lg_Month,$B13,lg_Include,"Yes")</f>
        <v>1737.8</v>
      </c>
    </row>
    <row r="14" customFormat="false" ht="18" hidden="false" customHeight="true" outlineLevel="0" collapsed="false">
      <c r="B14" s="67" t="n">
        <f aca="false">INDEX(MonthList,10)</f>
        <v>46113</v>
      </c>
      <c r="C14" s="62" t="str">
        <f aca="false">INDEX(MonthQuarter,10)</f>
        <v>FY2026 Q4</v>
      </c>
      <c r="D14" s="68" t="n">
        <f aca="false">COUNTIFS(lg_Month,$B14,lg_Include,"Yes")</f>
        <v>90</v>
      </c>
      <c r="E14" s="69" t="n">
        <f aca="false">SUMPRODUCT((site_ID&lt;&gt;"")*(COUNTIFS(lg_SiteID,site_ID,lg_Month,$B14,lg_Include,"Yes")&gt;0))</f>
        <v>20</v>
      </c>
      <c r="F14" s="68" t="n">
        <f aca="false">SUMIFS(lg_Present,lg_Month,$B14,lg_Include,"Yes")</f>
        <v>1314</v>
      </c>
      <c r="G14" s="40" t="n">
        <f aca="false">IFERROR(SUMIFS(lg_Present,lg_Month,$B14,lg_Include,"Yes")/SUMIFS(lg_Enrolled,lg_Month,$B14,lg_Include,"Yes"),"")</f>
        <v>0.858262573481385</v>
      </c>
      <c r="H14" s="41" t="n">
        <f aca="false">IFERROR(AVERAGEIFS(lg_Score,lg_Month,$B14,lg_Include,"Yes",lg_Score,"&gt;=1",lg_Score,"&lt;=5"),"")</f>
        <v>3.89550561797753</v>
      </c>
      <c r="I14" s="68" t="n">
        <f aca="false">SUMIFS(lg_Hours,lg_Month,$B14,lg_Include,"Yes")</f>
        <v>1622.5</v>
      </c>
    </row>
    <row r="15" customFormat="false" ht="18" hidden="false" customHeight="true" outlineLevel="0" collapsed="false">
      <c r="B15" s="67" t="n">
        <f aca="false">INDEX(MonthList,11)</f>
        <v>46143</v>
      </c>
      <c r="C15" s="62" t="str">
        <f aca="false">INDEX(MonthQuarter,11)</f>
        <v>FY2026 Q4</v>
      </c>
      <c r="D15" s="68" t="n">
        <f aca="false">COUNTIFS(lg_Month,$B15,lg_Include,"Yes")</f>
        <v>62</v>
      </c>
      <c r="E15" s="69" t="n">
        <f aca="false">SUMPRODUCT((site_ID&lt;&gt;"")*(COUNTIFS(lg_SiteID,site_ID,lg_Month,$B15,lg_Include,"Yes")&gt;0))</f>
        <v>18</v>
      </c>
      <c r="F15" s="68" t="n">
        <f aca="false">SUMIFS(lg_Present,lg_Month,$B15,lg_Include,"Yes")</f>
        <v>833</v>
      </c>
      <c r="G15" s="40" t="n">
        <f aca="false">IFERROR(SUMIFS(lg_Present,lg_Month,$B15,lg_Include,"Yes")/SUMIFS(lg_Enrolled,lg_Month,$B15,lg_Include,"Yes"),"")</f>
        <v>0.801732435033686</v>
      </c>
      <c r="H15" s="41" t="n">
        <f aca="false">IFERROR(AVERAGEIFS(lg_Score,lg_Month,$B15,lg_Include,"Yes",lg_Score,"&gt;=1",lg_Score,"&lt;=5"),"")</f>
        <v>4.01612903225807</v>
      </c>
      <c r="I15" s="68" t="n">
        <f aca="false">SUMIFS(lg_Hours,lg_Month,$B15,lg_Include,"Yes")</f>
        <v>1056.5</v>
      </c>
    </row>
    <row r="16" customFormat="false" ht="18" hidden="false" customHeight="true" outlineLevel="0" collapsed="false">
      <c r="B16" s="67" t="n">
        <f aca="false">INDEX(MonthList,12)</f>
        <v>46174</v>
      </c>
      <c r="C16" s="62" t="str">
        <f aca="false">INDEX(MonthQuarter,12)</f>
        <v>FY2026 Q4</v>
      </c>
      <c r="D16" s="68" t="n">
        <f aca="false">COUNTIFS(lg_Month,$B16,lg_Include,"Yes")</f>
        <v>0</v>
      </c>
      <c r="E16" s="69" t="n">
        <f aca="false">SUMPRODUCT((site_ID&lt;&gt;"")*(COUNTIFS(lg_SiteID,site_ID,lg_Month,$B16,lg_Include,"Yes")&gt;0))</f>
        <v>0</v>
      </c>
      <c r="F16" s="68" t="n">
        <f aca="false">SUMIFS(lg_Present,lg_Month,$B16,lg_Include,"Yes")</f>
        <v>0</v>
      </c>
      <c r="G16" s="40" t="str">
        <f aca="false">IFERROR(SUMIFS(lg_Present,lg_Month,$B16,lg_Include,"Yes")/SUMIFS(lg_Enrolled,lg_Month,$B16,lg_Include,"Yes"),"")</f>
        <v/>
      </c>
      <c r="H16" s="41" t="str">
        <f aca="false">IFERROR(AVERAGEIFS(lg_Score,lg_Month,$B16,lg_Include,"Yes",lg_Score,"&gt;=1",lg_Score,"&lt;=5"),"")</f>
        <v/>
      </c>
      <c r="I16" s="68" t="n">
        <f aca="false">SUMIFS(lg_Hours,lg_Month,$B16,lg_Include,"Yes")</f>
        <v>0</v>
      </c>
    </row>
    <row r="17" customFormat="false" ht="15" hidden="false" customHeight="false" outlineLevel="0" collapsed="false">
      <c r="B17" s="42" t="s">
        <v>180</v>
      </c>
      <c r="C17" s="42"/>
      <c r="D17" s="43" t="n">
        <f aca="false">SUM(D5:D16)</f>
        <v>780</v>
      </c>
      <c r="E17" s="42"/>
      <c r="F17" s="43" t="n">
        <f aca="false">SUM(F5:F16)</f>
        <v>10820</v>
      </c>
      <c r="G17" s="44" t="n">
        <f aca="false">IFERROR(SUMIFS(lg_Present,lg_Include,"Yes")/SUMIFS(lg_Enrolled,lg_Include,"Yes"),0)</f>
        <v>0.81913846619729</v>
      </c>
      <c r="H17" s="45" t="n">
        <f aca="false">IFERROR(AVERAGEIFS(lg_Score,lg_Include,"Yes",lg_Score,"&gt;=1",lg_Score,"&lt;=5"),0)</f>
        <v>3.59537869062901</v>
      </c>
      <c r="I17" s="43" t="n">
        <f aca="false">SUM(I5:I16)</f>
        <v>13488.5</v>
      </c>
    </row>
    <row r="18" customFormat="false" ht="15" hidden="false" customHeight="false" outlineLevel="0" collapsed="false">
      <c r="B18" s="25" t="s">
        <v>181</v>
      </c>
    </row>
  </sheetData>
  <sheetProtection sheet="true" formatColumns="false" formatRows="false" sort="false" autoFilter="false"/>
  <conditionalFormatting sqref="G5:G16">
    <cfRule type="expression" priority="2" aboveAverage="0" equalAverage="0" bottom="0" percent="0" rank="0" text="" dxfId="14">
      <formula>AND(ISNUMBER($G5),$G5&lt;AttGoal)</formula>
    </cfRule>
  </conditionalFormatting>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453B8"/>
    <pageSetUpPr fitToPage="true"/>
  </sheetPr>
  <dimension ref="B1:J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0"/>
    <col collapsed="false" customWidth="true" hidden="false" outlineLevel="0" max="4" min="3" style="0" width="10"/>
    <col collapsed="false" customWidth="true" hidden="false" outlineLevel="0" max="9" min="5" style="0" width="12"/>
    <col collapsed="false" customWidth="true" hidden="false" outlineLevel="0" max="10" min="10" style="0" width="13"/>
  </cols>
  <sheetData>
    <row r="1" customFormat="false" ht="33.75" hidden="false" customHeight="true" outlineLevel="0" collapsed="false">
      <c r="B1" s="1" t="s">
        <v>182</v>
      </c>
    </row>
    <row r="2" customFormat="false" ht="18" hidden="false" customHeight="true" outlineLevel="0" collapsed="false">
      <c r="B2" s="66" t="s">
        <v>183</v>
      </c>
    </row>
    <row r="4" customFormat="false" ht="33.75" hidden="false" customHeight="true" outlineLevel="0" collapsed="false">
      <c r="B4" s="38" t="s">
        <v>184</v>
      </c>
      <c r="C4" s="38" t="s">
        <v>185</v>
      </c>
      <c r="D4" s="38" t="s">
        <v>82</v>
      </c>
      <c r="E4" s="38" t="s">
        <v>95</v>
      </c>
      <c r="F4" s="38" t="s">
        <v>77</v>
      </c>
      <c r="G4" s="38" t="s">
        <v>84</v>
      </c>
      <c r="H4" s="38" t="s">
        <v>78</v>
      </c>
      <c r="I4" s="38" t="s">
        <v>171</v>
      </c>
      <c r="J4" s="38" t="s">
        <v>186</v>
      </c>
    </row>
    <row r="5" customFormat="false" ht="18" hidden="false" customHeight="true" outlineLevel="0" collapsed="false">
      <c r="B5" s="39" t="str">
        <f aca="false">INDEX(FacList,1)</f>
        <v>Amara Boateng</v>
      </c>
      <c r="C5" s="62" t="n">
        <f aca="false">SUMPRODUCT((site_ID&lt;&gt;"")*(COUNTIFS(lg_SiteID,site_ID,lg_Fac,$B5,lg_Include,"Yes")&gt;0))</f>
        <v>10</v>
      </c>
      <c r="D5" s="23" t="n">
        <f aca="false">COUNTIFS(lg_Fac,$B5,lg_Include,"Yes")</f>
        <v>100</v>
      </c>
      <c r="E5" s="23" t="n">
        <f aca="false">SUMIFS(lg_Present,lg_Fac,$B5,lg_Include,"Yes")</f>
        <v>1517</v>
      </c>
      <c r="F5" s="40" t="n">
        <f aca="false">IFERROR(SUMIFS(lg_Present,lg_Fac,$B5,lg_Include,"Yes")/SUMIFS(lg_Enrolled,lg_Fac,$B5,lg_Include,"Yes"),0)</f>
        <v>0.810363247863248</v>
      </c>
      <c r="G5" s="41" t="n">
        <f aca="false">IFERROR(AVERAGEIFS(lg_Score,lg_Fac,$B5,lg_Include,"Yes",lg_Score,"&gt;=1",lg_Score,"&lt;=5"),0)</f>
        <v>3.555</v>
      </c>
      <c r="H5" s="23" t="n">
        <f aca="false">SUMIFS(lg_Hours,lg_Fac,$B5,lg_Include,"Yes")</f>
        <v>1957.4</v>
      </c>
      <c r="I5" s="63" t="n">
        <f aca="false">_xlfn.MAXIFS(lg_Date,lg_Fac,$B5)</f>
        <v>46163</v>
      </c>
      <c r="J5" s="69" t="n">
        <f aca="false">COUNTIFS(lg_Fac,$B5,lg_Flag,"?*")</f>
        <v>1</v>
      </c>
    </row>
    <row r="6" customFormat="false" ht="18" hidden="false" customHeight="true" outlineLevel="0" collapsed="false">
      <c r="B6" s="39" t="str">
        <f aca="false">INDEX(FacList,2)</f>
        <v>Lucas Ferreira</v>
      </c>
      <c r="C6" s="62" t="n">
        <f aca="false">SUMPRODUCT((site_ID&lt;&gt;"")*(COUNTIFS(lg_SiteID,site_ID,lg_Fac,$B6,lg_Include,"Yes")&gt;0))</f>
        <v>10</v>
      </c>
      <c r="D6" s="23" t="n">
        <f aca="false">COUNTIFS(lg_Fac,$B6,lg_Include,"Yes")</f>
        <v>126</v>
      </c>
      <c r="E6" s="23" t="n">
        <f aca="false">SUMIFS(lg_Present,lg_Fac,$B6,lg_Include,"Yes")</f>
        <v>1525</v>
      </c>
      <c r="F6" s="40" t="n">
        <f aca="false">IFERROR(SUMIFS(lg_Present,lg_Fac,$B6,lg_Include,"Yes")/SUMIFS(lg_Enrolled,lg_Fac,$B6,lg_Include,"Yes"),0)</f>
        <v>0.846751804553026</v>
      </c>
      <c r="G6" s="41" t="n">
        <f aca="false">IFERROR(AVERAGEIFS(lg_Score,lg_Fac,$B6,lg_Include,"Yes",lg_Score,"&gt;=1",lg_Score,"&lt;=5"),0)</f>
        <v>3.65</v>
      </c>
      <c r="H6" s="23" t="n">
        <f aca="false">SUMIFS(lg_Hours,lg_Fac,$B6,lg_Include,"Yes")</f>
        <v>1958</v>
      </c>
      <c r="I6" s="63" t="n">
        <f aca="false">_xlfn.MAXIFS(lg_Date,lg_Fac,$B6)</f>
        <v>46164</v>
      </c>
      <c r="J6" s="69" t="n">
        <f aca="false">COUNTIFS(lg_Fac,$B6,lg_Flag,"?*")</f>
        <v>0</v>
      </c>
    </row>
    <row r="7" customFormat="false" ht="18" hidden="false" customHeight="true" outlineLevel="0" collapsed="false">
      <c r="B7" s="39" t="str">
        <f aca="false">INDEX(FacList,3)</f>
        <v>Dana Whitcomb</v>
      </c>
      <c r="C7" s="62" t="n">
        <f aca="false">SUMPRODUCT((site_ID&lt;&gt;"")*(COUNTIFS(lg_SiteID,site_ID,lg_Fac,$B7,lg_Include,"Yes")&gt;0))</f>
        <v>4</v>
      </c>
      <c r="D7" s="23" t="n">
        <f aca="false">COUNTIFS(lg_Fac,$B7,lg_Include,"Yes")</f>
        <v>119</v>
      </c>
      <c r="E7" s="23" t="n">
        <f aca="false">SUMIFS(lg_Present,lg_Fac,$B7,lg_Include,"Yes")</f>
        <v>1769</v>
      </c>
      <c r="F7" s="40" t="n">
        <f aca="false">IFERROR(SUMIFS(lg_Present,lg_Fac,$B7,lg_Include,"Yes")/SUMIFS(lg_Enrolled,lg_Fac,$B7,lg_Include,"Yes"),0)</f>
        <v>0.798285198555957</v>
      </c>
      <c r="G7" s="41" t="n">
        <f aca="false">IFERROR(AVERAGEIFS(lg_Score,lg_Fac,$B7,lg_Include,"Yes",lg_Score,"&gt;=1",lg_Score,"&lt;=5"),0)</f>
        <v>3.54830508474576</v>
      </c>
      <c r="H7" s="23" t="n">
        <f aca="false">SUMIFS(lg_Hours,lg_Fac,$B7,lg_Include,"Yes")</f>
        <v>2102.2</v>
      </c>
      <c r="I7" s="63" t="n">
        <f aca="false">_xlfn.MAXIFS(lg_Date,lg_Fac,$B7)</f>
        <v>46160</v>
      </c>
      <c r="J7" s="69" t="n">
        <f aca="false">COUNTIFS(lg_Fac,$B7,lg_Flag,"?*")</f>
        <v>1</v>
      </c>
    </row>
    <row r="8" customFormat="false" ht="18" hidden="false" customHeight="true" outlineLevel="0" collapsed="false">
      <c r="B8" s="39" t="str">
        <f aca="false">INDEX(FacList,4)</f>
        <v>Jun Park</v>
      </c>
      <c r="C8" s="62" t="n">
        <f aca="false">SUMPRODUCT((site_ID&lt;&gt;"")*(COUNTIFS(lg_SiteID,site_ID,lg_Fac,$B8,lg_Include,"Yes")&gt;0))</f>
        <v>6</v>
      </c>
      <c r="D8" s="23" t="n">
        <f aca="false">COUNTIFS(lg_Fac,$B8,lg_Include,"Yes")</f>
        <v>125</v>
      </c>
      <c r="E8" s="23" t="n">
        <f aca="false">SUMIFS(lg_Present,lg_Fac,$B8,lg_Include,"Yes")</f>
        <v>1729</v>
      </c>
      <c r="F8" s="40" t="n">
        <f aca="false">IFERROR(SUMIFS(lg_Present,lg_Fac,$B8,lg_Include,"Yes")/SUMIFS(lg_Enrolled,lg_Fac,$B8,lg_Include,"Yes"),0)</f>
        <v>0.829256594724221</v>
      </c>
      <c r="G8" s="41" t="n">
        <f aca="false">IFERROR(AVERAGEIFS(lg_Score,lg_Fac,$B8,lg_Include,"Yes",lg_Score,"&gt;=1",lg_Score,"&lt;=5"),0)</f>
        <v>3.5696</v>
      </c>
      <c r="H8" s="23" t="n">
        <f aca="false">SUMIFS(lg_Hours,lg_Fac,$B8,lg_Include,"Yes")</f>
        <v>2046.9</v>
      </c>
      <c r="I8" s="63" t="n">
        <f aca="false">_xlfn.MAXIFS(lg_Date,lg_Fac,$B8)</f>
        <v>46163</v>
      </c>
      <c r="J8" s="69" t="n">
        <f aca="false">COUNTIFS(lg_Fac,$B8,lg_Flag,"?*")</f>
        <v>1</v>
      </c>
    </row>
    <row r="9" customFormat="false" ht="18" hidden="false" customHeight="true" outlineLevel="0" collapsed="false">
      <c r="B9" s="39" t="str">
        <f aca="false">INDEX(FacList,5)</f>
        <v>Talia Moreno</v>
      </c>
      <c r="C9" s="62" t="n">
        <f aca="false">SUMPRODUCT((site_ID&lt;&gt;"")*(COUNTIFS(lg_SiteID,site_ID,lg_Fac,$B9,lg_Include,"Yes")&gt;0))</f>
        <v>4</v>
      </c>
      <c r="D9" s="23" t="n">
        <f aca="false">COUNTIFS(lg_Fac,$B9,lg_Include,"Yes")</f>
        <v>66</v>
      </c>
      <c r="E9" s="23" t="n">
        <f aca="false">SUMIFS(lg_Present,lg_Fac,$B9,lg_Include,"Yes")</f>
        <v>906</v>
      </c>
      <c r="F9" s="40" t="n">
        <f aca="false">IFERROR(SUMIFS(lg_Present,lg_Fac,$B9,lg_Include,"Yes")/SUMIFS(lg_Enrolled,lg_Fac,$B9,lg_Include,"Yes"),0)</f>
        <v>0.779690189328744</v>
      </c>
      <c r="G9" s="41" t="n">
        <f aca="false">IFERROR(AVERAGEIFS(lg_Score,lg_Fac,$B9,lg_Include,"Yes",lg_Score,"&gt;=1",lg_Score,"&lt;=5"),0)</f>
        <v>3.73181818181818</v>
      </c>
      <c r="H9" s="23" t="n">
        <f aca="false">SUMIFS(lg_Hours,lg_Fac,$B9,lg_Include,"Yes")</f>
        <v>1184.7</v>
      </c>
      <c r="I9" s="63" t="n">
        <f aca="false">_xlfn.MAXIFS(lg_Date,lg_Fac,$B9)</f>
        <v>46163</v>
      </c>
      <c r="J9" s="69" t="n">
        <f aca="false">COUNTIFS(lg_Fac,$B9,lg_Flag,"?*")</f>
        <v>0</v>
      </c>
    </row>
    <row r="10" customFormat="false" ht="18" hidden="false" customHeight="true" outlineLevel="0" collapsed="false">
      <c r="B10" s="39" t="str">
        <f aca="false">INDEX(FacList,6)</f>
        <v>Theo Banfield</v>
      </c>
      <c r="C10" s="62" t="n">
        <f aca="false">SUMPRODUCT((site_ID&lt;&gt;"")*(COUNTIFS(lg_SiteID,site_ID,lg_Fac,$B10,lg_Include,"Yes")&gt;0))</f>
        <v>5</v>
      </c>
      <c r="D10" s="23" t="n">
        <f aca="false">COUNTIFS(lg_Fac,$B10,lg_Include,"Yes")</f>
        <v>63</v>
      </c>
      <c r="E10" s="23" t="n">
        <f aca="false">SUMIFS(lg_Present,lg_Fac,$B10,lg_Include,"Yes")</f>
        <v>914</v>
      </c>
      <c r="F10" s="40" t="n">
        <f aca="false">IFERROR(SUMIFS(lg_Present,lg_Fac,$B10,lg_Include,"Yes")/SUMIFS(lg_Enrolled,lg_Fac,$B10,lg_Include,"Yes"),0)</f>
        <v>0.821203953279425</v>
      </c>
      <c r="G10" s="41" t="n">
        <f aca="false">IFERROR(AVERAGEIFS(lg_Score,lg_Fac,$B10,lg_Include,"Yes",lg_Score,"&gt;=1",lg_Score,"&lt;=5"),0)</f>
        <v>3.61269841269841</v>
      </c>
      <c r="H10" s="23" t="n">
        <f aca="false">SUMIFS(lg_Hours,lg_Fac,$B10,lg_Include,"Yes")</f>
        <v>1073.3</v>
      </c>
      <c r="I10" s="63" t="n">
        <f aca="false">_xlfn.MAXIFS(lg_Date,lg_Fac,$B10)</f>
        <v>46163</v>
      </c>
      <c r="J10" s="69" t="n">
        <f aca="false">COUNTIFS(lg_Fac,$B10,lg_Flag,"?*")</f>
        <v>0</v>
      </c>
    </row>
    <row r="11" customFormat="false" ht="18" hidden="false" customHeight="true" outlineLevel="0" collapsed="false">
      <c r="B11" s="39" t="str">
        <f aca="false">INDEX(FacList,7)</f>
        <v>Simone Lacy</v>
      </c>
      <c r="C11" s="62" t="n">
        <f aca="false">SUMPRODUCT((site_ID&lt;&gt;"")*(COUNTIFS(lg_SiteID,site_ID,lg_Fac,$B11,lg_Include,"Yes")&gt;0))</f>
        <v>6</v>
      </c>
      <c r="D11" s="23" t="n">
        <f aca="false">COUNTIFS(lg_Fac,$B11,lg_Include,"Yes")</f>
        <v>83</v>
      </c>
      <c r="E11" s="23" t="n">
        <f aca="false">SUMIFS(lg_Present,lg_Fac,$B11,lg_Include,"Yes")</f>
        <v>1235</v>
      </c>
      <c r="F11" s="40" t="n">
        <f aca="false">IFERROR(SUMIFS(lg_Present,lg_Fac,$B11,lg_Include,"Yes")/SUMIFS(lg_Enrolled,lg_Fac,$B11,lg_Include,"Yes"),0)</f>
        <v>0.86484593837535</v>
      </c>
      <c r="G11" s="41" t="n">
        <f aca="false">IFERROR(AVERAGEIFS(lg_Score,lg_Fac,$B11,lg_Include,"Yes",lg_Score,"&gt;=1",lg_Score,"&lt;=5"),0)</f>
        <v>3.52048192771084</v>
      </c>
      <c r="H11" s="23" t="n">
        <f aca="false">SUMIFS(lg_Hours,lg_Fac,$B11,lg_Include,"Yes")</f>
        <v>1714.9</v>
      </c>
      <c r="I11" s="63" t="n">
        <f aca="false">_xlfn.MAXIFS(lg_Date,lg_Fac,$B11)</f>
        <v>46141</v>
      </c>
      <c r="J11" s="69" t="n">
        <f aca="false">COUNTIFS(lg_Fac,$B11,lg_Flag,"?*")</f>
        <v>0</v>
      </c>
    </row>
    <row r="12" customFormat="false" ht="18" hidden="false" customHeight="true" outlineLevel="0" collapsed="false">
      <c r="B12" s="39" t="str">
        <f aca="false">INDEX(FacList,8)</f>
        <v>Owen Prewitt</v>
      </c>
      <c r="C12" s="62" t="n">
        <f aca="false">SUMPRODUCT((site_ID&lt;&gt;"")*(COUNTIFS(lg_SiteID,site_ID,lg_Fac,$B12,lg_Include,"Yes")&gt;0))</f>
        <v>6</v>
      </c>
      <c r="D12" s="23" t="n">
        <f aca="false">COUNTIFS(lg_Fac,$B12,lg_Include,"Yes")</f>
        <v>98</v>
      </c>
      <c r="E12" s="23" t="n">
        <f aca="false">SUMIFS(lg_Present,lg_Fac,$B12,lg_Include,"Yes")</f>
        <v>1225</v>
      </c>
      <c r="F12" s="40" t="n">
        <f aca="false">IFERROR(SUMIFS(lg_Present,lg_Fac,$B12,lg_Include,"Yes")/SUMIFS(lg_Enrolled,lg_Fac,$B12,lg_Include,"Yes"),0)</f>
        <v>0.799608355091384</v>
      </c>
      <c r="G12" s="41" t="n">
        <f aca="false">IFERROR(AVERAGEIFS(lg_Score,lg_Fac,$B12,lg_Include,"Yes",lg_Score,"&gt;=1",lg_Score,"&lt;=5"),0)</f>
        <v>3.61632653061224</v>
      </c>
      <c r="H12" s="23" t="n">
        <f aca="false">SUMIFS(lg_Hours,lg_Fac,$B12,lg_Include,"Yes")</f>
        <v>1451.1</v>
      </c>
      <c r="I12" s="63" t="n">
        <f aca="false">_xlfn.MAXIFS(lg_Date,lg_Fac,$B12)</f>
        <v>46163</v>
      </c>
      <c r="J12" s="69" t="n">
        <f aca="false">COUNTIFS(lg_Fac,$B12,lg_Flag,"?*")</f>
        <v>0</v>
      </c>
    </row>
    <row r="13" customFormat="false" ht="15" hidden="false" customHeight="false" outlineLevel="0" collapsed="false">
      <c r="B13" s="42" t="s">
        <v>176</v>
      </c>
      <c r="C13" s="42"/>
      <c r="D13" s="43" t="n">
        <f aca="false">SUM(D5:D12)</f>
        <v>780</v>
      </c>
      <c r="E13" s="43" t="n">
        <f aca="false">SUM(E5:E12)</f>
        <v>10820</v>
      </c>
      <c r="F13" s="42"/>
      <c r="G13" s="42"/>
      <c r="H13" s="43" t="n">
        <f aca="false">SUM(H5:H12)</f>
        <v>13488.5</v>
      </c>
      <c r="I13" s="42"/>
      <c r="J13" s="43" t="n">
        <f aca="false">SUM(J5:J12)</f>
        <v>3</v>
      </c>
    </row>
  </sheetData>
  <sheetProtection sheet="true" formatColumns="false" formatRows="false" sort="false" autoFilter="false"/>
  <conditionalFormatting sqref="J5:J12">
    <cfRule type="expression" priority="2" aboveAverage="0" equalAverage="0" bottom="0" percent="0" rank="0" text="" dxfId="1">
      <formula>$J5&gt;0</formula>
    </cfRule>
  </conditionalFormatting>
  <conditionalFormatting sqref="F5:F12">
    <cfRule type="expression" priority="3" aboveAverage="0" equalAverage="0" bottom="0" percent="0" rank="0" text="" dxfId="2">
      <formula>$F5&lt;AttGoal</formula>
    </cfRule>
  </conditionalFormatting>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8A00"/>
    <pageSetUpPr fitToPage="true"/>
  </sheetPr>
  <dimension ref="B1:I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9"/>
    <col collapsed="false" customWidth="true" hidden="false" outlineLevel="0" max="3" min="3" style="0" width="27"/>
    <col collapsed="false" customWidth="true" hidden="false" outlineLevel="0" max="4" min="4" style="0" width="9"/>
    <col collapsed="false" customWidth="true" hidden="false" outlineLevel="0" max="5" min="5" style="0" width="19"/>
    <col collapsed="false" customWidth="true" hidden="false" outlineLevel="0" max="6" min="6" style="0" width="17"/>
    <col collapsed="false" customWidth="true" hidden="false" outlineLevel="0" max="7" min="7" style="0" width="12"/>
    <col collapsed="false" customWidth="true" hidden="false" outlineLevel="0" max="9" min="8" style="0" width="13"/>
  </cols>
  <sheetData>
    <row r="1" customFormat="false" ht="33.75" hidden="false" customHeight="true" outlineLevel="0" collapsed="false">
      <c r="B1" s="1" t="s">
        <v>187</v>
      </c>
    </row>
    <row r="2" customFormat="false" ht="18" hidden="false" customHeight="true" outlineLevel="0" collapsed="false">
      <c r="B2" s="66" t="s">
        <v>188</v>
      </c>
    </row>
    <row r="4" customFormat="false" ht="31.5" hidden="false" customHeight="true" outlineLevel="0" collapsed="false">
      <c r="B4" s="38" t="s">
        <v>100</v>
      </c>
      <c r="C4" s="38" t="s">
        <v>87</v>
      </c>
      <c r="D4" s="38" t="s">
        <v>189</v>
      </c>
      <c r="E4" s="38" t="s">
        <v>81</v>
      </c>
      <c r="F4" s="38" t="s">
        <v>170</v>
      </c>
      <c r="G4" s="38" t="s">
        <v>190</v>
      </c>
      <c r="H4" s="38" t="s">
        <v>191</v>
      </c>
      <c r="I4" s="38" t="s">
        <v>192</v>
      </c>
    </row>
    <row r="5" customFormat="false" ht="15" hidden="false" customHeight="false" outlineLevel="0" collapsed="false">
      <c r="B5" s="29" t="s">
        <v>193</v>
      </c>
      <c r="C5" s="70" t="s">
        <v>145</v>
      </c>
      <c r="D5" s="29" t="s">
        <v>194</v>
      </c>
      <c r="E5" s="70" t="s">
        <v>119</v>
      </c>
      <c r="F5" s="70" t="s">
        <v>132</v>
      </c>
      <c r="G5" s="71" t="n">
        <v>1</v>
      </c>
      <c r="H5" s="64" t="n">
        <f aca="false">IF(G5="","",G5*4)</f>
        <v>4</v>
      </c>
      <c r="I5" s="71" t="n">
        <v>24</v>
      </c>
    </row>
    <row r="6" customFormat="false" ht="15" hidden="false" customHeight="false" outlineLevel="0" collapsed="false">
      <c r="B6" s="29" t="s">
        <v>195</v>
      </c>
      <c r="C6" s="70" t="s">
        <v>142</v>
      </c>
      <c r="D6" s="29" t="s">
        <v>194</v>
      </c>
      <c r="E6" s="70" t="s">
        <v>113</v>
      </c>
      <c r="F6" s="70" t="s">
        <v>140</v>
      </c>
      <c r="G6" s="71" t="n">
        <v>1</v>
      </c>
      <c r="H6" s="64" t="n">
        <f aca="false">IF(G6="","",G6*4)</f>
        <v>4</v>
      </c>
      <c r="I6" s="71" t="n">
        <v>18</v>
      </c>
    </row>
    <row r="7" customFormat="false" ht="15" hidden="false" customHeight="false" outlineLevel="0" collapsed="false">
      <c r="B7" s="29" t="s">
        <v>196</v>
      </c>
      <c r="C7" s="70" t="s">
        <v>106</v>
      </c>
      <c r="D7" s="29" t="s">
        <v>197</v>
      </c>
      <c r="E7" s="70" t="s">
        <v>107</v>
      </c>
      <c r="F7" s="70" t="s">
        <v>105</v>
      </c>
      <c r="G7" s="71" t="n">
        <v>1</v>
      </c>
      <c r="H7" s="64" t="n">
        <f aca="false">IF(G7="","",G7*4)</f>
        <v>4</v>
      </c>
      <c r="I7" s="71" t="n">
        <v>20</v>
      </c>
    </row>
    <row r="8" customFormat="false" ht="15" hidden="false" customHeight="false" outlineLevel="0" collapsed="false">
      <c r="B8" s="29" t="s">
        <v>198</v>
      </c>
      <c r="C8" s="70" t="s">
        <v>148</v>
      </c>
      <c r="D8" s="29" t="s">
        <v>197</v>
      </c>
      <c r="E8" s="70" t="s">
        <v>116</v>
      </c>
      <c r="F8" s="70" t="s">
        <v>111</v>
      </c>
      <c r="G8" s="71" t="n">
        <v>1</v>
      </c>
      <c r="H8" s="64" t="n">
        <f aca="false">IF(G8="","",G8*4)</f>
        <v>4</v>
      </c>
      <c r="I8" s="71" t="n">
        <v>20</v>
      </c>
    </row>
    <row r="9" customFormat="false" ht="15" hidden="false" customHeight="false" outlineLevel="0" collapsed="false">
      <c r="B9" s="29" t="s">
        <v>199</v>
      </c>
      <c r="C9" s="70" t="s">
        <v>146</v>
      </c>
      <c r="D9" s="29" t="s">
        <v>200</v>
      </c>
      <c r="E9" s="70" t="s">
        <v>138</v>
      </c>
      <c r="F9" s="70" t="s">
        <v>109</v>
      </c>
      <c r="G9" s="71" t="n">
        <v>1</v>
      </c>
      <c r="H9" s="64" t="n">
        <f aca="false">IF(G9="","",G9*4)</f>
        <v>4</v>
      </c>
      <c r="I9" s="71" t="n">
        <v>18</v>
      </c>
    </row>
    <row r="10" customFormat="false" ht="15" hidden="false" customHeight="false" outlineLevel="0" collapsed="false">
      <c r="B10" s="29" t="s">
        <v>201</v>
      </c>
      <c r="C10" s="70" t="s">
        <v>125</v>
      </c>
      <c r="D10" s="29" t="s">
        <v>200</v>
      </c>
      <c r="E10" s="70" t="s">
        <v>119</v>
      </c>
      <c r="F10" s="70" t="s">
        <v>124</v>
      </c>
      <c r="G10" s="71" t="n">
        <v>1</v>
      </c>
      <c r="H10" s="64" t="n">
        <f aca="false">IF(G10="","",G10*4)</f>
        <v>4</v>
      </c>
      <c r="I10" s="71" t="n">
        <v>20</v>
      </c>
    </row>
    <row r="11" customFormat="false" ht="15" hidden="false" customHeight="false" outlineLevel="0" collapsed="false">
      <c r="B11" s="29" t="s">
        <v>202</v>
      </c>
      <c r="C11" s="70" t="s">
        <v>130</v>
      </c>
      <c r="D11" s="29" t="s">
        <v>203</v>
      </c>
      <c r="E11" s="70" t="s">
        <v>113</v>
      </c>
      <c r="F11" s="70" t="s">
        <v>129</v>
      </c>
      <c r="G11" s="71" t="n">
        <v>1</v>
      </c>
      <c r="H11" s="64" t="n">
        <f aca="false">IF(G11="","",G11*4)</f>
        <v>4</v>
      </c>
      <c r="I11" s="71" t="n">
        <v>20</v>
      </c>
    </row>
    <row r="12" customFormat="false" ht="15" hidden="false" customHeight="false" outlineLevel="0" collapsed="false">
      <c r="B12" s="29" t="s">
        <v>204</v>
      </c>
      <c r="C12" s="70" t="s">
        <v>127</v>
      </c>
      <c r="D12" s="29" t="s">
        <v>203</v>
      </c>
      <c r="E12" s="70" t="s">
        <v>107</v>
      </c>
      <c r="F12" s="70" t="s">
        <v>121</v>
      </c>
      <c r="G12" s="71" t="n">
        <v>1</v>
      </c>
      <c r="H12" s="64" t="n">
        <f aca="false">IF(G12="","",G12*4)</f>
        <v>4</v>
      </c>
      <c r="I12" s="71" t="n">
        <v>18</v>
      </c>
    </row>
    <row r="13" customFormat="false" ht="15" hidden="false" customHeight="false" outlineLevel="0" collapsed="false">
      <c r="B13" s="29" t="s">
        <v>205</v>
      </c>
      <c r="C13" s="70" t="s">
        <v>133</v>
      </c>
      <c r="D13" s="29" t="s">
        <v>206</v>
      </c>
      <c r="E13" s="70" t="s">
        <v>116</v>
      </c>
      <c r="F13" s="70" t="s">
        <v>132</v>
      </c>
      <c r="G13" s="71" t="n">
        <v>1</v>
      </c>
      <c r="H13" s="64" t="n">
        <f aca="false">IF(G13="","",G13*4)</f>
        <v>4</v>
      </c>
      <c r="I13" s="71" t="n">
        <v>20</v>
      </c>
    </row>
    <row r="14" customFormat="false" ht="15" hidden="false" customHeight="false" outlineLevel="0" collapsed="false">
      <c r="B14" s="29" t="s">
        <v>207</v>
      </c>
      <c r="C14" s="70" t="s">
        <v>151</v>
      </c>
      <c r="D14" s="29" t="s">
        <v>206</v>
      </c>
      <c r="E14" s="70" t="s">
        <v>138</v>
      </c>
      <c r="F14" s="70" t="s">
        <v>140</v>
      </c>
      <c r="G14" s="71" t="n">
        <v>1</v>
      </c>
      <c r="H14" s="64" t="n">
        <f aca="false">IF(G14="","",G14*4)</f>
        <v>4</v>
      </c>
      <c r="I14" s="71" t="n">
        <v>20</v>
      </c>
    </row>
    <row r="15" customFormat="false" ht="15" hidden="false" customHeight="false" outlineLevel="0" collapsed="false">
      <c r="B15" s="29" t="s">
        <v>208</v>
      </c>
      <c r="C15" s="70" t="s">
        <v>118</v>
      </c>
      <c r="D15" s="29" t="s">
        <v>194</v>
      </c>
      <c r="E15" s="70" t="s">
        <v>119</v>
      </c>
      <c r="F15" s="70" t="s">
        <v>105</v>
      </c>
      <c r="G15" s="71" t="n">
        <v>2</v>
      </c>
      <c r="H15" s="64" t="n">
        <f aca="false">IF(G15="","",G15*4)</f>
        <v>8</v>
      </c>
      <c r="I15" s="71" t="n">
        <v>20</v>
      </c>
    </row>
    <row r="16" customFormat="false" ht="15" hidden="false" customHeight="false" outlineLevel="0" collapsed="false">
      <c r="B16" s="29" t="s">
        <v>209</v>
      </c>
      <c r="C16" s="70" t="s">
        <v>149</v>
      </c>
      <c r="D16" s="29" t="s">
        <v>194</v>
      </c>
      <c r="E16" s="70" t="s">
        <v>113</v>
      </c>
      <c r="F16" s="70" t="s">
        <v>111</v>
      </c>
      <c r="G16" s="71" t="n">
        <v>1</v>
      </c>
      <c r="H16" s="64" t="n">
        <f aca="false">IF(G16="","",G16*4)</f>
        <v>4</v>
      </c>
      <c r="I16" s="71" t="n">
        <v>24</v>
      </c>
    </row>
    <row r="17" customFormat="false" ht="15" hidden="false" customHeight="false" outlineLevel="0" collapsed="false">
      <c r="B17" s="29" t="s">
        <v>210</v>
      </c>
      <c r="C17" s="70" t="s">
        <v>110</v>
      </c>
      <c r="D17" s="29" t="s">
        <v>197</v>
      </c>
      <c r="E17" s="70" t="s">
        <v>107</v>
      </c>
      <c r="F17" s="70" t="s">
        <v>109</v>
      </c>
      <c r="G17" s="71" t="n">
        <v>1</v>
      </c>
      <c r="H17" s="64" t="n">
        <f aca="false">IF(G17="","",G17*4)</f>
        <v>4</v>
      </c>
      <c r="I17" s="71" t="n">
        <v>22</v>
      </c>
    </row>
    <row r="18" customFormat="false" ht="15" hidden="false" customHeight="false" outlineLevel="0" collapsed="false">
      <c r="B18" s="29" t="s">
        <v>211</v>
      </c>
      <c r="C18" s="70" t="s">
        <v>154</v>
      </c>
      <c r="D18" s="29" t="s">
        <v>197</v>
      </c>
      <c r="E18" s="70" t="s">
        <v>116</v>
      </c>
      <c r="F18" s="70" t="s">
        <v>124</v>
      </c>
      <c r="G18" s="71" t="n">
        <v>1</v>
      </c>
      <c r="H18" s="64" t="n">
        <f aca="false">IF(G18="","",G18*4)</f>
        <v>4</v>
      </c>
      <c r="I18" s="71" t="n">
        <v>20</v>
      </c>
    </row>
    <row r="19" customFormat="false" ht="15" hidden="false" customHeight="false" outlineLevel="0" collapsed="false">
      <c r="B19" s="29" t="s">
        <v>212</v>
      </c>
      <c r="C19" s="70" t="s">
        <v>137</v>
      </c>
      <c r="D19" s="29" t="s">
        <v>200</v>
      </c>
      <c r="E19" s="70" t="s">
        <v>138</v>
      </c>
      <c r="F19" s="70" t="s">
        <v>129</v>
      </c>
      <c r="G19" s="71" t="n">
        <v>2</v>
      </c>
      <c r="H19" s="64" t="n">
        <f aca="false">IF(G19="","",G19*4)</f>
        <v>8</v>
      </c>
      <c r="I19" s="71" t="n">
        <v>20</v>
      </c>
    </row>
    <row r="20" customFormat="false" ht="15" hidden="false" customHeight="false" outlineLevel="0" collapsed="false">
      <c r="B20" s="29" t="s">
        <v>213</v>
      </c>
      <c r="C20" s="70" t="s">
        <v>122</v>
      </c>
      <c r="D20" s="29" t="s">
        <v>200</v>
      </c>
      <c r="E20" s="70" t="s">
        <v>116</v>
      </c>
      <c r="F20" s="70" t="s">
        <v>121</v>
      </c>
      <c r="G20" s="71" t="n">
        <v>2</v>
      </c>
      <c r="H20" s="64" t="n">
        <f aca="false">IF(G20="","",G20*4)</f>
        <v>8</v>
      </c>
      <c r="I20" s="71" t="n">
        <v>18</v>
      </c>
    </row>
    <row r="21" customFormat="false" ht="15" hidden="false" customHeight="false" outlineLevel="0" collapsed="false">
      <c r="B21" s="29" t="s">
        <v>214</v>
      </c>
      <c r="C21" s="70" t="s">
        <v>150</v>
      </c>
      <c r="D21" s="29" t="s">
        <v>203</v>
      </c>
      <c r="E21" s="70" t="s">
        <v>138</v>
      </c>
      <c r="F21" s="70" t="s">
        <v>132</v>
      </c>
      <c r="G21" s="71" t="n">
        <v>1</v>
      </c>
      <c r="H21" s="64" t="n">
        <f aca="false">IF(G21="","",G21*4)</f>
        <v>4</v>
      </c>
      <c r="I21" s="71" t="n">
        <v>24</v>
      </c>
    </row>
    <row r="22" customFormat="false" ht="15" hidden="false" customHeight="false" outlineLevel="0" collapsed="false">
      <c r="B22" s="29" t="s">
        <v>215</v>
      </c>
      <c r="C22" s="70" t="s">
        <v>141</v>
      </c>
      <c r="D22" s="29" t="s">
        <v>203</v>
      </c>
      <c r="E22" s="70" t="s">
        <v>116</v>
      </c>
      <c r="F22" s="70" t="s">
        <v>140</v>
      </c>
      <c r="G22" s="71" t="n">
        <v>2</v>
      </c>
      <c r="H22" s="64" t="n">
        <f aca="false">IF(G22="","",G22*4)</f>
        <v>8</v>
      </c>
      <c r="I22" s="71" t="n">
        <v>15</v>
      </c>
    </row>
    <row r="23" customFormat="false" ht="15" hidden="false" customHeight="false" outlineLevel="0" collapsed="false">
      <c r="B23" s="29" t="s">
        <v>216</v>
      </c>
      <c r="C23" s="70" t="s">
        <v>115</v>
      </c>
      <c r="D23" s="29" t="s">
        <v>206</v>
      </c>
      <c r="E23" s="70" t="s">
        <v>116</v>
      </c>
      <c r="F23" s="70" t="s">
        <v>105</v>
      </c>
      <c r="G23" s="71" t="n">
        <v>1</v>
      </c>
      <c r="H23" s="64" t="n">
        <f aca="false">IF(G23="","",G23*4)</f>
        <v>4</v>
      </c>
      <c r="I23" s="71" t="n">
        <v>18</v>
      </c>
    </row>
    <row r="24" customFormat="false" ht="15" hidden="false" customHeight="false" outlineLevel="0" collapsed="false">
      <c r="B24" s="29" t="s">
        <v>217</v>
      </c>
      <c r="C24" s="70" t="s">
        <v>112</v>
      </c>
      <c r="D24" s="29" t="s">
        <v>206</v>
      </c>
      <c r="E24" s="70" t="s">
        <v>113</v>
      </c>
      <c r="F24" s="70" t="s">
        <v>111</v>
      </c>
      <c r="G24" s="71" t="n">
        <v>2</v>
      </c>
      <c r="H24" s="64" t="n">
        <f aca="false">IF(G24="","",G24*4)</f>
        <v>8</v>
      </c>
      <c r="I24" s="71" t="n">
        <v>18</v>
      </c>
    </row>
    <row r="25" customFormat="false" ht="15" hidden="false" customHeight="false" outlineLevel="0" collapsed="false">
      <c r="B25" s="29"/>
      <c r="C25" s="70"/>
      <c r="D25" s="29"/>
      <c r="E25" s="70"/>
      <c r="F25" s="70"/>
      <c r="G25" s="71"/>
      <c r="H25" s="64" t="str">
        <f aca="false">IF(G25="","",G25*4)</f>
        <v/>
      </c>
      <c r="I25" s="71"/>
    </row>
    <row r="26" customFormat="false" ht="15" hidden="false" customHeight="false" outlineLevel="0" collapsed="false">
      <c r="B26" s="29"/>
      <c r="C26" s="70"/>
      <c r="D26" s="29"/>
      <c r="E26" s="70"/>
      <c r="F26" s="70"/>
      <c r="G26" s="71"/>
      <c r="H26" s="64" t="str">
        <f aca="false">IF(G26="","",G26*4)</f>
        <v/>
      </c>
      <c r="I26" s="71"/>
    </row>
    <row r="27" customFormat="false" ht="15" hidden="false" customHeight="false" outlineLevel="0" collapsed="false">
      <c r="B27" s="29"/>
      <c r="C27" s="70"/>
      <c r="D27" s="29"/>
      <c r="E27" s="70"/>
      <c r="F27" s="70"/>
      <c r="G27" s="71"/>
      <c r="H27" s="64" t="str">
        <f aca="false">IF(G27="","",G27*4)</f>
        <v/>
      </c>
      <c r="I27" s="71"/>
    </row>
    <row r="28" customFormat="false" ht="15" hidden="false" customHeight="false" outlineLevel="0" collapsed="false">
      <c r="B28" s="29"/>
      <c r="C28" s="70"/>
      <c r="D28" s="29"/>
      <c r="E28" s="70"/>
      <c r="F28" s="70"/>
      <c r="G28" s="71"/>
      <c r="H28" s="64" t="str">
        <f aca="false">IF(G28="","",G28*4)</f>
        <v/>
      </c>
      <c r="I28" s="71"/>
    </row>
    <row r="29" customFormat="false" ht="15" hidden="false" customHeight="false" outlineLevel="0" collapsed="false">
      <c r="B29" s="29"/>
      <c r="C29" s="70"/>
      <c r="D29" s="29"/>
      <c r="E29" s="70"/>
      <c r="F29" s="70"/>
      <c r="G29" s="71"/>
      <c r="H29" s="64" t="str">
        <f aca="false">IF(G29="","",G29*4)</f>
        <v/>
      </c>
      <c r="I29" s="71"/>
    </row>
    <row r="30" customFormat="false" ht="15" hidden="false" customHeight="false" outlineLevel="0" collapsed="false">
      <c r="B30" s="29"/>
      <c r="C30" s="70"/>
      <c r="D30" s="29"/>
      <c r="E30" s="70"/>
      <c r="F30" s="70"/>
      <c r="G30" s="71"/>
      <c r="H30" s="64" t="str">
        <f aca="false">IF(G30="","",G30*4)</f>
        <v/>
      </c>
      <c r="I30" s="71"/>
    </row>
    <row r="31" customFormat="false" ht="15" hidden="false" customHeight="false" outlineLevel="0" collapsed="false">
      <c r="B31" s="29"/>
      <c r="C31" s="70"/>
      <c r="D31" s="29"/>
      <c r="E31" s="70"/>
      <c r="F31" s="70"/>
      <c r="G31" s="71"/>
      <c r="H31" s="64" t="str">
        <f aca="false">IF(G31="","",G31*4)</f>
        <v/>
      </c>
      <c r="I31" s="71"/>
    </row>
    <row r="32" customFormat="false" ht="15" hidden="false" customHeight="false" outlineLevel="0" collapsed="false">
      <c r="B32" s="29"/>
      <c r="C32" s="70"/>
      <c r="D32" s="29"/>
      <c r="E32" s="70"/>
      <c r="F32" s="70"/>
      <c r="G32" s="71"/>
      <c r="H32" s="64" t="str">
        <f aca="false">IF(G32="","",G32*4)</f>
        <v/>
      </c>
      <c r="I32" s="71"/>
    </row>
    <row r="33" customFormat="false" ht="15" hidden="false" customHeight="false" outlineLevel="0" collapsed="false">
      <c r="B33" s="29"/>
      <c r="C33" s="70"/>
      <c r="D33" s="29"/>
      <c r="E33" s="70"/>
      <c r="F33" s="70"/>
      <c r="G33" s="71"/>
      <c r="H33" s="64" t="str">
        <f aca="false">IF(G33="","",G33*4)</f>
        <v/>
      </c>
      <c r="I33" s="71"/>
    </row>
    <row r="34" customFormat="false" ht="15" hidden="false" customHeight="false" outlineLevel="0" collapsed="false">
      <c r="B34" s="29"/>
      <c r="C34" s="70"/>
      <c r="D34" s="29"/>
      <c r="E34" s="70"/>
      <c r="F34" s="70"/>
      <c r="G34" s="71"/>
      <c r="H34" s="64" t="str">
        <f aca="false">IF(G34="","",G34*4)</f>
        <v/>
      </c>
      <c r="I34" s="71"/>
    </row>
  </sheetData>
  <sheetProtection sheet="true" formatColumns="false" formatRows="false" sort="false" autoFilter="false"/>
  <dataValidations count="2">
    <dataValidation allowBlank="true" error="Pick a value from the list." errorStyle="stop" errorTitle="Not on the list" operator="between" showDropDown="false" showErrorMessage="true" showInputMessage="false" sqref="E5:E34" type="list">
      <formula1>ProgramList</formula1>
      <formula2>0</formula2>
    </dataValidation>
    <dataValidation allowBlank="true" error="Pick a value from the list." errorStyle="stop" errorTitle="Not on the list" operator="between" showDropDown="false" showErrorMessage="true" showInputMessage="false" sqref="F5:F34" type="list">
      <formula1>FacList</formula1>
      <formula2>0</formula2>
    </dataValidation>
  </dataValidations>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F96"/>
    <pageSetUpPr fitToPage="true"/>
  </sheetPr>
  <dimension ref="B1:J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30"/>
    <col collapsed="false" customWidth="true" hidden="false" outlineLevel="0" max="4" min="4" style="0" width="50"/>
    <col collapsed="false" customWidth="true" hidden="false" outlineLevel="0" max="5" min="5" style="0" width="3"/>
    <col collapsed="false" customWidth="true" hidden="false" outlineLevel="0" max="6" min="6" style="0" width="12"/>
    <col collapsed="false" customWidth="true" hidden="false" outlineLevel="0" max="7" min="7" style="0" width="14"/>
    <col collapsed="false" customWidth="true" hidden="false" outlineLevel="0" max="8" min="8" style="0" width="13"/>
    <col collapsed="false" customWidth="true" hidden="false" outlineLevel="0" max="9" min="9" style="0" width="3"/>
    <col collapsed="false" customWidth="true" hidden="false" outlineLevel="0" max="10" min="10" style="0" width="14"/>
  </cols>
  <sheetData>
    <row r="1" customFormat="false" ht="33.75" hidden="false" customHeight="true" outlineLevel="0" collapsed="false">
      <c r="B1" s="1" t="s">
        <v>218</v>
      </c>
    </row>
    <row r="2" customFormat="false" ht="18" hidden="false" customHeight="true" outlineLevel="0" collapsed="false">
      <c r="B2" s="66" t="s">
        <v>219</v>
      </c>
    </row>
    <row r="4" customFormat="false" ht="25.5" hidden="false" customHeight="true" outlineLevel="0" collapsed="false">
      <c r="B4" s="72" t="s">
        <v>220</v>
      </c>
      <c r="C4" s="72" t="s">
        <v>221</v>
      </c>
      <c r="D4" s="72" t="s">
        <v>222</v>
      </c>
      <c r="F4" s="38" t="s">
        <v>101</v>
      </c>
      <c r="G4" s="38" t="s">
        <v>223</v>
      </c>
      <c r="H4" s="38" t="s">
        <v>102</v>
      </c>
      <c r="J4" s="38" t="s">
        <v>224</v>
      </c>
    </row>
    <row r="5" customFormat="false" ht="30" hidden="false" customHeight="true" outlineLevel="0" collapsed="false">
      <c r="B5" s="73" t="s">
        <v>225</v>
      </c>
      <c r="C5" s="74" t="s">
        <v>226</v>
      </c>
      <c r="D5" s="75" t="s">
        <v>227</v>
      </c>
      <c r="F5" s="76" t="n">
        <v>45839</v>
      </c>
      <c r="G5" s="29" t="s">
        <v>228</v>
      </c>
      <c r="H5" s="62" t="str">
        <f aca="false">"FY"&amp;(YEAR(F5)+IF(AND(FYStart&gt;1,MONTH(F5)&gt;=FYStart),1,0))&amp;" Q"&amp;(INT(MOD(MONTH(F5)-FYStart,12)/3)+1)</f>
        <v>FY2026 Q1</v>
      </c>
      <c r="J5" s="29" t="s">
        <v>229</v>
      </c>
    </row>
    <row r="6" customFormat="false" ht="30" hidden="false" customHeight="true" outlineLevel="0" collapsed="false">
      <c r="B6" s="73" t="s">
        <v>230</v>
      </c>
      <c r="C6" s="77" t="n">
        <v>7</v>
      </c>
      <c r="D6" s="75" t="s">
        <v>231</v>
      </c>
      <c r="F6" s="76" t="n">
        <v>45870</v>
      </c>
      <c r="G6" s="29" t="s">
        <v>228</v>
      </c>
      <c r="H6" s="62" t="str">
        <f aca="false">"FY"&amp;(YEAR(F6)+IF(AND(FYStart&gt;1,MONTH(F6)&gt;=FYStart),1,0))&amp;" Q"&amp;(INT(MOD(MONTH(F6)-FYStart,12)/3)+1)</f>
        <v>FY2026 Q1</v>
      </c>
      <c r="J6" s="29" t="s">
        <v>232</v>
      </c>
    </row>
    <row r="7" customFormat="false" ht="30" hidden="false" customHeight="true" outlineLevel="0" collapsed="false">
      <c r="B7" s="73" t="s">
        <v>233</v>
      </c>
      <c r="C7" s="78" t="n">
        <v>46143</v>
      </c>
      <c r="D7" s="75" t="s">
        <v>234</v>
      </c>
      <c r="F7" s="76" t="n">
        <v>45901</v>
      </c>
      <c r="G7" s="29" t="s">
        <v>235</v>
      </c>
      <c r="H7" s="62" t="str">
        <f aca="false">"FY"&amp;(YEAR(F7)+IF(AND(FYStart&gt;1,MONTH(F7)&gt;=FYStart),1,0))&amp;" Q"&amp;(INT(MOD(MONTH(F7)-FYStart,12)/3)+1)</f>
        <v>FY2026 Q1</v>
      </c>
      <c r="J7" s="29" t="s">
        <v>70</v>
      </c>
    </row>
    <row r="8" customFormat="false" ht="30" hidden="false" customHeight="true" outlineLevel="0" collapsed="false">
      <c r="B8" s="73" t="s">
        <v>236</v>
      </c>
      <c r="C8" s="79" t="n">
        <v>46171</v>
      </c>
      <c r="D8" s="75" t="s">
        <v>237</v>
      </c>
      <c r="F8" s="76" t="n">
        <v>45931</v>
      </c>
      <c r="G8" s="29" t="s">
        <v>235</v>
      </c>
      <c r="H8" s="62" t="str">
        <f aca="false">"FY"&amp;(YEAR(F8)+IF(AND(FYStart&gt;1,MONTH(F8)&gt;=FYStart),1,0))&amp;" Q"&amp;(INT(MOD(MONTH(F8)-FYStart,12)/3)+1)</f>
        <v>FY2026 Q2</v>
      </c>
      <c r="J8" s="29" t="s">
        <v>238</v>
      </c>
    </row>
    <row r="9" customFormat="false" ht="30" hidden="false" customHeight="true" outlineLevel="0" collapsed="false">
      <c r="B9" s="73" t="s">
        <v>239</v>
      </c>
      <c r="C9" s="77" t="n">
        <v>14</v>
      </c>
      <c r="D9" s="75" t="s">
        <v>240</v>
      </c>
      <c r="F9" s="76" t="n">
        <v>45962</v>
      </c>
      <c r="G9" s="29" t="s">
        <v>235</v>
      </c>
      <c r="H9" s="62" t="str">
        <f aca="false">"FY"&amp;(YEAR(F9)+IF(AND(FYStart&gt;1,MONTH(F9)&gt;=FYStart),1,0))&amp;" Q"&amp;(INT(MOD(MONTH(F9)-FYStart,12)/3)+1)</f>
        <v>FY2026 Q2</v>
      </c>
    </row>
    <row r="10" customFormat="false" ht="30" hidden="false" customHeight="true" outlineLevel="0" collapsed="false">
      <c r="B10" s="73" t="s">
        <v>241</v>
      </c>
      <c r="C10" s="80" t="n">
        <v>0.8</v>
      </c>
      <c r="D10" s="75" t="s">
        <v>242</v>
      </c>
      <c r="F10" s="76" t="n">
        <v>45992</v>
      </c>
      <c r="G10" s="29" t="s">
        <v>235</v>
      </c>
      <c r="H10" s="62" t="str">
        <f aca="false">"FY"&amp;(YEAR(F10)+IF(AND(FYStart&gt;1,MONTH(F10)&gt;=FYStart),1,0))&amp;" Q"&amp;(INT(MOD(MONTH(F10)-FYStart,12)/3)+1)</f>
        <v>FY2026 Q2</v>
      </c>
    </row>
    <row r="11" customFormat="false" ht="21.75" hidden="false" customHeight="true" outlineLevel="0" collapsed="false">
      <c r="F11" s="76" t="n">
        <v>46023</v>
      </c>
      <c r="G11" s="29" t="s">
        <v>235</v>
      </c>
      <c r="H11" s="62" t="str">
        <f aca="false">"FY"&amp;(YEAR(F11)+IF(AND(FYStart&gt;1,MONTH(F11)&gt;=FYStart),1,0))&amp;" Q"&amp;(INT(MOD(MONTH(F11)-FYStart,12)/3)+1)</f>
        <v>FY2026 Q3</v>
      </c>
      <c r="J11" s="38" t="s">
        <v>243</v>
      </c>
    </row>
    <row r="12" customFormat="false" ht="15" hidden="false" customHeight="false" outlineLevel="0" collapsed="false">
      <c r="F12" s="76" t="n">
        <v>46054</v>
      </c>
      <c r="G12" s="29" t="s">
        <v>235</v>
      </c>
      <c r="H12" s="62" t="str">
        <f aca="false">"FY"&amp;(YEAR(F12)+IF(AND(FYStart&gt;1,MONTH(F12)&gt;=FYStart),1,0))&amp;" Q"&amp;(INT(MOD(MONTH(F12)-FYStart,12)/3)+1)</f>
        <v>FY2026 Q3</v>
      </c>
      <c r="J12" s="70" t="s">
        <v>119</v>
      </c>
    </row>
    <row r="13" customFormat="false" ht="15" hidden="false" customHeight="false" outlineLevel="0" collapsed="false">
      <c r="B13" s="25" t="s">
        <v>244</v>
      </c>
      <c r="F13" s="76" t="n">
        <v>46082</v>
      </c>
      <c r="G13" s="29" t="s">
        <v>235</v>
      </c>
      <c r="H13" s="62" t="str">
        <f aca="false">"FY"&amp;(YEAR(F13)+IF(AND(FYStart&gt;1,MONTH(F13)&gt;=FYStart),1,0))&amp;" Q"&amp;(INT(MOD(MONTH(F13)-FYStart,12)/3)+1)</f>
        <v>FY2026 Q3</v>
      </c>
      <c r="J13" s="70" t="s">
        <v>113</v>
      </c>
    </row>
    <row r="14" customFormat="false" ht="15" hidden="false" customHeight="false" outlineLevel="0" collapsed="false">
      <c r="B14" s="25" t="s">
        <v>46</v>
      </c>
      <c r="F14" s="76" t="n">
        <v>46113</v>
      </c>
      <c r="G14" s="29" t="s">
        <v>235</v>
      </c>
      <c r="H14" s="62" t="str">
        <f aca="false">"FY"&amp;(YEAR(F14)+IF(AND(FYStart&gt;1,MONTH(F14)&gt;=FYStart),1,0))&amp;" Q"&amp;(INT(MOD(MONTH(F14)-FYStart,12)/3)+1)</f>
        <v>FY2026 Q4</v>
      </c>
      <c r="J14" s="70" t="s">
        <v>107</v>
      </c>
    </row>
    <row r="15" customFormat="false" ht="15" hidden="false" customHeight="false" outlineLevel="0" collapsed="false">
      <c r="F15" s="76" t="n">
        <v>46143</v>
      </c>
      <c r="G15" s="29" t="s">
        <v>235</v>
      </c>
      <c r="H15" s="62" t="str">
        <f aca="false">"FY"&amp;(YEAR(F15)+IF(AND(FYStart&gt;1,MONTH(F15)&gt;=FYStart),1,0))&amp;" Q"&amp;(INT(MOD(MONTH(F15)-FYStart,12)/3)+1)</f>
        <v>FY2026 Q4</v>
      </c>
      <c r="J15" s="70" t="s">
        <v>116</v>
      </c>
    </row>
    <row r="16" customFormat="false" ht="15" hidden="false" customHeight="false" outlineLevel="0" collapsed="false">
      <c r="F16" s="76" t="n">
        <v>46174</v>
      </c>
      <c r="G16" s="29" t="s">
        <v>228</v>
      </c>
      <c r="H16" s="62" t="str">
        <f aca="false">"FY"&amp;(YEAR(F16)+IF(AND(FYStart&gt;1,MONTH(F16)&gt;=FYStart),1,0))&amp;" Q"&amp;(INT(MOD(MONTH(F16)-FYStart,12)/3)+1)</f>
        <v>FY2026 Q4</v>
      </c>
      <c r="J16" s="70" t="s">
        <v>138</v>
      </c>
    </row>
    <row r="19" customFormat="false" ht="21.75" hidden="false" customHeight="true" outlineLevel="0" collapsed="false">
      <c r="J19" s="38" t="s">
        <v>245</v>
      </c>
    </row>
    <row r="20" customFormat="false" ht="15" hidden="false" customHeight="false" outlineLevel="0" collapsed="false">
      <c r="J20" s="70" t="s">
        <v>132</v>
      </c>
    </row>
    <row r="21" customFormat="false" ht="15" hidden="false" customHeight="false" outlineLevel="0" collapsed="false">
      <c r="J21" s="70" t="s">
        <v>140</v>
      </c>
    </row>
    <row r="22" customFormat="false" ht="15" hidden="false" customHeight="false" outlineLevel="0" collapsed="false">
      <c r="J22" s="70" t="s">
        <v>105</v>
      </c>
    </row>
    <row r="23" customFormat="false" ht="15" hidden="false" customHeight="false" outlineLevel="0" collapsed="false">
      <c r="J23" s="70" t="s">
        <v>111</v>
      </c>
    </row>
    <row r="24" customFormat="false" ht="15" hidden="false" customHeight="false" outlineLevel="0" collapsed="false">
      <c r="J24" s="70" t="s">
        <v>109</v>
      </c>
    </row>
    <row r="25" customFormat="false" ht="15" hidden="false" customHeight="false" outlineLevel="0" collapsed="false">
      <c r="J25" s="70" t="s">
        <v>124</v>
      </c>
    </row>
    <row r="26" customFormat="false" ht="15" hidden="false" customHeight="false" outlineLevel="0" collapsed="false">
      <c r="J26" s="70" t="s">
        <v>129</v>
      </c>
    </row>
    <row r="27" customFormat="false" ht="15" hidden="false" customHeight="false" outlineLevel="0" collapsed="false">
      <c r="J27" s="70" t="s">
        <v>121</v>
      </c>
    </row>
    <row r="28" customFormat="false" ht="15" hidden="false" customHeight="false" outlineLevel="0" collapsed="false">
      <c r="J28" s="70"/>
    </row>
    <row r="29" customFormat="false" ht="15" hidden="false" customHeight="false" outlineLevel="0" collapsed="false">
      <c r="J29" s="70"/>
    </row>
    <row r="30" customFormat="false" ht="15" hidden="false" customHeight="false" outlineLevel="0" collapsed="false">
      <c r="J30" s="70"/>
    </row>
    <row r="31" customFormat="false" ht="15" hidden="false" customHeight="false" outlineLevel="0" collapsed="false">
      <c r="J31" s="70"/>
    </row>
  </sheetData>
  <sheetProtection sheet="true" formatColumns="false" formatRows="false" sort="false" autoFilter="false"/>
  <printOptions headings="false" gridLines="false" gridLinesSet="true" horizontalCentered="true" verticalCentered="false"/>
  <pageMargins left="0.5" right="0.5" top="0.55" bottom="0.5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2026-10-12T08:22:47Z</dcterms:created>
  <dc:creator>Brad Leake</dc:creator>
  <dc:description/>
  <dc:language>en-US</dc:language>
  <cp:lastModifiedBy>Brad Leake</cp:lastModifiedBy>
  <dcterms:modified xsi:type="dcterms:W3CDTF">2026-10-12T04:22:54Z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