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9.xml.rels" ContentType="application/vnd.openxmlformats-package.relationships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3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CHECKS" sheetId="2" state="visible" r:id="rId4"/>
    <sheet name="TIME LOG" sheetId="3" state="visible" r:id="rId5"/>
    <sheet name="WEEKLY TIMESHEET" sheetId="4" state="visible" r:id="rId6"/>
    <sheet name="INVOICE" sheetId="5" state="visible" r:id="rId7"/>
    <sheet name="MONTHLY SUMMARY" sheetId="6" state="visible" r:id="rId8"/>
    <sheet name="RATES" sheetId="7" state="visible" r:id="rId9"/>
    <sheet name="STAFF" sheetId="8" state="visible" r:id="rId10"/>
    <sheet name="CLIENTS" sheetId="9" state="visible" r:id="rId11"/>
    <sheet name="SETTINGS" sheetId="10" state="visible" r:id="rId12"/>
  </sheets>
  <definedNames>
    <definedName function="false" hidden="false" localSheetId="4" name="_xlnm.Print_Area" vbProcedure="false">INVOICE!$A$1:$G$52</definedName>
    <definedName function="false" hidden="true" localSheetId="2" name="_xlnm._FilterDatabase" vbProcedure="false">'TIME LOG'!$A$4:$O$3004</definedName>
    <definedName function="false" hidden="false" localSheetId="3" name="_xlnm.Print_Area" vbProcedure="false">'WEEKLY TIMESHEET'!$A$1:$L$27</definedName>
    <definedName function="false" hidden="false" name="ClientNames" vbProcedure="false">CLIENTS!$C$5:$C$9</definedName>
    <definedName function="false" hidden="false" name="cl_Attn" vbProcedure="false">CLIENTS!$E$5:$E$14</definedName>
    <definedName function="false" hidden="false" name="cl_Code" vbProcedure="false">CLIENTS!$B$5:$B$14</definedName>
    <definedName function="false" hidden="false" name="cl_Name" vbProcedure="false">CLIENTS!$C$5:$C$14</definedName>
    <definedName function="false" hidden="false" name="cl_PO" vbProcedure="false">CLIENTS!$G$5:$G$14</definedName>
    <definedName function="false" hidden="false" name="cl_Terms" vbProcedure="false">CLIENTS!$F$5:$F$14</definedName>
    <definedName function="false" hidden="false" name="cr_Key" vbProcedure="false">RATES!$K$5:$K$24</definedName>
    <definedName function="false" hidden="false" name="cr_Rate" vbProcedure="false">RATES!$J$5:$J$24</definedName>
    <definedName function="false" hidden="false" name="InvAdj" vbProcedure="false">INVOICE!$J$10</definedName>
    <definedName function="false" hidden="false" name="InvClient" vbProcedure="false">INVOICE!$J$3</definedName>
    <definedName function="false" hidden="false" name="InvCode" vbProcedure="false">INVOICE!$J$5</definedName>
    <definedName function="false" hidden="false" name="InvHours" vbProcedure="false">INVOICE!$D$44</definedName>
    <definedName function="false" hidden="false" name="InvMonth" vbProcedure="false">INVOICE!$J$4</definedName>
    <definedName function="false" hidden="false" name="InvPrefix" vbProcedure="false">SETTINGS!$C$6</definedName>
    <definedName function="false" hidden="false" name="InvSubtotal" vbProcedure="false">INVOICE!$F$44</definedName>
    <definedName function="false" hidden="false" name="inv_Amt" vbProcedure="false">INVOICE!$Q$12:$Q$83</definedName>
    <definedName function="false" hidden="false" name="inv_Code" vbProcedure="false">INVOICE!$O$12:$O$83</definedName>
    <definedName function="false" hidden="false" name="inv_Hours" vbProcedure="false">INVOICE!$P$12:$P$83</definedName>
    <definedName function="false" hidden="false" name="inv_Seq" vbProcedure="false">INVOICE!$R$12:$R$83</definedName>
    <definedName function="false" hidden="false" name="inv_StaffID" vbProcedure="false">INVOICE!$N$12:$N$83</definedName>
    <definedName function="false" hidden="false" name="MaxDayHours" vbProcedure="false">SETTINGS!$C$7</definedName>
    <definedName function="false" hidden="false" name="MonthList" vbProcedure="false">SETTINGS!$F$5:$F$7</definedName>
    <definedName function="false" hidden="false" name="ms_ClientMonth" vbProcedure="false">'MONTHLY SUMMARY'!$D$25:$F$25</definedName>
    <definedName function="false" hidden="false" name="ms_ClientQuarter" vbProcedure="false">'MONTHLY SUMMARY'!$G$25</definedName>
    <definedName function="false" hidden="false" name="ms_TotalHours" vbProcedure="false">'MONTHLY SUMMARY'!$F$15</definedName>
    <definedName function="false" hidden="false" name="PayNote" vbProcedure="false">SETTINGS!$C$9</definedName>
    <definedName function="false" hidden="false" name="PracticeName" vbProcedure="false">SETTINGS!$C$5</definedName>
    <definedName function="false" hidden="false" name="rt_Billable" vbProcedure="false">RATES!$D$5:$D$20</definedName>
    <definedName function="false" hidden="false" name="rt_Code" vbProcedure="false">RATES!$B$5:$B$20</definedName>
    <definedName function="false" hidden="false" name="rt_Name" vbProcedure="false">RATES!$C$5:$C$20</definedName>
    <definedName function="false" hidden="false" name="rt_Rate" vbProcedure="false">RATES!$E$5:$E$20</definedName>
    <definedName function="false" hidden="false" name="StaffNames" vbProcedure="false">STAFF!$C$5:$C$12</definedName>
    <definedName function="false" hidden="false" name="st_ID" vbProcedure="false">STAFF!$B$5:$B$16</definedName>
    <definedName function="false" hidden="false" name="st_Name" vbProcedure="false">STAFF!$C$5:$C$16</definedName>
    <definedName function="false" hidden="false" name="st_Role" vbProcedure="false">STAFF!$D$5:$D$16</definedName>
    <definedName function="false" hidden="false" name="st_Target" vbProcedure="false">STAFF!$G$5:$G$16</definedName>
    <definedName function="false" hidden="false" name="st_Weekly" vbProcedure="false">STAFF!$F$5:$F$16</definedName>
    <definedName function="false" hidden="false" name="SumMonth" vbProcedure="false">'MONTHLY SUMMARY'!$C$4</definedName>
    <definedName function="false" hidden="false" name="tl_Amount" vbProcedure="false">'TIME LOG'!$M$5:$M$3004</definedName>
    <definedName function="false" hidden="false" name="tl_Billable" vbProcedure="false">'TIME LOG'!$K$5:$K$3004</definedName>
    <definedName function="false" hidden="false" name="tl_Client" vbProcedure="false">'TIME LOG'!$C$5:$C$3004</definedName>
    <definedName function="false" hidden="false" name="tl_ClientCode" vbProcedure="false">'TIME LOG'!$J$5:$J$3004</definedName>
    <definedName function="false" hidden="false" name="tl_Code" vbProcedure="false">'TIME LOG'!$D$5:$D$3004</definedName>
    <definedName function="false" hidden="false" name="tl_Date" vbProcedure="false">'TIME LOG'!$A$5:$A$3004</definedName>
    <definedName function="false" hidden="false" name="tl_Flag" vbProcedure="false">'TIME LOG'!$O$5:$O$3004</definedName>
    <definedName function="false" hidden="false" name="tl_Hours" vbProcedure="false">'TIME LOG'!$E$5:$E$3004</definedName>
    <definedName function="false" hidden="false" name="tl_Month" vbProcedure="false">'TIME LOG'!$H$5:$H$3004</definedName>
    <definedName function="false" hidden="false" name="tl_Staff" vbProcedure="false">'TIME LOG'!$B$5:$B$3004</definedName>
    <definedName function="false" hidden="false" name="tl_StaffID" vbProcedure="false">'TIME LOG'!$I$5:$I$3004</definedName>
    <definedName function="false" hidden="false" name="tl_Week" vbProcedure="false">'TIME LOG'!$G$5:$G$3004</definedName>
    <definedName function="false" hidden="false" name="UtilWarn" vbProcedure="false">SETTINGS!$C$8</definedName>
    <definedName function="false" hidden="false" name="WeekList" vbProcedure="false">SETTINGS!$G$5:$G$18</definedName>
    <definedName function="false" hidden="false" name="WT_ID" vbProcedure="false">'WEEKLY TIMESHEET'!$H$4</definedName>
    <definedName function="false" hidden="false" name="WT_Matrix" vbProcedure="false">'WEEKLY TIMESHEET'!$E$33:$P$40</definedName>
    <definedName function="false" hidden="false" name="WT_Staff" vbProcedure="false">'WEEKLY TIMESHEET'!$C$4</definedName>
    <definedName function="false" hidden="false" name="WT_Total" vbProcedure="false">'WEEKLY TIMESHEET'!$K$22</definedName>
    <definedName function="false" hidden="false" name="WT_Week" vbProcedure="false">'WEEKLY TIMESHEET'!$C$5</definedName>
    <definedName function="false" hidden="false" name="YesNo" vbProcedure="false">SETTINGS!$H$5:$H$6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<sst xmlns="http://schemas.openxmlformats.org/spreadsheetml/2006/main" count="4999" uniqueCount="260">
  <si>
    <t xml:space="preserve">Timesheet and billing</t>
  </si>
  <si>
    <t xml:space="preserve">Quillfield Pediatric Therapy uses this workbook for weekly timesheets and monthly client invoices.</t>
  </si>
  <si>
    <t xml:space="preserve">What this workbook does</t>
  </si>
  <si>
    <t xml:space="preserve">Therapists and staff log their time each day by client and service code. The workbook prices billable time from the rates table (using a client's contract rate when there is one), builds a printable weekly timesheet for each person, totals billable and non-billable hours by month, and produces an invoice for any client and month. The CHECKS sheet confirms that the invoice, the monthly summary, and the time log agree.</t>
  </si>
  <si>
    <t xml:space="preserve">Every week</t>
  </si>
  <si>
    <t xml:space="preserve">Log time</t>
  </si>
  <si>
    <t xml:space="preserve">On TIME LOG, add a line for each client and service code worked that day. Leave Client blank for documentation, meetings, travel, training, administration, and time off.</t>
  </si>
  <si>
    <t xml:space="preserve">Watch the Flag column</t>
  </si>
  <si>
    <t xml:space="preserve">A red flag means the line needs attention: billable time without a client, a day over the hour limit, or a missing value.</t>
  </si>
  <si>
    <t xml:space="preserve">Print the timesheet</t>
  </si>
  <si>
    <t xml:space="preserve">On WEEKLY TIMESHEET, pick the person and week, then print the top section for signatures.</t>
  </si>
  <si>
    <t xml:space="preserve">At month end</t>
  </si>
  <si>
    <t xml:space="preserve">Review the summary</t>
  </si>
  <si>
    <t xml:space="preserve">On MONTHLY SUMMARY, pick the month. Billable share below target shows amber or red.</t>
  </si>
  <si>
    <t xml:space="preserve">Clear the checks</t>
  </si>
  <si>
    <t xml:space="preserve">Open CHECKS and resolve any row marked Review.</t>
  </si>
  <si>
    <t xml:space="preserve">Create invoices</t>
  </si>
  <si>
    <t xml:space="preserve">On INVOICE, pick each client and the month, then print or save as PDF. The invoice number is built from the client code and month.</t>
  </si>
  <si>
    <t xml:space="preserve">Colors used in this workbook</t>
  </si>
  <si>
    <t xml:space="preserve">Yellow cell</t>
  </si>
  <si>
    <t xml:space="preserve">You type or pick here. These are the only unlocked cells.</t>
  </si>
  <si>
    <t xml:space="preserve">White cell</t>
  </si>
  <si>
    <t xml:space="preserve">A formula fills this cell, and the cell is locked.</t>
  </si>
  <si>
    <t xml:space="preserve">OK</t>
  </si>
  <si>
    <t xml:space="preserve">Totals tie, or a person is at or above target.</t>
  </si>
  <si>
    <t xml:space="preserve">Review</t>
  </si>
  <si>
    <t xml:space="preserve">Totals do not tie, a line is flagged, or a week has no time.</t>
  </si>
  <si>
    <t xml:space="preserve">Close</t>
  </si>
  <si>
    <t xml:space="preserve">A person is slightly below target, or a week has fewer hours than expected.</t>
  </si>
  <si>
    <t xml:space="preserve">Sheet guide</t>
  </si>
  <si>
    <t xml:space="preserve">CHECKS</t>
  </si>
  <si>
    <t xml:space="preserve">This sheet ties the time log, the monthly summary, and the invoice, and counts exceptions.</t>
  </si>
  <si>
    <t xml:space="preserve">TIME LOG</t>
  </si>
  <si>
    <t xml:space="preserve">Staff enter daily time here. Yellow columns are typed, and the gray columns calculate.</t>
  </si>
  <si>
    <t xml:space="preserve">WEEKLY TIMESHEET</t>
  </si>
  <si>
    <t xml:space="preserve">This sheet prints one person's week and shows a grid of hours by week for everyone.</t>
  </si>
  <si>
    <t xml:space="preserve">INVOICE</t>
  </si>
  <si>
    <t xml:space="preserve">The invoice fills in for the client and month you pick, grouped by provider and service.</t>
  </si>
  <si>
    <t xml:space="preserve">MONTHLY SUMMARY</t>
  </si>
  <si>
    <t xml:space="preserve">This sheet totals hours and billing by person and by client, with two charts.</t>
  </si>
  <si>
    <t xml:space="preserve">RATES</t>
  </si>
  <si>
    <t xml:space="preserve">Service codes, billable flags, standard rates, and client contract rates live here.</t>
  </si>
  <si>
    <t xml:space="preserve">STAFF</t>
  </si>
  <si>
    <t xml:space="preserve">Each person is listed with role, expected hours, and billable target.</t>
  </si>
  <si>
    <t xml:space="preserve">CLIENTS</t>
  </si>
  <si>
    <t xml:space="preserve">Billing clients are listed with invoice attention lines, terms, and PO numbers.</t>
  </si>
  <si>
    <t xml:space="preserve">SETTINGS</t>
  </si>
  <si>
    <t xml:space="preserve">The practice name, invoice prefix, daily hour limit, months, and weeks live here.</t>
  </si>
  <si>
    <t xml:space="preserve">Sheets are protected without a password so formulas are not overwritten by accident. To change a formula, use Review, then Unprotect Sheet.</t>
  </si>
  <si>
    <t xml:space="preserve">Sample data. All names, organizations, and figures are fictional.</t>
  </si>
  <si>
    <t xml:space="preserve">Checks</t>
  </si>
  <si>
    <t xml:space="preserve">#</t>
  </si>
  <si>
    <t xml:space="preserve">Check</t>
  </si>
  <si>
    <t xml:space="preserve">This side</t>
  </si>
  <si>
    <t xml:space="preserve">Other side</t>
  </si>
  <si>
    <t xml:space="preserve">Difference</t>
  </si>
  <si>
    <t xml:space="preserve">Status</t>
  </si>
  <si>
    <t xml:space="preserve">Hours on TIME LOG for the summary month compared with the staff total on MONTHLY SUMMARY</t>
  </si>
  <si>
    <t xml:space="preserve">Billable amount on TIME LOG for the quarter compared with the client billing table on MONTHLY SUMMARY</t>
  </si>
  <si>
    <t xml:space="preserve">Invoice subtotal compared with billable amount on TIME LOG for the same client and month</t>
  </si>
  <si>
    <t xml:space="preserve">Invoice hours compared with billable hours on TIME LOG for the same client and month</t>
  </si>
  <si>
    <t xml:space="preserve">Billable entries with no client (should be zero)</t>
  </si>
  <si>
    <t xml:space="preserve">Entries on a day with more than the daily hour limit (should be zero)</t>
  </si>
  <si>
    <t xml:space="preserve">Full weeks with no time entered for a staff member (should be zero)</t>
  </si>
  <si>
    <t xml:space="preserve">Entries that are incomplete or use a code not on RATES (should be zero)</t>
  </si>
  <si>
    <t xml:space="preserve">Where to look</t>
  </si>
  <si>
    <t xml:space="preserve">A Review on check 2 usually means billable time was entered without a client. Filter the Flag column on TIME LOG to find it.</t>
  </si>
  <si>
    <t xml:space="preserve">A Review on check 6 usually means a typing error in the Hours column, such as 14 instead of 1.4.</t>
  </si>
  <si>
    <t xml:space="preserve">A Review on check 7 means someone has a full week with no time entered. The week grid on WEEKLY TIMESHEET shows who and which week.</t>
  </si>
  <si>
    <t xml:space="preserve">Time log</t>
  </si>
  <si>
    <t xml:space="preserve">Each person enters one line per client and service code for each day worked. Type only in the yellow columns.</t>
  </si>
  <si>
    <t xml:space="preserve">Date</t>
  </si>
  <si>
    <t xml:space="preserve">Staff</t>
  </si>
  <si>
    <t xml:space="preserve">Client</t>
  </si>
  <si>
    <t xml:space="preserve">Service code</t>
  </si>
  <si>
    <t xml:space="preserve">Hours</t>
  </si>
  <si>
    <t xml:space="preserve">Note</t>
  </si>
  <si>
    <t xml:space="preserve">Week ending</t>
  </si>
  <si>
    <t xml:space="preserve">Month</t>
  </si>
  <si>
    <t xml:space="preserve">Staff ID</t>
  </si>
  <si>
    <t xml:space="preserve">Client code</t>
  </si>
  <si>
    <t xml:space="preserve">Billable</t>
  </si>
  <si>
    <t xml:space="preserve">Rate</t>
  </si>
  <si>
    <t xml:space="preserve">Amount</t>
  </si>
  <si>
    <t xml:space="preserve">Day total</t>
  </si>
  <si>
    <t xml:space="preserve">Flag</t>
  </si>
  <si>
    <t xml:space="preserve">Ellen Marquez</t>
  </si>
  <si>
    <t xml:space="preserve">Harlow County Schools</t>
  </si>
  <si>
    <t xml:space="preserve">IND</t>
  </si>
  <si>
    <t xml:space="preserve">CONS</t>
  </si>
  <si>
    <t xml:space="preserve">Bright Start Early Intervention</t>
  </si>
  <si>
    <t xml:space="preserve">TELE</t>
  </si>
  <si>
    <t xml:space="preserve">EVAL</t>
  </si>
  <si>
    <t xml:space="preserve">TRV</t>
  </si>
  <si>
    <t xml:space="preserve">TRN</t>
  </si>
  <si>
    <t xml:space="preserve">In-service</t>
  </si>
  <si>
    <t xml:space="preserve">DOC</t>
  </si>
  <si>
    <t xml:space="preserve">Jordan Fairley</t>
  </si>
  <si>
    <t xml:space="preserve">MTG</t>
  </si>
  <si>
    <t xml:space="preserve">Weekly team meeting</t>
  </si>
  <si>
    <t xml:space="preserve">Naomi Okafor</t>
  </si>
  <si>
    <t xml:space="preserve">Kevin Talbot</t>
  </si>
  <si>
    <t xml:space="preserve">Cedar Lane Head Start</t>
  </si>
  <si>
    <t xml:space="preserve">Rosa Quintero</t>
  </si>
  <si>
    <t xml:space="preserve">GRP</t>
  </si>
  <si>
    <t xml:space="preserve">Grant Holloway</t>
  </si>
  <si>
    <t xml:space="preserve">Tess Ingram</t>
  </si>
  <si>
    <t xml:space="preserve">Mia Corbett</t>
  </si>
  <si>
    <t xml:space="preserve">ADM</t>
  </si>
  <si>
    <t xml:space="preserve">PTO</t>
  </si>
  <si>
    <t xml:space="preserve">Holiday</t>
  </si>
  <si>
    <t xml:space="preserve">Westbury Montessori School</t>
  </si>
  <si>
    <t xml:space="preserve">Pinecrest Academy</t>
  </si>
  <si>
    <t xml:space="preserve">SCRN</t>
  </si>
  <si>
    <t xml:space="preserve">Client left blank</t>
  </si>
  <si>
    <t xml:space="preserve">Weekly timesheet</t>
  </si>
  <si>
    <t xml:space="preserve">Pick a person and a week. The grid fills from TIME LOG and is ready to print for sign-off.</t>
  </si>
  <si>
    <t xml:space="preserve">Code</t>
  </si>
  <si>
    <t xml:space="preserve">Service</t>
  </si>
  <si>
    <t xml:space="preserve">Total</t>
  </si>
  <si>
    <t xml:space="preserve">Billable hours</t>
  </si>
  <si>
    <t xml:space="preserve">Non-billable hours</t>
  </si>
  <si>
    <t xml:space="preserve">Total hours</t>
  </si>
  <si>
    <t xml:space="preserve">Billable share</t>
  </si>
  <si>
    <t xml:space="preserve">Target billable hours</t>
  </si>
  <si>
    <t xml:space="preserve">Compared with target</t>
  </si>
  <si>
    <t xml:space="preserve">Staff signature</t>
  </si>
  <si>
    <t xml:space="preserve">Supervisor approval</t>
  </si>
  <si>
    <t xml:space="preserve">Hours entered by week, all staff</t>
  </si>
  <si>
    <t xml:space="preserve">Red means no time was entered that week. Amber means fewer than 80 percent of expected hours were entered.</t>
  </si>
  <si>
    <t xml:space="preserve">ID</t>
  </si>
  <si>
    <t xml:space="preserve">Name</t>
  </si>
  <si>
    <t xml:space="preserve">Only full weeks inside the quarter are colored. The first and last columns are partial weeks.</t>
  </si>
  <si>
    <t xml:space="preserve">Pediatric speech, occupational, and physical therapy</t>
  </si>
  <si>
    <t xml:space="preserve">Choose client</t>
  </si>
  <si>
    <t xml:space="preserve">Choose month</t>
  </si>
  <si>
    <t xml:space="preserve">Bill to</t>
  </si>
  <si>
    <t xml:space="preserve">Invoice number</t>
  </si>
  <si>
    <t xml:space="preserve">Invoice date</t>
  </si>
  <si>
    <t xml:space="preserve">Service period</t>
  </si>
  <si>
    <t xml:space="preserve">Pick a client and month. The invoice to the left fills itself and prints on one page.</t>
  </si>
  <si>
    <t xml:space="preserve">Due date</t>
  </si>
  <si>
    <t xml:space="preserve">PO or agreement</t>
  </si>
  <si>
    <t xml:space="preserve">Adjustment</t>
  </si>
  <si>
    <t xml:space="preserve">Enter a credit as a negative number. It prints on the invoice above the total.</t>
  </si>
  <si>
    <t xml:space="preserve">n</t>
  </si>
  <si>
    <t xml:space="preserve">Seq</t>
  </si>
  <si>
    <t xml:space="preserve">Provider</t>
  </si>
  <si>
    <t xml:space="preserve">Subtotal</t>
  </si>
  <si>
    <t xml:space="preserve">Total due</t>
  </si>
  <si>
    <t xml:space="preserve">Hours are summarized by provider and service. Session detail is available on request.</t>
  </si>
  <si>
    <t xml:space="preserve">Monthly summary</t>
  </si>
  <si>
    <t xml:space="preserve">Billable and non-billable hours by person, and billing by client, for the month you choose.</t>
  </si>
  <si>
    <t xml:space="preserve">Role</t>
  </si>
  <si>
    <t xml:space="preserve">Target share</t>
  </si>
  <si>
    <t xml:space="preserve">Billed amount</t>
  </si>
  <si>
    <t xml:space="preserve">Billed amount by client and month</t>
  </si>
  <si>
    <t xml:space="preserve">Type</t>
  </si>
  <si>
    <t xml:space="preserve">Quarter</t>
  </si>
  <si>
    <t xml:space="preserve">Billable time entered without a client does not appear in this table until a client is added on TIME LOG.</t>
  </si>
  <si>
    <t xml:space="preserve">Service codes and rates</t>
  </si>
  <si>
    <t xml:space="preserve">Standard hourly rates, plus contract rates that override them for specific clients.</t>
  </si>
  <si>
    <t xml:space="preserve">Standard rate per hour</t>
  </si>
  <si>
    <t xml:space="preserve">Notes</t>
  </si>
  <si>
    <t xml:space="preserve">Contract rate</t>
  </si>
  <si>
    <t xml:space="preserve">Lookup key</t>
  </si>
  <si>
    <t xml:space="preserve">Evaluation and report</t>
  </si>
  <si>
    <t xml:space="preserve">Yes</t>
  </si>
  <si>
    <t xml:space="preserve">Includes scoring and written report.</t>
  </si>
  <si>
    <t xml:space="preserve">HCS</t>
  </si>
  <si>
    <t xml:space="preserve">Individual therapy</t>
  </si>
  <si>
    <t xml:space="preserve">One child, in person.</t>
  </si>
  <si>
    <t xml:space="preserve">Group therapy</t>
  </si>
  <si>
    <t xml:space="preserve">Two to four children.</t>
  </si>
  <si>
    <t xml:space="preserve">Consultation or IEP meeting</t>
  </si>
  <si>
    <t xml:space="preserve">Teacher, family, or team consult.</t>
  </si>
  <si>
    <t xml:space="preserve">Teletherapy session</t>
  </si>
  <si>
    <t xml:space="preserve">Video session.</t>
  </si>
  <si>
    <t xml:space="preserve">BSE</t>
  </si>
  <si>
    <t xml:space="preserve">Screening</t>
  </si>
  <si>
    <t xml:space="preserve">Classroom or developmental screening.</t>
  </si>
  <si>
    <t xml:space="preserve">Documentation</t>
  </si>
  <si>
    <t xml:space="preserve">No</t>
  </si>
  <si>
    <t xml:space="preserve">Notes, plans, and progress reports.</t>
  </si>
  <si>
    <t xml:space="preserve">Team meeting</t>
  </si>
  <si>
    <t xml:space="preserve">Internal staff meetings.</t>
  </si>
  <si>
    <t xml:space="preserve">CLH</t>
  </si>
  <si>
    <t xml:space="preserve">Travel between sites</t>
  </si>
  <si>
    <t xml:space="preserve">Drive time between schools.</t>
  </si>
  <si>
    <t xml:space="preserve">Training</t>
  </si>
  <si>
    <t xml:space="preserve">Continuing education and in-service.</t>
  </si>
  <si>
    <t xml:space="preserve">Administration</t>
  </si>
  <si>
    <t xml:space="preserve">Scheduling, billing, and office work.</t>
  </si>
  <si>
    <t xml:space="preserve">Paid time off</t>
  </si>
  <si>
    <t xml:space="preserve">Vacation, sick, and holidays.</t>
  </si>
  <si>
    <t xml:space="preserve">A contract rate wins when the client and service code match. Every other billable line uses the standard rate.</t>
  </si>
  <si>
    <t xml:space="preserve">Rates shown are fictional and only illustrate the layout.</t>
  </si>
  <si>
    <t xml:space="preserve">Expected hours and billable targets used for utilization.</t>
  </si>
  <si>
    <t xml:space="preserve">Discipline</t>
  </si>
  <si>
    <t xml:space="preserve">Hours per week</t>
  </si>
  <si>
    <t xml:space="preserve">Billable target per week</t>
  </si>
  <si>
    <t xml:space="preserve">QP-01</t>
  </si>
  <si>
    <t xml:space="preserve">Speech-Language Pathologist</t>
  </si>
  <si>
    <t xml:space="preserve">Speech</t>
  </si>
  <si>
    <t xml:space="preserve">QP-02</t>
  </si>
  <si>
    <t xml:space="preserve">QP-03</t>
  </si>
  <si>
    <t xml:space="preserve">QP-04</t>
  </si>
  <si>
    <t xml:space="preserve">Occupational Therapist</t>
  </si>
  <si>
    <t xml:space="preserve">Occupational</t>
  </si>
  <si>
    <t xml:space="preserve">QP-05</t>
  </si>
  <si>
    <t xml:space="preserve">QP-06</t>
  </si>
  <si>
    <t xml:space="preserve">Physical Therapist</t>
  </si>
  <si>
    <t xml:space="preserve">Physical</t>
  </si>
  <si>
    <t xml:space="preserve">QP-07</t>
  </si>
  <si>
    <t xml:space="preserve">Speech-Language Pathology Assistant</t>
  </si>
  <si>
    <t xml:space="preserve">QP-08</t>
  </si>
  <si>
    <t xml:space="preserve">Practice Manager</t>
  </si>
  <si>
    <t xml:space="preserve">Clients</t>
  </si>
  <si>
    <t xml:space="preserve">Organizations the practice invoices each month. Invoices show the attention line and PO number from here.</t>
  </si>
  <si>
    <t xml:space="preserve">Client name</t>
  </si>
  <si>
    <t xml:space="preserve">Invoice attention line</t>
  </si>
  <si>
    <t xml:space="preserve">Terms (days)</t>
  </si>
  <si>
    <t xml:space="preserve">School district</t>
  </si>
  <si>
    <t xml:space="preserve">Accounts Payable, Student Services</t>
  </si>
  <si>
    <t xml:space="preserve">PO 26-0418</t>
  </si>
  <si>
    <t xml:space="preserve">PCA</t>
  </si>
  <si>
    <t xml:space="preserve">Charter school</t>
  </si>
  <si>
    <t xml:space="preserve">Business Office</t>
  </si>
  <si>
    <t xml:space="preserve">PO PCA-2611</t>
  </si>
  <si>
    <t xml:space="preserve">Early intervention program</t>
  </si>
  <si>
    <t xml:space="preserve">Provider Payments</t>
  </si>
  <si>
    <t xml:space="preserve">Agreement EI-0937</t>
  </si>
  <si>
    <t xml:space="preserve">WMS</t>
  </si>
  <si>
    <t xml:space="preserve">Private school</t>
  </si>
  <si>
    <t xml:space="preserve">Head of School</t>
  </si>
  <si>
    <t xml:space="preserve">Head Start program</t>
  </si>
  <si>
    <t xml:space="preserve">Fiscal Office</t>
  </si>
  <si>
    <t xml:space="preserve">PO CL-7702</t>
  </si>
  <si>
    <t xml:space="preserve">Settings</t>
  </si>
  <si>
    <t xml:space="preserve">Values that change from quarter to quarter. Formulas throughout the workbook read from these cells.</t>
  </si>
  <si>
    <t xml:space="preserve">Setting</t>
  </si>
  <si>
    <t xml:space="preserve">Value</t>
  </si>
  <si>
    <t xml:space="preserve">What it controls</t>
  </si>
  <si>
    <t xml:space="preserve">Months</t>
  </si>
  <si>
    <t xml:space="preserve">Week endings</t>
  </si>
  <si>
    <t xml:space="preserve">Yes or no</t>
  </si>
  <si>
    <t xml:space="preserve">Practice name</t>
  </si>
  <si>
    <t xml:space="preserve">Quillfield Pediatric Therapy</t>
  </si>
  <si>
    <t xml:space="preserve">The name appears on invoices and timesheets.</t>
  </si>
  <si>
    <t xml:space="preserve">Invoice number prefix</t>
  </si>
  <si>
    <t xml:space="preserve">QPT</t>
  </si>
  <si>
    <t xml:space="preserve">Invoice numbers combine the prefix, the client code, and the month.</t>
  </si>
  <si>
    <t xml:space="preserve">Hours in a day before a flag</t>
  </si>
  <si>
    <t xml:space="preserve">Any day above this many hours for one person is flagged on TIME LOG.</t>
  </si>
  <si>
    <t xml:space="preserve">Low utilization warning</t>
  </si>
  <si>
    <t xml:space="preserve">A person below this share of their billable target shows amber.</t>
  </si>
  <si>
    <t xml:space="preserve">Payment note on invoices</t>
  </si>
  <si>
    <t xml:space="preserve">Please include the invoice number with your payment.</t>
  </si>
  <si>
    <t xml:space="preserve">This line prints at the bottom of each invoice.</t>
  </si>
  <si>
    <t xml:space="preserve">Weeks end on Saturday. Add a month or week to the lists to extend the workbook into the next quarter.</t>
  </si>
</sst>
</file>

<file path=xl/styles.xml><?xml version="1.0" encoding="utf-8"?>
<styleSheet xmlns="http://schemas.openxmlformats.org/spreadsheetml/2006/main">
  <numFmts count="19">
    <numFmt numFmtId="164" formatCode="General"/>
    <numFmt numFmtId="165" formatCode="#,##0.00"/>
    <numFmt numFmtId="166" formatCode="\$#,##0.00"/>
    <numFmt numFmtId="167" formatCode="#,##0"/>
    <numFmt numFmtId="168" formatCode="m/d/yyyy"/>
    <numFmt numFmtId="169" formatCode="0.00"/>
    <numFmt numFmtId="170" formatCode="mmm\ yyyy"/>
    <numFmt numFmtId="171" formatCode="\$#,##0"/>
    <numFmt numFmtId="172" formatCode="dddd&quot;, &quot;mmm\ d&quot;, &quot;yyyy"/>
    <numFmt numFmtId="173" formatCode="ddd\ m/d"/>
    <numFmt numFmtId="174" formatCode="0.00;\-0.00;\-"/>
    <numFmt numFmtId="175" formatCode="0%"/>
    <numFmt numFmtId="176" formatCode="m/d"/>
    <numFmt numFmtId="177" formatCode="0.0;\-0.0;\0"/>
    <numFmt numFmtId="178" formatCode="mmmm\ yyyy"/>
    <numFmt numFmtId="179" formatCode="mmm\ d&quot;, &quot;yyyy"/>
    <numFmt numFmtId="180" formatCode="\$#,##0.00;&quot;($&quot;#,##0.00\);\-"/>
    <numFmt numFmtId="181" formatCode="0%;\-0%;\-"/>
    <numFmt numFmtId="182" formatCode="0"/>
  </numFmts>
  <fonts count="3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3D2650"/>
      <name val="Calibri"/>
      <family val="0"/>
      <charset val="1"/>
    </font>
    <font>
      <sz val="11"/>
      <color rgb="FF6B7280"/>
      <name val="Calibri"/>
      <family val="0"/>
      <charset val="1"/>
    </font>
    <font>
      <b val="true"/>
      <sz val="12"/>
      <color rgb="FF3D2650"/>
      <name val="Calibri"/>
      <family val="0"/>
      <charset val="1"/>
    </font>
    <font>
      <sz val="11"/>
      <color rgb="FF1F2933"/>
      <name val="Calibri"/>
      <family val="0"/>
      <charset val="1"/>
    </font>
    <font>
      <b val="true"/>
      <sz val="12"/>
      <color rgb="FF3E8A63"/>
      <name val="Calibri"/>
      <family val="0"/>
      <charset val="1"/>
    </font>
    <font>
      <b val="true"/>
      <sz val="11"/>
      <color rgb="FF1F2933"/>
      <name val="Calibri"/>
      <family val="0"/>
      <charset val="1"/>
    </font>
    <font>
      <b val="true"/>
      <sz val="11"/>
      <color rgb="FF1A3E8C"/>
      <name val="Calibri"/>
      <family val="0"/>
      <charset val="1"/>
    </font>
    <font>
      <b val="true"/>
      <sz val="11"/>
      <color rgb="FF1D6B3A"/>
      <name val="Calibri"/>
      <family val="0"/>
      <charset val="1"/>
    </font>
    <font>
      <b val="true"/>
      <sz val="11"/>
      <color rgb="FFA3241A"/>
      <name val="Calibri"/>
      <family val="0"/>
      <charset val="1"/>
    </font>
    <font>
      <b val="true"/>
      <sz val="11"/>
      <color rgb="FF8A4A06"/>
      <name val="Calibri"/>
      <family val="0"/>
      <charset val="1"/>
    </font>
    <font>
      <b val="true"/>
      <sz val="11"/>
      <color rgb="FF5B3A6E"/>
      <name val="Calibri"/>
      <family val="0"/>
      <charset val="1"/>
    </font>
    <font>
      <i val="true"/>
      <sz val="11"/>
      <color rgb="FF6B7280"/>
      <name val="Calibri"/>
      <family val="0"/>
      <charset val="1"/>
    </font>
    <font>
      <b val="true"/>
      <sz val="14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color rgb="FF1A3E8C"/>
      <name val="Calibri"/>
      <family val="0"/>
      <charset val="1"/>
    </font>
    <font>
      <sz val="11"/>
      <color rgb="FFFFFFFF"/>
      <name val="Calibri"/>
      <family val="0"/>
      <charset val="1"/>
    </font>
    <font>
      <sz val="10"/>
      <color rgb="FF6B7280"/>
      <name val="Calibri"/>
      <family val="0"/>
      <charset val="1"/>
    </font>
    <font>
      <b val="true"/>
      <sz val="16"/>
      <color rgb="FF3D2650"/>
      <name val="Calibri"/>
      <family val="0"/>
      <charset val="1"/>
    </font>
    <font>
      <b val="true"/>
      <sz val="12"/>
      <name val="Calibri"/>
      <family val="0"/>
      <charset val="1"/>
    </font>
    <font>
      <b val="true"/>
      <sz val="20"/>
      <color rgb="FF5B3A6E"/>
      <name val="Calibri"/>
      <family val="0"/>
      <charset val="1"/>
    </font>
    <font>
      <b val="true"/>
      <sz val="20"/>
      <color rgb="FF3D2650"/>
      <name val="Calibri"/>
      <family val="0"/>
      <charset val="1"/>
    </font>
    <font>
      <b val="true"/>
      <sz val="13"/>
      <color rgb="FF1F2933"/>
      <name val="Calibri"/>
      <family val="0"/>
      <charset val="1"/>
    </font>
    <font>
      <sz val="10"/>
      <color rgb="FF1F2933"/>
      <name val="Calibri"/>
      <family val="0"/>
      <charset val="1"/>
    </font>
    <font>
      <i val="true"/>
      <sz val="11"/>
      <color rgb="FFA3241A"/>
      <name val="Calibri"/>
      <family val="0"/>
      <charset val="1"/>
    </font>
    <font>
      <b val="true"/>
      <sz val="13"/>
      <color rgb="FF3D2650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12"/>
      <color rgb="FF222222"/>
      <name val="Calibri"/>
      <family val="2"/>
    </font>
    <font>
      <sz val="10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4CC"/>
        <bgColor rgb="FFFDE6CC"/>
      </patternFill>
    </fill>
    <fill>
      <patternFill patternType="solid">
        <fgColor rgb="FFFFFFFF"/>
        <bgColor rgb="FFF2EDF5"/>
      </patternFill>
    </fill>
    <fill>
      <patternFill patternType="solid">
        <fgColor rgb="FFDDF2E3"/>
        <bgColor rgb="FFE6E9EE"/>
      </patternFill>
    </fill>
    <fill>
      <patternFill patternType="solid">
        <fgColor rgb="FFFBE1DE"/>
        <bgColor rgb="FFFDE6CC"/>
      </patternFill>
    </fill>
    <fill>
      <patternFill patternType="solid">
        <fgColor rgb="FFFDE6CC"/>
        <bgColor rgb="FFFBE1DE"/>
      </patternFill>
    </fill>
    <fill>
      <patternFill patternType="solid">
        <fgColor rgb="FF3D2650"/>
        <bgColor rgb="FF1F2933"/>
      </patternFill>
    </fill>
    <fill>
      <patternFill patternType="solid">
        <fgColor rgb="FF5B3A6E"/>
        <bgColor rgb="FF5E3487"/>
      </patternFill>
    </fill>
    <fill>
      <patternFill patternType="solid">
        <fgColor rgb="FF6B6470"/>
        <bgColor rgb="FF6B7280"/>
      </patternFill>
    </fill>
    <fill>
      <patternFill patternType="solid">
        <fgColor rgb="FFF2EDF5"/>
        <bgColor rgb="FFE6E9EE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>
        <color rgb="FFD9DDE3"/>
      </left>
      <right style="thin">
        <color rgb="FFD9DDE3"/>
      </right>
      <top style="thin">
        <color rgb="FFD9DDE3"/>
      </top>
      <bottom style="thin">
        <color rgb="FFD9DDE3"/>
      </bottom>
      <diagonal/>
    </border>
    <border diagonalUp="false" diagonalDown="false">
      <left/>
      <right/>
      <top/>
      <bottom style="thin">
        <color rgb="FFE6E9EE"/>
      </bottom>
      <diagonal/>
    </border>
    <border diagonalUp="false" diagonalDown="false">
      <left/>
      <right/>
      <top/>
      <bottom style="thin">
        <color rgb="FF3D2650"/>
      </bottom>
      <diagonal/>
    </border>
    <border diagonalUp="false" diagonalDown="false">
      <left/>
      <right/>
      <top/>
      <bottom style="thin">
        <color rgb="FF5B3A6E"/>
      </bottom>
      <diagonal/>
    </border>
    <border diagonalUp="false" diagonalDown="false">
      <left/>
      <right/>
      <top/>
      <bottom style="thin">
        <color rgb="FF6B6470"/>
      </bottom>
      <diagonal/>
    </border>
    <border diagonalUp="false" diagonalDown="false">
      <left/>
      <right style="thin">
        <color rgb="FFFFFFFF"/>
      </right>
      <top/>
      <bottom style="thin">
        <color rgb="FFE8D9A0"/>
      </bottom>
      <diagonal/>
    </border>
    <border diagonalUp="false" diagonalDown="false">
      <left/>
      <right/>
      <top style="thin">
        <color rgb="FF5B3A6E"/>
      </top>
      <bottom style="thin">
        <color rgb="FF5B3A6E"/>
      </bottom>
      <diagonal/>
    </border>
    <border diagonalUp="false" diagonalDown="false">
      <left/>
      <right/>
      <top/>
      <bottom style="thin">
        <color rgb="FF9AA1A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7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7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7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7" fillId="8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9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8" fillId="2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8" fillId="2" borderId="6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8" fillId="2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18" fillId="2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7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7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2" borderId="6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8" fillId="2" borderId="6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73" fontId="17" fillId="8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4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10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4" fontId="9" fillId="1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2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5" fontId="2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6" fontId="17" fillId="8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7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8" fontId="18" fillId="2" borderId="6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5" fillId="0" borderId="0" xfId="0" applyFont="true" applyBorder="false" applyAlignment="true" applyProtection="false">
      <alignment horizontal="right" vertical="bottom" textRotation="0" wrapText="false" indent="1" shrinkToFit="false"/>
      <protection locked="true" hidden="false"/>
    </xf>
    <xf numFmtId="164" fontId="9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9" fontId="9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80" fontId="18" fillId="2" borderId="6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7" fillId="8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7" fillId="8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26" fillId="0" borderId="2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9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8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10" borderId="7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28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5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81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9" fillId="1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9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7" fillId="8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9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8" fillId="2" borderId="6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82" fontId="18" fillId="2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70" fontId="18" fillId="2" borderId="6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8" fontId="18" fillId="2" borderId="6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82" fontId="18" fillId="2" borderId="6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75" fontId="18" fillId="2" borderId="6" xfId="0" applyFont="true" applyBorder="true" applyAlignment="true" applyProtection="true">
      <alignment horizontal="left" vertical="center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0">
    <dxf>
      <font>
        <b val="1"/>
        <color rgb="FF1D6B3A"/>
      </font>
      <fill>
        <patternFill>
          <bgColor rgb="FFDDF2E3"/>
        </patternFill>
      </fill>
    </dxf>
    <dxf>
      <font>
        <b val="1"/>
        <color rgb="FFA3241A"/>
      </font>
      <fill>
        <patternFill>
          <bgColor rgb="FFFBE1DE"/>
        </patternFill>
      </fill>
    </dxf>
    <dxf>
      <fill>
        <patternFill patternType="solid">
          <fgColor rgb="FF5B3A6E"/>
          <bgColor rgb="FF000000"/>
        </patternFill>
      </fill>
    </dxf>
    <dxf>
      <fill>
        <patternFill patternType="solid">
          <fgColor rgb="FFFFF4CC"/>
          <bgColor rgb="FF000000"/>
        </patternFill>
      </fill>
    </dxf>
    <dxf>
      <fill>
        <patternFill patternType="solid">
          <fgColor rgb="FF1A3E8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6B647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F2933"/>
          <bgColor rgb="FF000000"/>
        </patternFill>
      </fill>
    </dxf>
    <dxf>
      <fill>
        <patternFill patternType="solid">
          <fgColor rgb="FF8B8F96"/>
          <bgColor rgb="FF000000"/>
        </patternFill>
      </fill>
    </dxf>
    <dxf>
      <fill>
        <patternFill patternType="solid">
          <fgColor rgb="FFA3241A"/>
          <bgColor rgb="FF000000"/>
        </patternFill>
      </fill>
    </dxf>
    <dxf>
      <fill>
        <patternFill patternType="solid">
          <fgColor rgb="FFFBE1DE"/>
          <bgColor rgb="FF000000"/>
        </patternFill>
      </fill>
    </dxf>
    <dxf>
      <font>
        <b val="1"/>
        <color rgb="FFA3241A"/>
      </font>
    </dxf>
    <dxf>
      <font>
        <color rgb="FF8B8F96"/>
      </font>
    </dxf>
    <dxf>
      <font>
        <color rgb="FF1D6B3A"/>
      </font>
    </dxf>
    <dxf>
      <font>
        <color rgb="FF8A4A06"/>
      </font>
    </dxf>
    <dxf>
      <font>
        <color rgb="FFA3241A"/>
      </font>
    </dxf>
    <dxf>
      <font>
        <color rgb="FF8A4A06"/>
      </font>
      <fill>
        <patternFill>
          <bgColor rgb="FFFDE6CC"/>
        </patternFill>
      </fill>
    </dxf>
    <dxf>
      <font>
        <color rgb="FF1D6B3A"/>
      </font>
      <fill>
        <patternFill>
          <bgColor rgb="FFDDF2E3"/>
        </patternFill>
      </fill>
    </dxf>
    <dxf>
      <fill>
        <patternFill patternType="solid">
          <fgColor rgb="FF6B728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2EDF5"/>
      <rgbColor rgb="FFFF00FF"/>
      <rgbColor rgb="FF00FFFF"/>
      <rgbColor rgb="FF800000"/>
      <rgbColor rgb="FF1D6B3A"/>
      <rgbColor rgb="FF000080"/>
      <rgbColor rgb="FF8A4A06"/>
      <rgbColor rgb="FF800080"/>
      <rgbColor rgb="FF3E8A63"/>
      <rgbColor rgb="FFC9B3E0"/>
      <rgbColor rgb="FF878787"/>
      <rgbColor rgb="FF9AA1A9"/>
      <rgbColor rgb="FF5E3487"/>
      <rgbColor rgb="FFFFF4CC"/>
      <rgbColor rgb="FFE6E9EE"/>
      <rgbColor rgb="FF660066"/>
      <rgbColor rgb="FFFF8080"/>
      <rgbColor rgb="FF0066CC"/>
      <rgbColor rgb="FFD9DDE3"/>
      <rgbColor rgb="FF000080"/>
      <rgbColor rgb="FFFF00FF"/>
      <rgbColor rgb="FFFFFF00"/>
      <rgbColor rgb="FF00FFFF"/>
      <rgbColor rgb="FF800080"/>
      <rgbColor rgb="FF800000"/>
      <rgbColor rgb="FF6B6470"/>
      <rgbColor rgb="FF0000FF"/>
      <rgbColor rgb="FF00CCFF"/>
      <rgbColor rgb="FFE3E5E8"/>
      <rgbColor rgb="FFDDF2E3"/>
      <rgbColor rgb="FFFDE6CC"/>
      <rgbColor rgb="FFD9D9D9"/>
      <rgbColor rgb="FFFBE1DE"/>
      <rgbColor rgb="FF9B72C4"/>
      <rgbColor rgb="FFE8D9A0"/>
      <rgbColor rgb="FF7B4FA8"/>
      <rgbColor rgb="FF33CCCC"/>
      <rgbColor rgb="FF99CC00"/>
      <rgbColor rgb="FFFFCC00"/>
      <rgbColor rgb="FFFF9900"/>
      <rgbColor rgb="FFFF6600"/>
      <rgbColor rgb="FF6B7280"/>
      <rgbColor rgb="FF8B8F96"/>
      <rgbColor rgb="FF3D2650"/>
      <rgbColor rgb="FF3E9E6E"/>
      <rgbColor rgb="FF003300"/>
      <rgbColor rgb="FF222222"/>
      <rgbColor rgb="FFA3241A"/>
      <rgbColor rgb="FF5B3A6E"/>
      <rgbColor rgb="FF1A3E8C"/>
      <rgbColor rgb="FF1F29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200" spc="-1" strike="noStrike">
                <a:solidFill>
                  <a:srgbClr val="222222"/>
                </a:solidFill>
                <a:latin typeface="Calibri"/>
              </a:defRPr>
            </a:pPr>
            <a:r>
              <a:rPr b="1" sz="1200" spc="-1" strike="noStrike">
                <a:solidFill>
                  <a:srgbClr val="222222"/>
                </a:solidFill>
                <a:latin typeface="Calibri"/>
              </a:rPr>
              <a:t>Hours by person for the selected month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stacked"/>
        <c:varyColors val="0"/>
        <c:ser>
          <c:idx val="0"/>
          <c:order val="0"/>
          <c:tx>
            <c:strRef>
              <c:f>'MONTHLY SUMMARY'!D6</c:f>
              <c:strCache>
                <c:ptCount val="1"/>
                <c:pt idx="0">
                  <c:v>Billable hours</c:v>
                </c:pt>
              </c:strCache>
            </c:strRef>
          </c:tx>
          <c:spPr>
            <a:solidFill>
              <a:srgbClr val="7b4fa8"/>
            </a:solidFill>
            <a:ln w="0">
              <a:solidFill>
                <a:srgbClr val="7b4fa8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'MONTHLY SUMMARY'!$B$7:$B$14</c:f>
              <c:strCache>
                <c:ptCount val="8"/>
                <c:pt idx="0">
                  <c:v>Ellen Marquez</c:v>
                </c:pt>
                <c:pt idx="1">
                  <c:v>Jordan Fairley</c:v>
                </c:pt>
                <c:pt idx="2">
                  <c:v>Naomi Okafor</c:v>
                </c:pt>
                <c:pt idx="3">
                  <c:v>Kevin Talbot</c:v>
                </c:pt>
                <c:pt idx="4">
                  <c:v>Rosa Quintero</c:v>
                </c:pt>
                <c:pt idx="5">
                  <c:v>Grant Holloway</c:v>
                </c:pt>
                <c:pt idx="6">
                  <c:v>Tess Ingram</c:v>
                </c:pt>
                <c:pt idx="7">
                  <c:v>Mia Corbett</c:v>
                </c:pt>
              </c:strCache>
            </c:strRef>
          </c:cat>
          <c:val>
            <c:numRef>
              <c:f>'MONTHLY SUMMARY'!$D$7:$D$14</c:f>
              <c:numCache>
                <c:formatCode>#,##0.00</c:formatCode>
                <c:ptCount val="8"/>
                <c:pt idx="0">
                  <c:v>118.25</c:v>
                </c:pt>
                <c:pt idx="1">
                  <c:v>123.5</c:v>
                </c:pt>
                <c:pt idx="2">
                  <c:v>72.25</c:v>
                </c:pt>
                <c:pt idx="3">
                  <c:v>119.25</c:v>
                </c:pt>
                <c:pt idx="4">
                  <c:v>112.75</c:v>
                </c:pt>
                <c:pt idx="5">
                  <c:v>111.5</c:v>
                </c:pt>
                <c:pt idx="6">
                  <c:v>124.25</c:v>
                </c:pt>
                <c:pt idx="7">
                  <c:v>0</c:v>
                </c:pt>
              </c:numCache>
            </c:numRef>
          </c:val>
        </c:ser>
        <c:ser>
          <c:idx val="1"/>
          <c:order val="1"/>
          <c:tx>
            <c:strRef>
              <c:f>'MONTHLY SUMMARY'!E6</c:f>
              <c:strCache>
                <c:ptCount val="1"/>
                <c:pt idx="0">
                  <c:v>Non-billable hours</c:v>
                </c:pt>
              </c:strCache>
            </c:strRef>
          </c:tx>
          <c:spPr>
            <a:solidFill>
              <a:srgbClr val="3e9e6e"/>
            </a:solidFill>
            <a:ln w="0">
              <a:solidFill>
                <a:srgbClr val="3e9e6e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'MONTHLY SUMMARY'!$B$7:$B$14</c:f>
              <c:strCache>
                <c:ptCount val="8"/>
                <c:pt idx="0">
                  <c:v>Ellen Marquez</c:v>
                </c:pt>
                <c:pt idx="1">
                  <c:v>Jordan Fairley</c:v>
                </c:pt>
                <c:pt idx="2">
                  <c:v>Naomi Okafor</c:v>
                </c:pt>
                <c:pt idx="3">
                  <c:v>Kevin Talbot</c:v>
                </c:pt>
                <c:pt idx="4">
                  <c:v>Rosa Quintero</c:v>
                </c:pt>
                <c:pt idx="5">
                  <c:v>Grant Holloway</c:v>
                </c:pt>
                <c:pt idx="6">
                  <c:v>Tess Ingram</c:v>
                </c:pt>
                <c:pt idx="7">
                  <c:v>Mia Corbett</c:v>
                </c:pt>
              </c:strCache>
            </c:strRef>
          </c:cat>
          <c:val>
            <c:numRef>
              <c:f>'MONTHLY SUMMARY'!$E$7:$E$14</c:f>
              <c:numCache>
                <c:formatCode>#,##0.00</c:formatCode>
                <c:ptCount val="8"/>
                <c:pt idx="0">
                  <c:v>58.25</c:v>
                </c:pt>
                <c:pt idx="1">
                  <c:v>52.5</c:v>
                </c:pt>
                <c:pt idx="2">
                  <c:v>39.75</c:v>
                </c:pt>
                <c:pt idx="3">
                  <c:v>57.5</c:v>
                </c:pt>
                <c:pt idx="4">
                  <c:v>63.25</c:v>
                </c:pt>
                <c:pt idx="5">
                  <c:v>64.5</c:v>
                </c:pt>
                <c:pt idx="6">
                  <c:v>64.5</c:v>
                </c:pt>
                <c:pt idx="7">
                  <c:v>176</c:v>
                </c:pt>
              </c:numCache>
            </c:numRef>
          </c:val>
        </c:ser>
        <c:gapWidth val="60"/>
        <c:overlap val="100"/>
        <c:axId val="94716049"/>
        <c:axId val="62879679"/>
      </c:barChart>
      <c:catAx>
        <c:axId val="9471604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2879679"/>
        <c:crosses val="autoZero"/>
        <c:auto val="1"/>
        <c:lblAlgn val="ctr"/>
        <c:lblOffset val="100"/>
        <c:noMultiLvlLbl val="0"/>
      </c:catAx>
      <c:valAx>
        <c:axId val="62879679"/>
        <c:scaling>
          <c:orientation val="minMax"/>
        </c:scaling>
        <c:delete val="0"/>
        <c:axPos val="l"/>
        <c:majorGridlines>
          <c:spPr>
            <a:ln w="9360">
              <a:solidFill>
                <a:srgbClr val="e3e5e8"/>
              </a:solidFill>
              <a:round/>
            </a:ln>
          </c:spPr>
        </c:majorGridlines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4716049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200" spc="-1" strike="noStrike">
                <a:solidFill>
                  <a:srgbClr val="222222"/>
                </a:solidFill>
                <a:latin typeface="Calibri"/>
              </a:defRPr>
            </a:pPr>
            <a:r>
              <a:rPr b="1" sz="1200" spc="-1" strike="noStrike">
                <a:solidFill>
                  <a:srgbClr val="222222"/>
                </a:solidFill>
                <a:latin typeface="Calibri"/>
              </a:rPr>
              <a:t>Billed amount by client and month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'MONTHLY SUMMARY'!D19</c:f>
              <c:strCache>
                <c:ptCount val="1"/>
                <c:pt idx="0">
                  <c:v>Jul 2026</c:v>
                </c:pt>
              </c:strCache>
            </c:strRef>
          </c:tx>
          <c:spPr>
            <a:solidFill>
              <a:srgbClr val="c9b3e0"/>
            </a:solidFill>
            <a:ln w="0">
              <a:solidFill>
                <a:srgbClr val="c9b3e0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'MONTHLY SUMMARY'!$B$20:$B$24</c:f>
              <c:strCache>
                <c:ptCount val="5"/>
                <c:pt idx="0">
                  <c:v>Harlow County Schools</c:v>
                </c:pt>
                <c:pt idx="1">
                  <c:v>Pinecrest Academy</c:v>
                </c:pt>
                <c:pt idx="2">
                  <c:v>Bright Start Early Intervention</c:v>
                </c:pt>
                <c:pt idx="3">
                  <c:v>Westbury Montessori School</c:v>
                </c:pt>
                <c:pt idx="4">
                  <c:v>Cedar Lane Head Start</c:v>
                </c:pt>
              </c:strCache>
            </c:strRef>
          </c:cat>
          <c:val>
            <c:numRef>
              <c:f>'MONTHLY SUMMARY'!$D$20:$D$24</c:f>
              <c:numCache>
                <c:formatCode>\$#,##0</c:formatCode>
                <c:ptCount val="5"/>
                <c:pt idx="0">
                  <c:v>7093</c:v>
                </c:pt>
                <c:pt idx="1">
                  <c:v>1548.75</c:v>
                </c:pt>
                <c:pt idx="2">
                  <c:v>33269.5</c:v>
                </c:pt>
                <c:pt idx="3">
                  <c:v>1201.25</c:v>
                </c:pt>
                <c:pt idx="4">
                  <c:v>13991.25</c:v>
                </c:pt>
              </c:numCache>
            </c:numRef>
          </c:val>
        </c:ser>
        <c:ser>
          <c:idx val="1"/>
          <c:order val="1"/>
          <c:tx>
            <c:strRef>
              <c:f>'MONTHLY SUMMARY'!E19</c:f>
              <c:strCache>
                <c:ptCount val="1"/>
                <c:pt idx="0">
                  <c:v>Aug 2026</c:v>
                </c:pt>
              </c:strCache>
            </c:strRef>
          </c:tx>
          <c:spPr>
            <a:solidFill>
              <a:srgbClr val="9b72c4"/>
            </a:solidFill>
            <a:ln w="0">
              <a:solidFill>
                <a:srgbClr val="9b72c4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'MONTHLY SUMMARY'!$B$20:$B$24</c:f>
              <c:strCache>
                <c:ptCount val="5"/>
                <c:pt idx="0">
                  <c:v>Harlow County Schools</c:v>
                </c:pt>
                <c:pt idx="1">
                  <c:v>Pinecrest Academy</c:v>
                </c:pt>
                <c:pt idx="2">
                  <c:v>Bright Start Early Intervention</c:v>
                </c:pt>
                <c:pt idx="3">
                  <c:v>Westbury Montessori School</c:v>
                </c:pt>
                <c:pt idx="4">
                  <c:v>Cedar Lane Head Start</c:v>
                </c:pt>
              </c:strCache>
            </c:strRef>
          </c:cat>
          <c:val>
            <c:numRef>
              <c:f>'MONTHLY SUMMARY'!$E$20:$E$24</c:f>
              <c:numCache>
                <c:formatCode>\$#,##0</c:formatCode>
                <c:ptCount val="5"/>
                <c:pt idx="0">
                  <c:v>19783</c:v>
                </c:pt>
                <c:pt idx="1">
                  <c:v>9222.5</c:v>
                </c:pt>
                <c:pt idx="2">
                  <c:v>22569</c:v>
                </c:pt>
                <c:pt idx="3">
                  <c:v>4503.75</c:v>
                </c:pt>
                <c:pt idx="4">
                  <c:v>10318.75</c:v>
                </c:pt>
              </c:numCache>
            </c:numRef>
          </c:val>
        </c:ser>
        <c:ser>
          <c:idx val="2"/>
          <c:order val="2"/>
          <c:tx>
            <c:strRef>
              <c:f>'MONTHLY SUMMARY'!F19</c:f>
              <c:strCache>
                <c:ptCount val="1"/>
                <c:pt idx="0">
                  <c:v>Sep 2026</c:v>
                </c:pt>
              </c:strCache>
            </c:strRef>
          </c:tx>
          <c:spPr>
            <a:solidFill>
              <a:srgbClr val="5e3487"/>
            </a:solidFill>
            <a:ln w="0">
              <a:solidFill>
                <a:srgbClr val="5e3487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'MONTHLY SUMMARY'!$B$20:$B$24</c:f>
              <c:strCache>
                <c:ptCount val="5"/>
                <c:pt idx="0">
                  <c:v>Harlow County Schools</c:v>
                </c:pt>
                <c:pt idx="1">
                  <c:v>Pinecrest Academy</c:v>
                </c:pt>
                <c:pt idx="2">
                  <c:v>Bright Start Early Intervention</c:v>
                </c:pt>
                <c:pt idx="3">
                  <c:v>Westbury Montessori School</c:v>
                </c:pt>
                <c:pt idx="4">
                  <c:v>Cedar Lane Head Start</c:v>
                </c:pt>
              </c:strCache>
            </c:strRef>
          </c:cat>
          <c:val>
            <c:numRef>
              <c:f>'MONTHLY SUMMARY'!$F$20:$F$24</c:f>
              <c:numCache>
                <c:formatCode>\$#,##0</c:formatCode>
                <c:ptCount val="5"/>
                <c:pt idx="0">
                  <c:v>18307.5</c:v>
                </c:pt>
                <c:pt idx="1">
                  <c:v>11688.75</c:v>
                </c:pt>
                <c:pt idx="2">
                  <c:v>23395.75</c:v>
                </c:pt>
                <c:pt idx="3">
                  <c:v>9058.75</c:v>
                </c:pt>
                <c:pt idx="4">
                  <c:v>10065</c:v>
                </c:pt>
              </c:numCache>
            </c:numRef>
          </c:val>
        </c:ser>
        <c:gapWidth val="80"/>
        <c:overlap val="0"/>
        <c:axId val="81461000"/>
        <c:axId val="76188581"/>
      </c:barChart>
      <c:catAx>
        <c:axId val="81461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6188581"/>
        <c:crosses val="autoZero"/>
        <c:auto val="1"/>
        <c:lblAlgn val="ctr"/>
        <c:lblOffset val="100"/>
        <c:noMultiLvlLbl val="0"/>
      </c:catAx>
      <c:valAx>
        <c:axId val="76188581"/>
        <c:scaling>
          <c:orientation val="minMax"/>
        </c:scaling>
        <c:delete val="0"/>
        <c:axPos val="l"/>
        <c:majorGridlines>
          <c:spPr>
            <a:ln w="9360">
              <a:solidFill>
                <a:srgbClr val="e3e5e8"/>
              </a:solidFill>
              <a:round/>
            </a:ln>
          </c:spPr>
        </c:majorGridlines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1461000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5</xdr:row>
      <xdr:rowOff>0</xdr:rowOff>
    </xdr:from>
    <xdr:to>
      <xdr:col>19</xdr:col>
      <xdr:colOff>75960</xdr:colOff>
      <xdr:row>16</xdr:row>
      <xdr:rowOff>126000</xdr:rowOff>
    </xdr:to>
    <xdr:graphicFrame>
      <xdr:nvGraphicFramePr>
        <xdr:cNvPr id="0" name="Chart 1"/>
        <xdr:cNvGraphicFramePr/>
      </xdr:nvGraphicFramePr>
      <xdr:xfrm>
        <a:off x="9163080" y="1285920"/>
        <a:ext cx="5579640" cy="2735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0</xdr:colOff>
      <xdr:row>18</xdr:row>
      <xdr:rowOff>0</xdr:rowOff>
    </xdr:from>
    <xdr:to>
      <xdr:col>19</xdr:col>
      <xdr:colOff>75960</xdr:colOff>
      <xdr:row>30</xdr:row>
      <xdr:rowOff>126000</xdr:rowOff>
    </xdr:to>
    <xdr:graphicFrame>
      <xdr:nvGraphicFramePr>
        <xdr:cNvPr id="1" name="Chart 2"/>
        <xdr:cNvGraphicFramePr/>
      </xdr:nvGraphicFramePr>
      <xdr:xfrm>
        <a:off x="9163080" y="4276800"/>
        <a:ext cx="5579640" cy="2735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blClients" displayName="tblClients" ref="B4:G14" headerRowCount="1" totalsRowCount="0" totalsRowShown="0">
  <autoFilter ref="B4:G14"/>
  <tableColumns count="6">
    <tableColumn id="1" name="Code"/>
    <tableColumn id="2" name="Client name"/>
    <tableColumn id="3" name="Type"/>
    <tableColumn id="4" name="Invoice attention line"/>
    <tableColumn id="5" name="Terms (days)"/>
    <tableColumn id="6" name="PO or agreement"/>
  </tableColumns>
</table>
</file>

<file path=xl/tables/table2.xml><?xml version="1.0" encoding="utf-8"?>
<table xmlns="http://schemas.openxmlformats.org/spreadsheetml/2006/main" id="2" name="tblContractRates" displayName="tblContractRates" ref="H4:K24" headerRowCount="1" totalsRowCount="0" totalsRowShown="0">
  <autoFilter ref="H4:K24"/>
  <tableColumns count="4">
    <tableColumn id="1" name="Client code"/>
    <tableColumn id="2" name="Service code"/>
    <tableColumn id="3" name="Contract rate"/>
    <tableColumn id="4" name="Lookup key"/>
  </tableColumns>
</table>
</file>

<file path=xl/tables/table3.xml><?xml version="1.0" encoding="utf-8"?>
<table xmlns="http://schemas.openxmlformats.org/spreadsheetml/2006/main" id="3" name="tblRates" displayName="tblRates" ref="B4:F20" headerRowCount="1" totalsRowCount="0" totalsRowShown="0">
  <autoFilter ref="B4:F20"/>
  <tableColumns count="5">
    <tableColumn id="1" name="Code"/>
    <tableColumn id="2" name="Service"/>
    <tableColumn id="3" name="Billable"/>
    <tableColumn id="4" name="Standard rate per hour"/>
    <tableColumn id="5" name="Notes"/>
  </tableColumns>
</table>
</file>

<file path=xl/tables/table4.xml><?xml version="1.0" encoding="utf-8"?>
<table xmlns="http://schemas.openxmlformats.org/spreadsheetml/2006/main" id="4" name="tblStaff" displayName="tblStaff" ref="B4:H16" headerRowCount="1" totalsRowCount="0" totalsRowShown="0">
  <autoFilter ref="B4:H16"/>
  <tableColumns count="7">
    <tableColumn id="1" name="Staff ID"/>
    <tableColumn id="2" name="Name"/>
    <tableColumn id="3" name="Role"/>
    <tableColumn id="4" name="Discipline"/>
    <tableColumn id="5" name="Hours per week"/>
    <tableColumn id="6" name="Billable target per week"/>
    <tableColumn id="7" name="Target share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table" Target="../tables/table2.xml"/><Relationship Id="rId2" Type="http://schemas.openxmlformats.org/officeDocument/2006/relationships/table" Target="../tables/table3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table" Target="../tables/table4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D2650"/>
    <pageSetUpPr fitToPage="true"/>
  </sheetPr>
  <dimension ref="B1:D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"/>
    <col collapsed="false" customWidth="true" hidden="false" outlineLevel="0" max="3" min="3" style="0" width="26"/>
    <col collapsed="false" customWidth="true" hidden="false" outlineLevel="0" max="4" min="4" style="0" width="86"/>
  </cols>
  <sheetData>
    <row r="1" customFormat="false" ht="33.75" hidden="false" customHeight="tru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4" customFormat="false" ht="15" hidden="false" customHeight="false" outlineLevel="0" collapsed="false">
      <c r="B4" s="3" t="s">
        <v>2</v>
      </c>
    </row>
    <row r="5" customFormat="false" ht="66" hidden="false" customHeight="true" outlineLevel="0" collapsed="false">
      <c r="B5" s="4" t="s">
        <v>3</v>
      </c>
      <c r="C5" s="4"/>
      <c r="D5" s="4"/>
    </row>
    <row r="7" customFormat="false" ht="15" hidden="false" customHeight="false" outlineLevel="0" collapsed="false">
      <c r="B7" s="3" t="s">
        <v>4</v>
      </c>
    </row>
    <row r="8" customFormat="false" ht="31.5" hidden="false" customHeight="true" outlineLevel="0" collapsed="false">
      <c r="B8" s="5" t="n">
        <v>1</v>
      </c>
      <c r="C8" s="6" t="s">
        <v>5</v>
      </c>
      <c r="D8" s="7" t="s">
        <v>6</v>
      </c>
    </row>
    <row r="9" customFormat="false" ht="31.5" hidden="false" customHeight="true" outlineLevel="0" collapsed="false">
      <c r="B9" s="5" t="n">
        <v>2</v>
      </c>
      <c r="C9" s="6" t="s">
        <v>7</v>
      </c>
      <c r="D9" s="7" t="s">
        <v>8</v>
      </c>
    </row>
    <row r="10" customFormat="false" ht="31.5" hidden="false" customHeight="true" outlineLevel="0" collapsed="false">
      <c r="B10" s="5" t="n">
        <v>3</v>
      </c>
      <c r="C10" s="6" t="s">
        <v>9</v>
      </c>
      <c r="D10" s="7" t="s">
        <v>10</v>
      </c>
    </row>
    <row r="12" customFormat="false" ht="15" hidden="false" customHeight="false" outlineLevel="0" collapsed="false">
      <c r="B12" s="3" t="s">
        <v>11</v>
      </c>
    </row>
    <row r="13" customFormat="false" ht="31.5" hidden="false" customHeight="true" outlineLevel="0" collapsed="false">
      <c r="B13" s="5" t="n">
        <v>1</v>
      </c>
      <c r="C13" s="6" t="s">
        <v>12</v>
      </c>
      <c r="D13" s="7" t="s">
        <v>13</v>
      </c>
    </row>
    <row r="14" customFormat="false" ht="31.5" hidden="false" customHeight="true" outlineLevel="0" collapsed="false">
      <c r="B14" s="5" t="n">
        <v>2</v>
      </c>
      <c r="C14" s="6" t="s">
        <v>14</v>
      </c>
      <c r="D14" s="7" t="s">
        <v>15</v>
      </c>
    </row>
    <row r="15" customFormat="false" ht="31.5" hidden="false" customHeight="true" outlineLevel="0" collapsed="false">
      <c r="B15" s="5" t="n">
        <v>3</v>
      </c>
      <c r="C15" s="6" t="s">
        <v>16</v>
      </c>
      <c r="D15" s="7" t="s">
        <v>17</v>
      </c>
    </row>
    <row r="17" customFormat="false" ht="15" hidden="false" customHeight="false" outlineLevel="0" collapsed="false">
      <c r="B17" s="3" t="s">
        <v>18</v>
      </c>
    </row>
    <row r="18" customFormat="false" ht="19.5" hidden="false" customHeight="true" outlineLevel="0" collapsed="false">
      <c r="C18" s="8" t="s">
        <v>19</v>
      </c>
      <c r="D18" s="9" t="s">
        <v>20</v>
      </c>
    </row>
    <row r="19" customFormat="false" ht="19.5" hidden="false" customHeight="true" outlineLevel="0" collapsed="false">
      <c r="C19" s="10" t="s">
        <v>21</v>
      </c>
      <c r="D19" s="9" t="s">
        <v>22</v>
      </c>
    </row>
    <row r="20" customFormat="false" ht="19.5" hidden="false" customHeight="true" outlineLevel="0" collapsed="false">
      <c r="C20" s="11" t="s">
        <v>23</v>
      </c>
      <c r="D20" s="9" t="s">
        <v>24</v>
      </c>
    </row>
    <row r="21" customFormat="false" ht="19.5" hidden="false" customHeight="true" outlineLevel="0" collapsed="false">
      <c r="C21" s="12" t="s">
        <v>25</v>
      </c>
      <c r="D21" s="9" t="s">
        <v>26</v>
      </c>
    </row>
    <row r="22" customFormat="false" ht="19.5" hidden="false" customHeight="true" outlineLevel="0" collapsed="false">
      <c r="C22" s="13" t="s">
        <v>27</v>
      </c>
      <c r="D22" s="9" t="s">
        <v>28</v>
      </c>
    </row>
    <row r="24" customFormat="false" ht="15" hidden="false" customHeight="false" outlineLevel="0" collapsed="false">
      <c r="B24" s="3" t="s">
        <v>29</v>
      </c>
    </row>
    <row r="25" customFormat="false" ht="18.75" hidden="false" customHeight="true" outlineLevel="0" collapsed="false">
      <c r="C25" s="14" t="s">
        <v>30</v>
      </c>
      <c r="D25" s="15" t="s">
        <v>31</v>
      </c>
    </row>
    <row r="26" customFormat="false" ht="18.75" hidden="false" customHeight="true" outlineLevel="0" collapsed="false">
      <c r="C26" s="14" t="s">
        <v>32</v>
      </c>
      <c r="D26" s="15" t="s">
        <v>33</v>
      </c>
    </row>
    <row r="27" customFormat="false" ht="18.75" hidden="false" customHeight="true" outlineLevel="0" collapsed="false">
      <c r="C27" s="14" t="s">
        <v>34</v>
      </c>
      <c r="D27" s="15" t="s">
        <v>35</v>
      </c>
    </row>
    <row r="28" customFormat="false" ht="18.75" hidden="false" customHeight="true" outlineLevel="0" collapsed="false">
      <c r="C28" s="14" t="s">
        <v>36</v>
      </c>
      <c r="D28" s="15" t="s">
        <v>37</v>
      </c>
    </row>
    <row r="29" customFormat="false" ht="18.75" hidden="false" customHeight="true" outlineLevel="0" collapsed="false">
      <c r="C29" s="14" t="s">
        <v>38</v>
      </c>
      <c r="D29" s="15" t="s">
        <v>39</v>
      </c>
    </row>
    <row r="30" customFormat="false" ht="18.75" hidden="false" customHeight="true" outlineLevel="0" collapsed="false">
      <c r="C30" s="14" t="s">
        <v>40</v>
      </c>
      <c r="D30" s="15" t="s">
        <v>41</v>
      </c>
    </row>
    <row r="31" customFormat="false" ht="18.75" hidden="false" customHeight="true" outlineLevel="0" collapsed="false">
      <c r="C31" s="14" t="s">
        <v>42</v>
      </c>
      <c r="D31" s="15" t="s">
        <v>43</v>
      </c>
    </row>
    <row r="32" customFormat="false" ht="18.75" hidden="false" customHeight="true" outlineLevel="0" collapsed="false">
      <c r="C32" s="14" t="s">
        <v>44</v>
      </c>
      <c r="D32" s="15" t="s">
        <v>45</v>
      </c>
    </row>
    <row r="33" customFormat="false" ht="18.75" hidden="false" customHeight="true" outlineLevel="0" collapsed="false">
      <c r="C33" s="14" t="s">
        <v>46</v>
      </c>
      <c r="D33" s="15" t="s">
        <v>47</v>
      </c>
    </row>
    <row r="35" customFormat="false" ht="31.5" hidden="false" customHeight="true" outlineLevel="0" collapsed="false">
      <c r="B35" s="16" t="s">
        <v>48</v>
      </c>
      <c r="C35" s="16"/>
      <c r="D35" s="16"/>
    </row>
    <row r="36" customFormat="false" ht="15" hidden="false" customHeight="false" outlineLevel="0" collapsed="false">
      <c r="B36" s="17" t="s">
        <v>49</v>
      </c>
    </row>
  </sheetData>
  <sheetProtection sheet="true" formatColumns="false" formatRows="false" sort="false" autoFilter="false"/>
  <mergeCells count="2">
    <mergeCell ref="B5:D5"/>
    <mergeCell ref="B35:D35"/>
  </mergeCells>
  <printOptions headings="false" gridLines="false" gridLinesSet="true" horizontalCentered="true" verticalCentered="false"/>
  <pageMargins left="0.5" right="0.5" top="0.55" bottom="0.5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7A4D"/>
    <pageSetUpPr fitToPage="true"/>
  </sheetPr>
  <dimension ref="B1:G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62"/>
    <col collapsed="false" customWidth="true" hidden="false" outlineLevel="0" max="5" min="4" style="0" width="15"/>
    <col collapsed="false" customWidth="true" hidden="false" outlineLevel="0" max="6" min="6" style="0" width="13"/>
    <col collapsed="false" customWidth="true" hidden="false" outlineLevel="0" max="7" min="7" style="0" width="12"/>
  </cols>
  <sheetData>
    <row r="1" customFormat="false" ht="33.75" hidden="false" customHeight="true" outlineLevel="0" collapsed="false">
      <c r="B1" s="1" t="s">
        <v>50</v>
      </c>
    </row>
    <row r="2" customFormat="false" ht="15" hidden="false" customHeight="false" outlineLevel="0" collapsed="false">
      <c r="B2" s="2" t="str">
        <f aca="false">"Totals tie when the status is OK. Invoice checks use "&amp;InvClient&amp;" for "&amp;TEXT(InvMonth,"mmmm yyyy")&amp;"."</f>
        <v>Totals tie when the status is OK. Invoice checks use Harlow County Schools for September 2026.</v>
      </c>
    </row>
    <row r="4" customFormat="false" ht="36" hidden="false" customHeight="true" outlineLevel="0" collapsed="false">
      <c r="B4" s="18" t="str">
        <f aca="false">IF(COUNTIF(G7:G20,"Review")=0,"All checks pass. Timesheets and invoices agree.",COUNTIF(G7:G20,"Review")&amp;IF(COUNTIF(G7:G20,"Review")=1," check needs"," checks need")&amp;" review before invoices go out.")</f>
        <v>4 checks need review before invoices go out.</v>
      </c>
      <c r="C4" s="18"/>
      <c r="D4" s="18"/>
      <c r="E4" s="18"/>
      <c r="F4" s="18"/>
      <c r="G4" s="18"/>
    </row>
    <row r="6" customFormat="false" ht="24" hidden="false" customHeight="true" outlineLevel="0" collapsed="false">
      <c r="B6" s="19" t="s">
        <v>51</v>
      </c>
      <c r="C6" s="20" t="s">
        <v>52</v>
      </c>
      <c r="D6" s="19" t="s">
        <v>53</v>
      </c>
      <c r="E6" s="19" t="s">
        <v>54</v>
      </c>
      <c r="F6" s="19" t="s">
        <v>55</v>
      </c>
      <c r="G6" s="19" t="s">
        <v>56</v>
      </c>
    </row>
    <row r="7" customFormat="false" ht="31.5" hidden="false" customHeight="true" outlineLevel="0" collapsed="false">
      <c r="B7" s="21" t="n">
        <v>1</v>
      </c>
      <c r="C7" s="22" t="s">
        <v>57</v>
      </c>
      <c r="D7" s="23" t="n">
        <f aca="false">SUMIFS(tl_Hours,tl_Month,SumMonth)</f>
        <v>1358</v>
      </c>
      <c r="E7" s="23" t="n">
        <f aca="false">ms_TotalHours</f>
        <v>1358</v>
      </c>
      <c r="F7" s="23" t="n">
        <f aca="false">ROUND(D7-E7,2)</f>
        <v>0</v>
      </c>
      <c r="G7" s="24" t="str">
        <f aca="false">IF(F7=0,"OK","Review")</f>
        <v>OK</v>
      </c>
    </row>
    <row r="8" customFormat="false" ht="31.5" hidden="false" customHeight="true" outlineLevel="0" collapsed="false">
      <c r="B8" s="21" t="n">
        <v>2</v>
      </c>
      <c r="C8" s="22" t="s">
        <v>58</v>
      </c>
      <c r="D8" s="25" t="n">
        <f aca="false">SUMIFS(tl_Amount,tl_Month,"&gt;="&amp;INDEX(MonthList,1),tl_Month,"&lt;="&amp;INDEX(MonthList,3))</f>
        <v>196401.5</v>
      </c>
      <c r="E8" s="25" t="n">
        <f aca="false">ms_ClientQuarter</f>
        <v>196016.5</v>
      </c>
      <c r="F8" s="25" t="n">
        <f aca="false">ROUND(D8-E8,2)</f>
        <v>385</v>
      </c>
      <c r="G8" s="24" t="str">
        <f aca="false">IF(F8=0,"OK","Review")</f>
        <v>Review</v>
      </c>
    </row>
    <row r="9" customFormat="false" ht="31.5" hidden="false" customHeight="true" outlineLevel="0" collapsed="false">
      <c r="B9" s="21" t="n">
        <v>3</v>
      </c>
      <c r="C9" s="22" t="s">
        <v>59</v>
      </c>
      <c r="D9" s="25" t="n">
        <f aca="false">InvSubtotal</f>
        <v>18307.5</v>
      </c>
      <c r="E9" s="25" t="n">
        <f aca="false">SUMIFS(tl_Amount,tl_ClientCode,InvCode,tl_Month,InvMonth)</f>
        <v>18307.5</v>
      </c>
      <c r="F9" s="25" t="n">
        <f aca="false">ROUND(D9-E9,2)</f>
        <v>0</v>
      </c>
      <c r="G9" s="24" t="str">
        <f aca="false">IF(F9=0,"OK","Review")</f>
        <v>OK</v>
      </c>
    </row>
    <row r="10" customFormat="false" ht="31.5" hidden="false" customHeight="true" outlineLevel="0" collapsed="false">
      <c r="B10" s="21" t="n">
        <v>4</v>
      </c>
      <c r="C10" s="22" t="s">
        <v>60</v>
      </c>
      <c r="D10" s="23" t="n">
        <f aca="false">InvHours</f>
        <v>226.5</v>
      </c>
      <c r="E10" s="23" t="n">
        <f aca="false">SUMIFS(tl_Hours,tl_ClientCode,InvCode,tl_Month,InvMonth,tl_Billable,"Yes")</f>
        <v>226.5</v>
      </c>
      <c r="F10" s="23" t="n">
        <f aca="false">ROUND(D10-E10,2)</f>
        <v>0</v>
      </c>
      <c r="G10" s="24" t="str">
        <f aca="false">IF(F10=0,"OK","Review")</f>
        <v>OK</v>
      </c>
    </row>
    <row r="11" customFormat="false" ht="31.5" hidden="false" customHeight="true" outlineLevel="0" collapsed="false">
      <c r="B11" s="21" t="n">
        <v>5</v>
      </c>
      <c r="C11" s="22" t="s">
        <v>61</v>
      </c>
      <c r="D11" s="26" t="n">
        <f aca="false">COUNTIF(tl_Flag,"Billable, needs client")</f>
        <v>1</v>
      </c>
      <c r="E11" s="26" t="n">
        <f aca="false">0</f>
        <v>0</v>
      </c>
      <c r="F11" s="26" t="n">
        <f aca="false">ROUND(D11-E11,2)</f>
        <v>1</v>
      </c>
      <c r="G11" s="24" t="str">
        <f aca="false">IF(F11=0,"OK","Review")</f>
        <v>Review</v>
      </c>
    </row>
    <row r="12" customFormat="false" ht="31.5" hidden="false" customHeight="true" outlineLevel="0" collapsed="false">
      <c r="B12" s="21" t="n">
        <v>6</v>
      </c>
      <c r="C12" s="22" t="s">
        <v>62</v>
      </c>
      <c r="D12" s="26" t="n">
        <f aca="false">COUNTIF(tl_Flag,"Over*")</f>
        <v>3</v>
      </c>
      <c r="E12" s="26" t="n">
        <f aca="false">0</f>
        <v>0</v>
      </c>
      <c r="F12" s="26" t="n">
        <f aca="false">ROUND(D12-E12,2)</f>
        <v>3</v>
      </c>
      <c r="G12" s="24" t="str">
        <f aca="false">IF(F12=0,"OK","Review")</f>
        <v>Review</v>
      </c>
    </row>
    <row r="13" customFormat="false" ht="31.5" hidden="false" customHeight="true" outlineLevel="0" collapsed="false">
      <c r="B13" s="21" t="n">
        <v>7</v>
      </c>
      <c r="C13" s="22" t="s">
        <v>63</v>
      </c>
      <c r="D13" s="26" t="n">
        <f aca="false">COUNTIF(WT_Matrix,0)</f>
        <v>1</v>
      </c>
      <c r="E13" s="26" t="n">
        <f aca="false">0</f>
        <v>0</v>
      </c>
      <c r="F13" s="26" t="n">
        <f aca="false">ROUND(D13-E13,2)</f>
        <v>1</v>
      </c>
      <c r="G13" s="24" t="str">
        <f aca="false">IF(F13=0,"OK","Review")</f>
        <v>Review</v>
      </c>
    </row>
    <row r="14" customFormat="false" ht="31.5" hidden="false" customHeight="true" outlineLevel="0" collapsed="false">
      <c r="B14" s="21" t="n">
        <v>8</v>
      </c>
      <c r="C14" s="22" t="s">
        <v>64</v>
      </c>
      <c r="D14" s="26" t="n">
        <f aca="false">COUNTIF(tl_Flag,"Incomplete")+COUNTIF(tl_Flag,"Unknown code")</f>
        <v>0</v>
      </c>
      <c r="E14" s="26" t="n">
        <f aca="false">0</f>
        <v>0</v>
      </c>
      <c r="F14" s="26" t="n">
        <f aca="false">ROUND(D14-E14,2)</f>
        <v>0</v>
      </c>
      <c r="G14" s="24" t="str">
        <f aca="false">IF(F14=0,"OK","Review")</f>
        <v>OK</v>
      </c>
    </row>
    <row r="16" customFormat="false" ht="15" hidden="false" customHeight="false" outlineLevel="0" collapsed="false">
      <c r="B16" s="3" t="s">
        <v>65</v>
      </c>
    </row>
    <row r="17" customFormat="false" ht="19.5" hidden="false" customHeight="true" outlineLevel="0" collapsed="false">
      <c r="B17" s="4" t="s">
        <v>66</v>
      </c>
      <c r="C17" s="4"/>
      <c r="D17" s="4"/>
      <c r="E17" s="4"/>
      <c r="F17" s="4"/>
      <c r="G17" s="4"/>
    </row>
    <row r="18" customFormat="false" ht="19.5" hidden="false" customHeight="true" outlineLevel="0" collapsed="false">
      <c r="B18" s="4" t="s">
        <v>67</v>
      </c>
      <c r="C18" s="4"/>
      <c r="D18" s="4"/>
      <c r="E18" s="4"/>
      <c r="F18" s="4"/>
      <c r="G18" s="4"/>
    </row>
    <row r="19" customFormat="false" ht="19.5" hidden="false" customHeight="true" outlineLevel="0" collapsed="false">
      <c r="B19" s="4" t="s">
        <v>68</v>
      </c>
      <c r="C19" s="4"/>
      <c r="D19" s="4"/>
      <c r="E19" s="4"/>
      <c r="F19" s="4"/>
      <c r="G19" s="4"/>
    </row>
    <row r="21" customFormat="false" ht="15" hidden="false" customHeight="false" outlineLevel="0" collapsed="false">
      <c r="B21" s="27" t="s">
        <v>49</v>
      </c>
    </row>
  </sheetData>
  <sheetProtection sheet="true" formatColumns="false" formatRows="false" sort="false" autoFilter="false"/>
  <mergeCells count="4">
    <mergeCell ref="B4:G4"/>
    <mergeCell ref="B17:G17"/>
    <mergeCell ref="B18:G18"/>
    <mergeCell ref="B19:G19"/>
  </mergeCells>
  <conditionalFormatting sqref="B4:G4">
    <cfRule type="expression" priority="2" aboveAverage="0" equalAverage="0" bottom="0" percent="0" rank="0" text="" dxfId="0">
      <formula>COUNTIF($G$7:$G$20,"Review")=0</formula>
    </cfRule>
    <cfRule type="expression" priority="3" aboveAverage="0" equalAverage="0" bottom="0" percent="0" rank="0" text="" dxfId="1">
      <formula>COUNTIF($G$7:$G$20,"Review")&gt;0</formula>
    </cfRule>
  </conditionalFormatting>
  <conditionalFormatting sqref="G7:G14">
    <cfRule type="expression" priority="4" aboveAverage="0" equalAverage="0" bottom="0" percent="0" rank="0" text="" dxfId="0">
      <formula>$G7="OK"</formula>
    </cfRule>
    <cfRule type="expression" priority="5" aboveAverage="0" equalAverage="0" bottom="0" percent="0" rank="0" text="" dxfId="1">
      <formula>AND($G7&lt;&gt;"",$G7&lt;&gt;"OK")</formula>
    </cfRule>
  </conditionalFormatting>
  <printOptions headings="false" gridLines="false" gridLinesSet="true" horizontalCentered="true" verticalCentered="false"/>
  <pageMargins left="0.5" right="0.5" top="0.55" bottom="0.5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8A2E"/>
    <pageSetUpPr fitToPage="true"/>
  </sheetPr>
  <dimension ref="A1:O30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7"/>
    <col collapsed="false" customWidth="true" hidden="false" outlineLevel="0" max="3" min="3" style="0" width="29"/>
    <col collapsed="false" customWidth="true" hidden="false" outlineLevel="0" max="4" min="4" style="0" width="9"/>
    <col collapsed="false" customWidth="true" hidden="false" outlineLevel="0" max="5" min="5" style="0" width="8"/>
    <col collapsed="false" customWidth="true" hidden="false" outlineLevel="0" max="6" min="6" style="0" width="22"/>
    <col collapsed="false" customWidth="true" hidden="false" outlineLevel="0" max="7" min="7" style="0" width="11"/>
    <col collapsed="false" customWidth="true" hidden="false" outlineLevel="0" max="8" min="8" style="0" width="10"/>
    <col collapsed="false" customWidth="true" hidden="false" outlineLevel="0" max="9" min="9" style="0" width="9"/>
    <col collapsed="false" customWidth="true" hidden="false" outlineLevel="0" max="10" min="10" style="0" width="8"/>
    <col collapsed="false" customWidth="true" hidden="false" outlineLevel="0" max="11" min="11" style="0" width="9"/>
    <col collapsed="false" customWidth="true" hidden="false" outlineLevel="0" max="12" min="12" style="0" width="10"/>
    <col collapsed="false" customWidth="true" hidden="false" outlineLevel="0" max="13" min="13" style="0" width="11"/>
    <col collapsed="false" customWidth="true" hidden="false" outlineLevel="0" max="14" min="14" style="0" width="9"/>
    <col collapsed="false" customWidth="true" hidden="false" outlineLevel="0" max="15" min="15" style="0" width="22"/>
  </cols>
  <sheetData>
    <row r="1" customFormat="false" ht="33.75" hidden="false" customHeight="true" outlineLevel="0" collapsed="false">
      <c r="A1" s="1" t="s">
        <v>69</v>
      </c>
    </row>
    <row r="2" customFormat="false" ht="18" hidden="false" customHeight="true" outlineLevel="0" collapsed="false">
      <c r="A2" s="28" t="s">
        <v>70</v>
      </c>
    </row>
    <row r="4" customFormat="false" ht="31.5" hidden="false" customHeight="true" outlineLevel="0" collapsed="false">
      <c r="A4" s="29" t="s">
        <v>71</v>
      </c>
      <c r="B4" s="29" t="s">
        <v>72</v>
      </c>
      <c r="C4" s="29" t="s">
        <v>73</v>
      </c>
      <c r="D4" s="29" t="s">
        <v>74</v>
      </c>
      <c r="E4" s="29" t="s">
        <v>75</v>
      </c>
      <c r="F4" s="29" t="s">
        <v>76</v>
      </c>
      <c r="G4" s="30" t="s">
        <v>77</v>
      </c>
      <c r="H4" s="30" t="s">
        <v>78</v>
      </c>
      <c r="I4" s="30" t="s">
        <v>79</v>
      </c>
      <c r="J4" s="30" t="s">
        <v>80</v>
      </c>
      <c r="K4" s="30" t="s">
        <v>81</v>
      </c>
      <c r="L4" s="30" t="s">
        <v>82</v>
      </c>
      <c r="M4" s="30" t="s">
        <v>83</v>
      </c>
      <c r="N4" s="30" t="s">
        <v>84</v>
      </c>
      <c r="O4" s="30" t="s">
        <v>85</v>
      </c>
    </row>
    <row r="5" customFormat="false" ht="15" hidden="false" customHeight="false" outlineLevel="0" collapsed="false">
      <c r="A5" s="31" t="n">
        <v>46204</v>
      </c>
      <c r="B5" s="32" t="s">
        <v>86</v>
      </c>
      <c r="C5" s="32" t="s">
        <v>87</v>
      </c>
      <c r="D5" s="33" t="s">
        <v>88</v>
      </c>
      <c r="E5" s="34" t="n">
        <v>1.25</v>
      </c>
      <c r="F5" s="32"/>
      <c r="G5" s="35" t="n">
        <f aca="false">IF(A5="","",A5+7-WEEKDAY(A5))</f>
        <v>46207</v>
      </c>
      <c r="H5" s="36" t="n">
        <f aca="false">IF(A5="","",DATE(YEAR(A5),MONTH(A5),1))</f>
        <v>46204</v>
      </c>
      <c r="I5" s="37" t="str">
        <f aca="false">IF(B5="","",IFERROR(INDEX(st_ID,MATCH(B5,st_Name,0)),"Unknown"))</f>
        <v>QP-01</v>
      </c>
      <c r="J5" s="37" t="str">
        <f aca="false">IF(C5="","",IFERROR(INDEX(cl_Code,MATCH(C5,cl_Name,0)),"Unknown"))</f>
        <v>HCS</v>
      </c>
      <c r="K5" s="37" t="str">
        <f aca="false">IF(D5="","",IFERROR(INDEX(rt_Billable,MATCH(D5,rt_Code,0)),"Unknown"))</f>
        <v>Yes</v>
      </c>
      <c r="L5" s="38" t="n">
        <f aca="false">IF(K5&lt;&gt;"Yes","",IFERROR(INDEX(cr_Rate,MATCH(J5&amp;"|"&amp;D5,cr_Key,0)),INDEX(rt_Rate,MATCH(D5,rt_Code,0))))</f>
        <v>98</v>
      </c>
      <c r="M5" s="25" t="n">
        <f aca="false">IF(L5="","",ROUND(N(E5)*L5,2))</f>
        <v>122.5</v>
      </c>
      <c r="N5" s="39" t="n">
        <f aca="false">IF(OR(A5="",B5=""),"",SUMIFS(tl_Hours,tl_StaffID,I5,tl_Date,A5))</f>
        <v>8</v>
      </c>
      <c r="O5" s="40" t="str">
        <f aca="false">IF(A5&amp;B5&amp;D5="","",IF(OR(A5="",B5="",D5="",E5=""),"Incomplete",IF(K5="Unknown","Unknown code",IF(AND(K5="Yes",C5=""),"Billable, needs client",IF(N5&gt;MaxDayHours,"Over "&amp;MaxDayHours&amp;" hours that day","")))))</f>
        <v/>
      </c>
    </row>
    <row r="6" customFormat="false" ht="15" hidden="false" customHeight="false" outlineLevel="0" collapsed="false">
      <c r="A6" s="31" t="n">
        <v>46204</v>
      </c>
      <c r="B6" s="32" t="s">
        <v>86</v>
      </c>
      <c r="C6" s="32" t="s">
        <v>87</v>
      </c>
      <c r="D6" s="33" t="s">
        <v>89</v>
      </c>
      <c r="E6" s="34" t="n">
        <v>0.75</v>
      </c>
      <c r="F6" s="32"/>
      <c r="G6" s="35" t="n">
        <f aca="false">IF(A6="","",A6+7-WEEKDAY(A6))</f>
        <v>46207</v>
      </c>
      <c r="H6" s="36" t="n">
        <f aca="false">IF(A6="","",DATE(YEAR(A6),MONTH(A6),1))</f>
        <v>46204</v>
      </c>
      <c r="I6" s="37" t="str">
        <f aca="false">IF(B6="","",IFERROR(INDEX(st_ID,MATCH(B6,st_Name,0)),"Unknown"))</f>
        <v>QP-01</v>
      </c>
      <c r="J6" s="37" t="str">
        <f aca="false">IF(C6="","",IFERROR(INDEX(cl_Code,MATCH(C6,cl_Name,0)),"Unknown"))</f>
        <v>HCS</v>
      </c>
      <c r="K6" s="37" t="str">
        <f aca="false">IF(D6="","",IFERROR(INDEX(rt_Billable,MATCH(D6,rt_Code,0)),"Unknown"))</f>
        <v>Yes</v>
      </c>
      <c r="L6" s="38" t="n">
        <f aca="false">IF(K6&lt;&gt;"Yes","",IFERROR(INDEX(cr_Rate,MATCH(J6&amp;"|"&amp;D6,cr_Key,0)),INDEX(rt_Rate,MATCH(D6,rt_Code,0))))</f>
        <v>88</v>
      </c>
      <c r="M6" s="25" t="n">
        <f aca="false">IF(L6="","",ROUND(N(E6)*L6,2))</f>
        <v>66</v>
      </c>
      <c r="N6" s="39" t="n">
        <f aca="false">IF(OR(A6="",B6=""),"",SUMIFS(tl_Hours,tl_StaffID,I6,tl_Date,A6))</f>
        <v>8</v>
      </c>
      <c r="O6" s="40" t="str">
        <f aca="false">IF(A6&amp;B6&amp;D6="","",IF(OR(A6="",B6="",D6="",E6=""),"Incomplete",IF(K6="Unknown","Unknown code",IF(AND(K6="Yes",C6=""),"Billable, needs client",IF(N6&gt;MaxDayHours,"Over "&amp;MaxDayHours&amp;" hours that day","")))))</f>
        <v/>
      </c>
    </row>
    <row r="7" customFormat="false" ht="15" hidden="false" customHeight="false" outlineLevel="0" collapsed="false">
      <c r="A7" s="31" t="n">
        <v>46204</v>
      </c>
      <c r="B7" s="32" t="s">
        <v>86</v>
      </c>
      <c r="C7" s="32" t="s">
        <v>90</v>
      </c>
      <c r="D7" s="33" t="s">
        <v>91</v>
      </c>
      <c r="E7" s="34" t="n">
        <v>1.5</v>
      </c>
      <c r="F7" s="32"/>
      <c r="G7" s="35" t="n">
        <f aca="false">IF(A7="","",A7+7-WEEKDAY(A7))</f>
        <v>46207</v>
      </c>
      <c r="H7" s="36" t="n">
        <f aca="false">IF(A7="","",DATE(YEAR(A7),MONTH(A7),1))</f>
        <v>46204</v>
      </c>
      <c r="I7" s="37" t="str">
        <f aca="false">IF(B7="","",IFERROR(INDEX(st_ID,MATCH(B7,st_Name,0)),"Unknown"))</f>
        <v>QP-01</v>
      </c>
      <c r="J7" s="37" t="str">
        <f aca="false">IF(C7="","",IFERROR(INDEX(cl_Code,MATCH(C7,cl_Name,0)),"Unknown"))</f>
        <v>BSE</v>
      </c>
      <c r="K7" s="37" t="str">
        <f aca="false">IF(D7="","",IFERROR(INDEX(rt_Billable,MATCH(D7,rt_Code,0)),"Unknown"))</f>
        <v>Yes</v>
      </c>
      <c r="L7" s="38" t="n">
        <f aca="false">IF(K7&lt;&gt;"Yes","",IFERROR(INDEX(cr_Rate,MATCH(J7&amp;"|"&amp;D7,cr_Key,0)),INDEX(rt_Rate,MATCH(D7,rt_Code,0))))</f>
        <v>100</v>
      </c>
      <c r="M7" s="25" t="n">
        <f aca="false">IF(L7="","",ROUND(N(E7)*L7,2))</f>
        <v>150</v>
      </c>
      <c r="N7" s="39" t="n">
        <f aca="false">IF(OR(A7="",B7=""),"",SUMIFS(tl_Hours,tl_StaffID,I7,tl_Date,A7))</f>
        <v>8</v>
      </c>
      <c r="O7" s="40" t="str">
        <f aca="false">IF(A7&amp;B7&amp;D7="","",IF(OR(A7="",B7="",D7="",E7=""),"Incomplete",IF(K7="Unknown","Unknown code",IF(AND(K7="Yes",C7=""),"Billable, needs client",IF(N7&gt;MaxDayHours,"Over "&amp;MaxDayHours&amp;" hours that day","")))))</f>
        <v/>
      </c>
    </row>
    <row r="8" customFormat="false" ht="15" hidden="false" customHeight="false" outlineLevel="0" collapsed="false">
      <c r="A8" s="31" t="n">
        <v>46204</v>
      </c>
      <c r="B8" s="32" t="s">
        <v>86</v>
      </c>
      <c r="C8" s="32" t="s">
        <v>90</v>
      </c>
      <c r="D8" s="33" t="s">
        <v>92</v>
      </c>
      <c r="E8" s="34" t="n">
        <v>0.5</v>
      </c>
      <c r="F8" s="32"/>
      <c r="G8" s="35" t="n">
        <f aca="false">IF(A8="","",A8+7-WEEKDAY(A8))</f>
        <v>46207</v>
      </c>
      <c r="H8" s="36" t="n">
        <f aca="false">IF(A8="","",DATE(YEAR(A8),MONTH(A8),1))</f>
        <v>46204</v>
      </c>
      <c r="I8" s="37" t="str">
        <f aca="false">IF(B8="","",IFERROR(INDEX(st_ID,MATCH(B8,st_Name,0)),"Unknown"))</f>
        <v>QP-01</v>
      </c>
      <c r="J8" s="37" t="str">
        <f aca="false">IF(C8="","",IFERROR(INDEX(cl_Code,MATCH(C8,cl_Name,0)),"Unknown"))</f>
        <v>BSE</v>
      </c>
      <c r="K8" s="37" t="str">
        <f aca="false">IF(D8="","",IFERROR(INDEX(rt_Billable,MATCH(D8,rt_Code,0)),"Unknown"))</f>
        <v>Yes</v>
      </c>
      <c r="L8" s="38" t="n">
        <f aca="false">IF(K8&lt;&gt;"Yes","",IFERROR(INDEX(cr_Rate,MATCH(J8&amp;"|"&amp;D8,cr_Key,0)),INDEX(rt_Rate,MATCH(D8,rt_Code,0))))</f>
        <v>145</v>
      </c>
      <c r="M8" s="25" t="n">
        <f aca="false">IF(L8="","",ROUND(N(E8)*L8,2))</f>
        <v>72.5</v>
      </c>
      <c r="N8" s="39" t="n">
        <f aca="false">IF(OR(A8="",B8=""),"",SUMIFS(tl_Hours,tl_StaffID,I8,tl_Date,A8))</f>
        <v>8</v>
      </c>
      <c r="O8" s="40" t="str">
        <f aca="false">IF(A8&amp;B8&amp;D8="","",IF(OR(A8="",B8="",D8="",E8=""),"Incomplete",IF(K8="Unknown","Unknown code",IF(AND(K8="Yes",C8=""),"Billable, needs client",IF(N8&gt;MaxDayHours,"Over "&amp;MaxDayHours&amp;" hours that day","")))))</f>
        <v/>
      </c>
    </row>
    <row r="9" customFormat="false" ht="15" hidden="false" customHeight="false" outlineLevel="0" collapsed="false">
      <c r="A9" s="31" t="n">
        <v>46204</v>
      </c>
      <c r="B9" s="32" t="s">
        <v>86</v>
      </c>
      <c r="C9" s="32"/>
      <c r="D9" s="33" t="s">
        <v>93</v>
      </c>
      <c r="E9" s="34" t="n">
        <v>0.5</v>
      </c>
      <c r="F9" s="32"/>
      <c r="G9" s="35" t="n">
        <f aca="false">IF(A9="","",A9+7-WEEKDAY(A9))</f>
        <v>46207</v>
      </c>
      <c r="H9" s="36" t="n">
        <f aca="false">IF(A9="","",DATE(YEAR(A9),MONTH(A9),1))</f>
        <v>46204</v>
      </c>
      <c r="I9" s="37" t="str">
        <f aca="false">IF(B9="","",IFERROR(INDEX(st_ID,MATCH(B9,st_Name,0)),"Unknown"))</f>
        <v>QP-01</v>
      </c>
      <c r="J9" s="37" t="str">
        <f aca="false">IF(C9="","",IFERROR(INDEX(cl_Code,MATCH(C9,cl_Name,0)),"Unknown"))</f>
        <v/>
      </c>
      <c r="K9" s="37" t="str">
        <f aca="false">IF(D9="","",IFERROR(INDEX(rt_Billable,MATCH(D9,rt_Code,0)),"Unknown"))</f>
        <v>No</v>
      </c>
      <c r="L9" s="38" t="str">
        <f aca="false">IF(K9&lt;&gt;"Yes","",IFERROR(INDEX(cr_Rate,MATCH(J9&amp;"|"&amp;D9,cr_Key,0)),INDEX(rt_Rate,MATCH(D9,rt_Code,0))))</f>
        <v/>
      </c>
      <c r="M9" s="25" t="str">
        <f aca="false">IF(L9="","",ROUND(N(E9)*L9,2))</f>
        <v/>
      </c>
      <c r="N9" s="39" t="n">
        <f aca="false">IF(OR(A9="",B9=""),"",SUMIFS(tl_Hours,tl_StaffID,I9,tl_Date,A9))</f>
        <v>8</v>
      </c>
      <c r="O9" s="40" t="str">
        <f aca="false">IF(A9&amp;B9&amp;D9="","",IF(OR(A9="",B9="",D9="",E9=""),"Incomplete",IF(K9="Unknown","Unknown code",IF(AND(K9="Yes",C9=""),"Billable, needs client",IF(N9&gt;MaxDayHours,"Over "&amp;MaxDayHours&amp;" hours that day","")))))</f>
        <v/>
      </c>
    </row>
    <row r="10" customFormat="false" ht="15" hidden="false" customHeight="false" outlineLevel="0" collapsed="false">
      <c r="A10" s="31" t="n">
        <v>46204</v>
      </c>
      <c r="B10" s="32" t="s">
        <v>86</v>
      </c>
      <c r="C10" s="32"/>
      <c r="D10" s="33" t="s">
        <v>94</v>
      </c>
      <c r="E10" s="34" t="n">
        <v>1.5</v>
      </c>
      <c r="F10" s="32" t="s">
        <v>95</v>
      </c>
      <c r="G10" s="35" t="n">
        <f aca="false">IF(A10="","",A10+7-WEEKDAY(A10))</f>
        <v>46207</v>
      </c>
      <c r="H10" s="36" t="n">
        <f aca="false">IF(A10="","",DATE(YEAR(A10),MONTH(A10),1))</f>
        <v>46204</v>
      </c>
      <c r="I10" s="37" t="str">
        <f aca="false">IF(B10="","",IFERROR(INDEX(st_ID,MATCH(B10,st_Name,0)),"Unknown"))</f>
        <v>QP-01</v>
      </c>
      <c r="J10" s="37" t="str">
        <f aca="false">IF(C10="","",IFERROR(INDEX(cl_Code,MATCH(C10,cl_Name,0)),"Unknown"))</f>
        <v/>
      </c>
      <c r="K10" s="37" t="str">
        <f aca="false">IF(D10="","",IFERROR(INDEX(rt_Billable,MATCH(D10,rt_Code,0)),"Unknown"))</f>
        <v>No</v>
      </c>
      <c r="L10" s="38" t="str">
        <f aca="false">IF(K10&lt;&gt;"Yes","",IFERROR(INDEX(cr_Rate,MATCH(J10&amp;"|"&amp;D10,cr_Key,0)),INDEX(rt_Rate,MATCH(D10,rt_Code,0))))</f>
        <v/>
      </c>
      <c r="M10" s="25" t="str">
        <f aca="false">IF(L10="","",ROUND(N(E10)*L10,2))</f>
        <v/>
      </c>
      <c r="N10" s="39" t="n">
        <f aca="false">IF(OR(A10="",B10=""),"",SUMIFS(tl_Hours,tl_StaffID,I10,tl_Date,A10))</f>
        <v>8</v>
      </c>
      <c r="O10" s="40" t="str">
        <f aca="false">IF(A10&amp;B10&amp;D10="","",IF(OR(A10="",B10="",D10="",E10=""),"Incomplete",IF(K10="Unknown","Unknown code",IF(AND(K10="Yes",C10=""),"Billable, needs client",IF(N10&gt;MaxDayHours,"Over "&amp;MaxDayHours&amp;" hours that day","")))))</f>
        <v/>
      </c>
    </row>
    <row r="11" customFormat="false" ht="15" hidden="false" customHeight="false" outlineLevel="0" collapsed="false">
      <c r="A11" s="31" t="n">
        <v>46204</v>
      </c>
      <c r="B11" s="32" t="s">
        <v>86</v>
      </c>
      <c r="C11" s="32"/>
      <c r="D11" s="33" t="s">
        <v>96</v>
      </c>
      <c r="E11" s="34" t="n">
        <v>2</v>
      </c>
      <c r="F11" s="32"/>
      <c r="G11" s="35" t="n">
        <f aca="false">IF(A11="","",A11+7-WEEKDAY(A11))</f>
        <v>46207</v>
      </c>
      <c r="H11" s="36" t="n">
        <f aca="false">IF(A11="","",DATE(YEAR(A11),MONTH(A11),1))</f>
        <v>46204</v>
      </c>
      <c r="I11" s="37" t="str">
        <f aca="false">IF(B11="","",IFERROR(INDEX(st_ID,MATCH(B11,st_Name,0)),"Unknown"))</f>
        <v>QP-01</v>
      </c>
      <c r="J11" s="37" t="str">
        <f aca="false">IF(C11="","",IFERROR(INDEX(cl_Code,MATCH(C11,cl_Name,0)),"Unknown"))</f>
        <v/>
      </c>
      <c r="K11" s="37" t="str">
        <f aca="false">IF(D11="","",IFERROR(INDEX(rt_Billable,MATCH(D11,rt_Code,0)),"Unknown"))</f>
        <v>No</v>
      </c>
      <c r="L11" s="38" t="str">
        <f aca="false">IF(K11&lt;&gt;"Yes","",IFERROR(INDEX(cr_Rate,MATCH(J11&amp;"|"&amp;D11,cr_Key,0)),INDEX(rt_Rate,MATCH(D11,rt_Code,0))))</f>
        <v/>
      </c>
      <c r="M11" s="25" t="str">
        <f aca="false">IF(L11="","",ROUND(N(E11)*L11,2))</f>
        <v/>
      </c>
      <c r="N11" s="39" t="n">
        <f aca="false">IF(OR(A11="",B11=""),"",SUMIFS(tl_Hours,tl_StaffID,I11,tl_Date,A11))</f>
        <v>8</v>
      </c>
      <c r="O11" s="40" t="str">
        <f aca="false">IF(A11&amp;B11&amp;D11="","",IF(OR(A11="",B11="",D11="",E11=""),"Incomplete",IF(K11="Unknown","Unknown code",IF(AND(K11="Yes",C11=""),"Billable, needs client",IF(N11&gt;MaxDayHours,"Over "&amp;MaxDayHours&amp;" hours that day","")))))</f>
        <v/>
      </c>
    </row>
    <row r="12" customFormat="false" ht="15" hidden="false" customHeight="false" outlineLevel="0" collapsed="false">
      <c r="A12" s="31" t="n">
        <v>46204</v>
      </c>
      <c r="B12" s="32" t="s">
        <v>97</v>
      </c>
      <c r="C12" s="32" t="s">
        <v>90</v>
      </c>
      <c r="D12" s="33" t="s">
        <v>91</v>
      </c>
      <c r="E12" s="34" t="n">
        <v>2.25</v>
      </c>
      <c r="F12" s="32"/>
      <c r="G12" s="35" t="n">
        <f aca="false">IF(A12="","",A12+7-WEEKDAY(A12))</f>
        <v>46207</v>
      </c>
      <c r="H12" s="36" t="n">
        <f aca="false">IF(A12="","",DATE(YEAR(A12),MONTH(A12),1))</f>
        <v>46204</v>
      </c>
      <c r="I12" s="37" t="str">
        <f aca="false">IF(B12="","",IFERROR(INDEX(st_ID,MATCH(B12,st_Name,0)),"Unknown"))</f>
        <v>QP-02</v>
      </c>
      <c r="J12" s="37" t="str">
        <f aca="false">IF(C12="","",IFERROR(INDEX(cl_Code,MATCH(C12,cl_Name,0)),"Unknown"))</f>
        <v>BSE</v>
      </c>
      <c r="K12" s="37" t="str">
        <f aca="false">IF(D12="","",IFERROR(INDEX(rt_Billable,MATCH(D12,rt_Code,0)),"Unknown"))</f>
        <v>Yes</v>
      </c>
      <c r="L12" s="38" t="n">
        <f aca="false">IF(K12&lt;&gt;"Yes","",IFERROR(INDEX(cr_Rate,MATCH(J12&amp;"|"&amp;D12,cr_Key,0)),INDEX(rt_Rate,MATCH(D12,rt_Code,0))))</f>
        <v>100</v>
      </c>
      <c r="M12" s="25" t="n">
        <f aca="false">IF(L12="","",ROUND(N(E12)*L12,2))</f>
        <v>225</v>
      </c>
      <c r="N12" s="39" t="n">
        <f aca="false">IF(OR(A12="",B12=""),"",SUMIFS(tl_Hours,tl_StaffID,I12,tl_Date,A12))</f>
        <v>8</v>
      </c>
      <c r="O12" s="40" t="str">
        <f aca="false">IF(A12&amp;B12&amp;D12="","",IF(OR(A12="",B12="",D12="",E12=""),"Incomplete",IF(K12="Unknown","Unknown code",IF(AND(K12="Yes",C12=""),"Billable, needs client",IF(N12&gt;MaxDayHours,"Over "&amp;MaxDayHours&amp;" hours that day","")))))</f>
        <v/>
      </c>
    </row>
    <row r="13" customFormat="false" ht="15" hidden="false" customHeight="false" outlineLevel="0" collapsed="false">
      <c r="A13" s="31" t="n">
        <v>46204</v>
      </c>
      <c r="B13" s="32" t="s">
        <v>97</v>
      </c>
      <c r="C13" s="32" t="s">
        <v>90</v>
      </c>
      <c r="D13" s="33" t="s">
        <v>92</v>
      </c>
      <c r="E13" s="34" t="n">
        <v>1.75</v>
      </c>
      <c r="F13" s="32"/>
      <c r="G13" s="35" t="n">
        <f aca="false">IF(A13="","",A13+7-WEEKDAY(A13))</f>
        <v>46207</v>
      </c>
      <c r="H13" s="36" t="n">
        <f aca="false">IF(A13="","",DATE(YEAR(A13),MONTH(A13),1))</f>
        <v>46204</v>
      </c>
      <c r="I13" s="37" t="str">
        <f aca="false">IF(B13="","",IFERROR(INDEX(st_ID,MATCH(B13,st_Name,0)),"Unknown"))</f>
        <v>QP-02</v>
      </c>
      <c r="J13" s="37" t="str">
        <f aca="false">IF(C13="","",IFERROR(INDEX(cl_Code,MATCH(C13,cl_Name,0)),"Unknown"))</f>
        <v>BSE</v>
      </c>
      <c r="K13" s="37" t="str">
        <f aca="false">IF(D13="","",IFERROR(INDEX(rt_Billable,MATCH(D13,rt_Code,0)),"Unknown"))</f>
        <v>Yes</v>
      </c>
      <c r="L13" s="38" t="n">
        <f aca="false">IF(K13&lt;&gt;"Yes","",IFERROR(INDEX(cr_Rate,MATCH(J13&amp;"|"&amp;D13,cr_Key,0)),INDEX(rt_Rate,MATCH(D13,rt_Code,0))))</f>
        <v>145</v>
      </c>
      <c r="M13" s="25" t="n">
        <f aca="false">IF(L13="","",ROUND(N(E13)*L13,2))</f>
        <v>253.75</v>
      </c>
      <c r="N13" s="39" t="n">
        <f aca="false">IF(OR(A13="",B13=""),"",SUMIFS(tl_Hours,tl_StaffID,I13,tl_Date,A13))</f>
        <v>8</v>
      </c>
      <c r="O13" s="40" t="str">
        <f aca="false">IF(A13&amp;B13&amp;D13="","",IF(OR(A13="",B13="",D13="",E13=""),"Incomplete",IF(K13="Unknown","Unknown code",IF(AND(K13="Yes",C13=""),"Billable, needs client",IF(N13&gt;MaxDayHours,"Over "&amp;MaxDayHours&amp;" hours that day","")))))</f>
        <v/>
      </c>
    </row>
    <row r="14" customFormat="false" ht="15" hidden="false" customHeight="false" outlineLevel="0" collapsed="false">
      <c r="A14" s="31" t="n">
        <v>46204</v>
      </c>
      <c r="B14" s="32" t="s">
        <v>97</v>
      </c>
      <c r="C14" s="32"/>
      <c r="D14" s="33" t="s">
        <v>98</v>
      </c>
      <c r="E14" s="34" t="n">
        <v>1</v>
      </c>
      <c r="F14" s="32" t="s">
        <v>99</v>
      </c>
      <c r="G14" s="35" t="n">
        <f aca="false">IF(A14="","",A14+7-WEEKDAY(A14))</f>
        <v>46207</v>
      </c>
      <c r="H14" s="36" t="n">
        <f aca="false">IF(A14="","",DATE(YEAR(A14),MONTH(A14),1))</f>
        <v>46204</v>
      </c>
      <c r="I14" s="37" t="str">
        <f aca="false">IF(B14="","",IFERROR(INDEX(st_ID,MATCH(B14,st_Name,0)),"Unknown"))</f>
        <v>QP-02</v>
      </c>
      <c r="J14" s="37" t="str">
        <f aca="false">IF(C14="","",IFERROR(INDEX(cl_Code,MATCH(C14,cl_Name,0)),"Unknown"))</f>
        <v/>
      </c>
      <c r="K14" s="37" t="str">
        <f aca="false">IF(D14="","",IFERROR(INDEX(rt_Billable,MATCH(D14,rt_Code,0)),"Unknown"))</f>
        <v>No</v>
      </c>
      <c r="L14" s="38" t="str">
        <f aca="false">IF(K14&lt;&gt;"Yes","",IFERROR(INDEX(cr_Rate,MATCH(J14&amp;"|"&amp;D14,cr_Key,0)),INDEX(rt_Rate,MATCH(D14,rt_Code,0))))</f>
        <v/>
      </c>
      <c r="M14" s="25" t="str">
        <f aca="false">IF(L14="","",ROUND(N(E14)*L14,2))</f>
        <v/>
      </c>
      <c r="N14" s="39" t="n">
        <f aca="false">IF(OR(A14="",B14=""),"",SUMIFS(tl_Hours,tl_StaffID,I14,tl_Date,A14))</f>
        <v>8</v>
      </c>
      <c r="O14" s="40" t="str">
        <f aca="false">IF(A14&amp;B14&amp;D14="","",IF(OR(A14="",B14="",D14="",E14=""),"Incomplete",IF(K14="Unknown","Unknown code",IF(AND(K14="Yes",C14=""),"Billable, needs client",IF(N14&gt;MaxDayHours,"Over "&amp;MaxDayHours&amp;" hours that day","")))))</f>
        <v/>
      </c>
    </row>
    <row r="15" customFormat="false" ht="15" hidden="false" customHeight="false" outlineLevel="0" collapsed="false">
      <c r="A15" s="31" t="n">
        <v>46204</v>
      </c>
      <c r="B15" s="32" t="s">
        <v>97</v>
      </c>
      <c r="C15" s="32"/>
      <c r="D15" s="33" t="s">
        <v>96</v>
      </c>
      <c r="E15" s="34" t="n">
        <v>3</v>
      </c>
      <c r="F15" s="32"/>
      <c r="G15" s="35" t="n">
        <f aca="false">IF(A15="","",A15+7-WEEKDAY(A15))</f>
        <v>46207</v>
      </c>
      <c r="H15" s="36" t="n">
        <f aca="false">IF(A15="","",DATE(YEAR(A15),MONTH(A15),1))</f>
        <v>46204</v>
      </c>
      <c r="I15" s="37" t="str">
        <f aca="false">IF(B15="","",IFERROR(INDEX(st_ID,MATCH(B15,st_Name,0)),"Unknown"))</f>
        <v>QP-02</v>
      </c>
      <c r="J15" s="37" t="str">
        <f aca="false">IF(C15="","",IFERROR(INDEX(cl_Code,MATCH(C15,cl_Name,0)),"Unknown"))</f>
        <v/>
      </c>
      <c r="K15" s="37" t="str">
        <f aca="false">IF(D15="","",IFERROR(INDEX(rt_Billable,MATCH(D15,rt_Code,0)),"Unknown"))</f>
        <v>No</v>
      </c>
      <c r="L15" s="38" t="str">
        <f aca="false">IF(K15&lt;&gt;"Yes","",IFERROR(INDEX(cr_Rate,MATCH(J15&amp;"|"&amp;D15,cr_Key,0)),INDEX(rt_Rate,MATCH(D15,rt_Code,0))))</f>
        <v/>
      </c>
      <c r="M15" s="25" t="str">
        <f aca="false">IF(L15="","",ROUND(N(E15)*L15,2))</f>
        <v/>
      </c>
      <c r="N15" s="39" t="n">
        <f aca="false">IF(OR(A15="",B15=""),"",SUMIFS(tl_Hours,tl_StaffID,I15,tl_Date,A15))</f>
        <v>8</v>
      </c>
      <c r="O15" s="40" t="str">
        <f aca="false">IF(A15&amp;B15&amp;D15="","",IF(OR(A15="",B15="",D15="",E15=""),"Incomplete",IF(K15="Unknown","Unknown code",IF(AND(K15="Yes",C15=""),"Billable, needs client",IF(N15&gt;MaxDayHours,"Over "&amp;MaxDayHours&amp;" hours that day","")))))</f>
        <v/>
      </c>
    </row>
    <row r="16" customFormat="false" ht="15" hidden="false" customHeight="false" outlineLevel="0" collapsed="false">
      <c r="A16" s="31" t="n">
        <v>46204</v>
      </c>
      <c r="B16" s="32" t="s">
        <v>100</v>
      </c>
      <c r="C16" s="32" t="s">
        <v>90</v>
      </c>
      <c r="D16" s="33" t="s">
        <v>88</v>
      </c>
      <c r="E16" s="34" t="n">
        <v>2</v>
      </c>
      <c r="F16" s="32"/>
      <c r="G16" s="35" t="n">
        <f aca="false">IF(A16="","",A16+7-WEEKDAY(A16))</f>
        <v>46207</v>
      </c>
      <c r="H16" s="36" t="n">
        <f aca="false">IF(A16="","",DATE(YEAR(A16),MONTH(A16),1))</f>
        <v>46204</v>
      </c>
      <c r="I16" s="37" t="str">
        <f aca="false">IF(B16="","",IFERROR(INDEX(st_ID,MATCH(B16,st_Name,0)),"Unknown"))</f>
        <v>QP-03</v>
      </c>
      <c r="J16" s="37" t="str">
        <f aca="false">IF(C16="","",IFERROR(INDEX(cl_Code,MATCH(C16,cl_Name,0)),"Unknown"))</f>
        <v>BSE</v>
      </c>
      <c r="K16" s="37" t="str">
        <f aca="false">IF(D16="","",IFERROR(INDEX(rt_Billable,MATCH(D16,rt_Code,0)),"Unknown"))</f>
        <v>Yes</v>
      </c>
      <c r="L16" s="38" t="n">
        <f aca="false">IF(K16&lt;&gt;"Yes","",IFERROR(INDEX(cr_Rate,MATCH(J16&amp;"|"&amp;D16,cr_Key,0)),INDEX(rt_Rate,MATCH(D16,rt_Code,0))))</f>
        <v>104</v>
      </c>
      <c r="M16" s="25" t="n">
        <f aca="false">IF(L16="","",ROUND(N(E16)*L16,2))</f>
        <v>208</v>
      </c>
      <c r="N16" s="39" t="n">
        <f aca="false">IF(OR(A16="",B16=""),"",SUMIFS(tl_Hours,tl_StaffID,I16,tl_Date,A16))</f>
        <v>8</v>
      </c>
      <c r="O16" s="40" t="str">
        <f aca="false">IF(A16&amp;B16&amp;D16="","",IF(OR(A16="",B16="",D16="",E16=""),"Incomplete",IF(K16="Unknown","Unknown code",IF(AND(K16="Yes",C16=""),"Billable, needs client",IF(N16&gt;MaxDayHours,"Over "&amp;MaxDayHours&amp;" hours that day","")))))</f>
        <v/>
      </c>
    </row>
    <row r="17" customFormat="false" ht="15" hidden="false" customHeight="false" outlineLevel="0" collapsed="false">
      <c r="A17" s="31" t="n">
        <v>46204</v>
      </c>
      <c r="B17" s="32" t="s">
        <v>100</v>
      </c>
      <c r="C17" s="32" t="s">
        <v>90</v>
      </c>
      <c r="D17" s="33" t="s">
        <v>89</v>
      </c>
      <c r="E17" s="34" t="n">
        <v>1.75</v>
      </c>
      <c r="F17" s="32"/>
      <c r="G17" s="35" t="n">
        <f aca="false">IF(A17="","",A17+7-WEEKDAY(A17))</f>
        <v>46207</v>
      </c>
      <c r="H17" s="36" t="n">
        <f aca="false">IF(A17="","",DATE(YEAR(A17),MONTH(A17),1))</f>
        <v>46204</v>
      </c>
      <c r="I17" s="37" t="str">
        <f aca="false">IF(B17="","",IFERROR(INDEX(st_ID,MATCH(B17,st_Name,0)),"Unknown"))</f>
        <v>QP-03</v>
      </c>
      <c r="J17" s="37" t="str">
        <f aca="false">IF(C17="","",IFERROR(INDEX(cl_Code,MATCH(C17,cl_Name,0)),"Unknown"))</f>
        <v>BSE</v>
      </c>
      <c r="K17" s="37" t="str">
        <f aca="false">IF(D17="","",IFERROR(INDEX(rt_Billable,MATCH(D17,rt_Code,0)),"Unknown"))</f>
        <v>Yes</v>
      </c>
      <c r="L17" s="38" t="n">
        <f aca="false">IF(K17&lt;&gt;"Yes","",IFERROR(INDEX(cr_Rate,MATCH(J17&amp;"|"&amp;D17,cr_Key,0)),INDEX(rt_Rate,MATCH(D17,rt_Code,0))))</f>
        <v>95</v>
      </c>
      <c r="M17" s="25" t="n">
        <f aca="false">IF(L17="","",ROUND(N(E17)*L17,2))</f>
        <v>166.25</v>
      </c>
      <c r="N17" s="39" t="n">
        <f aca="false">IF(OR(A17="",B17=""),"",SUMIFS(tl_Hours,tl_StaffID,I17,tl_Date,A17))</f>
        <v>8</v>
      </c>
      <c r="O17" s="40" t="str">
        <f aca="false">IF(A17&amp;B17&amp;D17="","",IF(OR(A17="",B17="",D17="",E17=""),"Incomplete",IF(K17="Unknown","Unknown code",IF(AND(K17="Yes",C17=""),"Billable, needs client",IF(N17&gt;MaxDayHours,"Over "&amp;MaxDayHours&amp;" hours that day","")))))</f>
        <v/>
      </c>
    </row>
    <row r="18" customFormat="false" ht="15" hidden="false" customHeight="false" outlineLevel="0" collapsed="false">
      <c r="A18" s="31" t="n">
        <v>46204</v>
      </c>
      <c r="B18" s="32" t="s">
        <v>100</v>
      </c>
      <c r="C18" s="32"/>
      <c r="D18" s="33" t="s">
        <v>98</v>
      </c>
      <c r="E18" s="34" t="n">
        <v>1</v>
      </c>
      <c r="F18" s="32" t="s">
        <v>99</v>
      </c>
      <c r="G18" s="35" t="n">
        <f aca="false">IF(A18="","",A18+7-WEEKDAY(A18))</f>
        <v>46207</v>
      </c>
      <c r="H18" s="36" t="n">
        <f aca="false">IF(A18="","",DATE(YEAR(A18),MONTH(A18),1))</f>
        <v>46204</v>
      </c>
      <c r="I18" s="37" t="str">
        <f aca="false">IF(B18="","",IFERROR(INDEX(st_ID,MATCH(B18,st_Name,0)),"Unknown"))</f>
        <v>QP-03</v>
      </c>
      <c r="J18" s="37" t="str">
        <f aca="false">IF(C18="","",IFERROR(INDEX(cl_Code,MATCH(C18,cl_Name,0)),"Unknown"))</f>
        <v/>
      </c>
      <c r="K18" s="37" t="str">
        <f aca="false">IF(D18="","",IFERROR(INDEX(rt_Billable,MATCH(D18,rt_Code,0)),"Unknown"))</f>
        <v>No</v>
      </c>
      <c r="L18" s="38" t="str">
        <f aca="false">IF(K18&lt;&gt;"Yes","",IFERROR(INDEX(cr_Rate,MATCH(J18&amp;"|"&amp;D18,cr_Key,0)),INDEX(rt_Rate,MATCH(D18,rt_Code,0))))</f>
        <v/>
      </c>
      <c r="M18" s="25" t="str">
        <f aca="false">IF(L18="","",ROUND(N(E18)*L18,2))</f>
        <v/>
      </c>
      <c r="N18" s="39" t="n">
        <f aca="false">IF(OR(A18="",B18=""),"",SUMIFS(tl_Hours,tl_StaffID,I18,tl_Date,A18))</f>
        <v>8</v>
      </c>
      <c r="O18" s="40" t="str">
        <f aca="false">IF(A18&amp;B18&amp;D18="","",IF(OR(A18="",B18="",D18="",E18=""),"Incomplete",IF(K18="Unknown","Unknown code",IF(AND(K18="Yes",C18=""),"Billable, needs client",IF(N18&gt;MaxDayHours,"Over "&amp;MaxDayHours&amp;" hours that day","")))))</f>
        <v/>
      </c>
    </row>
    <row r="19" customFormat="false" ht="15" hidden="false" customHeight="false" outlineLevel="0" collapsed="false">
      <c r="A19" s="31" t="n">
        <v>46204</v>
      </c>
      <c r="B19" s="32" t="s">
        <v>100</v>
      </c>
      <c r="C19" s="32"/>
      <c r="D19" s="33" t="s">
        <v>96</v>
      </c>
      <c r="E19" s="34" t="n">
        <v>3.25</v>
      </c>
      <c r="F19" s="32"/>
      <c r="G19" s="35" t="n">
        <f aca="false">IF(A19="","",A19+7-WEEKDAY(A19))</f>
        <v>46207</v>
      </c>
      <c r="H19" s="36" t="n">
        <f aca="false">IF(A19="","",DATE(YEAR(A19),MONTH(A19),1))</f>
        <v>46204</v>
      </c>
      <c r="I19" s="37" t="str">
        <f aca="false">IF(B19="","",IFERROR(INDEX(st_ID,MATCH(B19,st_Name,0)),"Unknown"))</f>
        <v>QP-03</v>
      </c>
      <c r="J19" s="37" t="str">
        <f aca="false">IF(C19="","",IFERROR(INDEX(cl_Code,MATCH(C19,cl_Name,0)),"Unknown"))</f>
        <v/>
      </c>
      <c r="K19" s="37" t="str">
        <f aca="false">IF(D19="","",IFERROR(INDEX(rt_Billable,MATCH(D19,rt_Code,0)),"Unknown"))</f>
        <v>No</v>
      </c>
      <c r="L19" s="38" t="str">
        <f aca="false">IF(K19&lt;&gt;"Yes","",IFERROR(INDEX(cr_Rate,MATCH(J19&amp;"|"&amp;D19,cr_Key,0)),INDEX(rt_Rate,MATCH(D19,rt_Code,0))))</f>
        <v/>
      </c>
      <c r="M19" s="25" t="str">
        <f aca="false">IF(L19="","",ROUND(N(E19)*L19,2))</f>
        <v/>
      </c>
      <c r="N19" s="39" t="n">
        <f aca="false">IF(OR(A19="",B19=""),"",SUMIFS(tl_Hours,tl_StaffID,I19,tl_Date,A19))</f>
        <v>8</v>
      </c>
      <c r="O19" s="40" t="str">
        <f aca="false">IF(A19&amp;B19&amp;D19="","",IF(OR(A19="",B19="",D19="",E19=""),"Incomplete",IF(K19="Unknown","Unknown code",IF(AND(K19="Yes",C19=""),"Billable, needs client",IF(N19&gt;MaxDayHours,"Over "&amp;MaxDayHours&amp;" hours that day","")))))</f>
        <v/>
      </c>
    </row>
    <row r="20" customFormat="false" ht="15" hidden="false" customHeight="false" outlineLevel="0" collapsed="false">
      <c r="A20" s="31" t="n">
        <v>46204</v>
      </c>
      <c r="B20" s="32" t="s">
        <v>101</v>
      </c>
      <c r="C20" s="32" t="s">
        <v>102</v>
      </c>
      <c r="D20" s="33" t="s">
        <v>88</v>
      </c>
      <c r="E20" s="34" t="n">
        <v>3</v>
      </c>
      <c r="F20" s="32"/>
      <c r="G20" s="35" t="n">
        <f aca="false">IF(A20="","",A20+7-WEEKDAY(A20))</f>
        <v>46207</v>
      </c>
      <c r="H20" s="36" t="n">
        <f aca="false">IF(A20="","",DATE(YEAR(A20),MONTH(A20),1))</f>
        <v>46204</v>
      </c>
      <c r="I20" s="37" t="str">
        <f aca="false">IF(B20="","",IFERROR(INDEX(st_ID,MATCH(B20,st_Name,0)),"Unknown"))</f>
        <v>QP-04</v>
      </c>
      <c r="J20" s="37" t="str">
        <f aca="false">IF(C20="","",IFERROR(INDEX(cl_Code,MATCH(C20,cl_Name,0)),"Unknown"))</f>
        <v>CLH</v>
      </c>
      <c r="K20" s="37" t="str">
        <f aca="false">IF(D20="","",IFERROR(INDEX(rt_Billable,MATCH(D20,rt_Code,0)),"Unknown"))</f>
        <v>Yes</v>
      </c>
      <c r="L20" s="38" t="n">
        <f aca="false">IF(K20&lt;&gt;"Yes","",IFERROR(INDEX(cr_Rate,MATCH(J20&amp;"|"&amp;D20,cr_Key,0)),INDEX(rt_Rate,MATCH(D20,rt_Code,0))))</f>
        <v>110</v>
      </c>
      <c r="M20" s="25" t="n">
        <f aca="false">IF(L20="","",ROUND(N(E20)*L20,2))</f>
        <v>330</v>
      </c>
      <c r="N20" s="39" t="n">
        <f aca="false">IF(OR(A20="",B20=""),"",SUMIFS(tl_Hours,tl_StaffID,I20,tl_Date,A20))</f>
        <v>8</v>
      </c>
      <c r="O20" s="40" t="str">
        <f aca="false">IF(A20&amp;B20&amp;D20="","",IF(OR(A20="",B20="",D20="",E20=""),"Incomplete",IF(K20="Unknown","Unknown code",IF(AND(K20="Yes",C20=""),"Billable, needs client",IF(N20&gt;MaxDayHours,"Over "&amp;MaxDayHours&amp;" hours that day","")))))</f>
        <v/>
      </c>
    </row>
    <row r="21" customFormat="false" ht="15" hidden="false" customHeight="false" outlineLevel="0" collapsed="false">
      <c r="A21" s="31" t="n">
        <v>46204</v>
      </c>
      <c r="B21" s="32" t="s">
        <v>101</v>
      </c>
      <c r="C21" s="32" t="s">
        <v>102</v>
      </c>
      <c r="D21" s="33" t="s">
        <v>89</v>
      </c>
      <c r="E21" s="34" t="n">
        <v>2</v>
      </c>
      <c r="F21" s="32"/>
      <c r="G21" s="35" t="n">
        <f aca="false">IF(A21="","",A21+7-WEEKDAY(A21))</f>
        <v>46207</v>
      </c>
      <c r="H21" s="36" t="n">
        <f aca="false">IF(A21="","",DATE(YEAR(A21),MONTH(A21),1))</f>
        <v>46204</v>
      </c>
      <c r="I21" s="37" t="str">
        <f aca="false">IF(B21="","",IFERROR(INDEX(st_ID,MATCH(B21,st_Name,0)),"Unknown"))</f>
        <v>QP-04</v>
      </c>
      <c r="J21" s="37" t="str">
        <f aca="false">IF(C21="","",IFERROR(INDEX(cl_Code,MATCH(C21,cl_Name,0)),"Unknown"))</f>
        <v>CLH</v>
      </c>
      <c r="K21" s="37" t="str">
        <f aca="false">IF(D21="","",IFERROR(INDEX(rt_Billable,MATCH(D21,rt_Code,0)),"Unknown"))</f>
        <v>Yes</v>
      </c>
      <c r="L21" s="38" t="n">
        <f aca="false">IF(K21&lt;&gt;"Yes","",IFERROR(INDEX(cr_Rate,MATCH(J21&amp;"|"&amp;D21,cr_Key,0)),INDEX(rt_Rate,MATCH(D21,rt_Code,0))))</f>
        <v>95</v>
      </c>
      <c r="M21" s="25" t="n">
        <f aca="false">IF(L21="","",ROUND(N(E21)*L21,2))</f>
        <v>190</v>
      </c>
      <c r="N21" s="39" t="n">
        <f aca="false">IF(OR(A21="",B21=""),"",SUMIFS(tl_Hours,tl_StaffID,I21,tl_Date,A21))</f>
        <v>8</v>
      </c>
      <c r="O21" s="40" t="str">
        <f aca="false">IF(A21&amp;B21&amp;D21="","",IF(OR(A21="",B21="",D21="",E21=""),"Incomplete",IF(K21="Unknown","Unknown code",IF(AND(K21="Yes",C21=""),"Billable, needs client",IF(N21&gt;MaxDayHours,"Over "&amp;MaxDayHours&amp;" hours that day","")))))</f>
        <v/>
      </c>
    </row>
    <row r="22" customFormat="false" ht="15" hidden="false" customHeight="false" outlineLevel="0" collapsed="false">
      <c r="A22" s="31" t="n">
        <v>46204</v>
      </c>
      <c r="B22" s="32" t="s">
        <v>101</v>
      </c>
      <c r="C22" s="32"/>
      <c r="D22" s="33" t="s">
        <v>98</v>
      </c>
      <c r="E22" s="34" t="n">
        <v>1</v>
      </c>
      <c r="F22" s="32" t="s">
        <v>99</v>
      </c>
      <c r="G22" s="35" t="n">
        <f aca="false">IF(A22="","",A22+7-WEEKDAY(A22))</f>
        <v>46207</v>
      </c>
      <c r="H22" s="36" t="n">
        <f aca="false">IF(A22="","",DATE(YEAR(A22),MONTH(A22),1))</f>
        <v>46204</v>
      </c>
      <c r="I22" s="37" t="str">
        <f aca="false">IF(B22="","",IFERROR(INDEX(st_ID,MATCH(B22,st_Name,0)),"Unknown"))</f>
        <v>QP-04</v>
      </c>
      <c r="J22" s="37" t="str">
        <f aca="false">IF(C22="","",IFERROR(INDEX(cl_Code,MATCH(C22,cl_Name,0)),"Unknown"))</f>
        <v/>
      </c>
      <c r="K22" s="37" t="str">
        <f aca="false">IF(D22="","",IFERROR(INDEX(rt_Billable,MATCH(D22,rt_Code,0)),"Unknown"))</f>
        <v>No</v>
      </c>
      <c r="L22" s="38" t="str">
        <f aca="false">IF(K22&lt;&gt;"Yes","",IFERROR(INDEX(cr_Rate,MATCH(J22&amp;"|"&amp;D22,cr_Key,0)),INDEX(rt_Rate,MATCH(D22,rt_Code,0))))</f>
        <v/>
      </c>
      <c r="M22" s="25" t="str">
        <f aca="false">IF(L22="","",ROUND(N(E22)*L22,2))</f>
        <v/>
      </c>
      <c r="N22" s="39" t="n">
        <f aca="false">IF(OR(A22="",B22=""),"",SUMIFS(tl_Hours,tl_StaffID,I22,tl_Date,A22))</f>
        <v>8</v>
      </c>
      <c r="O22" s="40" t="str">
        <f aca="false">IF(A22&amp;B22&amp;D22="","",IF(OR(A22="",B22="",D22="",E22=""),"Incomplete",IF(K22="Unknown","Unknown code",IF(AND(K22="Yes",C22=""),"Billable, needs client",IF(N22&gt;MaxDayHours,"Over "&amp;MaxDayHours&amp;" hours that day","")))))</f>
        <v/>
      </c>
    </row>
    <row r="23" customFormat="false" ht="15" hidden="false" customHeight="false" outlineLevel="0" collapsed="false">
      <c r="A23" s="31" t="n">
        <v>46204</v>
      </c>
      <c r="B23" s="32" t="s">
        <v>101</v>
      </c>
      <c r="C23" s="32"/>
      <c r="D23" s="33" t="s">
        <v>96</v>
      </c>
      <c r="E23" s="34" t="n">
        <v>2</v>
      </c>
      <c r="F23" s="32"/>
      <c r="G23" s="35" t="n">
        <f aca="false">IF(A23="","",A23+7-WEEKDAY(A23))</f>
        <v>46207</v>
      </c>
      <c r="H23" s="36" t="n">
        <f aca="false">IF(A23="","",DATE(YEAR(A23),MONTH(A23),1))</f>
        <v>46204</v>
      </c>
      <c r="I23" s="37" t="str">
        <f aca="false">IF(B23="","",IFERROR(INDEX(st_ID,MATCH(B23,st_Name,0)),"Unknown"))</f>
        <v>QP-04</v>
      </c>
      <c r="J23" s="37" t="str">
        <f aca="false">IF(C23="","",IFERROR(INDEX(cl_Code,MATCH(C23,cl_Name,0)),"Unknown"))</f>
        <v/>
      </c>
      <c r="K23" s="37" t="str">
        <f aca="false">IF(D23="","",IFERROR(INDEX(rt_Billable,MATCH(D23,rt_Code,0)),"Unknown"))</f>
        <v>No</v>
      </c>
      <c r="L23" s="38" t="str">
        <f aca="false">IF(K23&lt;&gt;"Yes","",IFERROR(INDEX(cr_Rate,MATCH(J23&amp;"|"&amp;D23,cr_Key,0)),INDEX(rt_Rate,MATCH(D23,rt_Code,0))))</f>
        <v/>
      </c>
      <c r="M23" s="25" t="str">
        <f aca="false">IF(L23="","",ROUND(N(E23)*L23,2))</f>
        <v/>
      </c>
      <c r="N23" s="39" t="n">
        <f aca="false">IF(OR(A23="",B23=""),"",SUMIFS(tl_Hours,tl_StaffID,I23,tl_Date,A23))</f>
        <v>8</v>
      </c>
      <c r="O23" s="40" t="str">
        <f aca="false">IF(A23&amp;B23&amp;D23="","",IF(OR(A23="",B23="",D23="",E23=""),"Incomplete",IF(K23="Unknown","Unknown code",IF(AND(K23="Yes",C23=""),"Billable, needs client",IF(N23&gt;MaxDayHours,"Over "&amp;MaxDayHours&amp;" hours that day","")))))</f>
        <v/>
      </c>
    </row>
    <row r="24" customFormat="false" ht="15" hidden="false" customHeight="false" outlineLevel="0" collapsed="false">
      <c r="A24" s="31" t="n">
        <v>46204</v>
      </c>
      <c r="B24" s="32" t="s">
        <v>103</v>
      </c>
      <c r="C24" s="32" t="s">
        <v>90</v>
      </c>
      <c r="D24" s="33" t="s">
        <v>91</v>
      </c>
      <c r="E24" s="34" t="n">
        <v>2.25</v>
      </c>
      <c r="F24" s="32"/>
      <c r="G24" s="35" t="n">
        <f aca="false">IF(A24="","",A24+7-WEEKDAY(A24))</f>
        <v>46207</v>
      </c>
      <c r="H24" s="36" t="n">
        <f aca="false">IF(A24="","",DATE(YEAR(A24),MONTH(A24),1))</f>
        <v>46204</v>
      </c>
      <c r="I24" s="37" t="str">
        <f aca="false">IF(B24="","",IFERROR(INDEX(st_ID,MATCH(B24,st_Name,0)),"Unknown"))</f>
        <v>QP-05</v>
      </c>
      <c r="J24" s="37" t="str">
        <f aca="false">IF(C24="","",IFERROR(INDEX(cl_Code,MATCH(C24,cl_Name,0)),"Unknown"))</f>
        <v>BSE</v>
      </c>
      <c r="K24" s="37" t="str">
        <f aca="false">IF(D24="","",IFERROR(INDEX(rt_Billable,MATCH(D24,rt_Code,0)),"Unknown"))</f>
        <v>Yes</v>
      </c>
      <c r="L24" s="38" t="n">
        <f aca="false">IF(K24&lt;&gt;"Yes","",IFERROR(INDEX(cr_Rate,MATCH(J24&amp;"|"&amp;D24,cr_Key,0)),INDEX(rt_Rate,MATCH(D24,rt_Code,0))))</f>
        <v>100</v>
      </c>
      <c r="M24" s="25" t="n">
        <f aca="false">IF(L24="","",ROUND(N(E24)*L24,2))</f>
        <v>225</v>
      </c>
      <c r="N24" s="39" t="n">
        <f aca="false">IF(OR(A24="",B24=""),"",SUMIFS(tl_Hours,tl_StaffID,I24,tl_Date,A24))</f>
        <v>8</v>
      </c>
      <c r="O24" s="40" t="str">
        <f aca="false">IF(A24&amp;B24&amp;D24="","",IF(OR(A24="",B24="",D24="",E24=""),"Incomplete",IF(K24="Unknown","Unknown code",IF(AND(K24="Yes",C24=""),"Billable, needs client",IF(N24&gt;MaxDayHours,"Over "&amp;MaxDayHours&amp;" hours that day","")))))</f>
        <v/>
      </c>
    </row>
    <row r="25" customFormat="false" ht="15" hidden="false" customHeight="false" outlineLevel="0" collapsed="false">
      <c r="A25" s="31" t="n">
        <v>46204</v>
      </c>
      <c r="B25" s="32" t="s">
        <v>103</v>
      </c>
      <c r="C25" s="32" t="s">
        <v>90</v>
      </c>
      <c r="D25" s="33" t="s">
        <v>104</v>
      </c>
      <c r="E25" s="34" t="n">
        <v>1.5</v>
      </c>
      <c r="F25" s="32"/>
      <c r="G25" s="35" t="n">
        <f aca="false">IF(A25="","",A25+7-WEEKDAY(A25))</f>
        <v>46207</v>
      </c>
      <c r="H25" s="36" t="n">
        <f aca="false">IF(A25="","",DATE(YEAR(A25),MONTH(A25),1))</f>
        <v>46204</v>
      </c>
      <c r="I25" s="37" t="str">
        <f aca="false">IF(B25="","",IFERROR(INDEX(st_ID,MATCH(B25,st_Name,0)),"Unknown"))</f>
        <v>QP-05</v>
      </c>
      <c r="J25" s="37" t="str">
        <f aca="false">IF(C25="","",IFERROR(INDEX(cl_Code,MATCH(C25,cl_Name,0)),"Unknown"))</f>
        <v>BSE</v>
      </c>
      <c r="K25" s="37" t="str">
        <f aca="false">IF(D25="","",IFERROR(INDEX(rt_Billable,MATCH(D25,rt_Code,0)),"Unknown"))</f>
        <v>Yes</v>
      </c>
      <c r="L25" s="38" t="n">
        <f aca="false">IF(K25&lt;&gt;"Yes","",IFERROR(INDEX(cr_Rate,MATCH(J25&amp;"|"&amp;D25,cr_Key,0)),INDEX(rt_Rate,MATCH(D25,rt_Code,0))))</f>
        <v>70</v>
      </c>
      <c r="M25" s="25" t="n">
        <f aca="false">IF(L25="","",ROUND(N(E25)*L25,2))</f>
        <v>105</v>
      </c>
      <c r="N25" s="39" t="n">
        <f aca="false">IF(OR(A25="",B25=""),"",SUMIFS(tl_Hours,tl_StaffID,I25,tl_Date,A25))</f>
        <v>8</v>
      </c>
      <c r="O25" s="40" t="str">
        <f aca="false">IF(A25&amp;B25&amp;D25="","",IF(OR(A25="",B25="",D25="",E25=""),"Incomplete",IF(K25="Unknown","Unknown code",IF(AND(K25="Yes",C25=""),"Billable, needs client",IF(N25&gt;MaxDayHours,"Over "&amp;MaxDayHours&amp;" hours that day","")))))</f>
        <v/>
      </c>
    </row>
    <row r="26" customFormat="false" ht="15" hidden="false" customHeight="false" outlineLevel="0" collapsed="false">
      <c r="A26" s="31" t="n">
        <v>46204</v>
      </c>
      <c r="B26" s="32" t="s">
        <v>103</v>
      </c>
      <c r="C26" s="32"/>
      <c r="D26" s="33" t="s">
        <v>98</v>
      </c>
      <c r="E26" s="34" t="n">
        <v>1</v>
      </c>
      <c r="F26" s="32" t="s">
        <v>99</v>
      </c>
      <c r="G26" s="35" t="n">
        <f aca="false">IF(A26="","",A26+7-WEEKDAY(A26))</f>
        <v>46207</v>
      </c>
      <c r="H26" s="36" t="n">
        <f aca="false">IF(A26="","",DATE(YEAR(A26),MONTH(A26),1))</f>
        <v>46204</v>
      </c>
      <c r="I26" s="37" t="str">
        <f aca="false">IF(B26="","",IFERROR(INDEX(st_ID,MATCH(B26,st_Name,0)),"Unknown"))</f>
        <v>QP-05</v>
      </c>
      <c r="J26" s="37" t="str">
        <f aca="false">IF(C26="","",IFERROR(INDEX(cl_Code,MATCH(C26,cl_Name,0)),"Unknown"))</f>
        <v/>
      </c>
      <c r="K26" s="37" t="str">
        <f aca="false">IF(D26="","",IFERROR(INDEX(rt_Billable,MATCH(D26,rt_Code,0)),"Unknown"))</f>
        <v>No</v>
      </c>
      <c r="L26" s="38" t="str">
        <f aca="false">IF(K26&lt;&gt;"Yes","",IFERROR(INDEX(cr_Rate,MATCH(J26&amp;"|"&amp;D26,cr_Key,0)),INDEX(rt_Rate,MATCH(D26,rt_Code,0))))</f>
        <v/>
      </c>
      <c r="M26" s="25" t="str">
        <f aca="false">IF(L26="","",ROUND(N(E26)*L26,2))</f>
        <v/>
      </c>
      <c r="N26" s="39" t="n">
        <f aca="false">IF(OR(A26="",B26=""),"",SUMIFS(tl_Hours,tl_StaffID,I26,tl_Date,A26))</f>
        <v>8</v>
      </c>
      <c r="O26" s="40" t="str">
        <f aca="false">IF(A26&amp;B26&amp;D26="","",IF(OR(A26="",B26="",D26="",E26=""),"Incomplete",IF(K26="Unknown","Unknown code",IF(AND(K26="Yes",C26=""),"Billable, needs client",IF(N26&gt;MaxDayHours,"Over "&amp;MaxDayHours&amp;" hours that day","")))))</f>
        <v/>
      </c>
    </row>
    <row r="27" customFormat="false" ht="15" hidden="false" customHeight="false" outlineLevel="0" collapsed="false">
      <c r="A27" s="31" t="n">
        <v>46204</v>
      </c>
      <c r="B27" s="32" t="s">
        <v>103</v>
      </c>
      <c r="C27" s="32"/>
      <c r="D27" s="33" t="s">
        <v>96</v>
      </c>
      <c r="E27" s="34" t="n">
        <v>3.25</v>
      </c>
      <c r="F27" s="32"/>
      <c r="G27" s="35" t="n">
        <f aca="false">IF(A27="","",A27+7-WEEKDAY(A27))</f>
        <v>46207</v>
      </c>
      <c r="H27" s="36" t="n">
        <f aca="false">IF(A27="","",DATE(YEAR(A27),MONTH(A27),1))</f>
        <v>46204</v>
      </c>
      <c r="I27" s="37" t="str">
        <f aca="false">IF(B27="","",IFERROR(INDEX(st_ID,MATCH(B27,st_Name,0)),"Unknown"))</f>
        <v>QP-05</v>
      </c>
      <c r="J27" s="37" t="str">
        <f aca="false">IF(C27="","",IFERROR(INDEX(cl_Code,MATCH(C27,cl_Name,0)),"Unknown"))</f>
        <v/>
      </c>
      <c r="K27" s="37" t="str">
        <f aca="false">IF(D27="","",IFERROR(INDEX(rt_Billable,MATCH(D27,rt_Code,0)),"Unknown"))</f>
        <v>No</v>
      </c>
      <c r="L27" s="38" t="str">
        <f aca="false">IF(K27&lt;&gt;"Yes","",IFERROR(INDEX(cr_Rate,MATCH(J27&amp;"|"&amp;D27,cr_Key,0)),INDEX(rt_Rate,MATCH(D27,rt_Code,0))))</f>
        <v/>
      </c>
      <c r="M27" s="25" t="str">
        <f aca="false">IF(L27="","",ROUND(N(E27)*L27,2))</f>
        <v/>
      </c>
      <c r="N27" s="39" t="n">
        <f aca="false">IF(OR(A27="",B27=""),"",SUMIFS(tl_Hours,tl_StaffID,I27,tl_Date,A27))</f>
        <v>8</v>
      </c>
      <c r="O27" s="40" t="str">
        <f aca="false">IF(A27&amp;B27&amp;D27="","",IF(OR(A27="",B27="",D27="",E27=""),"Incomplete",IF(K27="Unknown","Unknown code",IF(AND(K27="Yes",C27=""),"Billable, needs client",IF(N27&gt;MaxDayHours,"Over "&amp;MaxDayHours&amp;" hours that day","")))))</f>
        <v/>
      </c>
    </row>
    <row r="28" customFormat="false" ht="15" hidden="false" customHeight="false" outlineLevel="0" collapsed="false">
      <c r="A28" s="31" t="n">
        <v>46204</v>
      </c>
      <c r="B28" s="32" t="s">
        <v>105</v>
      </c>
      <c r="C28" s="32" t="s">
        <v>87</v>
      </c>
      <c r="D28" s="33" t="s">
        <v>88</v>
      </c>
      <c r="E28" s="34" t="n">
        <v>1.25</v>
      </c>
      <c r="F28" s="32"/>
      <c r="G28" s="35" t="n">
        <f aca="false">IF(A28="","",A28+7-WEEKDAY(A28))</f>
        <v>46207</v>
      </c>
      <c r="H28" s="36" t="n">
        <f aca="false">IF(A28="","",DATE(YEAR(A28),MONTH(A28),1))</f>
        <v>46204</v>
      </c>
      <c r="I28" s="37" t="str">
        <f aca="false">IF(B28="","",IFERROR(INDEX(st_ID,MATCH(B28,st_Name,0)),"Unknown"))</f>
        <v>QP-06</v>
      </c>
      <c r="J28" s="37" t="str">
        <f aca="false">IF(C28="","",IFERROR(INDEX(cl_Code,MATCH(C28,cl_Name,0)),"Unknown"))</f>
        <v>HCS</v>
      </c>
      <c r="K28" s="37" t="str">
        <f aca="false">IF(D28="","",IFERROR(INDEX(rt_Billable,MATCH(D28,rt_Code,0)),"Unknown"))</f>
        <v>Yes</v>
      </c>
      <c r="L28" s="38" t="n">
        <f aca="false">IF(K28&lt;&gt;"Yes","",IFERROR(INDEX(cr_Rate,MATCH(J28&amp;"|"&amp;D28,cr_Key,0)),INDEX(rt_Rate,MATCH(D28,rt_Code,0))))</f>
        <v>98</v>
      </c>
      <c r="M28" s="25" t="n">
        <f aca="false">IF(L28="","",ROUND(N(E28)*L28,2))</f>
        <v>122.5</v>
      </c>
      <c r="N28" s="39" t="n">
        <f aca="false">IF(OR(A28="",B28=""),"",SUMIFS(tl_Hours,tl_StaffID,I28,tl_Date,A28))</f>
        <v>8</v>
      </c>
      <c r="O28" s="40" t="str">
        <f aca="false">IF(A28&amp;B28&amp;D28="","",IF(OR(A28="",B28="",D28="",E28=""),"Incomplete",IF(K28="Unknown","Unknown code",IF(AND(K28="Yes",C28=""),"Billable, needs client",IF(N28&gt;MaxDayHours,"Over "&amp;MaxDayHours&amp;" hours that day","")))))</f>
        <v/>
      </c>
    </row>
    <row r="29" customFormat="false" ht="15" hidden="false" customHeight="false" outlineLevel="0" collapsed="false">
      <c r="A29" s="31" t="n">
        <v>46204</v>
      </c>
      <c r="B29" s="32" t="s">
        <v>105</v>
      </c>
      <c r="C29" s="32" t="s">
        <v>87</v>
      </c>
      <c r="D29" s="33" t="s">
        <v>104</v>
      </c>
      <c r="E29" s="34" t="n">
        <v>0.75</v>
      </c>
      <c r="F29" s="32"/>
      <c r="G29" s="35" t="n">
        <f aca="false">IF(A29="","",A29+7-WEEKDAY(A29))</f>
        <v>46207</v>
      </c>
      <c r="H29" s="36" t="n">
        <f aca="false">IF(A29="","",DATE(YEAR(A29),MONTH(A29),1))</f>
        <v>46204</v>
      </c>
      <c r="I29" s="37" t="str">
        <f aca="false">IF(B29="","",IFERROR(INDEX(st_ID,MATCH(B29,st_Name,0)),"Unknown"))</f>
        <v>QP-06</v>
      </c>
      <c r="J29" s="37" t="str">
        <f aca="false">IF(C29="","",IFERROR(INDEX(cl_Code,MATCH(C29,cl_Name,0)),"Unknown"))</f>
        <v>HCS</v>
      </c>
      <c r="K29" s="37" t="str">
        <f aca="false">IF(D29="","",IFERROR(INDEX(rt_Billable,MATCH(D29,rt_Code,0)),"Unknown"))</f>
        <v>Yes</v>
      </c>
      <c r="L29" s="38" t="n">
        <f aca="false">IF(K29&lt;&gt;"Yes","",IFERROR(INDEX(cr_Rate,MATCH(J29&amp;"|"&amp;D29,cr_Key,0)),INDEX(rt_Rate,MATCH(D29,rt_Code,0))))</f>
        <v>62</v>
      </c>
      <c r="M29" s="25" t="n">
        <f aca="false">IF(L29="","",ROUND(N(E29)*L29,2))</f>
        <v>46.5</v>
      </c>
      <c r="N29" s="39" t="n">
        <f aca="false">IF(OR(A29="",B29=""),"",SUMIFS(tl_Hours,tl_StaffID,I29,tl_Date,A29))</f>
        <v>8</v>
      </c>
      <c r="O29" s="40" t="str">
        <f aca="false">IF(A29&amp;B29&amp;D29="","",IF(OR(A29="",B29="",D29="",E29=""),"Incomplete",IF(K29="Unknown","Unknown code",IF(AND(K29="Yes",C29=""),"Billable, needs client",IF(N29&gt;MaxDayHours,"Over "&amp;MaxDayHours&amp;" hours that day","")))))</f>
        <v/>
      </c>
    </row>
    <row r="30" customFormat="false" ht="15" hidden="false" customHeight="false" outlineLevel="0" collapsed="false">
      <c r="A30" s="31" t="n">
        <v>46204</v>
      </c>
      <c r="B30" s="32" t="s">
        <v>105</v>
      </c>
      <c r="C30" s="32" t="s">
        <v>90</v>
      </c>
      <c r="D30" s="33" t="s">
        <v>88</v>
      </c>
      <c r="E30" s="34" t="n">
        <v>1.75</v>
      </c>
      <c r="F30" s="32"/>
      <c r="G30" s="35" t="n">
        <f aca="false">IF(A30="","",A30+7-WEEKDAY(A30))</f>
        <v>46207</v>
      </c>
      <c r="H30" s="36" t="n">
        <f aca="false">IF(A30="","",DATE(YEAR(A30),MONTH(A30),1))</f>
        <v>46204</v>
      </c>
      <c r="I30" s="37" t="str">
        <f aca="false">IF(B30="","",IFERROR(INDEX(st_ID,MATCH(B30,st_Name,0)),"Unknown"))</f>
        <v>QP-06</v>
      </c>
      <c r="J30" s="37" t="str">
        <f aca="false">IF(C30="","",IFERROR(INDEX(cl_Code,MATCH(C30,cl_Name,0)),"Unknown"))</f>
        <v>BSE</v>
      </c>
      <c r="K30" s="37" t="str">
        <f aca="false">IF(D30="","",IFERROR(INDEX(rt_Billable,MATCH(D30,rt_Code,0)),"Unknown"))</f>
        <v>Yes</v>
      </c>
      <c r="L30" s="38" t="n">
        <f aca="false">IF(K30&lt;&gt;"Yes","",IFERROR(INDEX(cr_Rate,MATCH(J30&amp;"|"&amp;D30,cr_Key,0)),INDEX(rt_Rate,MATCH(D30,rt_Code,0))))</f>
        <v>104</v>
      </c>
      <c r="M30" s="25" t="n">
        <f aca="false">IF(L30="","",ROUND(N(E30)*L30,2))</f>
        <v>182</v>
      </c>
      <c r="N30" s="39" t="n">
        <f aca="false">IF(OR(A30="",B30=""),"",SUMIFS(tl_Hours,tl_StaffID,I30,tl_Date,A30))</f>
        <v>8</v>
      </c>
      <c r="O30" s="40" t="str">
        <f aca="false">IF(A30&amp;B30&amp;D30="","",IF(OR(A30="",B30="",D30="",E30=""),"Incomplete",IF(K30="Unknown","Unknown code",IF(AND(K30="Yes",C30=""),"Billable, needs client",IF(N30&gt;MaxDayHours,"Over "&amp;MaxDayHours&amp;" hours that day","")))))</f>
        <v/>
      </c>
    </row>
    <row r="31" customFormat="false" ht="15" hidden="false" customHeight="false" outlineLevel="0" collapsed="false">
      <c r="A31" s="31" t="n">
        <v>46204</v>
      </c>
      <c r="B31" s="32" t="s">
        <v>105</v>
      </c>
      <c r="C31" s="32" t="s">
        <v>90</v>
      </c>
      <c r="D31" s="33" t="s">
        <v>92</v>
      </c>
      <c r="E31" s="34" t="n">
        <v>0.25</v>
      </c>
      <c r="F31" s="32"/>
      <c r="G31" s="35" t="n">
        <f aca="false">IF(A31="","",A31+7-WEEKDAY(A31))</f>
        <v>46207</v>
      </c>
      <c r="H31" s="36" t="n">
        <f aca="false">IF(A31="","",DATE(YEAR(A31),MONTH(A31),1))</f>
        <v>46204</v>
      </c>
      <c r="I31" s="37" t="str">
        <f aca="false">IF(B31="","",IFERROR(INDEX(st_ID,MATCH(B31,st_Name,0)),"Unknown"))</f>
        <v>QP-06</v>
      </c>
      <c r="J31" s="37" t="str">
        <f aca="false">IF(C31="","",IFERROR(INDEX(cl_Code,MATCH(C31,cl_Name,0)),"Unknown"))</f>
        <v>BSE</v>
      </c>
      <c r="K31" s="37" t="str">
        <f aca="false">IF(D31="","",IFERROR(INDEX(rt_Billable,MATCH(D31,rt_Code,0)),"Unknown"))</f>
        <v>Yes</v>
      </c>
      <c r="L31" s="38" t="n">
        <f aca="false">IF(K31&lt;&gt;"Yes","",IFERROR(INDEX(cr_Rate,MATCH(J31&amp;"|"&amp;D31,cr_Key,0)),INDEX(rt_Rate,MATCH(D31,rt_Code,0))))</f>
        <v>145</v>
      </c>
      <c r="M31" s="25" t="n">
        <f aca="false">IF(L31="","",ROUND(N(E31)*L31,2))</f>
        <v>36.25</v>
      </c>
      <c r="N31" s="39" t="n">
        <f aca="false">IF(OR(A31="",B31=""),"",SUMIFS(tl_Hours,tl_StaffID,I31,tl_Date,A31))</f>
        <v>8</v>
      </c>
      <c r="O31" s="40" t="str">
        <f aca="false">IF(A31&amp;B31&amp;D31="","",IF(OR(A31="",B31="",D31="",E31=""),"Incomplete",IF(K31="Unknown","Unknown code",IF(AND(K31="Yes",C31=""),"Billable, needs client",IF(N31&gt;MaxDayHours,"Over "&amp;MaxDayHours&amp;" hours that day","")))))</f>
        <v/>
      </c>
    </row>
    <row r="32" customFormat="false" ht="15" hidden="false" customHeight="false" outlineLevel="0" collapsed="false">
      <c r="A32" s="31" t="n">
        <v>46204</v>
      </c>
      <c r="B32" s="32" t="s">
        <v>105</v>
      </c>
      <c r="C32" s="32"/>
      <c r="D32" s="33" t="s">
        <v>93</v>
      </c>
      <c r="E32" s="34" t="n">
        <v>0.5</v>
      </c>
      <c r="F32" s="32"/>
      <c r="G32" s="35" t="n">
        <f aca="false">IF(A32="","",A32+7-WEEKDAY(A32))</f>
        <v>46207</v>
      </c>
      <c r="H32" s="36" t="n">
        <f aca="false">IF(A32="","",DATE(YEAR(A32),MONTH(A32),1))</f>
        <v>46204</v>
      </c>
      <c r="I32" s="37" t="str">
        <f aca="false">IF(B32="","",IFERROR(INDEX(st_ID,MATCH(B32,st_Name,0)),"Unknown"))</f>
        <v>QP-06</v>
      </c>
      <c r="J32" s="37" t="str">
        <f aca="false">IF(C32="","",IFERROR(INDEX(cl_Code,MATCH(C32,cl_Name,0)),"Unknown"))</f>
        <v/>
      </c>
      <c r="K32" s="37" t="str">
        <f aca="false">IF(D32="","",IFERROR(INDEX(rt_Billable,MATCH(D32,rt_Code,0)),"Unknown"))</f>
        <v>No</v>
      </c>
      <c r="L32" s="38" t="str">
        <f aca="false">IF(K32&lt;&gt;"Yes","",IFERROR(INDEX(cr_Rate,MATCH(J32&amp;"|"&amp;D32,cr_Key,0)),INDEX(rt_Rate,MATCH(D32,rt_Code,0))))</f>
        <v/>
      </c>
      <c r="M32" s="25" t="str">
        <f aca="false">IF(L32="","",ROUND(N(E32)*L32,2))</f>
        <v/>
      </c>
      <c r="N32" s="39" t="n">
        <f aca="false">IF(OR(A32="",B32=""),"",SUMIFS(tl_Hours,tl_StaffID,I32,tl_Date,A32))</f>
        <v>8</v>
      </c>
      <c r="O32" s="40" t="str">
        <f aca="false">IF(A32&amp;B32&amp;D32="","",IF(OR(A32="",B32="",D32="",E32=""),"Incomplete",IF(K32="Unknown","Unknown code",IF(AND(K32="Yes",C32=""),"Billable, needs client",IF(N32&gt;MaxDayHours,"Over "&amp;MaxDayHours&amp;" hours that day","")))))</f>
        <v/>
      </c>
    </row>
    <row r="33" customFormat="false" ht="15" hidden="false" customHeight="false" outlineLevel="0" collapsed="false">
      <c r="A33" s="31" t="n">
        <v>46204</v>
      </c>
      <c r="B33" s="32" t="s">
        <v>105</v>
      </c>
      <c r="C33" s="32"/>
      <c r="D33" s="33" t="s">
        <v>98</v>
      </c>
      <c r="E33" s="34" t="n">
        <v>1</v>
      </c>
      <c r="F33" s="32" t="s">
        <v>99</v>
      </c>
      <c r="G33" s="35" t="n">
        <f aca="false">IF(A33="","",A33+7-WEEKDAY(A33))</f>
        <v>46207</v>
      </c>
      <c r="H33" s="36" t="n">
        <f aca="false">IF(A33="","",DATE(YEAR(A33),MONTH(A33),1))</f>
        <v>46204</v>
      </c>
      <c r="I33" s="37" t="str">
        <f aca="false">IF(B33="","",IFERROR(INDEX(st_ID,MATCH(B33,st_Name,0)),"Unknown"))</f>
        <v>QP-06</v>
      </c>
      <c r="J33" s="37" t="str">
        <f aca="false">IF(C33="","",IFERROR(INDEX(cl_Code,MATCH(C33,cl_Name,0)),"Unknown"))</f>
        <v/>
      </c>
      <c r="K33" s="37" t="str">
        <f aca="false">IF(D33="","",IFERROR(INDEX(rt_Billable,MATCH(D33,rt_Code,0)),"Unknown"))</f>
        <v>No</v>
      </c>
      <c r="L33" s="38" t="str">
        <f aca="false">IF(K33&lt;&gt;"Yes","",IFERROR(INDEX(cr_Rate,MATCH(J33&amp;"|"&amp;D33,cr_Key,0)),INDEX(rt_Rate,MATCH(D33,rt_Code,0))))</f>
        <v/>
      </c>
      <c r="M33" s="25" t="str">
        <f aca="false">IF(L33="","",ROUND(N(E33)*L33,2))</f>
        <v/>
      </c>
      <c r="N33" s="39" t="n">
        <f aca="false">IF(OR(A33="",B33=""),"",SUMIFS(tl_Hours,tl_StaffID,I33,tl_Date,A33))</f>
        <v>8</v>
      </c>
      <c r="O33" s="40" t="str">
        <f aca="false">IF(A33&amp;B33&amp;D33="","",IF(OR(A33="",B33="",D33="",E33=""),"Incomplete",IF(K33="Unknown","Unknown code",IF(AND(K33="Yes",C33=""),"Billable, needs client",IF(N33&gt;MaxDayHours,"Over "&amp;MaxDayHours&amp;" hours that day","")))))</f>
        <v/>
      </c>
    </row>
    <row r="34" customFormat="false" ht="15" hidden="false" customHeight="false" outlineLevel="0" collapsed="false">
      <c r="A34" s="31" t="n">
        <v>46204</v>
      </c>
      <c r="B34" s="32" t="s">
        <v>105</v>
      </c>
      <c r="C34" s="32"/>
      <c r="D34" s="33" t="s">
        <v>94</v>
      </c>
      <c r="E34" s="34" t="n">
        <v>1.5</v>
      </c>
      <c r="F34" s="32" t="s">
        <v>95</v>
      </c>
      <c r="G34" s="35" t="n">
        <f aca="false">IF(A34="","",A34+7-WEEKDAY(A34))</f>
        <v>46207</v>
      </c>
      <c r="H34" s="36" t="n">
        <f aca="false">IF(A34="","",DATE(YEAR(A34),MONTH(A34),1))</f>
        <v>46204</v>
      </c>
      <c r="I34" s="37" t="str">
        <f aca="false">IF(B34="","",IFERROR(INDEX(st_ID,MATCH(B34,st_Name,0)),"Unknown"))</f>
        <v>QP-06</v>
      </c>
      <c r="J34" s="37" t="str">
        <f aca="false">IF(C34="","",IFERROR(INDEX(cl_Code,MATCH(C34,cl_Name,0)),"Unknown"))</f>
        <v/>
      </c>
      <c r="K34" s="37" t="str">
        <f aca="false">IF(D34="","",IFERROR(INDEX(rt_Billable,MATCH(D34,rt_Code,0)),"Unknown"))</f>
        <v>No</v>
      </c>
      <c r="L34" s="38" t="str">
        <f aca="false">IF(K34&lt;&gt;"Yes","",IFERROR(INDEX(cr_Rate,MATCH(J34&amp;"|"&amp;D34,cr_Key,0)),INDEX(rt_Rate,MATCH(D34,rt_Code,0))))</f>
        <v/>
      </c>
      <c r="M34" s="25" t="str">
        <f aca="false">IF(L34="","",ROUND(N(E34)*L34,2))</f>
        <v/>
      </c>
      <c r="N34" s="39" t="n">
        <f aca="false">IF(OR(A34="",B34=""),"",SUMIFS(tl_Hours,tl_StaffID,I34,tl_Date,A34))</f>
        <v>8</v>
      </c>
      <c r="O34" s="40" t="str">
        <f aca="false">IF(A34&amp;B34&amp;D34="","",IF(OR(A34="",B34="",D34="",E34=""),"Incomplete",IF(K34="Unknown","Unknown code",IF(AND(K34="Yes",C34=""),"Billable, needs client",IF(N34&gt;MaxDayHours,"Over "&amp;MaxDayHours&amp;" hours that day","")))))</f>
        <v/>
      </c>
    </row>
    <row r="35" customFormat="false" ht="15" hidden="false" customHeight="false" outlineLevel="0" collapsed="false">
      <c r="A35" s="31" t="n">
        <v>46204</v>
      </c>
      <c r="B35" s="32" t="s">
        <v>105</v>
      </c>
      <c r="C35" s="32"/>
      <c r="D35" s="33" t="s">
        <v>96</v>
      </c>
      <c r="E35" s="34" t="n">
        <v>1</v>
      </c>
      <c r="F35" s="32"/>
      <c r="G35" s="35" t="n">
        <f aca="false">IF(A35="","",A35+7-WEEKDAY(A35))</f>
        <v>46207</v>
      </c>
      <c r="H35" s="36" t="n">
        <f aca="false">IF(A35="","",DATE(YEAR(A35),MONTH(A35),1))</f>
        <v>46204</v>
      </c>
      <c r="I35" s="37" t="str">
        <f aca="false">IF(B35="","",IFERROR(INDEX(st_ID,MATCH(B35,st_Name,0)),"Unknown"))</f>
        <v>QP-06</v>
      </c>
      <c r="J35" s="37" t="str">
        <f aca="false">IF(C35="","",IFERROR(INDEX(cl_Code,MATCH(C35,cl_Name,0)),"Unknown"))</f>
        <v/>
      </c>
      <c r="K35" s="37" t="str">
        <f aca="false">IF(D35="","",IFERROR(INDEX(rt_Billable,MATCH(D35,rt_Code,0)),"Unknown"))</f>
        <v>No</v>
      </c>
      <c r="L35" s="38" t="str">
        <f aca="false">IF(K35&lt;&gt;"Yes","",IFERROR(INDEX(cr_Rate,MATCH(J35&amp;"|"&amp;D35,cr_Key,0)),INDEX(rt_Rate,MATCH(D35,rt_Code,0))))</f>
        <v/>
      </c>
      <c r="M35" s="25" t="str">
        <f aca="false">IF(L35="","",ROUND(N(E35)*L35,2))</f>
        <v/>
      </c>
      <c r="N35" s="39" t="n">
        <f aca="false">IF(OR(A35="",B35=""),"",SUMIFS(tl_Hours,tl_StaffID,I35,tl_Date,A35))</f>
        <v>8</v>
      </c>
      <c r="O35" s="40" t="str">
        <f aca="false">IF(A35&amp;B35&amp;D35="","",IF(OR(A35="",B35="",D35="",E35=""),"Incomplete",IF(K35="Unknown","Unknown code",IF(AND(K35="Yes",C35=""),"Billable, needs client",IF(N35&gt;MaxDayHours,"Over "&amp;MaxDayHours&amp;" hours that day","")))))</f>
        <v/>
      </c>
    </row>
    <row r="36" customFormat="false" ht="15" hidden="false" customHeight="false" outlineLevel="0" collapsed="false">
      <c r="A36" s="31" t="n">
        <v>46204</v>
      </c>
      <c r="B36" s="32" t="s">
        <v>106</v>
      </c>
      <c r="C36" s="32" t="s">
        <v>87</v>
      </c>
      <c r="D36" s="33" t="s">
        <v>88</v>
      </c>
      <c r="E36" s="34" t="n">
        <v>1.25</v>
      </c>
      <c r="F36" s="32"/>
      <c r="G36" s="35" t="n">
        <f aca="false">IF(A36="","",A36+7-WEEKDAY(A36))</f>
        <v>46207</v>
      </c>
      <c r="H36" s="36" t="n">
        <f aca="false">IF(A36="","",DATE(YEAR(A36),MONTH(A36),1))</f>
        <v>46204</v>
      </c>
      <c r="I36" s="37" t="str">
        <f aca="false">IF(B36="","",IFERROR(INDEX(st_ID,MATCH(B36,st_Name,0)),"Unknown"))</f>
        <v>QP-07</v>
      </c>
      <c r="J36" s="37" t="str">
        <f aca="false">IF(C36="","",IFERROR(INDEX(cl_Code,MATCH(C36,cl_Name,0)),"Unknown"))</f>
        <v>HCS</v>
      </c>
      <c r="K36" s="37" t="str">
        <f aca="false">IF(D36="","",IFERROR(INDEX(rt_Billable,MATCH(D36,rt_Code,0)),"Unknown"))</f>
        <v>Yes</v>
      </c>
      <c r="L36" s="38" t="n">
        <f aca="false">IF(K36&lt;&gt;"Yes","",IFERROR(INDEX(cr_Rate,MATCH(J36&amp;"|"&amp;D36,cr_Key,0)),INDEX(rt_Rate,MATCH(D36,rt_Code,0))))</f>
        <v>98</v>
      </c>
      <c r="M36" s="25" t="n">
        <f aca="false">IF(L36="","",ROUND(N(E36)*L36,2))</f>
        <v>122.5</v>
      </c>
      <c r="N36" s="39" t="n">
        <f aca="false">IF(OR(A36="",B36=""),"",SUMIFS(tl_Hours,tl_StaffID,I36,tl_Date,A36))</f>
        <v>8</v>
      </c>
      <c r="O36" s="40" t="str">
        <f aca="false">IF(A36&amp;B36&amp;D36="","",IF(OR(A36="",B36="",D36="",E36=""),"Incomplete",IF(K36="Unknown","Unknown code",IF(AND(K36="Yes",C36=""),"Billable, needs client",IF(N36&gt;MaxDayHours,"Over "&amp;MaxDayHours&amp;" hours that day","")))))</f>
        <v/>
      </c>
    </row>
    <row r="37" customFormat="false" ht="15" hidden="false" customHeight="false" outlineLevel="0" collapsed="false">
      <c r="A37" s="31" t="n">
        <v>46204</v>
      </c>
      <c r="B37" s="32" t="s">
        <v>106</v>
      </c>
      <c r="C37" s="32" t="s">
        <v>87</v>
      </c>
      <c r="D37" s="33" t="s">
        <v>104</v>
      </c>
      <c r="E37" s="34" t="n">
        <v>1</v>
      </c>
      <c r="F37" s="32"/>
      <c r="G37" s="35" t="n">
        <f aca="false">IF(A37="","",A37+7-WEEKDAY(A37))</f>
        <v>46207</v>
      </c>
      <c r="H37" s="36" t="n">
        <f aca="false">IF(A37="","",DATE(YEAR(A37),MONTH(A37),1))</f>
        <v>46204</v>
      </c>
      <c r="I37" s="37" t="str">
        <f aca="false">IF(B37="","",IFERROR(INDEX(st_ID,MATCH(B37,st_Name,0)),"Unknown"))</f>
        <v>QP-07</v>
      </c>
      <c r="J37" s="37" t="str">
        <f aca="false">IF(C37="","",IFERROR(INDEX(cl_Code,MATCH(C37,cl_Name,0)),"Unknown"))</f>
        <v>HCS</v>
      </c>
      <c r="K37" s="37" t="str">
        <f aca="false">IF(D37="","",IFERROR(INDEX(rt_Billable,MATCH(D37,rt_Code,0)),"Unknown"))</f>
        <v>Yes</v>
      </c>
      <c r="L37" s="38" t="n">
        <f aca="false">IF(K37&lt;&gt;"Yes","",IFERROR(INDEX(cr_Rate,MATCH(J37&amp;"|"&amp;D37,cr_Key,0)),INDEX(rt_Rate,MATCH(D37,rt_Code,0))))</f>
        <v>62</v>
      </c>
      <c r="M37" s="25" t="n">
        <f aca="false">IF(L37="","",ROUND(N(E37)*L37,2))</f>
        <v>62</v>
      </c>
      <c r="N37" s="39" t="n">
        <f aca="false">IF(OR(A37="",B37=""),"",SUMIFS(tl_Hours,tl_StaffID,I37,tl_Date,A37))</f>
        <v>8</v>
      </c>
      <c r="O37" s="40" t="str">
        <f aca="false">IF(A37&amp;B37&amp;D37="","",IF(OR(A37="",B37="",D37="",E37=""),"Incomplete",IF(K37="Unknown","Unknown code",IF(AND(K37="Yes",C37=""),"Billable, needs client",IF(N37&gt;MaxDayHours,"Over "&amp;MaxDayHours&amp;" hours that day","")))))</f>
        <v/>
      </c>
    </row>
    <row r="38" customFormat="false" ht="15" hidden="false" customHeight="false" outlineLevel="0" collapsed="false">
      <c r="A38" s="31" t="n">
        <v>46204</v>
      </c>
      <c r="B38" s="32" t="s">
        <v>106</v>
      </c>
      <c r="C38" s="32" t="s">
        <v>102</v>
      </c>
      <c r="D38" s="33" t="s">
        <v>88</v>
      </c>
      <c r="E38" s="34" t="n">
        <v>1.5</v>
      </c>
      <c r="F38" s="32"/>
      <c r="G38" s="35" t="n">
        <f aca="false">IF(A38="","",A38+7-WEEKDAY(A38))</f>
        <v>46207</v>
      </c>
      <c r="H38" s="36" t="n">
        <f aca="false">IF(A38="","",DATE(YEAR(A38),MONTH(A38),1))</f>
        <v>46204</v>
      </c>
      <c r="I38" s="37" t="str">
        <f aca="false">IF(B38="","",IFERROR(INDEX(st_ID,MATCH(B38,st_Name,0)),"Unknown"))</f>
        <v>QP-07</v>
      </c>
      <c r="J38" s="37" t="str">
        <f aca="false">IF(C38="","",IFERROR(INDEX(cl_Code,MATCH(C38,cl_Name,0)),"Unknown"))</f>
        <v>CLH</v>
      </c>
      <c r="K38" s="37" t="str">
        <f aca="false">IF(D38="","",IFERROR(INDEX(rt_Billable,MATCH(D38,rt_Code,0)),"Unknown"))</f>
        <v>Yes</v>
      </c>
      <c r="L38" s="38" t="n">
        <f aca="false">IF(K38&lt;&gt;"Yes","",IFERROR(INDEX(cr_Rate,MATCH(J38&amp;"|"&amp;D38,cr_Key,0)),INDEX(rt_Rate,MATCH(D38,rt_Code,0))))</f>
        <v>110</v>
      </c>
      <c r="M38" s="25" t="n">
        <f aca="false">IF(L38="","",ROUND(N(E38)*L38,2))</f>
        <v>165</v>
      </c>
      <c r="N38" s="39" t="n">
        <f aca="false">IF(OR(A38="",B38=""),"",SUMIFS(tl_Hours,tl_StaffID,I38,tl_Date,A38))</f>
        <v>8</v>
      </c>
      <c r="O38" s="40" t="str">
        <f aca="false">IF(A38&amp;B38&amp;D38="","",IF(OR(A38="",B38="",D38="",E38=""),"Incomplete",IF(K38="Unknown","Unknown code",IF(AND(K38="Yes",C38=""),"Billable, needs client",IF(N38&gt;MaxDayHours,"Over "&amp;MaxDayHours&amp;" hours that day","")))))</f>
        <v/>
      </c>
    </row>
    <row r="39" customFormat="false" ht="15" hidden="false" customHeight="false" outlineLevel="0" collapsed="false">
      <c r="A39" s="31" t="n">
        <v>46204</v>
      </c>
      <c r="B39" s="32" t="s">
        <v>106</v>
      </c>
      <c r="C39" s="32" t="s">
        <v>102</v>
      </c>
      <c r="D39" s="33" t="s">
        <v>104</v>
      </c>
      <c r="E39" s="34" t="n">
        <v>0.75</v>
      </c>
      <c r="F39" s="32"/>
      <c r="G39" s="35" t="n">
        <f aca="false">IF(A39="","",A39+7-WEEKDAY(A39))</f>
        <v>46207</v>
      </c>
      <c r="H39" s="36" t="n">
        <f aca="false">IF(A39="","",DATE(YEAR(A39),MONTH(A39),1))</f>
        <v>46204</v>
      </c>
      <c r="I39" s="37" t="str">
        <f aca="false">IF(B39="","",IFERROR(INDEX(st_ID,MATCH(B39,st_Name,0)),"Unknown"))</f>
        <v>QP-07</v>
      </c>
      <c r="J39" s="37" t="str">
        <f aca="false">IF(C39="","",IFERROR(INDEX(cl_Code,MATCH(C39,cl_Name,0)),"Unknown"))</f>
        <v>CLH</v>
      </c>
      <c r="K39" s="37" t="str">
        <f aca="false">IF(D39="","",IFERROR(INDEX(rt_Billable,MATCH(D39,rt_Code,0)),"Unknown"))</f>
        <v>Yes</v>
      </c>
      <c r="L39" s="38" t="n">
        <f aca="false">IF(K39&lt;&gt;"Yes","",IFERROR(INDEX(cr_Rate,MATCH(J39&amp;"|"&amp;D39,cr_Key,0)),INDEX(rt_Rate,MATCH(D39,rt_Code,0))))</f>
        <v>65</v>
      </c>
      <c r="M39" s="25" t="n">
        <f aca="false">IF(L39="","",ROUND(N(E39)*L39,2))</f>
        <v>48.75</v>
      </c>
      <c r="N39" s="39" t="n">
        <f aca="false">IF(OR(A39="",B39=""),"",SUMIFS(tl_Hours,tl_StaffID,I39,tl_Date,A39))</f>
        <v>8</v>
      </c>
      <c r="O39" s="40" t="str">
        <f aca="false">IF(A39&amp;B39&amp;D39="","",IF(OR(A39="",B39="",D39="",E39=""),"Incomplete",IF(K39="Unknown","Unknown code",IF(AND(K39="Yes",C39=""),"Billable, needs client",IF(N39&gt;MaxDayHours,"Over "&amp;MaxDayHours&amp;" hours that day","")))))</f>
        <v/>
      </c>
    </row>
    <row r="40" customFormat="false" ht="15" hidden="false" customHeight="false" outlineLevel="0" collapsed="false">
      <c r="A40" s="31" t="n">
        <v>46204</v>
      </c>
      <c r="B40" s="32" t="s">
        <v>106</v>
      </c>
      <c r="C40" s="32"/>
      <c r="D40" s="33" t="s">
        <v>93</v>
      </c>
      <c r="E40" s="34" t="n">
        <v>0.5</v>
      </c>
      <c r="F40" s="32"/>
      <c r="G40" s="35" t="n">
        <f aca="false">IF(A40="","",A40+7-WEEKDAY(A40))</f>
        <v>46207</v>
      </c>
      <c r="H40" s="36" t="n">
        <f aca="false">IF(A40="","",DATE(YEAR(A40),MONTH(A40),1))</f>
        <v>46204</v>
      </c>
      <c r="I40" s="37" t="str">
        <f aca="false">IF(B40="","",IFERROR(INDEX(st_ID,MATCH(B40,st_Name,0)),"Unknown"))</f>
        <v>QP-07</v>
      </c>
      <c r="J40" s="37" t="str">
        <f aca="false">IF(C40="","",IFERROR(INDEX(cl_Code,MATCH(C40,cl_Name,0)),"Unknown"))</f>
        <v/>
      </c>
      <c r="K40" s="37" t="str">
        <f aca="false">IF(D40="","",IFERROR(INDEX(rt_Billable,MATCH(D40,rt_Code,0)),"Unknown"))</f>
        <v>No</v>
      </c>
      <c r="L40" s="38" t="str">
        <f aca="false">IF(K40&lt;&gt;"Yes","",IFERROR(INDEX(cr_Rate,MATCH(J40&amp;"|"&amp;D40,cr_Key,0)),INDEX(rt_Rate,MATCH(D40,rt_Code,0))))</f>
        <v/>
      </c>
      <c r="M40" s="25" t="str">
        <f aca="false">IF(L40="","",ROUND(N(E40)*L40,2))</f>
        <v/>
      </c>
      <c r="N40" s="39" t="n">
        <f aca="false">IF(OR(A40="",B40=""),"",SUMIFS(tl_Hours,tl_StaffID,I40,tl_Date,A40))</f>
        <v>8</v>
      </c>
      <c r="O40" s="40" t="str">
        <f aca="false">IF(A40&amp;B40&amp;D40="","",IF(OR(A40="",B40="",D40="",E40=""),"Incomplete",IF(K40="Unknown","Unknown code",IF(AND(K40="Yes",C40=""),"Billable, needs client",IF(N40&gt;MaxDayHours,"Over "&amp;MaxDayHours&amp;" hours that day","")))))</f>
        <v/>
      </c>
    </row>
    <row r="41" customFormat="false" ht="15" hidden="false" customHeight="false" outlineLevel="0" collapsed="false">
      <c r="A41" s="31" t="n">
        <v>46204</v>
      </c>
      <c r="B41" s="32" t="s">
        <v>106</v>
      </c>
      <c r="C41" s="32"/>
      <c r="D41" s="33" t="s">
        <v>98</v>
      </c>
      <c r="E41" s="34" t="n">
        <v>1</v>
      </c>
      <c r="F41" s="32" t="s">
        <v>99</v>
      </c>
      <c r="G41" s="35" t="n">
        <f aca="false">IF(A41="","",A41+7-WEEKDAY(A41))</f>
        <v>46207</v>
      </c>
      <c r="H41" s="36" t="n">
        <f aca="false">IF(A41="","",DATE(YEAR(A41),MONTH(A41),1))</f>
        <v>46204</v>
      </c>
      <c r="I41" s="37" t="str">
        <f aca="false">IF(B41="","",IFERROR(INDEX(st_ID,MATCH(B41,st_Name,0)),"Unknown"))</f>
        <v>QP-07</v>
      </c>
      <c r="J41" s="37" t="str">
        <f aca="false">IF(C41="","",IFERROR(INDEX(cl_Code,MATCH(C41,cl_Name,0)),"Unknown"))</f>
        <v/>
      </c>
      <c r="K41" s="37" t="str">
        <f aca="false">IF(D41="","",IFERROR(INDEX(rt_Billable,MATCH(D41,rt_Code,0)),"Unknown"))</f>
        <v>No</v>
      </c>
      <c r="L41" s="38" t="str">
        <f aca="false">IF(K41&lt;&gt;"Yes","",IFERROR(INDEX(cr_Rate,MATCH(J41&amp;"|"&amp;D41,cr_Key,0)),INDEX(rt_Rate,MATCH(D41,rt_Code,0))))</f>
        <v/>
      </c>
      <c r="M41" s="25" t="str">
        <f aca="false">IF(L41="","",ROUND(N(E41)*L41,2))</f>
        <v/>
      </c>
      <c r="N41" s="39" t="n">
        <f aca="false">IF(OR(A41="",B41=""),"",SUMIFS(tl_Hours,tl_StaffID,I41,tl_Date,A41))</f>
        <v>8</v>
      </c>
      <c r="O41" s="40" t="str">
        <f aca="false">IF(A41&amp;B41&amp;D41="","",IF(OR(A41="",B41="",D41="",E41=""),"Incomplete",IF(K41="Unknown","Unknown code",IF(AND(K41="Yes",C41=""),"Billable, needs client",IF(N41&gt;MaxDayHours,"Over "&amp;MaxDayHours&amp;" hours that day","")))))</f>
        <v/>
      </c>
    </row>
    <row r="42" customFormat="false" ht="15" hidden="false" customHeight="false" outlineLevel="0" collapsed="false">
      <c r="A42" s="31" t="n">
        <v>46204</v>
      </c>
      <c r="B42" s="32" t="s">
        <v>106</v>
      </c>
      <c r="C42" s="32"/>
      <c r="D42" s="33" t="s">
        <v>96</v>
      </c>
      <c r="E42" s="34" t="n">
        <v>2</v>
      </c>
      <c r="F42" s="32"/>
      <c r="G42" s="35" t="n">
        <f aca="false">IF(A42="","",A42+7-WEEKDAY(A42))</f>
        <v>46207</v>
      </c>
      <c r="H42" s="36" t="n">
        <f aca="false">IF(A42="","",DATE(YEAR(A42),MONTH(A42),1))</f>
        <v>46204</v>
      </c>
      <c r="I42" s="37" t="str">
        <f aca="false">IF(B42="","",IFERROR(INDEX(st_ID,MATCH(B42,st_Name,0)),"Unknown"))</f>
        <v>QP-07</v>
      </c>
      <c r="J42" s="37" t="str">
        <f aca="false">IF(C42="","",IFERROR(INDEX(cl_Code,MATCH(C42,cl_Name,0)),"Unknown"))</f>
        <v/>
      </c>
      <c r="K42" s="37" t="str">
        <f aca="false">IF(D42="","",IFERROR(INDEX(rt_Billable,MATCH(D42,rt_Code,0)),"Unknown"))</f>
        <v>No</v>
      </c>
      <c r="L42" s="38" t="str">
        <f aca="false">IF(K42&lt;&gt;"Yes","",IFERROR(INDEX(cr_Rate,MATCH(J42&amp;"|"&amp;D42,cr_Key,0)),INDEX(rt_Rate,MATCH(D42,rt_Code,0))))</f>
        <v/>
      </c>
      <c r="M42" s="25" t="str">
        <f aca="false">IF(L42="","",ROUND(N(E42)*L42,2))</f>
        <v/>
      </c>
      <c r="N42" s="39" t="n">
        <f aca="false">IF(OR(A42="",B42=""),"",SUMIFS(tl_Hours,tl_StaffID,I42,tl_Date,A42))</f>
        <v>8</v>
      </c>
      <c r="O42" s="40" t="str">
        <f aca="false">IF(A42&amp;B42&amp;D42="","",IF(OR(A42="",B42="",D42="",E42=""),"Incomplete",IF(K42="Unknown","Unknown code",IF(AND(K42="Yes",C42=""),"Billable, needs client",IF(N42&gt;MaxDayHours,"Over "&amp;MaxDayHours&amp;" hours that day","")))))</f>
        <v/>
      </c>
    </row>
    <row r="43" customFormat="false" ht="15" hidden="false" customHeight="false" outlineLevel="0" collapsed="false">
      <c r="A43" s="31" t="n">
        <v>46204</v>
      </c>
      <c r="B43" s="32" t="s">
        <v>107</v>
      </c>
      <c r="C43" s="32"/>
      <c r="D43" s="33" t="s">
        <v>108</v>
      </c>
      <c r="E43" s="34" t="n">
        <v>6</v>
      </c>
      <c r="F43" s="32"/>
      <c r="G43" s="35" t="n">
        <f aca="false">IF(A43="","",A43+7-WEEKDAY(A43))</f>
        <v>46207</v>
      </c>
      <c r="H43" s="36" t="n">
        <f aca="false">IF(A43="","",DATE(YEAR(A43),MONTH(A43),1))</f>
        <v>46204</v>
      </c>
      <c r="I43" s="37" t="str">
        <f aca="false">IF(B43="","",IFERROR(INDEX(st_ID,MATCH(B43,st_Name,0)),"Unknown"))</f>
        <v>QP-08</v>
      </c>
      <c r="J43" s="37" t="str">
        <f aca="false">IF(C43="","",IFERROR(INDEX(cl_Code,MATCH(C43,cl_Name,0)),"Unknown"))</f>
        <v/>
      </c>
      <c r="K43" s="37" t="str">
        <f aca="false">IF(D43="","",IFERROR(INDEX(rt_Billable,MATCH(D43,rt_Code,0)),"Unknown"))</f>
        <v>No</v>
      </c>
      <c r="L43" s="38" t="str">
        <f aca="false">IF(K43&lt;&gt;"Yes","",IFERROR(INDEX(cr_Rate,MATCH(J43&amp;"|"&amp;D43,cr_Key,0)),INDEX(rt_Rate,MATCH(D43,rt_Code,0))))</f>
        <v/>
      </c>
      <c r="M43" s="25" t="str">
        <f aca="false">IF(L43="","",ROUND(N(E43)*L43,2))</f>
        <v/>
      </c>
      <c r="N43" s="39" t="n">
        <f aca="false">IF(OR(A43="",B43=""),"",SUMIFS(tl_Hours,tl_StaffID,I43,tl_Date,A43))</f>
        <v>8</v>
      </c>
      <c r="O43" s="40" t="str">
        <f aca="false">IF(A43&amp;B43&amp;D43="","",IF(OR(A43="",B43="",D43="",E43=""),"Incomplete",IF(K43="Unknown","Unknown code",IF(AND(K43="Yes",C43=""),"Billable, needs client",IF(N43&gt;MaxDayHours,"Over "&amp;MaxDayHours&amp;" hours that day","")))))</f>
        <v/>
      </c>
    </row>
    <row r="44" customFormat="false" ht="15" hidden="false" customHeight="false" outlineLevel="0" collapsed="false">
      <c r="A44" s="31" t="n">
        <v>46204</v>
      </c>
      <c r="B44" s="32" t="s">
        <v>107</v>
      </c>
      <c r="C44" s="32"/>
      <c r="D44" s="33" t="s">
        <v>98</v>
      </c>
      <c r="E44" s="34" t="n">
        <v>2</v>
      </c>
      <c r="F44" s="32"/>
      <c r="G44" s="35" t="n">
        <f aca="false">IF(A44="","",A44+7-WEEKDAY(A44))</f>
        <v>46207</v>
      </c>
      <c r="H44" s="36" t="n">
        <f aca="false">IF(A44="","",DATE(YEAR(A44),MONTH(A44),1))</f>
        <v>46204</v>
      </c>
      <c r="I44" s="37" t="str">
        <f aca="false">IF(B44="","",IFERROR(INDEX(st_ID,MATCH(B44,st_Name,0)),"Unknown"))</f>
        <v>QP-08</v>
      </c>
      <c r="J44" s="37" t="str">
        <f aca="false">IF(C44="","",IFERROR(INDEX(cl_Code,MATCH(C44,cl_Name,0)),"Unknown"))</f>
        <v/>
      </c>
      <c r="K44" s="37" t="str">
        <f aca="false">IF(D44="","",IFERROR(INDEX(rt_Billable,MATCH(D44,rt_Code,0)),"Unknown"))</f>
        <v>No</v>
      </c>
      <c r="L44" s="38" t="str">
        <f aca="false">IF(K44&lt;&gt;"Yes","",IFERROR(INDEX(cr_Rate,MATCH(J44&amp;"|"&amp;D44,cr_Key,0)),INDEX(rt_Rate,MATCH(D44,rt_Code,0))))</f>
        <v/>
      </c>
      <c r="M44" s="25" t="str">
        <f aca="false">IF(L44="","",ROUND(N(E44)*L44,2))</f>
        <v/>
      </c>
      <c r="N44" s="39" t="n">
        <f aca="false">IF(OR(A44="",B44=""),"",SUMIFS(tl_Hours,tl_StaffID,I44,tl_Date,A44))</f>
        <v>8</v>
      </c>
      <c r="O44" s="40" t="str">
        <f aca="false">IF(A44&amp;B44&amp;D44="","",IF(OR(A44="",B44="",D44="",E44=""),"Incomplete",IF(K44="Unknown","Unknown code",IF(AND(K44="Yes",C44=""),"Billable, needs client",IF(N44&gt;MaxDayHours,"Over "&amp;MaxDayHours&amp;" hours that day","")))))</f>
        <v/>
      </c>
    </row>
    <row r="45" customFormat="false" ht="15" hidden="false" customHeight="false" outlineLevel="0" collapsed="false">
      <c r="A45" s="31" t="n">
        <v>46205</v>
      </c>
      <c r="B45" s="32" t="s">
        <v>86</v>
      </c>
      <c r="C45" s="32" t="s">
        <v>87</v>
      </c>
      <c r="D45" s="33" t="s">
        <v>104</v>
      </c>
      <c r="E45" s="34" t="n">
        <v>2.25</v>
      </c>
      <c r="F45" s="32"/>
      <c r="G45" s="35" t="n">
        <f aca="false">IF(A45="","",A45+7-WEEKDAY(A45))</f>
        <v>46207</v>
      </c>
      <c r="H45" s="36" t="n">
        <f aca="false">IF(A45="","",DATE(YEAR(A45),MONTH(A45),1))</f>
        <v>46204</v>
      </c>
      <c r="I45" s="37" t="str">
        <f aca="false">IF(B45="","",IFERROR(INDEX(st_ID,MATCH(B45,st_Name,0)),"Unknown"))</f>
        <v>QP-01</v>
      </c>
      <c r="J45" s="37" t="str">
        <f aca="false">IF(C45="","",IFERROR(INDEX(cl_Code,MATCH(C45,cl_Name,0)),"Unknown"))</f>
        <v>HCS</v>
      </c>
      <c r="K45" s="37" t="str">
        <f aca="false">IF(D45="","",IFERROR(INDEX(rt_Billable,MATCH(D45,rt_Code,0)),"Unknown"))</f>
        <v>Yes</v>
      </c>
      <c r="L45" s="38" t="n">
        <f aca="false">IF(K45&lt;&gt;"Yes","",IFERROR(INDEX(cr_Rate,MATCH(J45&amp;"|"&amp;D45,cr_Key,0)),INDEX(rt_Rate,MATCH(D45,rt_Code,0))))</f>
        <v>62</v>
      </c>
      <c r="M45" s="25" t="n">
        <f aca="false">IF(L45="","",ROUND(N(E45)*L45,2))</f>
        <v>139.5</v>
      </c>
      <c r="N45" s="39" t="n">
        <f aca="false">IF(OR(A45="",B45=""),"",SUMIFS(tl_Hours,tl_StaffID,I45,tl_Date,A45))</f>
        <v>8</v>
      </c>
      <c r="O45" s="40" t="str">
        <f aca="false">IF(A45&amp;B45&amp;D45="","",IF(OR(A45="",B45="",D45="",E45=""),"Incomplete",IF(K45="Unknown","Unknown code",IF(AND(K45="Yes",C45=""),"Billable, needs client",IF(N45&gt;MaxDayHours,"Over "&amp;MaxDayHours&amp;" hours that day","")))))</f>
        <v/>
      </c>
    </row>
    <row r="46" customFormat="false" ht="15" hidden="false" customHeight="false" outlineLevel="0" collapsed="false">
      <c r="A46" s="31" t="n">
        <v>46205</v>
      </c>
      <c r="B46" s="32" t="s">
        <v>86</v>
      </c>
      <c r="C46" s="32" t="s">
        <v>87</v>
      </c>
      <c r="D46" s="33" t="s">
        <v>89</v>
      </c>
      <c r="E46" s="34" t="n">
        <v>1.75</v>
      </c>
      <c r="F46" s="32"/>
      <c r="G46" s="35" t="n">
        <f aca="false">IF(A46="","",A46+7-WEEKDAY(A46))</f>
        <v>46207</v>
      </c>
      <c r="H46" s="36" t="n">
        <f aca="false">IF(A46="","",DATE(YEAR(A46),MONTH(A46),1))</f>
        <v>46204</v>
      </c>
      <c r="I46" s="37" t="str">
        <f aca="false">IF(B46="","",IFERROR(INDEX(st_ID,MATCH(B46,st_Name,0)),"Unknown"))</f>
        <v>QP-01</v>
      </c>
      <c r="J46" s="37" t="str">
        <f aca="false">IF(C46="","",IFERROR(INDEX(cl_Code,MATCH(C46,cl_Name,0)),"Unknown"))</f>
        <v>HCS</v>
      </c>
      <c r="K46" s="37" t="str">
        <f aca="false">IF(D46="","",IFERROR(INDEX(rt_Billable,MATCH(D46,rt_Code,0)),"Unknown"))</f>
        <v>Yes</v>
      </c>
      <c r="L46" s="38" t="n">
        <f aca="false">IF(K46&lt;&gt;"Yes","",IFERROR(INDEX(cr_Rate,MATCH(J46&amp;"|"&amp;D46,cr_Key,0)),INDEX(rt_Rate,MATCH(D46,rt_Code,0))))</f>
        <v>88</v>
      </c>
      <c r="M46" s="25" t="n">
        <f aca="false">IF(L46="","",ROUND(N(E46)*L46,2))</f>
        <v>154</v>
      </c>
      <c r="N46" s="39" t="n">
        <f aca="false">IF(OR(A46="",B46=""),"",SUMIFS(tl_Hours,tl_StaffID,I46,tl_Date,A46))</f>
        <v>8</v>
      </c>
      <c r="O46" s="40" t="str">
        <f aca="false">IF(A46&amp;B46&amp;D46="","",IF(OR(A46="",B46="",D46="",E46=""),"Incomplete",IF(K46="Unknown","Unknown code",IF(AND(K46="Yes",C46=""),"Billable, needs client",IF(N46&gt;MaxDayHours,"Over "&amp;MaxDayHours&amp;" hours that day","")))))</f>
        <v/>
      </c>
    </row>
    <row r="47" customFormat="false" ht="15" hidden="false" customHeight="false" outlineLevel="0" collapsed="false">
      <c r="A47" s="31" t="n">
        <v>46205</v>
      </c>
      <c r="B47" s="32" t="s">
        <v>86</v>
      </c>
      <c r="C47" s="32"/>
      <c r="D47" s="33" t="s">
        <v>96</v>
      </c>
      <c r="E47" s="34" t="n">
        <v>4</v>
      </c>
      <c r="F47" s="32"/>
      <c r="G47" s="35" t="n">
        <f aca="false">IF(A47="","",A47+7-WEEKDAY(A47))</f>
        <v>46207</v>
      </c>
      <c r="H47" s="36" t="n">
        <f aca="false">IF(A47="","",DATE(YEAR(A47),MONTH(A47),1))</f>
        <v>46204</v>
      </c>
      <c r="I47" s="37" t="str">
        <f aca="false">IF(B47="","",IFERROR(INDEX(st_ID,MATCH(B47,st_Name,0)),"Unknown"))</f>
        <v>QP-01</v>
      </c>
      <c r="J47" s="37" t="str">
        <f aca="false">IF(C47="","",IFERROR(INDEX(cl_Code,MATCH(C47,cl_Name,0)),"Unknown"))</f>
        <v/>
      </c>
      <c r="K47" s="37" t="str">
        <f aca="false">IF(D47="","",IFERROR(INDEX(rt_Billable,MATCH(D47,rt_Code,0)),"Unknown"))</f>
        <v>No</v>
      </c>
      <c r="L47" s="38" t="str">
        <f aca="false">IF(K47&lt;&gt;"Yes","",IFERROR(INDEX(cr_Rate,MATCH(J47&amp;"|"&amp;D47,cr_Key,0)),INDEX(rt_Rate,MATCH(D47,rt_Code,0))))</f>
        <v/>
      </c>
      <c r="M47" s="25" t="str">
        <f aca="false">IF(L47="","",ROUND(N(E47)*L47,2))</f>
        <v/>
      </c>
      <c r="N47" s="39" t="n">
        <f aca="false">IF(OR(A47="",B47=""),"",SUMIFS(tl_Hours,tl_StaffID,I47,tl_Date,A47))</f>
        <v>8</v>
      </c>
      <c r="O47" s="40" t="str">
        <f aca="false">IF(A47&amp;B47&amp;D47="","",IF(OR(A47="",B47="",D47="",E47=""),"Incomplete",IF(K47="Unknown","Unknown code",IF(AND(K47="Yes",C47=""),"Billable, needs client",IF(N47&gt;MaxDayHours,"Over "&amp;MaxDayHours&amp;" hours that day","")))))</f>
        <v/>
      </c>
    </row>
    <row r="48" customFormat="false" ht="15" hidden="false" customHeight="false" outlineLevel="0" collapsed="false">
      <c r="A48" s="31" t="n">
        <v>46205</v>
      </c>
      <c r="B48" s="32" t="s">
        <v>97</v>
      </c>
      <c r="C48" s="32" t="s">
        <v>90</v>
      </c>
      <c r="D48" s="33" t="s">
        <v>91</v>
      </c>
      <c r="E48" s="34" t="n">
        <v>2.75</v>
      </c>
      <c r="F48" s="32"/>
      <c r="G48" s="35" t="n">
        <f aca="false">IF(A48="","",A48+7-WEEKDAY(A48))</f>
        <v>46207</v>
      </c>
      <c r="H48" s="36" t="n">
        <f aca="false">IF(A48="","",DATE(YEAR(A48),MONTH(A48),1))</f>
        <v>46204</v>
      </c>
      <c r="I48" s="37" t="str">
        <f aca="false">IF(B48="","",IFERROR(INDEX(st_ID,MATCH(B48,st_Name,0)),"Unknown"))</f>
        <v>QP-02</v>
      </c>
      <c r="J48" s="37" t="str">
        <f aca="false">IF(C48="","",IFERROR(INDEX(cl_Code,MATCH(C48,cl_Name,0)),"Unknown"))</f>
        <v>BSE</v>
      </c>
      <c r="K48" s="37" t="str">
        <f aca="false">IF(D48="","",IFERROR(INDEX(rt_Billable,MATCH(D48,rt_Code,0)),"Unknown"))</f>
        <v>Yes</v>
      </c>
      <c r="L48" s="38" t="n">
        <f aca="false">IF(K48&lt;&gt;"Yes","",IFERROR(INDEX(cr_Rate,MATCH(J48&amp;"|"&amp;D48,cr_Key,0)),INDEX(rt_Rate,MATCH(D48,rt_Code,0))))</f>
        <v>100</v>
      </c>
      <c r="M48" s="25" t="n">
        <f aca="false">IF(L48="","",ROUND(N(E48)*L48,2))</f>
        <v>275</v>
      </c>
      <c r="N48" s="39" t="n">
        <f aca="false">IF(OR(A48="",B48=""),"",SUMIFS(tl_Hours,tl_StaffID,I48,tl_Date,A48))</f>
        <v>8</v>
      </c>
      <c r="O48" s="40" t="str">
        <f aca="false">IF(A48&amp;B48&amp;D48="","",IF(OR(A48="",B48="",D48="",E48=""),"Incomplete",IF(K48="Unknown","Unknown code",IF(AND(K48="Yes",C48=""),"Billable, needs client",IF(N48&gt;MaxDayHours,"Over "&amp;MaxDayHours&amp;" hours that day","")))))</f>
        <v/>
      </c>
    </row>
    <row r="49" customFormat="false" ht="15" hidden="false" customHeight="false" outlineLevel="0" collapsed="false">
      <c r="A49" s="31" t="n">
        <v>46205</v>
      </c>
      <c r="B49" s="32" t="s">
        <v>97</v>
      </c>
      <c r="C49" s="32" t="s">
        <v>90</v>
      </c>
      <c r="D49" s="33" t="s">
        <v>104</v>
      </c>
      <c r="E49" s="34" t="n">
        <v>1.25</v>
      </c>
      <c r="F49" s="32"/>
      <c r="G49" s="35" t="n">
        <f aca="false">IF(A49="","",A49+7-WEEKDAY(A49))</f>
        <v>46207</v>
      </c>
      <c r="H49" s="36" t="n">
        <f aca="false">IF(A49="","",DATE(YEAR(A49),MONTH(A49),1))</f>
        <v>46204</v>
      </c>
      <c r="I49" s="37" t="str">
        <f aca="false">IF(B49="","",IFERROR(INDEX(st_ID,MATCH(B49,st_Name,0)),"Unknown"))</f>
        <v>QP-02</v>
      </c>
      <c r="J49" s="37" t="str">
        <f aca="false">IF(C49="","",IFERROR(INDEX(cl_Code,MATCH(C49,cl_Name,0)),"Unknown"))</f>
        <v>BSE</v>
      </c>
      <c r="K49" s="37" t="str">
        <f aca="false">IF(D49="","",IFERROR(INDEX(rt_Billable,MATCH(D49,rt_Code,0)),"Unknown"))</f>
        <v>Yes</v>
      </c>
      <c r="L49" s="38" t="n">
        <f aca="false">IF(K49&lt;&gt;"Yes","",IFERROR(INDEX(cr_Rate,MATCH(J49&amp;"|"&amp;D49,cr_Key,0)),INDEX(rt_Rate,MATCH(D49,rt_Code,0))))</f>
        <v>70</v>
      </c>
      <c r="M49" s="25" t="n">
        <f aca="false">IF(L49="","",ROUND(N(E49)*L49,2))</f>
        <v>87.5</v>
      </c>
      <c r="N49" s="39" t="n">
        <f aca="false">IF(OR(A49="",B49=""),"",SUMIFS(tl_Hours,tl_StaffID,I49,tl_Date,A49))</f>
        <v>8</v>
      </c>
      <c r="O49" s="40" t="str">
        <f aca="false">IF(A49&amp;B49&amp;D49="","",IF(OR(A49="",B49="",D49="",E49=""),"Incomplete",IF(K49="Unknown","Unknown code",IF(AND(K49="Yes",C49=""),"Billable, needs client",IF(N49&gt;MaxDayHours,"Over "&amp;MaxDayHours&amp;" hours that day","")))))</f>
        <v/>
      </c>
    </row>
    <row r="50" customFormat="false" ht="15" hidden="false" customHeight="false" outlineLevel="0" collapsed="false">
      <c r="A50" s="31" t="n">
        <v>46205</v>
      </c>
      <c r="B50" s="32" t="s">
        <v>97</v>
      </c>
      <c r="C50" s="32"/>
      <c r="D50" s="33" t="s">
        <v>96</v>
      </c>
      <c r="E50" s="34" t="n">
        <v>4</v>
      </c>
      <c r="F50" s="32"/>
      <c r="G50" s="35" t="n">
        <f aca="false">IF(A50="","",A50+7-WEEKDAY(A50))</f>
        <v>46207</v>
      </c>
      <c r="H50" s="36" t="n">
        <f aca="false">IF(A50="","",DATE(YEAR(A50),MONTH(A50),1))</f>
        <v>46204</v>
      </c>
      <c r="I50" s="37" t="str">
        <f aca="false">IF(B50="","",IFERROR(INDEX(st_ID,MATCH(B50,st_Name,0)),"Unknown"))</f>
        <v>QP-02</v>
      </c>
      <c r="J50" s="37" t="str">
        <f aca="false">IF(C50="","",IFERROR(INDEX(cl_Code,MATCH(C50,cl_Name,0)),"Unknown"))</f>
        <v/>
      </c>
      <c r="K50" s="37" t="str">
        <f aca="false">IF(D50="","",IFERROR(INDEX(rt_Billable,MATCH(D50,rt_Code,0)),"Unknown"))</f>
        <v>No</v>
      </c>
      <c r="L50" s="38" t="str">
        <f aca="false">IF(K50&lt;&gt;"Yes","",IFERROR(INDEX(cr_Rate,MATCH(J50&amp;"|"&amp;D50,cr_Key,0)),INDEX(rt_Rate,MATCH(D50,rt_Code,0))))</f>
        <v/>
      </c>
      <c r="M50" s="25" t="str">
        <f aca="false">IF(L50="","",ROUND(N(E50)*L50,2))</f>
        <v/>
      </c>
      <c r="N50" s="39" t="n">
        <f aca="false">IF(OR(A50="",B50=""),"",SUMIFS(tl_Hours,tl_StaffID,I50,tl_Date,A50))</f>
        <v>8</v>
      </c>
      <c r="O50" s="40" t="str">
        <f aca="false">IF(A50&amp;B50&amp;D50="","",IF(OR(A50="",B50="",D50="",E50=""),"Incomplete",IF(K50="Unknown","Unknown code",IF(AND(K50="Yes",C50=""),"Billable, needs client",IF(N50&gt;MaxDayHours,"Over "&amp;MaxDayHours&amp;" hours that day","")))))</f>
        <v/>
      </c>
    </row>
    <row r="51" customFormat="false" ht="15" hidden="false" customHeight="false" outlineLevel="0" collapsed="false">
      <c r="A51" s="31" t="n">
        <v>46205</v>
      </c>
      <c r="B51" s="32" t="s">
        <v>100</v>
      </c>
      <c r="C51" s="32" t="s">
        <v>90</v>
      </c>
      <c r="D51" s="33" t="s">
        <v>88</v>
      </c>
      <c r="E51" s="34" t="n">
        <v>3.25</v>
      </c>
      <c r="F51" s="32"/>
      <c r="G51" s="35" t="n">
        <f aca="false">IF(A51="","",A51+7-WEEKDAY(A51))</f>
        <v>46207</v>
      </c>
      <c r="H51" s="36" t="n">
        <f aca="false">IF(A51="","",DATE(YEAR(A51),MONTH(A51),1))</f>
        <v>46204</v>
      </c>
      <c r="I51" s="37" t="str">
        <f aca="false">IF(B51="","",IFERROR(INDEX(st_ID,MATCH(B51,st_Name,0)),"Unknown"))</f>
        <v>QP-03</v>
      </c>
      <c r="J51" s="37" t="str">
        <f aca="false">IF(C51="","",IFERROR(INDEX(cl_Code,MATCH(C51,cl_Name,0)),"Unknown"))</f>
        <v>BSE</v>
      </c>
      <c r="K51" s="37" t="str">
        <f aca="false">IF(D51="","",IFERROR(INDEX(rt_Billable,MATCH(D51,rt_Code,0)),"Unknown"))</f>
        <v>Yes</v>
      </c>
      <c r="L51" s="38" t="n">
        <f aca="false">IF(K51&lt;&gt;"Yes","",IFERROR(INDEX(cr_Rate,MATCH(J51&amp;"|"&amp;D51,cr_Key,0)),INDEX(rt_Rate,MATCH(D51,rt_Code,0))))</f>
        <v>104</v>
      </c>
      <c r="M51" s="25" t="n">
        <f aca="false">IF(L51="","",ROUND(N(E51)*L51,2))</f>
        <v>338</v>
      </c>
      <c r="N51" s="39" t="n">
        <f aca="false">IF(OR(A51="",B51=""),"",SUMIFS(tl_Hours,tl_StaffID,I51,tl_Date,A51))</f>
        <v>8</v>
      </c>
      <c r="O51" s="40" t="str">
        <f aca="false">IF(A51&amp;B51&amp;D51="","",IF(OR(A51="",B51="",D51="",E51=""),"Incomplete",IF(K51="Unknown","Unknown code",IF(AND(K51="Yes",C51=""),"Billable, needs client",IF(N51&gt;MaxDayHours,"Over "&amp;MaxDayHours&amp;" hours that day","")))))</f>
        <v/>
      </c>
    </row>
    <row r="52" customFormat="false" ht="15" hidden="false" customHeight="false" outlineLevel="0" collapsed="false">
      <c r="A52" s="31" t="n">
        <v>46205</v>
      </c>
      <c r="B52" s="32" t="s">
        <v>100</v>
      </c>
      <c r="C52" s="32" t="s">
        <v>90</v>
      </c>
      <c r="D52" s="33" t="s">
        <v>92</v>
      </c>
      <c r="E52" s="34" t="n">
        <v>0.75</v>
      </c>
      <c r="F52" s="32"/>
      <c r="G52" s="35" t="n">
        <f aca="false">IF(A52="","",A52+7-WEEKDAY(A52))</f>
        <v>46207</v>
      </c>
      <c r="H52" s="36" t="n">
        <f aca="false">IF(A52="","",DATE(YEAR(A52),MONTH(A52),1))</f>
        <v>46204</v>
      </c>
      <c r="I52" s="37" t="str">
        <f aca="false">IF(B52="","",IFERROR(INDEX(st_ID,MATCH(B52,st_Name,0)),"Unknown"))</f>
        <v>QP-03</v>
      </c>
      <c r="J52" s="37" t="str">
        <f aca="false">IF(C52="","",IFERROR(INDEX(cl_Code,MATCH(C52,cl_Name,0)),"Unknown"))</f>
        <v>BSE</v>
      </c>
      <c r="K52" s="37" t="str">
        <f aca="false">IF(D52="","",IFERROR(INDEX(rt_Billable,MATCH(D52,rt_Code,0)),"Unknown"))</f>
        <v>Yes</v>
      </c>
      <c r="L52" s="38" t="n">
        <f aca="false">IF(K52&lt;&gt;"Yes","",IFERROR(INDEX(cr_Rate,MATCH(J52&amp;"|"&amp;D52,cr_Key,0)),INDEX(rt_Rate,MATCH(D52,rt_Code,0))))</f>
        <v>145</v>
      </c>
      <c r="M52" s="25" t="n">
        <f aca="false">IF(L52="","",ROUND(N(E52)*L52,2))</f>
        <v>108.75</v>
      </c>
      <c r="N52" s="39" t="n">
        <f aca="false">IF(OR(A52="",B52=""),"",SUMIFS(tl_Hours,tl_StaffID,I52,tl_Date,A52))</f>
        <v>8</v>
      </c>
      <c r="O52" s="40" t="str">
        <f aca="false">IF(A52&amp;B52&amp;D52="","",IF(OR(A52="",B52="",D52="",E52=""),"Incomplete",IF(K52="Unknown","Unknown code",IF(AND(K52="Yes",C52=""),"Billable, needs client",IF(N52&gt;MaxDayHours,"Over "&amp;MaxDayHours&amp;" hours that day","")))))</f>
        <v/>
      </c>
    </row>
    <row r="53" customFormat="false" ht="15" hidden="false" customHeight="false" outlineLevel="0" collapsed="false">
      <c r="A53" s="31" t="n">
        <v>46205</v>
      </c>
      <c r="B53" s="32" t="s">
        <v>100</v>
      </c>
      <c r="C53" s="32"/>
      <c r="D53" s="33" t="s">
        <v>96</v>
      </c>
      <c r="E53" s="34" t="n">
        <v>4</v>
      </c>
      <c r="F53" s="32"/>
      <c r="G53" s="35" t="n">
        <f aca="false">IF(A53="","",A53+7-WEEKDAY(A53))</f>
        <v>46207</v>
      </c>
      <c r="H53" s="36" t="n">
        <f aca="false">IF(A53="","",DATE(YEAR(A53),MONTH(A53),1))</f>
        <v>46204</v>
      </c>
      <c r="I53" s="37" t="str">
        <f aca="false">IF(B53="","",IFERROR(INDEX(st_ID,MATCH(B53,st_Name,0)),"Unknown"))</f>
        <v>QP-03</v>
      </c>
      <c r="J53" s="37" t="str">
        <f aca="false">IF(C53="","",IFERROR(INDEX(cl_Code,MATCH(C53,cl_Name,0)),"Unknown"))</f>
        <v/>
      </c>
      <c r="K53" s="37" t="str">
        <f aca="false">IF(D53="","",IFERROR(INDEX(rt_Billable,MATCH(D53,rt_Code,0)),"Unknown"))</f>
        <v>No</v>
      </c>
      <c r="L53" s="38" t="str">
        <f aca="false">IF(K53&lt;&gt;"Yes","",IFERROR(INDEX(cr_Rate,MATCH(J53&amp;"|"&amp;D53,cr_Key,0)),INDEX(rt_Rate,MATCH(D53,rt_Code,0))))</f>
        <v/>
      </c>
      <c r="M53" s="25" t="str">
        <f aca="false">IF(L53="","",ROUND(N(E53)*L53,2))</f>
        <v/>
      </c>
      <c r="N53" s="39" t="n">
        <f aca="false">IF(OR(A53="",B53=""),"",SUMIFS(tl_Hours,tl_StaffID,I53,tl_Date,A53))</f>
        <v>8</v>
      </c>
      <c r="O53" s="40" t="str">
        <f aca="false">IF(A53&amp;B53&amp;D53="","",IF(OR(A53="",B53="",D53="",E53=""),"Incomplete",IF(K53="Unknown","Unknown code",IF(AND(K53="Yes",C53=""),"Billable, needs client",IF(N53&gt;MaxDayHours,"Over "&amp;MaxDayHours&amp;" hours that day","")))))</f>
        <v/>
      </c>
    </row>
    <row r="54" customFormat="false" ht="15" hidden="false" customHeight="false" outlineLevel="0" collapsed="false">
      <c r="A54" s="31" t="n">
        <v>46205</v>
      </c>
      <c r="B54" s="32" t="s">
        <v>101</v>
      </c>
      <c r="C54" s="32"/>
      <c r="D54" s="33" t="s">
        <v>109</v>
      </c>
      <c r="E54" s="34" t="n">
        <v>8</v>
      </c>
      <c r="F54" s="32"/>
      <c r="G54" s="35" t="n">
        <f aca="false">IF(A54="","",A54+7-WEEKDAY(A54))</f>
        <v>46207</v>
      </c>
      <c r="H54" s="36" t="n">
        <f aca="false">IF(A54="","",DATE(YEAR(A54),MONTH(A54),1))</f>
        <v>46204</v>
      </c>
      <c r="I54" s="37" t="str">
        <f aca="false">IF(B54="","",IFERROR(INDEX(st_ID,MATCH(B54,st_Name,0)),"Unknown"))</f>
        <v>QP-04</v>
      </c>
      <c r="J54" s="37" t="str">
        <f aca="false">IF(C54="","",IFERROR(INDEX(cl_Code,MATCH(C54,cl_Name,0)),"Unknown"))</f>
        <v/>
      </c>
      <c r="K54" s="37" t="str">
        <f aca="false">IF(D54="","",IFERROR(INDEX(rt_Billable,MATCH(D54,rt_Code,0)),"Unknown"))</f>
        <v>No</v>
      </c>
      <c r="L54" s="38" t="str">
        <f aca="false">IF(K54&lt;&gt;"Yes","",IFERROR(INDEX(cr_Rate,MATCH(J54&amp;"|"&amp;D54,cr_Key,0)),INDEX(rt_Rate,MATCH(D54,rt_Code,0))))</f>
        <v/>
      </c>
      <c r="M54" s="25" t="str">
        <f aca="false">IF(L54="","",ROUND(N(E54)*L54,2))</f>
        <v/>
      </c>
      <c r="N54" s="39" t="n">
        <f aca="false">IF(OR(A54="",B54=""),"",SUMIFS(tl_Hours,tl_StaffID,I54,tl_Date,A54))</f>
        <v>8</v>
      </c>
      <c r="O54" s="40" t="str">
        <f aca="false">IF(A54&amp;B54&amp;D54="","",IF(OR(A54="",B54="",D54="",E54=""),"Incomplete",IF(K54="Unknown","Unknown code",IF(AND(K54="Yes",C54=""),"Billable, needs client",IF(N54&gt;MaxDayHours,"Over "&amp;MaxDayHours&amp;" hours that day","")))))</f>
        <v/>
      </c>
    </row>
    <row r="55" customFormat="false" ht="15" hidden="false" customHeight="false" outlineLevel="0" collapsed="false">
      <c r="A55" s="31" t="n">
        <v>46205</v>
      </c>
      <c r="B55" s="32" t="s">
        <v>103</v>
      </c>
      <c r="C55" s="32" t="s">
        <v>90</v>
      </c>
      <c r="D55" s="33" t="s">
        <v>91</v>
      </c>
      <c r="E55" s="34" t="n">
        <v>2</v>
      </c>
      <c r="F55" s="32"/>
      <c r="G55" s="35" t="n">
        <f aca="false">IF(A55="","",A55+7-WEEKDAY(A55))</f>
        <v>46207</v>
      </c>
      <c r="H55" s="36" t="n">
        <f aca="false">IF(A55="","",DATE(YEAR(A55),MONTH(A55),1))</f>
        <v>46204</v>
      </c>
      <c r="I55" s="37" t="str">
        <f aca="false">IF(B55="","",IFERROR(INDEX(st_ID,MATCH(B55,st_Name,0)),"Unknown"))</f>
        <v>QP-05</v>
      </c>
      <c r="J55" s="37" t="str">
        <f aca="false">IF(C55="","",IFERROR(INDEX(cl_Code,MATCH(C55,cl_Name,0)),"Unknown"))</f>
        <v>BSE</v>
      </c>
      <c r="K55" s="37" t="str">
        <f aca="false">IF(D55="","",IFERROR(INDEX(rt_Billable,MATCH(D55,rt_Code,0)),"Unknown"))</f>
        <v>Yes</v>
      </c>
      <c r="L55" s="38" t="n">
        <f aca="false">IF(K55&lt;&gt;"Yes","",IFERROR(INDEX(cr_Rate,MATCH(J55&amp;"|"&amp;D55,cr_Key,0)),INDEX(rt_Rate,MATCH(D55,rt_Code,0))))</f>
        <v>100</v>
      </c>
      <c r="M55" s="25" t="n">
        <f aca="false">IF(L55="","",ROUND(N(E55)*L55,2))</f>
        <v>200</v>
      </c>
      <c r="N55" s="39" t="n">
        <f aca="false">IF(OR(A55="",B55=""),"",SUMIFS(tl_Hours,tl_StaffID,I55,tl_Date,A55))</f>
        <v>8</v>
      </c>
      <c r="O55" s="40" t="str">
        <f aca="false">IF(A55&amp;B55&amp;D55="","",IF(OR(A55="",B55="",D55="",E55=""),"Incomplete",IF(K55="Unknown","Unknown code",IF(AND(K55="Yes",C55=""),"Billable, needs client",IF(N55&gt;MaxDayHours,"Over "&amp;MaxDayHours&amp;" hours that day","")))))</f>
        <v/>
      </c>
    </row>
    <row r="56" customFormat="false" ht="15" hidden="false" customHeight="false" outlineLevel="0" collapsed="false">
      <c r="A56" s="31" t="n">
        <v>46205</v>
      </c>
      <c r="B56" s="32" t="s">
        <v>103</v>
      </c>
      <c r="C56" s="32" t="s">
        <v>90</v>
      </c>
      <c r="D56" s="33" t="s">
        <v>92</v>
      </c>
      <c r="E56" s="34" t="n">
        <v>1.75</v>
      </c>
      <c r="F56" s="32"/>
      <c r="G56" s="35" t="n">
        <f aca="false">IF(A56="","",A56+7-WEEKDAY(A56))</f>
        <v>46207</v>
      </c>
      <c r="H56" s="36" t="n">
        <f aca="false">IF(A56="","",DATE(YEAR(A56),MONTH(A56),1))</f>
        <v>46204</v>
      </c>
      <c r="I56" s="37" t="str">
        <f aca="false">IF(B56="","",IFERROR(INDEX(st_ID,MATCH(B56,st_Name,0)),"Unknown"))</f>
        <v>QP-05</v>
      </c>
      <c r="J56" s="37" t="str">
        <f aca="false">IF(C56="","",IFERROR(INDEX(cl_Code,MATCH(C56,cl_Name,0)),"Unknown"))</f>
        <v>BSE</v>
      </c>
      <c r="K56" s="37" t="str">
        <f aca="false">IF(D56="","",IFERROR(INDEX(rt_Billable,MATCH(D56,rt_Code,0)),"Unknown"))</f>
        <v>Yes</v>
      </c>
      <c r="L56" s="38" t="n">
        <f aca="false">IF(K56&lt;&gt;"Yes","",IFERROR(INDEX(cr_Rate,MATCH(J56&amp;"|"&amp;D56,cr_Key,0)),INDEX(rt_Rate,MATCH(D56,rt_Code,0))))</f>
        <v>145</v>
      </c>
      <c r="M56" s="25" t="n">
        <f aca="false">IF(L56="","",ROUND(N(E56)*L56,2))</f>
        <v>253.75</v>
      </c>
      <c r="N56" s="39" t="n">
        <f aca="false">IF(OR(A56="",B56=""),"",SUMIFS(tl_Hours,tl_StaffID,I56,tl_Date,A56))</f>
        <v>8</v>
      </c>
      <c r="O56" s="40" t="str">
        <f aca="false">IF(A56&amp;B56&amp;D56="","",IF(OR(A56="",B56="",D56="",E56=""),"Incomplete",IF(K56="Unknown","Unknown code",IF(AND(K56="Yes",C56=""),"Billable, needs client",IF(N56&gt;MaxDayHours,"Over "&amp;MaxDayHours&amp;" hours that day","")))))</f>
        <v/>
      </c>
    </row>
    <row r="57" customFormat="false" ht="15" hidden="false" customHeight="false" outlineLevel="0" collapsed="false">
      <c r="A57" s="31" t="n">
        <v>46205</v>
      </c>
      <c r="B57" s="32" t="s">
        <v>103</v>
      </c>
      <c r="C57" s="32"/>
      <c r="D57" s="33" t="s">
        <v>96</v>
      </c>
      <c r="E57" s="34" t="n">
        <v>4.25</v>
      </c>
      <c r="F57" s="32"/>
      <c r="G57" s="35" t="n">
        <f aca="false">IF(A57="","",A57+7-WEEKDAY(A57))</f>
        <v>46207</v>
      </c>
      <c r="H57" s="36" t="n">
        <f aca="false">IF(A57="","",DATE(YEAR(A57),MONTH(A57),1))</f>
        <v>46204</v>
      </c>
      <c r="I57" s="37" t="str">
        <f aca="false">IF(B57="","",IFERROR(INDEX(st_ID,MATCH(B57,st_Name,0)),"Unknown"))</f>
        <v>QP-05</v>
      </c>
      <c r="J57" s="37" t="str">
        <f aca="false">IF(C57="","",IFERROR(INDEX(cl_Code,MATCH(C57,cl_Name,0)),"Unknown"))</f>
        <v/>
      </c>
      <c r="K57" s="37" t="str">
        <f aca="false">IF(D57="","",IFERROR(INDEX(rt_Billable,MATCH(D57,rt_Code,0)),"Unknown"))</f>
        <v>No</v>
      </c>
      <c r="L57" s="38" t="str">
        <f aca="false">IF(K57&lt;&gt;"Yes","",IFERROR(INDEX(cr_Rate,MATCH(J57&amp;"|"&amp;D57,cr_Key,0)),INDEX(rt_Rate,MATCH(D57,rt_Code,0))))</f>
        <v/>
      </c>
      <c r="M57" s="25" t="str">
        <f aca="false">IF(L57="","",ROUND(N(E57)*L57,2))</f>
        <v/>
      </c>
      <c r="N57" s="39" t="n">
        <f aca="false">IF(OR(A57="",B57=""),"",SUMIFS(tl_Hours,tl_StaffID,I57,tl_Date,A57))</f>
        <v>8</v>
      </c>
      <c r="O57" s="40" t="str">
        <f aca="false">IF(A57&amp;B57&amp;D57="","",IF(OR(A57="",B57="",D57="",E57=""),"Incomplete",IF(K57="Unknown","Unknown code",IF(AND(K57="Yes",C57=""),"Billable, needs client",IF(N57&gt;MaxDayHours,"Over "&amp;MaxDayHours&amp;" hours that day","")))))</f>
        <v/>
      </c>
    </row>
    <row r="58" customFormat="false" ht="15" hidden="false" customHeight="false" outlineLevel="0" collapsed="false">
      <c r="A58" s="31" t="n">
        <v>46205</v>
      </c>
      <c r="B58" s="32" t="s">
        <v>105</v>
      </c>
      <c r="C58" s="32"/>
      <c r="D58" s="33" t="s">
        <v>109</v>
      </c>
      <c r="E58" s="34" t="n">
        <v>8</v>
      </c>
      <c r="F58" s="32"/>
      <c r="G58" s="35" t="n">
        <f aca="false">IF(A58="","",A58+7-WEEKDAY(A58))</f>
        <v>46207</v>
      </c>
      <c r="H58" s="36" t="n">
        <f aca="false">IF(A58="","",DATE(YEAR(A58),MONTH(A58),1))</f>
        <v>46204</v>
      </c>
      <c r="I58" s="37" t="str">
        <f aca="false">IF(B58="","",IFERROR(INDEX(st_ID,MATCH(B58,st_Name,0)),"Unknown"))</f>
        <v>QP-06</v>
      </c>
      <c r="J58" s="37" t="str">
        <f aca="false">IF(C58="","",IFERROR(INDEX(cl_Code,MATCH(C58,cl_Name,0)),"Unknown"))</f>
        <v/>
      </c>
      <c r="K58" s="37" t="str">
        <f aca="false">IF(D58="","",IFERROR(INDEX(rt_Billable,MATCH(D58,rt_Code,0)),"Unknown"))</f>
        <v>No</v>
      </c>
      <c r="L58" s="38" t="str">
        <f aca="false">IF(K58&lt;&gt;"Yes","",IFERROR(INDEX(cr_Rate,MATCH(J58&amp;"|"&amp;D58,cr_Key,0)),INDEX(rt_Rate,MATCH(D58,rt_Code,0))))</f>
        <v/>
      </c>
      <c r="M58" s="25" t="str">
        <f aca="false">IF(L58="","",ROUND(N(E58)*L58,2))</f>
        <v/>
      </c>
      <c r="N58" s="39" t="n">
        <f aca="false">IF(OR(A58="",B58=""),"",SUMIFS(tl_Hours,tl_StaffID,I58,tl_Date,A58))</f>
        <v>8</v>
      </c>
      <c r="O58" s="40" t="str">
        <f aca="false">IF(A58&amp;B58&amp;D58="","",IF(OR(A58="",B58="",D58="",E58=""),"Incomplete",IF(K58="Unknown","Unknown code",IF(AND(K58="Yes",C58=""),"Billable, needs client",IF(N58&gt;MaxDayHours,"Over "&amp;MaxDayHours&amp;" hours that day","")))))</f>
        <v/>
      </c>
    </row>
    <row r="59" customFormat="false" ht="15" hidden="false" customHeight="false" outlineLevel="0" collapsed="false">
      <c r="A59" s="31" t="n">
        <v>46205</v>
      </c>
      <c r="B59" s="32" t="s">
        <v>106</v>
      </c>
      <c r="C59" s="32" t="s">
        <v>102</v>
      </c>
      <c r="D59" s="33" t="s">
        <v>88</v>
      </c>
      <c r="E59" s="34" t="n">
        <v>3</v>
      </c>
      <c r="F59" s="32"/>
      <c r="G59" s="35" t="n">
        <f aca="false">IF(A59="","",A59+7-WEEKDAY(A59))</f>
        <v>46207</v>
      </c>
      <c r="H59" s="36" t="n">
        <f aca="false">IF(A59="","",DATE(YEAR(A59),MONTH(A59),1))</f>
        <v>46204</v>
      </c>
      <c r="I59" s="37" t="str">
        <f aca="false">IF(B59="","",IFERROR(INDEX(st_ID,MATCH(B59,st_Name,0)),"Unknown"))</f>
        <v>QP-07</v>
      </c>
      <c r="J59" s="37" t="str">
        <f aca="false">IF(C59="","",IFERROR(INDEX(cl_Code,MATCH(C59,cl_Name,0)),"Unknown"))</f>
        <v>CLH</v>
      </c>
      <c r="K59" s="37" t="str">
        <f aca="false">IF(D59="","",IFERROR(INDEX(rt_Billable,MATCH(D59,rt_Code,0)),"Unknown"))</f>
        <v>Yes</v>
      </c>
      <c r="L59" s="38" t="n">
        <f aca="false">IF(K59&lt;&gt;"Yes","",IFERROR(INDEX(cr_Rate,MATCH(J59&amp;"|"&amp;D59,cr_Key,0)),INDEX(rt_Rate,MATCH(D59,rt_Code,0))))</f>
        <v>110</v>
      </c>
      <c r="M59" s="25" t="n">
        <f aca="false">IF(L59="","",ROUND(N(E59)*L59,2))</f>
        <v>330</v>
      </c>
      <c r="N59" s="39" t="n">
        <f aca="false">IF(OR(A59="",B59=""),"",SUMIFS(tl_Hours,tl_StaffID,I59,tl_Date,A59))</f>
        <v>8</v>
      </c>
      <c r="O59" s="40" t="str">
        <f aca="false">IF(A59&amp;B59&amp;D59="","",IF(OR(A59="",B59="",D59="",E59=""),"Incomplete",IF(K59="Unknown","Unknown code",IF(AND(K59="Yes",C59=""),"Billable, needs client",IF(N59&gt;MaxDayHours,"Over "&amp;MaxDayHours&amp;" hours that day","")))))</f>
        <v/>
      </c>
    </row>
    <row r="60" customFormat="false" ht="15" hidden="false" customHeight="false" outlineLevel="0" collapsed="false">
      <c r="A60" s="31" t="n">
        <v>46205</v>
      </c>
      <c r="B60" s="32" t="s">
        <v>106</v>
      </c>
      <c r="C60" s="32" t="s">
        <v>102</v>
      </c>
      <c r="D60" s="33" t="s">
        <v>89</v>
      </c>
      <c r="E60" s="34" t="n">
        <v>1.25</v>
      </c>
      <c r="F60" s="32"/>
      <c r="G60" s="35" t="n">
        <f aca="false">IF(A60="","",A60+7-WEEKDAY(A60))</f>
        <v>46207</v>
      </c>
      <c r="H60" s="36" t="n">
        <f aca="false">IF(A60="","",DATE(YEAR(A60),MONTH(A60),1))</f>
        <v>46204</v>
      </c>
      <c r="I60" s="37" t="str">
        <f aca="false">IF(B60="","",IFERROR(INDEX(st_ID,MATCH(B60,st_Name,0)),"Unknown"))</f>
        <v>QP-07</v>
      </c>
      <c r="J60" s="37" t="str">
        <f aca="false">IF(C60="","",IFERROR(INDEX(cl_Code,MATCH(C60,cl_Name,0)),"Unknown"))</f>
        <v>CLH</v>
      </c>
      <c r="K60" s="37" t="str">
        <f aca="false">IF(D60="","",IFERROR(INDEX(rt_Billable,MATCH(D60,rt_Code,0)),"Unknown"))</f>
        <v>Yes</v>
      </c>
      <c r="L60" s="38" t="n">
        <f aca="false">IF(K60&lt;&gt;"Yes","",IFERROR(INDEX(cr_Rate,MATCH(J60&amp;"|"&amp;D60,cr_Key,0)),INDEX(rt_Rate,MATCH(D60,rt_Code,0))))</f>
        <v>95</v>
      </c>
      <c r="M60" s="25" t="n">
        <f aca="false">IF(L60="","",ROUND(N(E60)*L60,2))</f>
        <v>118.75</v>
      </c>
      <c r="N60" s="39" t="n">
        <f aca="false">IF(OR(A60="",B60=""),"",SUMIFS(tl_Hours,tl_StaffID,I60,tl_Date,A60))</f>
        <v>8</v>
      </c>
      <c r="O60" s="40" t="str">
        <f aca="false">IF(A60&amp;B60&amp;D60="","",IF(OR(A60="",B60="",D60="",E60=""),"Incomplete",IF(K60="Unknown","Unknown code",IF(AND(K60="Yes",C60=""),"Billable, needs client",IF(N60&gt;MaxDayHours,"Over "&amp;MaxDayHours&amp;" hours that day","")))))</f>
        <v/>
      </c>
    </row>
    <row r="61" customFormat="false" ht="15" hidden="false" customHeight="false" outlineLevel="0" collapsed="false">
      <c r="A61" s="31" t="n">
        <v>46205</v>
      </c>
      <c r="B61" s="32" t="s">
        <v>106</v>
      </c>
      <c r="C61" s="32"/>
      <c r="D61" s="33" t="s">
        <v>96</v>
      </c>
      <c r="E61" s="34" t="n">
        <v>3.75</v>
      </c>
      <c r="F61" s="32"/>
      <c r="G61" s="35" t="n">
        <f aca="false">IF(A61="","",A61+7-WEEKDAY(A61))</f>
        <v>46207</v>
      </c>
      <c r="H61" s="36" t="n">
        <f aca="false">IF(A61="","",DATE(YEAR(A61),MONTH(A61),1))</f>
        <v>46204</v>
      </c>
      <c r="I61" s="37" t="str">
        <f aca="false">IF(B61="","",IFERROR(INDEX(st_ID,MATCH(B61,st_Name,0)),"Unknown"))</f>
        <v>QP-07</v>
      </c>
      <c r="J61" s="37" t="str">
        <f aca="false">IF(C61="","",IFERROR(INDEX(cl_Code,MATCH(C61,cl_Name,0)),"Unknown"))</f>
        <v/>
      </c>
      <c r="K61" s="37" t="str">
        <f aca="false">IF(D61="","",IFERROR(INDEX(rt_Billable,MATCH(D61,rt_Code,0)),"Unknown"))</f>
        <v>No</v>
      </c>
      <c r="L61" s="38" t="str">
        <f aca="false">IF(K61&lt;&gt;"Yes","",IFERROR(INDEX(cr_Rate,MATCH(J61&amp;"|"&amp;D61,cr_Key,0)),INDEX(rt_Rate,MATCH(D61,rt_Code,0))))</f>
        <v/>
      </c>
      <c r="M61" s="25" t="str">
        <f aca="false">IF(L61="","",ROUND(N(E61)*L61,2))</f>
        <v/>
      </c>
      <c r="N61" s="39" t="n">
        <f aca="false">IF(OR(A61="",B61=""),"",SUMIFS(tl_Hours,tl_StaffID,I61,tl_Date,A61))</f>
        <v>8</v>
      </c>
      <c r="O61" s="40" t="str">
        <f aca="false">IF(A61&amp;B61&amp;D61="","",IF(OR(A61="",B61="",D61="",E61=""),"Incomplete",IF(K61="Unknown","Unknown code",IF(AND(K61="Yes",C61=""),"Billable, needs client",IF(N61&gt;MaxDayHours,"Over "&amp;MaxDayHours&amp;" hours that day","")))))</f>
        <v/>
      </c>
    </row>
    <row r="62" customFormat="false" ht="15" hidden="false" customHeight="false" outlineLevel="0" collapsed="false">
      <c r="A62" s="31" t="n">
        <v>46205</v>
      </c>
      <c r="B62" s="32" t="s">
        <v>107</v>
      </c>
      <c r="C62" s="32"/>
      <c r="D62" s="33" t="s">
        <v>108</v>
      </c>
      <c r="E62" s="34" t="n">
        <v>7</v>
      </c>
      <c r="F62" s="32"/>
      <c r="G62" s="35" t="n">
        <f aca="false">IF(A62="","",A62+7-WEEKDAY(A62))</f>
        <v>46207</v>
      </c>
      <c r="H62" s="36" t="n">
        <f aca="false">IF(A62="","",DATE(YEAR(A62),MONTH(A62),1))</f>
        <v>46204</v>
      </c>
      <c r="I62" s="37" t="str">
        <f aca="false">IF(B62="","",IFERROR(INDEX(st_ID,MATCH(B62,st_Name,0)),"Unknown"))</f>
        <v>QP-08</v>
      </c>
      <c r="J62" s="37" t="str">
        <f aca="false">IF(C62="","",IFERROR(INDEX(cl_Code,MATCH(C62,cl_Name,0)),"Unknown"))</f>
        <v/>
      </c>
      <c r="K62" s="37" t="str">
        <f aca="false">IF(D62="","",IFERROR(INDEX(rt_Billable,MATCH(D62,rt_Code,0)),"Unknown"))</f>
        <v>No</v>
      </c>
      <c r="L62" s="38" t="str">
        <f aca="false">IF(K62&lt;&gt;"Yes","",IFERROR(INDEX(cr_Rate,MATCH(J62&amp;"|"&amp;D62,cr_Key,0)),INDEX(rt_Rate,MATCH(D62,rt_Code,0))))</f>
        <v/>
      </c>
      <c r="M62" s="25" t="str">
        <f aca="false">IF(L62="","",ROUND(N(E62)*L62,2))</f>
        <v/>
      </c>
      <c r="N62" s="39" t="n">
        <f aca="false">IF(OR(A62="",B62=""),"",SUMIFS(tl_Hours,tl_StaffID,I62,tl_Date,A62))</f>
        <v>8</v>
      </c>
      <c r="O62" s="40" t="str">
        <f aca="false">IF(A62&amp;B62&amp;D62="","",IF(OR(A62="",B62="",D62="",E62=""),"Incomplete",IF(K62="Unknown","Unknown code",IF(AND(K62="Yes",C62=""),"Billable, needs client",IF(N62&gt;MaxDayHours,"Over "&amp;MaxDayHours&amp;" hours that day","")))))</f>
        <v/>
      </c>
    </row>
    <row r="63" customFormat="false" ht="15" hidden="false" customHeight="false" outlineLevel="0" collapsed="false">
      <c r="A63" s="31" t="n">
        <v>46205</v>
      </c>
      <c r="B63" s="32" t="s">
        <v>107</v>
      </c>
      <c r="C63" s="32"/>
      <c r="D63" s="33" t="s">
        <v>98</v>
      </c>
      <c r="E63" s="34" t="n">
        <v>1</v>
      </c>
      <c r="F63" s="32"/>
      <c r="G63" s="35" t="n">
        <f aca="false">IF(A63="","",A63+7-WEEKDAY(A63))</f>
        <v>46207</v>
      </c>
      <c r="H63" s="36" t="n">
        <f aca="false">IF(A63="","",DATE(YEAR(A63),MONTH(A63),1))</f>
        <v>46204</v>
      </c>
      <c r="I63" s="37" t="str">
        <f aca="false">IF(B63="","",IFERROR(INDEX(st_ID,MATCH(B63,st_Name,0)),"Unknown"))</f>
        <v>QP-08</v>
      </c>
      <c r="J63" s="37" t="str">
        <f aca="false">IF(C63="","",IFERROR(INDEX(cl_Code,MATCH(C63,cl_Name,0)),"Unknown"))</f>
        <v/>
      </c>
      <c r="K63" s="37" t="str">
        <f aca="false">IF(D63="","",IFERROR(INDEX(rt_Billable,MATCH(D63,rt_Code,0)),"Unknown"))</f>
        <v>No</v>
      </c>
      <c r="L63" s="38" t="str">
        <f aca="false">IF(K63&lt;&gt;"Yes","",IFERROR(INDEX(cr_Rate,MATCH(J63&amp;"|"&amp;D63,cr_Key,0)),INDEX(rt_Rate,MATCH(D63,rt_Code,0))))</f>
        <v/>
      </c>
      <c r="M63" s="25" t="str">
        <f aca="false">IF(L63="","",ROUND(N(E63)*L63,2))</f>
        <v/>
      </c>
      <c r="N63" s="39" t="n">
        <f aca="false">IF(OR(A63="",B63=""),"",SUMIFS(tl_Hours,tl_StaffID,I63,tl_Date,A63))</f>
        <v>8</v>
      </c>
      <c r="O63" s="40" t="str">
        <f aca="false">IF(A63&amp;B63&amp;D63="","",IF(OR(A63="",B63="",D63="",E63=""),"Incomplete",IF(K63="Unknown","Unknown code",IF(AND(K63="Yes",C63=""),"Billable, needs client",IF(N63&gt;MaxDayHours,"Over "&amp;MaxDayHours&amp;" hours that day","")))))</f>
        <v/>
      </c>
    </row>
    <row r="64" customFormat="false" ht="15" hidden="false" customHeight="false" outlineLevel="0" collapsed="false">
      <c r="A64" s="31" t="n">
        <v>46206</v>
      </c>
      <c r="B64" s="32" t="s">
        <v>86</v>
      </c>
      <c r="C64" s="32"/>
      <c r="D64" s="33" t="s">
        <v>109</v>
      </c>
      <c r="E64" s="34" t="n">
        <v>8</v>
      </c>
      <c r="F64" s="32" t="s">
        <v>110</v>
      </c>
      <c r="G64" s="35" t="n">
        <f aca="false">IF(A64="","",A64+7-WEEKDAY(A64))</f>
        <v>46207</v>
      </c>
      <c r="H64" s="36" t="n">
        <f aca="false">IF(A64="","",DATE(YEAR(A64),MONTH(A64),1))</f>
        <v>46204</v>
      </c>
      <c r="I64" s="37" t="str">
        <f aca="false">IF(B64="","",IFERROR(INDEX(st_ID,MATCH(B64,st_Name,0)),"Unknown"))</f>
        <v>QP-01</v>
      </c>
      <c r="J64" s="37" t="str">
        <f aca="false">IF(C64="","",IFERROR(INDEX(cl_Code,MATCH(C64,cl_Name,0)),"Unknown"))</f>
        <v/>
      </c>
      <c r="K64" s="37" t="str">
        <f aca="false">IF(D64="","",IFERROR(INDEX(rt_Billable,MATCH(D64,rt_Code,0)),"Unknown"))</f>
        <v>No</v>
      </c>
      <c r="L64" s="38" t="str">
        <f aca="false">IF(K64&lt;&gt;"Yes","",IFERROR(INDEX(cr_Rate,MATCH(J64&amp;"|"&amp;D64,cr_Key,0)),INDEX(rt_Rate,MATCH(D64,rt_Code,0))))</f>
        <v/>
      </c>
      <c r="M64" s="25" t="str">
        <f aca="false">IF(L64="","",ROUND(N(E64)*L64,2))</f>
        <v/>
      </c>
      <c r="N64" s="39" t="n">
        <f aca="false">IF(OR(A64="",B64=""),"",SUMIFS(tl_Hours,tl_StaffID,I64,tl_Date,A64))</f>
        <v>8</v>
      </c>
      <c r="O64" s="40" t="str">
        <f aca="false">IF(A64&amp;B64&amp;D64="","",IF(OR(A64="",B64="",D64="",E64=""),"Incomplete",IF(K64="Unknown","Unknown code",IF(AND(K64="Yes",C64=""),"Billable, needs client",IF(N64&gt;MaxDayHours,"Over "&amp;MaxDayHours&amp;" hours that day","")))))</f>
        <v/>
      </c>
    </row>
    <row r="65" customFormat="false" ht="15" hidden="false" customHeight="false" outlineLevel="0" collapsed="false">
      <c r="A65" s="31" t="n">
        <v>46206</v>
      </c>
      <c r="B65" s="32" t="s">
        <v>97</v>
      </c>
      <c r="C65" s="32"/>
      <c r="D65" s="33" t="s">
        <v>109</v>
      </c>
      <c r="E65" s="34" t="n">
        <v>8</v>
      </c>
      <c r="F65" s="32" t="s">
        <v>110</v>
      </c>
      <c r="G65" s="35" t="n">
        <f aca="false">IF(A65="","",A65+7-WEEKDAY(A65))</f>
        <v>46207</v>
      </c>
      <c r="H65" s="36" t="n">
        <f aca="false">IF(A65="","",DATE(YEAR(A65),MONTH(A65),1))</f>
        <v>46204</v>
      </c>
      <c r="I65" s="37" t="str">
        <f aca="false">IF(B65="","",IFERROR(INDEX(st_ID,MATCH(B65,st_Name,0)),"Unknown"))</f>
        <v>QP-02</v>
      </c>
      <c r="J65" s="37" t="str">
        <f aca="false">IF(C65="","",IFERROR(INDEX(cl_Code,MATCH(C65,cl_Name,0)),"Unknown"))</f>
        <v/>
      </c>
      <c r="K65" s="37" t="str">
        <f aca="false">IF(D65="","",IFERROR(INDEX(rt_Billable,MATCH(D65,rt_Code,0)),"Unknown"))</f>
        <v>No</v>
      </c>
      <c r="L65" s="38" t="str">
        <f aca="false">IF(K65&lt;&gt;"Yes","",IFERROR(INDEX(cr_Rate,MATCH(J65&amp;"|"&amp;D65,cr_Key,0)),INDEX(rt_Rate,MATCH(D65,rt_Code,0))))</f>
        <v/>
      </c>
      <c r="M65" s="25" t="str">
        <f aca="false">IF(L65="","",ROUND(N(E65)*L65,2))</f>
        <v/>
      </c>
      <c r="N65" s="39" t="n">
        <f aca="false">IF(OR(A65="",B65=""),"",SUMIFS(tl_Hours,tl_StaffID,I65,tl_Date,A65))</f>
        <v>8</v>
      </c>
      <c r="O65" s="40" t="str">
        <f aca="false">IF(A65&amp;B65&amp;D65="","",IF(OR(A65="",B65="",D65="",E65=""),"Incomplete",IF(K65="Unknown","Unknown code",IF(AND(K65="Yes",C65=""),"Billable, needs client",IF(N65&gt;MaxDayHours,"Over "&amp;MaxDayHours&amp;" hours that day","")))))</f>
        <v/>
      </c>
    </row>
    <row r="66" customFormat="false" ht="15" hidden="false" customHeight="false" outlineLevel="0" collapsed="false">
      <c r="A66" s="31" t="n">
        <v>46206</v>
      </c>
      <c r="B66" s="32" t="s">
        <v>101</v>
      </c>
      <c r="C66" s="32"/>
      <c r="D66" s="33" t="s">
        <v>109</v>
      </c>
      <c r="E66" s="34" t="n">
        <v>8</v>
      </c>
      <c r="F66" s="32" t="s">
        <v>110</v>
      </c>
      <c r="G66" s="35" t="n">
        <f aca="false">IF(A66="","",A66+7-WEEKDAY(A66))</f>
        <v>46207</v>
      </c>
      <c r="H66" s="36" t="n">
        <f aca="false">IF(A66="","",DATE(YEAR(A66),MONTH(A66),1))</f>
        <v>46204</v>
      </c>
      <c r="I66" s="37" t="str">
        <f aca="false">IF(B66="","",IFERROR(INDEX(st_ID,MATCH(B66,st_Name,0)),"Unknown"))</f>
        <v>QP-04</v>
      </c>
      <c r="J66" s="37" t="str">
        <f aca="false">IF(C66="","",IFERROR(INDEX(cl_Code,MATCH(C66,cl_Name,0)),"Unknown"))</f>
        <v/>
      </c>
      <c r="K66" s="37" t="str">
        <f aca="false">IF(D66="","",IFERROR(INDEX(rt_Billable,MATCH(D66,rt_Code,0)),"Unknown"))</f>
        <v>No</v>
      </c>
      <c r="L66" s="38" t="str">
        <f aca="false">IF(K66&lt;&gt;"Yes","",IFERROR(INDEX(cr_Rate,MATCH(J66&amp;"|"&amp;D66,cr_Key,0)),INDEX(rt_Rate,MATCH(D66,rt_Code,0))))</f>
        <v/>
      </c>
      <c r="M66" s="25" t="str">
        <f aca="false">IF(L66="","",ROUND(N(E66)*L66,2))</f>
        <v/>
      </c>
      <c r="N66" s="39" t="n">
        <f aca="false">IF(OR(A66="",B66=""),"",SUMIFS(tl_Hours,tl_StaffID,I66,tl_Date,A66))</f>
        <v>8</v>
      </c>
      <c r="O66" s="40" t="str">
        <f aca="false">IF(A66&amp;B66&amp;D66="","",IF(OR(A66="",B66="",D66="",E66=""),"Incomplete",IF(K66="Unknown","Unknown code",IF(AND(K66="Yes",C66=""),"Billable, needs client",IF(N66&gt;MaxDayHours,"Over "&amp;MaxDayHours&amp;" hours that day","")))))</f>
        <v/>
      </c>
    </row>
    <row r="67" customFormat="false" ht="15" hidden="false" customHeight="false" outlineLevel="0" collapsed="false">
      <c r="A67" s="31" t="n">
        <v>46206</v>
      </c>
      <c r="B67" s="32" t="s">
        <v>103</v>
      </c>
      <c r="C67" s="32"/>
      <c r="D67" s="33" t="s">
        <v>109</v>
      </c>
      <c r="E67" s="34" t="n">
        <v>8</v>
      </c>
      <c r="F67" s="32" t="s">
        <v>110</v>
      </c>
      <c r="G67" s="35" t="n">
        <f aca="false">IF(A67="","",A67+7-WEEKDAY(A67))</f>
        <v>46207</v>
      </c>
      <c r="H67" s="36" t="n">
        <f aca="false">IF(A67="","",DATE(YEAR(A67),MONTH(A67),1))</f>
        <v>46204</v>
      </c>
      <c r="I67" s="37" t="str">
        <f aca="false">IF(B67="","",IFERROR(INDEX(st_ID,MATCH(B67,st_Name,0)),"Unknown"))</f>
        <v>QP-05</v>
      </c>
      <c r="J67" s="37" t="str">
        <f aca="false">IF(C67="","",IFERROR(INDEX(cl_Code,MATCH(C67,cl_Name,0)),"Unknown"))</f>
        <v/>
      </c>
      <c r="K67" s="37" t="str">
        <f aca="false">IF(D67="","",IFERROR(INDEX(rt_Billable,MATCH(D67,rt_Code,0)),"Unknown"))</f>
        <v>No</v>
      </c>
      <c r="L67" s="38" t="str">
        <f aca="false">IF(K67&lt;&gt;"Yes","",IFERROR(INDEX(cr_Rate,MATCH(J67&amp;"|"&amp;D67,cr_Key,0)),INDEX(rt_Rate,MATCH(D67,rt_Code,0))))</f>
        <v/>
      </c>
      <c r="M67" s="25" t="str">
        <f aca="false">IF(L67="","",ROUND(N(E67)*L67,2))</f>
        <v/>
      </c>
      <c r="N67" s="39" t="n">
        <f aca="false">IF(OR(A67="",B67=""),"",SUMIFS(tl_Hours,tl_StaffID,I67,tl_Date,A67))</f>
        <v>8</v>
      </c>
      <c r="O67" s="40" t="str">
        <f aca="false">IF(A67&amp;B67&amp;D67="","",IF(OR(A67="",B67="",D67="",E67=""),"Incomplete",IF(K67="Unknown","Unknown code",IF(AND(K67="Yes",C67=""),"Billable, needs client",IF(N67&gt;MaxDayHours,"Over "&amp;MaxDayHours&amp;" hours that day","")))))</f>
        <v/>
      </c>
    </row>
    <row r="68" customFormat="false" ht="15" hidden="false" customHeight="false" outlineLevel="0" collapsed="false">
      <c r="A68" s="31" t="n">
        <v>46206</v>
      </c>
      <c r="B68" s="32" t="s">
        <v>105</v>
      </c>
      <c r="C68" s="32"/>
      <c r="D68" s="33" t="s">
        <v>109</v>
      </c>
      <c r="E68" s="34" t="n">
        <v>8</v>
      </c>
      <c r="F68" s="32" t="s">
        <v>110</v>
      </c>
      <c r="G68" s="35" t="n">
        <f aca="false">IF(A68="","",A68+7-WEEKDAY(A68))</f>
        <v>46207</v>
      </c>
      <c r="H68" s="36" t="n">
        <f aca="false">IF(A68="","",DATE(YEAR(A68),MONTH(A68),1))</f>
        <v>46204</v>
      </c>
      <c r="I68" s="37" t="str">
        <f aca="false">IF(B68="","",IFERROR(INDEX(st_ID,MATCH(B68,st_Name,0)),"Unknown"))</f>
        <v>QP-06</v>
      </c>
      <c r="J68" s="37" t="str">
        <f aca="false">IF(C68="","",IFERROR(INDEX(cl_Code,MATCH(C68,cl_Name,0)),"Unknown"))</f>
        <v/>
      </c>
      <c r="K68" s="37" t="str">
        <f aca="false">IF(D68="","",IFERROR(INDEX(rt_Billable,MATCH(D68,rt_Code,0)),"Unknown"))</f>
        <v>No</v>
      </c>
      <c r="L68" s="38" t="str">
        <f aca="false">IF(K68&lt;&gt;"Yes","",IFERROR(INDEX(cr_Rate,MATCH(J68&amp;"|"&amp;D68,cr_Key,0)),INDEX(rt_Rate,MATCH(D68,rt_Code,0))))</f>
        <v/>
      </c>
      <c r="M68" s="25" t="str">
        <f aca="false">IF(L68="","",ROUND(N(E68)*L68,2))</f>
        <v/>
      </c>
      <c r="N68" s="39" t="n">
        <f aca="false">IF(OR(A68="",B68=""),"",SUMIFS(tl_Hours,tl_StaffID,I68,tl_Date,A68))</f>
        <v>8</v>
      </c>
      <c r="O68" s="40" t="str">
        <f aca="false">IF(A68&amp;B68&amp;D68="","",IF(OR(A68="",B68="",D68="",E68=""),"Incomplete",IF(K68="Unknown","Unknown code",IF(AND(K68="Yes",C68=""),"Billable, needs client",IF(N68&gt;MaxDayHours,"Over "&amp;MaxDayHours&amp;" hours that day","")))))</f>
        <v/>
      </c>
    </row>
    <row r="69" customFormat="false" ht="15" hidden="false" customHeight="false" outlineLevel="0" collapsed="false">
      <c r="A69" s="31" t="n">
        <v>46206</v>
      </c>
      <c r="B69" s="32" t="s">
        <v>106</v>
      </c>
      <c r="C69" s="32"/>
      <c r="D69" s="33" t="s">
        <v>109</v>
      </c>
      <c r="E69" s="34" t="n">
        <v>8</v>
      </c>
      <c r="F69" s="32" t="s">
        <v>110</v>
      </c>
      <c r="G69" s="35" t="n">
        <f aca="false">IF(A69="","",A69+7-WEEKDAY(A69))</f>
        <v>46207</v>
      </c>
      <c r="H69" s="36" t="n">
        <f aca="false">IF(A69="","",DATE(YEAR(A69),MONTH(A69),1))</f>
        <v>46204</v>
      </c>
      <c r="I69" s="37" t="str">
        <f aca="false">IF(B69="","",IFERROR(INDEX(st_ID,MATCH(B69,st_Name,0)),"Unknown"))</f>
        <v>QP-07</v>
      </c>
      <c r="J69" s="37" t="str">
        <f aca="false">IF(C69="","",IFERROR(INDEX(cl_Code,MATCH(C69,cl_Name,0)),"Unknown"))</f>
        <v/>
      </c>
      <c r="K69" s="37" t="str">
        <f aca="false">IF(D69="","",IFERROR(INDEX(rt_Billable,MATCH(D69,rt_Code,0)),"Unknown"))</f>
        <v>No</v>
      </c>
      <c r="L69" s="38" t="str">
        <f aca="false">IF(K69&lt;&gt;"Yes","",IFERROR(INDEX(cr_Rate,MATCH(J69&amp;"|"&amp;D69,cr_Key,0)),INDEX(rt_Rate,MATCH(D69,rt_Code,0))))</f>
        <v/>
      </c>
      <c r="M69" s="25" t="str">
        <f aca="false">IF(L69="","",ROUND(N(E69)*L69,2))</f>
        <v/>
      </c>
      <c r="N69" s="39" t="n">
        <f aca="false">IF(OR(A69="",B69=""),"",SUMIFS(tl_Hours,tl_StaffID,I69,tl_Date,A69))</f>
        <v>8</v>
      </c>
      <c r="O69" s="40" t="str">
        <f aca="false">IF(A69&amp;B69&amp;D69="","",IF(OR(A69="",B69="",D69="",E69=""),"Incomplete",IF(K69="Unknown","Unknown code",IF(AND(K69="Yes",C69=""),"Billable, needs client",IF(N69&gt;MaxDayHours,"Over "&amp;MaxDayHours&amp;" hours that day","")))))</f>
        <v/>
      </c>
    </row>
    <row r="70" customFormat="false" ht="15" hidden="false" customHeight="false" outlineLevel="0" collapsed="false">
      <c r="A70" s="31" t="n">
        <v>46206</v>
      </c>
      <c r="B70" s="32" t="s">
        <v>107</v>
      </c>
      <c r="C70" s="32"/>
      <c r="D70" s="33" t="s">
        <v>109</v>
      </c>
      <c r="E70" s="34" t="n">
        <v>8</v>
      </c>
      <c r="F70" s="32" t="s">
        <v>110</v>
      </c>
      <c r="G70" s="35" t="n">
        <f aca="false">IF(A70="","",A70+7-WEEKDAY(A70))</f>
        <v>46207</v>
      </c>
      <c r="H70" s="36" t="n">
        <f aca="false">IF(A70="","",DATE(YEAR(A70),MONTH(A70),1))</f>
        <v>46204</v>
      </c>
      <c r="I70" s="37" t="str">
        <f aca="false">IF(B70="","",IFERROR(INDEX(st_ID,MATCH(B70,st_Name,0)),"Unknown"))</f>
        <v>QP-08</v>
      </c>
      <c r="J70" s="37" t="str">
        <f aca="false">IF(C70="","",IFERROR(INDEX(cl_Code,MATCH(C70,cl_Name,0)),"Unknown"))</f>
        <v/>
      </c>
      <c r="K70" s="37" t="str">
        <f aca="false">IF(D70="","",IFERROR(INDEX(rt_Billable,MATCH(D70,rt_Code,0)),"Unknown"))</f>
        <v>No</v>
      </c>
      <c r="L70" s="38" t="str">
        <f aca="false">IF(K70&lt;&gt;"Yes","",IFERROR(INDEX(cr_Rate,MATCH(J70&amp;"|"&amp;D70,cr_Key,0)),INDEX(rt_Rate,MATCH(D70,rt_Code,0))))</f>
        <v/>
      </c>
      <c r="M70" s="25" t="str">
        <f aca="false">IF(L70="","",ROUND(N(E70)*L70,2))</f>
        <v/>
      </c>
      <c r="N70" s="39" t="n">
        <f aca="false">IF(OR(A70="",B70=""),"",SUMIFS(tl_Hours,tl_StaffID,I70,tl_Date,A70))</f>
        <v>8</v>
      </c>
      <c r="O70" s="40" t="str">
        <f aca="false">IF(A70&amp;B70&amp;D70="","",IF(OR(A70="",B70="",D70="",E70=""),"Incomplete",IF(K70="Unknown","Unknown code",IF(AND(K70="Yes",C70=""),"Billable, needs client",IF(N70&gt;MaxDayHours,"Over "&amp;MaxDayHours&amp;" hours that day","")))))</f>
        <v/>
      </c>
    </row>
    <row r="71" customFormat="false" ht="15" hidden="false" customHeight="false" outlineLevel="0" collapsed="false">
      <c r="A71" s="31" t="n">
        <v>46209</v>
      </c>
      <c r="B71" s="32" t="s">
        <v>86</v>
      </c>
      <c r="C71" s="32" t="s">
        <v>90</v>
      </c>
      <c r="D71" s="33" t="s">
        <v>91</v>
      </c>
      <c r="E71" s="34" t="n">
        <v>3.25</v>
      </c>
      <c r="F71" s="32"/>
      <c r="G71" s="35" t="n">
        <f aca="false">IF(A71="","",A71+7-WEEKDAY(A71))</f>
        <v>46214</v>
      </c>
      <c r="H71" s="36" t="n">
        <f aca="false">IF(A71="","",DATE(YEAR(A71),MONTH(A71),1))</f>
        <v>46204</v>
      </c>
      <c r="I71" s="37" t="str">
        <f aca="false">IF(B71="","",IFERROR(INDEX(st_ID,MATCH(B71,st_Name,0)),"Unknown"))</f>
        <v>QP-01</v>
      </c>
      <c r="J71" s="37" t="str">
        <f aca="false">IF(C71="","",IFERROR(INDEX(cl_Code,MATCH(C71,cl_Name,0)),"Unknown"))</f>
        <v>BSE</v>
      </c>
      <c r="K71" s="37" t="str">
        <f aca="false">IF(D71="","",IFERROR(INDEX(rt_Billable,MATCH(D71,rt_Code,0)),"Unknown"))</f>
        <v>Yes</v>
      </c>
      <c r="L71" s="38" t="n">
        <f aca="false">IF(K71&lt;&gt;"Yes","",IFERROR(INDEX(cr_Rate,MATCH(J71&amp;"|"&amp;D71,cr_Key,0)),INDEX(rt_Rate,MATCH(D71,rt_Code,0))))</f>
        <v>100</v>
      </c>
      <c r="M71" s="25" t="n">
        <f aca="false">IF(L71="","",ROUND(N(E71)*L71,2))</f>
        <v>325</v>
      </c>
      <c r="N71" s="39" t="n">
        <f aca="false">IF(OR(A71="",B71=""),"",SUMIFS(tl_Hours,tl_StaffID,I71,tl_Date,A71))</f>
        <v>8</v>
      </c>
      <c r="O71" s="40" t="str">
        <f aca="false">IF(A71&amp;B71&amp;D71="","",IF(OR(A71="",B71="",D71="",E71=""),"Incomplete",IF(K71="Unknown","Unknown code",IF(AND(K71="Yes",C71=""),"Billable, needs client",IF(N71&gt;MaxDayHours,"Over "&amp;MaxDayHours&amp;" hours that day","")))))</f>
        <v/>
      </c>
    </row>
    <row r="72" customFormat="false" ht="15" hidden="false" customHeight="false" outlineLevel="0" collapsed="false">
      <c r="A72" s="31" t="n">
        <v>46209</v>
      </c>
      <c r="B72" s="32" t="s">
        <v>86</v>
      </c>
      <c r="C72" s="32" t="s">
        <v>90</v>
      </c>
      <c r="D72" s="33" t="s">
        <v>89</v>
      </c>
      <c r="E72" s="34" t="n">
        <v>0.75</v>
      </c>
      <c r="F72" s="32"/>
      <c r="G72" s="35" t="n">
        <f aca="false">IF(A72="","",A72+7-WEEKDAY(A72))</f>
        <v>46214</v>
      </c>
      <c r="H72" s="36" t="n">
        <f aca="false">IF(A72="","",DATE(YEAR(A72),MONTH(A72),1))</f>
        <v>46204</v>
      </c>
      <c r="I72" s="37" t="str">
        <f aca="false">IF(B72="","",IFERROR(INDEX(st_ID,MATCH(B72,st_Name,0)),"Unknown"))</f>
        <v>QP-01</v>
      </c>
      <c r="J72" s="37" t="str">
        <f aca="false">IF(C72="","",IFERROR(INDEX(cl_Code,MATCH(C72,cl_Name,0)),"Unknown"))</f>
        <v>BSE</v>
      </c>
      <c r="K72" s="37" t="str">
        <f aca="false">IF(D72="","",IFERROR(INDEX(rt_Billable,MATCH(D72,rt_Code,0)),"Unknown"))</f>
        <v>Yes</v>
      </c>
      <c r="L72" s="38" t="n">
        <f aca="false">IF(K72&lt;&gt;"Yes","",IFERROR(INDEX(cr_Rate,MATCH(J72&amp;"|"&amp;D72,cr_Key,0)),INDEX(rt_Rate,MATCH(D72,rt_Code,0))))</f>
        <v>95</v>
      </c>
      <c r="M72" s="25" t="n">
        <f aca="false">IF(L72="","",ROUND(N(E72)*L72,2))</f>
        <v>71.25</v>
      </c>
      <c r="N72" s="39" t="n">
        <f aca="false">IF(OR(A72="",B72=""),"",SUMIFS(tl_Hours,tl_StaffID,I72,tl_Date,A72))</f>
        <v>8</v>
      </c>
      <c r="O72" s="40" t="str">
        <f aca="false">IF(A72&amp;B72&amp;D72="","",IF(OR(A72="",B72="",D72="",E72=""),"Incomplete",IF(K72="Unknown","Unknown code",IF(AND(K72="Yes",C72=""),"Billable, needs client",IF(N72&gt;MaxDayHours,"Over "&amp;MaxDayHours&amp;" hours that day","")))))</f>
        <v/>
      </c>
    </row>
    <row r="73" customFormat="false" ht="15" hidden="false" customHeight="false" outlineLevel="0" collapsed="false">
      <c r="A73" s="31" t="n">
        <v>46209</v>
      </c>
      <c r="B73" s="32" t="s">
        <v>86</v>
      </c>
      <c r="C73" s="32"/>
      <c r="D73" s="33" t="s">
        <v>96</v>
      </c>
      <c r="E73" s="34" t="n">
        <v>4</v>
      </c>
      <c r="F73" s="32"/>
      <c r="G73" s="35" t="n">
        <f aca="false">IF(A73="","",A73+7-WEEKDAY(A73))</f>
        <v>46214</v>
      </c>
      <c r="H73" s="36" t="n">
        <f aca="false">IF(A73="","",DATE(YEAR(A73),MONTH(A73),1))</f>
        <v>46204</v>
      </c>
      <c r="I73" s="37" t="str">
        <f aca="false">IF(B73="","",IFERROR(INDEX(st_ID,MATCH(B73,st_Name,0)),"Unknown"))</f>
        <v>QP-01</v>
      </c>
      <c r="J73" s="37" t="str">
        <f aca="false">IF(C73="","",IFERROR(INDEX(cl_Code,MATCH(C73,cl_Name,0)),"Unknown"))</f>
        <v/>
      </c>
      <c r="K73" s="37" t="str">
        <f aca="false">IF(D73="","",IFERROR(INDEX(rt_Billable,MATCH(D73,rt_Code,0)),"Unknown"))</f>
        <v>No</v>
      </c>
      <c r="L73" s="38" t="str">
        <f aca="false">IF(K73&lt;&gt;"Yes","",IFERROR(INDEX(cr_Rate,MATCH(J73&amp;"|"&amp;D73,cr_Key,0)),INDEX(rt_Rate,MATCH(D73,rt_Code,0))))</f>
        <v/>
      </c>
      <c r="M73" s="25" t="str">
        <f aca="false">IF(L73="","",ROUND(N(E73)*L73,2))</f>
        <v/>
      </c>
      <c r="N73" s="39" t="n">
        <f aca="false">IF(OR(A73="",B73=""),"",SUMIFS(tl_Hours,tl_StaffID,I73,tl_Date,A73))</f>
        <v>8</v>
      </c>
      <c r="O73" s="40" t="str">
        <f aca="false">IF(A73&amp;B73&amp;D73="","",IF(OR(A73="",B73="",D73="",E73=""),"Incomplete",IF(K73="Unknown","Unknown code",IF(AND(K73="Yes",C73=""),"Billable, needs client",IF(N73&gt;MaxDayHours,"Over "&amp;MaxDayHours&amp;" hours that day","")))))</f>
        <v/>
      </c>
    </row>
    <row r="74" customFormat="false" ht="15" hidden="false" customHeight="false" outlineLevel="0" collapsed="false">
      <c r="A74" s="31" t="n">
        <v>46209</v>
      </c>
      <c r="B74" s="32" t="s">
        <v>97</v>
      </c>
      <c r="C74" s="32" t="s">
        <v>90</v>
      </c>
      <c r="D74" s="33" t="s">
        <v>91</v>
      </c>
      <c r="E74" s="34" t="n">
        <v>3.5</v>
      </c>
      <c r="F74" s="32"/>
      <c r="G74" s="35" t="n">
        <f aca="false">IF(A74="","",A74+7-WEEKDAY(A74))</f>
        <v>46214</v>
      </c>
      <c r="H74" s="36" t="n">
        <f aca="false">IF(A74="","",DATE(YEAR(A74),MONTH(A74),1))</f>
        <v>46204</v>
      </c>
      <c r="I74" s="37" t="str">
        <f aca="false">IF(B74="","",IFERROR(INDEX(st_ID,MATCH(B74,st_Name,0)),"Unknown"))</f>
        <v>QP-02</v>
      </c>
      <c r="J74" s="37" t="str">
        <f aca="false">IF(C74="","",IFERROR(INDEX(cl_Code,MATCH(C74,cl_Name,0)),"Unknown"))</f>
        <v>BSE</v>
      </c>
      <c r="K74" s="37" t="str">
        <f aca="false">IF(D74="","",IFERROR(INDEX(rt_Billable,MATCH(D74,rt_Code,0)),"Unknown"))</f>
        <v>Yes</v>
      </c>
      <c r="L74" s="38" t="n">
        <f aca="false">IF(K74&lt;&gt;"Yes","",IFERROR(INDEX(cr_Rate,MATCH(J74&amp;"|"&amp;D74,cr_Key,0)),INDEX(rt_Rate,MATCH(D74,rt_Code,0))))</f>
        <v>100</v>
      </c>
      <c r="M74" s="25" t="n">
        <f aca="false">IF(L74="","",ROUND(N(E74)*L74,2))</f>
        <v>350</v>
      </c>
      <c r="N74" s="39" t="n">
        <f aca="false">IF(OR(A74="",B74=""),"",SUMIFS(tl_Hours,tl_StaffID,I74,tl_Date,A74))</f>
        <v>8</v>
      </c>
      <c r="O74" s="40" t="str">
        <f aca="false">IF(A74&amp;B74&amp;D74="","",IF(OR(A74="",B74="",D74="",E74=""),"Incomplete",IF(K74="Unknown","Unknown code",IF(AND(K74="Yes",C74=""),"Billable, needs client",IF(N74&gt;MaxDayHours,"Over "&amp;MaxDayHours&amp;" hours that day","")))))</f>
        <v/>
      </c>
    </row>
    <row r="75" customFormat="false" ht="15" hidden="false" customHeight="false" outlineLevel="0" collapsed="false">
      <c r="A75" s="31" t="n">
        <v>46209</v>
      </c>
      <c r="B75" s="32" t="s">
        <v>97</v>
      </c>
      <c r="C75" s="32" t="s">
        <v>90</v>
      </c>
      <c r="D75" s="33" t="s">
        <v>104</v>
      </c>
      <c r="E75" s="34" t="n">
        <v>0.75</v>
      </c>
      <c r="F75" s="32"/>
      <c r="G75" s="35" t="n">
        <f aca="false">IF(A75="","",A75+7-WEEKDAY(A75))</f>
        <v>46214</v>
      </c>
      <c r="H75" s="36" t="n">
        <f aca="false">IF(A75="","",DATE(YEAR(A75),MONTH(A75),1))</f>
        <v>46204</v>
      </c>
      <c r="I75" s="37" t="str">
        <f aca="false">IF(B75="","",IFERROR(INDEX(st_ID,MATCH(B75,st_Name,0)),"Unknown"))</f>
        <v>QP-02</v>
      </c>
      <c r="J75" s="37" t="str">
        <f aca="false">IF(C75="","",IFERROR(INDEX(cl_Code,MATCH(C75,cl_Name,0)),"Unknown"))</f>
        <v>BSE</v>
      </c>
      <c r="K75" s="37" t="str">
        <f aca="false">IF(D75="","",IFERROR(INDEX(rt_Billable,MATCH(D75,rt_Code,0)),"Unknown"))</f>
        <v>Yes</v>
      </c>
      <c r="L75" s="38" t="n">
        <f aca="false">IF(K75&lt;&gt;"Yes","",IFERROR(INDEX(cr_Rate,MATCH(J75&amp;"|"&amp;D75,cr_Key,0)),INDEX(rt_Rate,MATCH(D75,rt_Code,0))))</f>
        <v>70</v>
      </c>
      <c r="M75" s="25" t="n">
        <f aca="false">IF(L75="","",ROUND(N(E75)*L75,2))</f>
        <v>52.5</v>
      </c>
      <c r="N75" s="39" t="n">
        <f aca="false">IF(OR(A75="",B75=""),"",SUMIFS(tl_Hours,tl_StaffID,I75,tl_Date,A75))</f>
        <v>8</v>
      </c>
      <c r="O75" s="40" t="str">
        <f aca="false">IF(A75&amp;B75&amp;D75="","",IF(OR(A75="",B75="",D75="",E75=""),"Incomplete",IF(K75="Unknown","Unknown code",IF(AND(K75="Yes",C75=""),"Billable, needs client",IF(N75&gt;MaxDayHours,"Over "&amp;MaxDayHours&amp;" hours that day","")))))</f>
        <v/>
      </c>
    </row>
    <row r="76" customFormat="false" ht="15" hidden="false" customHeight="false" outlineLevel="0" collapsed="false">
      <c r="A76" s="31" t="n">
        <v>46209</v>
      </c>
      <c r="B76" s="32" t="s">
        <v>97</v>
      </c>
      <c r="C76" s="32"/>
      <c r="D76" s="33" t="s">
        <v>96</v>
      </c>
      <c r="E76" s="34" t="n">
        <v>3.75</v>
      </c>
      <c r="F76" s="32"/>
      <c r="G76" s="35" t="n">
        <f aca="false">IF(A76="","",A76+7-WEEKDAY(A76))</f>
        <v>46214</v>
      </c>
      <c r="H76" s="36" t="n">
        <f aca="false">IF(A76="","",DATE(YEAR(A76),MONTH(A76),1))</f>
        <v>46204</v>
      </c>
      <c r="I76" s="37" t="str">
        <f aca="false">IF(B76="","",IFERROR(INDEX(st_ID,MATCH(B76,st_Name,0)),"Unknown"))</f>
        <v>QP-02</v>
      </c>
      <c r="J76" s="37" t="str">
        <f aca="false">IF(C76="","",IFERROR(INDEX(cl_Code,MATCH(C76,cl_Name,0)),"Unknown"))</f>
        <v/>
      </c>
      <c r="K76" s="37" t="str">
        <f aca="false">IF(D76="","",IFERROR(INDEX(rt_Billable,MATCH(D76,rt_Code,0)),"Unknown"))</f>
        <v>No</v>
      </c>
      <c r="L76" s="38" t="str">
        <f aca="false">IF(K76&lt;&gt;"Yes","",IFERROR(INDEX(cr_Rate,MATCH(J76&amp;"|"&amp;D76,cr_Key,0)),INDEX(rt_Rate,MATCH(D76,rt_Code,0))))</f>
        <v/>
      </c>
      <c r="M76" s="25" t="str">
        <f aca="false">IF(L76="","",ROUND(N(E76)*L76,2))</f>
        <v/>
      </c>
      <c r="N76" s="39" t="n">
        <f aca="false">IF(OR(A76="",B76=""),"",SUMIFS(tl_Hours,tl_StaffID,I76,tl_Date,A76))</f>
        <v>8</v>
      </c>
      <c r="O76" s="40" t="str">
        <f aca="false">IF(A76&amp;B76&amp;D76="","",IF(OR(A76="",B76="",D76="",E76=""),"Incomplete",IF(K76="Unknown","Unknown code",IF(AND(K76="Yes",C76=""),"Billable, needs client",IF(N76&gt;MaxDayHours,"Over "&amp;MaxDayHours&amp;" hours that day","")))))</f>
        <v/>
      </c>
    </row>
    <row r="77" customFormat="false" ht="15" hidden="false" customHeight="false" outlineLevel="0" collapsed="false">
      <c r="A77" s="31" t="n">
        <v>46209</v>
      </c>
      <c r="B77" s="32" t="s">
        <v>101</v>
      </c>
      <c r="C77" s="32" t="s">
        <v>102</v>
      </c>
      <c r="D77" s="33" t="s">
        <v>88</v>
      </c>
      <c r="E77" s="34" t="n">
        <v>3</v>
      </c>
      <c r="F77" s="32"/>
      <c r="G77" s="35" t="n">
        <f aca="false">IF(A77="","",A77+7-WEEKDAY(A77))</f>
        <v>46214</v>
      </c>
      <c r="H77" s="36" t="n">
        <f aca="false">IF(A77="","",DATE(YEAR(A77),MONTH(A77),1))</f>
        <v>46204</v>
      </c>
      <c r="I77" s="37" t="str">
        <f aca="false">IF(B77="","",IFERROR(INDEX(st_ID,MATCH(B77,st_Name,0)),"Unknown"))</f>
        <v>QP-04</v>
      </c>
      <c r="J77" s="37" t="str">
        <f aca="false">IF(C77="","",IFERROR(INDEX(cl_Code,MATCH(C77,cl_Name,0)),"Unknown"))</f>
        <v>CLH</v>
      </c>
      <c r="K77" s="37" t="str">
        <f aca="false">IF(D77="","",IFERROR(INDEX(rt_Billable,MATCH(D77,rt_Code,0)),"Unknown"))</f>
        <v>Yes</v>
      </c>
      <c r="L77" s="38" t="n">
        <f aca="false">IF(K77&lt;&gt;"Yes","",IFERROR(INDEX(cr_Rate,MATCH(J77&amp;"|"&amp;D77,cr_Key,0)),INDEX(rt_Rate,MATCH(D77,rt_Code,0))))</f>
        <v>110</v>
      </c>
      <c r="M77" s="25" t="n">
        <f aca="false">IF(L77="","",ROUND(N(E77)*L77,2))</f>
        <v>330</v>
      </c>
      <c r="N77" s="39" t="n">
        <f aca="false">IF(OR(A77="",B77=""),"",SUMIFS(tl_Hours,tl_StaffID,I77,tl_Date,A77))</f>
        <v>8</v>
      </c>
      <c r="O77" s="40" t="str">
        <f aca="false">IF(A77&amp;B77&amp;D77="","",IF(OR(A77="",B77="",D77="",E77=""),"Incomplete",IF(K77="Unknown","Unknown code",IF(AND(K77="Yes",C77=""),"Billable, needs client",IF(N77&gt;MaxDayHours,"Over "&amp;MaxDayHours&amp;" hours that day","")))))</f>
        <v/>
      </c>
    </row>
    <row r="78" customFormat="false" ht="15" hidden="false" customHeight="false" outlineLevel="0" collapsed="false">
      <c r="A78" s="31" t="n">
        <v>46209</v>
      </c>
      <c r="B78" s="32" t="s">
        <v>101</v>
      </c>
      <c r="C78" s="32" t="s">
        <v>102</v>
      </c>
      <c r="D78" s="33" t="s">
        <v>89</v>
      </c>
      <c r="E78" s="34" t="n">
        <v>2</v>
      </c>
      <c r="F78" s="32"/>
      <c r="G78" s="35" t="n">
        <f aca="false">IF(A78="","",A78+7-WEEKDAY(A78))</f>
        <v>46214</v>
      </c>
      <c r="H78" s="36" t="n">
        <f aca="false">IF(A78="","",DATE(YEAR(A78),MONTH(A78),1))</f>
        <v>46204</v>
      </c>
      <c r="I78" s="37" t="str">
        <f aca="false">IF(B78="","",IFERROR(INDEX(st_ID,MATCH(B78,st_Name,0)),"Unknown"))</f>
        <v>QP-04</v>
      </c>
      <c r="J78" s="37" t="str">
        <f aca="false">IF(C78="","",IFERROR(INDEX(cl_Code,MATCH(C78,cl_Name,0)),"Unknown"))</f>
        <v>CLH</v>
      </c>
      <c r="K78" s="37" t="str">
        <f aca="false">IF(D78="","",IFERROR(INDEX(rt_Billable,MATCH(D78,rt_Code,0)),"Unknown"))</f>
        <v>Yes</v>
      </c>
      <c r="L78" s="38" t="n">
        <f aca="false">IF(K78&lt;&gt;"Yes","",IFERROR(INDEX(cr_Rate,MATCH(J78&amp;"|"&amp;D78,cr_Key,0)),INDEX(rt_Rate,MATCH(D78,rt_Code,0))))</f>
        <v>95</v>
      </c>
      <c r="M78" s="25" t="n">
        <f aca="false">IF(L78="","",ROUND(N(E78)*L78,2))</f>
        <v>190</v>
      </c>
      <c r="N78" s="39" t="n">
        <f aca="false">IF(OR(A78="",B78=""),"",SUMIFS(tl_Hours,tl_StaffID,I78,tl_Date,A78))</f>
        <v>8</v>
      </c>
      <c r="O78" s="40" t="str">
        <f aca="false">IF(A78&amp;B78&amp;D78="","",IF(OR(A78="",B78="",D78="",E78=""),"Incomplete",IF(K78="Unknown","Unknown code",IF(AND(K78="Yes",C78=""),"Billable, needs client",IF(N78&gt;MaxDayHours,"Over "&amp;MaxDayHours&amp;" hours that day","")))))</f>
        <v/>
      </c>
    </row>
    <row r="79" customFormat="false" ht="15" hidden="false" customHeight="false" outlineLevel="0" collapsed="false">
      <c r="A79" s="31" t="n">
        <v>46209</v>
      </c>
      <c r="B79" s="32" t="s">
        <v>101</v>
      </c>
      <c r="C79" s="32"/>
      <c r="D79" s="33" t="s">
        <v>96</v>
      </c>
      <c r="E79" s="34" t="n">
        <v>3</v>
      </c>
      <c r="F79" s="32"/>
      <c r="G79" s="35" t="n">
        <f aca="false">IF(A79="","",A79+7-WEEKDAY(A79))</f>
        <v>46214</v>
      </c>
      <c r="H79" s="36" t="n">
        <f aca="false">IF(A79="","",DATE(YEAR(A79),MONTH(A79),1))</f>
        <v>46204</v>
      </c>
      <c r="I79" s="37" t="str">
        <f aca="false">IF(B79="","",IFERROR(INDEX(st_ID,MATCH(B79,st_Name,0)),"Unknown"))</f>
        <v>QP-04</v>
      </c>
      <c r="J79" s="37" t="str">
        <f aca="false">IF(C79="","",IFERROR(INDEX(cl_Code,MATCH(C79,cl_Name,0)),"Unknown"))</f>
        <v/>
      </c>
      <c r="K79" s="37" t="str">
        <f aca="false">IF(D79="","",IFERROR(INDEX(rt_Billable,MATCH(D79,rt_Code,0)),"Unknown"))</f>
        <v>No</v>
      </c>
      <c r="L79" s="38" t="str">
        <f aca="false">IF(K79&lt;&gt;"Yes","",IFERROR(INDEX(cr_Rate,MATCH(J79&amp;"|"&amp;D79,cr_Key,0)),INDEX(rt_Rate,MATCH(D79,rt_Code,0))))</f>
        <v/>
      </c>
      <c r="M79" s="25" t="str">
        <f aca="false">IF(L79="","",ROUND(N(E79)*L79,2))</f>
        <v/>
      </c>
      <c r="N79" s="39" t="n">
        <f aca="false">IF(OR(A79="",B79=""),"",SUMIFS(tl_Hours,tl_StaffID,I79,tl_Date,A79))</f>
        <v>8</v>
      </c>
      <c r="O79" s="40" t="str">
        <f aca="false">IF(A79&amp;B79&amp;D79="","",IF(OR(A79="",B79="",D79="",E79=""),"Incomplete",IF(K79="Unknown","Unknown code",IF(AND(K79="Yes",C79=""),"Billable, needs client",IF(N79&gt;MaxDayHours,"Over "&amp;MaxDayHours&amp;" hours that day","")))))</f>
        <v/>
      </c>
    </row>
    <row r="80" customFormat="false" ht="15" hidden="false" customHeight="false" outlineLevel="0" collapsed="false">
      <c r="A80" s="31" t="n">
        <v>46209</v>
      </c>
      <c r="B80" s="32" t="s">
        <v>103</v>
      </c>
      <c r="C80" s="32" t="s">
        <v>90</v>
      </c>
      <c r="D80" s="33" t="s">
        <v>88</v>
      </c>
      <c r="E80" s="34" t="n">
        <v>3</v>
      </c>
      <c r="F80" s="32"/>
      <c r="G80" s="35" t="n">
        <f aca="false">IF(A80="","",A80+7-WEEKDAY(A80))</f>
        <v>46214</v>
      </c>
      <c r="H80" s="36" t="n">
        <f aca="false">IF(A80="","",DATE(YEAR(A80),MONTH(A80),1))</f>
        <v>46204</v>
      </c>
      <c r="I80" s="37" t="str">
        <f aca="false">IF(B80="","",IFERROR(INDEX(st_ID,MATCH(B80,st_Name,0)),"Unknown"))</f>
        <v>QP-05</v>
      </c>
      <c r="J80" s="37" t="str">
        <f aca="false">IF(C80="","",IFERROR(INDEX(cl_Code,MATCH(C80,cl_Name,0)),"Unknown"))</f>
        <v>BSE</v>
      </c>
      <c r="K80" s="37" t="str">
        <f aca="false">IF(D80="","",IFERROR(INDEX(rt_Billable,MATCH(D80,rt_Code,0)),"Unknown"))</f>
        <v>Yes</v>
      </c>
      <c r="L80" s="38" t="n">
        <f aca="false">IF(K80&lt;&gt;"Yes","",IFERROR(INDEX(cr_Rate,MATCH(J80&amp;"|"&amp;D80,cr_Key,0)),INDEX(rt_Rate,MATCH(D80,rt_Code,0))))</f>
        <v>104</v>
      </c>
      <c r="M80" s="25" t="n">
        <f aca="false">IF(L80="","",ROUND(N(E80)*L80,2))</f>
        <v>312</v>
      </c>
      <c r="N80" s="39" t="n">
        <f aca="false">IF(OR(A80="",B80=""),"",SUMIFS(tl_Hours,tl_StaffID,I80,tl_Date,A80))</f>
        <v>8</v>
      </c>
      <c r="O80" s="40" t="str">
        <f aca="false">IF(A80&amp;B80&amp;D80="","",IF(OR(A80="",B80="",D80="",E80=""),"Incomplete",IF(K80="Unknown","Unknown code",IF(AND(K80="Yes",C80=""),"Billable, needs client",IF(N80&gt;MaxDayHours,"Over "&amp;MaxDayHours&amp;" hours that day","")))))</f>
        <v/>
      </c>
    </row>
    <row r="81" customFormat="false" ht="15" hidden="false" customHeight="false" outlineLevel="0" collapsed="false">
      <c r="A81" s="31" t="n">
        <v>46209</v>
      </c>
      <c r="B81" s="32" t="s">
        <v>103</v>
      </c>
      <c r="C81" s="32" t="s">
        <v>90</v>
      </c>
      <c r="D81" s="33" t="s">
        <v>89</v>
      </c>
      <c r="E81" s="34" t="n">
        <v>1.25</v>
      </c>
      <c r="F81" s="32"/>
      <c r="G81" s="35" t="n">
        <f aca="false">IF(A81="","",A81+7-WEEKDAY(A81))</f>
        <v>46214</v>
      </c>
      <c r="H81" s="36" t="n">
        <f aca="false">IF(A81="","",DATE(YEAR(A81),MONTH(A81),1))</f>
        <v>46204</v>
      </c>
      <c r="I81" s="37" t="str">
        <f aca="false">IF(B81="","",IFERROR(INDEX(st_ID,MATCH(B81,st_Name,0)),"Unknown"))</f>
        <v>QP-05</v>
      </c>
      <c r="J81" s="37" t="str">
        <f aca="false">IF(C81="","",IFERROR(INDEX(cl_Code,MATCH(C81,cl_Name,0)),"Unknown"))</f>
        <v>BSE</v>
      </c>
      <c r="K81" s="37" t="str">
        <f aca="false">IF(D81="","",IFERROR(INDEX(rt_Billable,MATCH(D81,rt_Code,0)),"Unknown"))</f>
        <v>Yes</v>
      </c>
      <c r="L81" s="38" t="n">
        <f aca="false">IF(K81&lt;&gt;"Yes","",IFERROR(INDEX(cr_Rate,MATCH(J81&amp;"|"&amp;D81,cr_Key,0)),INDEX(rt_Rate,MATCH(D81,rt_Code,0))))</f>
        <v>95</v>
      </c>
      <c r="M81" s="25" t="n">
        <f aca="false">IF(L81="","",ROUND(N(E81)*L81,2))</f>
        <v>118.75</v>
      </c>
      <c r="N81" s="39" t="n">
        <f aca="false">IF(OR(A81="",B81=""),"",SUMIFS(tl_Hours,tl_StaffID,I81,tl_Date,A81))</f>
        <v>8</v>
      </c>
      <c r="O81" s="40" t="str">
        <f aca="false">IF(A81&amp;B81&amp;D81="","",IF(OR(A81="",B81="",D81="",E81=""),"Incomplete",IF(K81="Unknown","Unknown code",IF(AND(K81="Yes",C81=""),"Billable, needs client",IF(N81&gt;MaxDayHours,"Over "&amp;MaxDayHours&amp;" hours that day","")))))</f>
        <v/>
      </c>
    </row>
    <row r="82" customFormat="false" ht="15" hidden="false" customHeight="false" outlineLevel="0" collapsed="false">
      <c r="A82" s="31" t="n">
        <v>46209</v>
      </c>
      <c r="B82" s="32" t="s">
        <v>103</v>
      </c>
      <c r="C82" s="32"/>
      <c r="D82" s="33" t="s">
        <v>96</v>
      </c>
      <c r="E82" s="34" t="n">
        <v>3.75</v>
      </c>
      <c r="F82" s="32"/>
      <c r="G82" s="35" t="n">
        <f aca="false">IF(A82="","",A82+7-WEEKDAY(A82))</f>
        <v>46214</v>
      </c>
      <c r="H82" s="36" t="n">
        <f aca="false">IF(A82="","",DATE(YEAR(A82),MONTH(A82),1))</f>
        <v>46204</v>
      </c>
      <c r="I82" s="37" t="str">
        <f aca="false">IF(B82="","",IFERROR(INDEX(st_ID,MATCH(B82,st_Name,0)),"Unknown"))</f>
        <v>QP-05</v>
      </c>
      <c r="J82" s="37" t="str">
        <f aca="false">IF(C82="","",IFERROR(INDEX(cl_Code,MATCH(C82,cl_Name,0)),"Unknown"))</f>
        <v/>
      </c>
      <c r="K82" s="37" t="str">
        <f aca="false">IF(D82="","",IFERROR(INDEX(rt_Billable,MATCH(D82,rt_Code,0)),"Unknown"))</f>
        <v>No</v>
      </c>
      <c r="L82" s="38" t="str">
        <f aca="false">IF(K82&lt;&gt;"Yes","",IFERROR(INDEX(cr_Rate,MATCH(J82&amp;"|"&amp;D82,cr_Key,0)),INDEX(rt_Rate,MATCH(D82,rt_Code,0))))</f>
        <v/>
      </c>
      <c r="M82" s="25" t="str">
        <f aca="false">IF(L82="","",ROUND(N(E82)*L82,2))</f>
        <v/>
      </c>
      <c r="N82" s="39" t="n">
        <f aca="false">IF(OR(A82="",B82=""),"",SUMIFS(tl_Hours,tl_StaffID,I82,tl_Date,A82))</f>
        <v>8</v>
      </c>
      <c r="O82" s="40" t="str">
        <f aca="false">IF(A82&amp;B82&amp;D82="","",IF(OR(A82="",B82="",D82="",E82=""),"Incomplete",IF(K82="Unknown","Unknown code",IF(AND(K82="Yes",C82=""),"Billable, needs client",IF(N82&gt;MaxDayHours,"Over "&amp;MaxDayHours&amp;" hours that day","")))))</f>
        <v/>
      </c>
    </row>
    <row r="83" customFormat="false" ht="15" hidden="false" customHeight="false" outlineLevel="0" collapsed="false">
      <c r="A83" s="31" t="n">
        <v>46209</v>
      </c>
      <c r="B83" s="32" t="s">
        <v>105</v>
      </c>
      <c r="C83" s="32" t="s">
        <v>87</v>
      </c>
      <c r="D83" s="33" t="s">
        <v>104</v>
      </c>
      <c r="E83" s="34" t="n">
        <v>2.75</v>
      </c>
      <c r="F83" s="32"/>
      <c r="G83" s="35" t="n">
        <f aca="false">IF(A83="","",A83+7-WEEKDAY(A83))</f>
        <v>46214</v>
      </c>
      <c r="H83" s="36" t="n">
        <f aca="false">IF(A83="","",DATE(YEAR(A83),MONTH(A83),1))</f>
        <v>46204</v>
      </c>
      <c r="I83" s="37" t="str">
        <f aca="false">IF(B83="","",IFERROR(INDEX(st_ID,MATCH(B83,st_Name,0)),"Unknown"))</f>
        <v>QP-06</v>
      </c>
      <c r="J83" s="37" t="str">
        <f aca="false">IF(C83="","",IFERROR(INDEX(cl_Code,MATCH(C83,cl_Name,0)),"Unknown"))</f>
        <v>HCS</v>
      </c>
      <c r="K83" s="37" t="str">
        <f aca="false">IF(D83="","",IFERROR(INDEX(rt_Billable,MATCH(D83,rt_Code,0)),"Unknown"))</f>
        <v>Yes</v>
      </c>
      <c r="L83" s="38" t="n">
        <f aca="false">IF(K83&lt;&gt;"Yes","",IFERROR(INDEX(cr_Rate,MATCH(J83&amp;"|"&amp;D83,cr_Key,0)),INDEX(rt_Rate,MATCH(D83,rt_Code,0))))</f>
        <v>62</v>
      </c>
      <c r="M83" s="25" t="n">
        <f aca="false">IF(L83="","",ROUND(N(E83)*L83,2))</f>
        <v>170.5</v>
      </c>
      <c r="N83" s="39" t="n">
        <f aca="false">IF(OR(A83="",B83=""),"",SUMIFS(tl_Hours,tl_StaffID,I83,tl_Date,A83))</f>
        <v>8</v>
      </c>
      <c r="O83" s="40" t="str">
        <f aca="false">IF(A83&amp;B83&amp;D83="","",IF(OR(A83="",B83="",D83="",E83=""),"Incomplete",IF(K83="Unknown","Unknown code",IF(AND(K83="Yes",C83=""),"Billable, needs client",IF(N83&gt;MaxDayHours,"Over "&amp;MaxDayHours&amp;" hours that day","")))))</f>
        <v/>
      </c>
    </row>
    <row r="84" customFormat="false" ht="15" hidden="false" customHeight="false" outlineLevel="0" collapsed="false">
      <c r="A84" s="31" t="n">
        <v>46209</v>
      </c>
      <c r="B84" s="32" t="s">
        <v>105</v>
      </c>
      <c r="C84" s="32" t="s">
        <v>87</v>
      </c>
      <c r="D84" s="33" t="s">
        <v>92</v>
      </c>
      <c r="E84" s="34" t="n">
        <v>1.5</v>
      </c>
      <c r="F84" s="32"/>
      <c r="G84" s="35" t="n">
        <f aca="false">IF(A84="","",A84+7-WEEKDAY(A84))</f>
        <v>46214</v>
      </c>
      <c r="H84" s="36" t="n">
        <f aca="false">IF(A84="","",DATE(YEAR(A84),MONTH(A84),1))</f>
        <v>46204</v>
      </c>
      <c r="I84" s="37" t="str">
        <f aca="false">IF(B84="","",IFERROR(INDEX(st_ID,MATCH(B84,st_Name,0)),"Unknown"))</f>
        <v>QP-06</v>
      </c>
      <c r="J84" s="37" t="str">
        <f aca="false">IF(C84="","",IFERROR(INDEX(cl_Code,MATCH(C84,cl_Name,0)),"Unknown"))</f>
        <v>HCS</v>
      </c>
      <c r="K84" s="37" t="str">
        <f aca="false">IF(D84="","",IFERROR(INDEX(rt_Billable,MATCH(D84,rt_Code,0)),"Unknown"))</f>
        <v>Yes</v>
      </c>
      <c r="L84" s="38" t="n">
        <f aca="false">IF(K84&lt;&gt;"Yes","",IFERROR(INDEX(cr_Rate,MATCH(J84&amp;"|"&amp;D84,cr_Key,0)),INDEX(rt_Rate,MATCH(D84,rt_Code,0))))</f>
        <v>140</v>
      </c>
      <c r="M84" s="25" t="n">
        <f aca="false">IF(L84="","",ROUND(N(E84)*L84,2))</f>
        <v>210</v>
      </c>
      <c r="N84" s="39" t="n">
        <f aca="false">IF(OR(A84="",B84=""),"",SUMIFS(tl_Hours,tl_StaffID,I84,tl_Date,A84))</f>
        <v>8</v>
      </c>
      <c r="O84" s="40" t="str">
        <f aca="false">IF(A84&amp;B84&amp;D84="","",IF(OR(A84="",B84="",D84="",E84=""),"Incomplete",IF(K84="Unknown","Unknown code",IF(AND(K84="Yes",C84=""),"Billable, needs client",IF(N84&gt;MaxDayHours,"Over "&amp;MaxDayHours&amp;" hours that day","")))))</f>
        <v/>
      </c>
    </row>
    <row r="85" customFormat="false" ht="15" hidden="false" customHeight="false" outlineLevel="0" collapsed="false">
      <c r="A85" s="31" t="n">
        <v>46209</v>
      </c>
      <c r="B85" s="32" t="s">
        <v>105</v>
      </c>
      <c r="C85" s="32"/>
      <c r="D85" s="33" t="s">
        <v>96</v>
      </c>
      <c r="E85" s="34" t="n">
        <v>3.75</v>
      </c>
      <c r="F85" s="32"/>
      <c r="G85" s="35" t="n">
        <f aca="false">IF(A85="","",A85+7-WEEKDAY(A85))</f>
        <v>46214</v>
      </c>
      <c r="H85" s="36" t="n">
        <f aca="false">IF(A85="","",DATE(YEAR(A85),MONTH(A85),1))</f>
        <v>46204</v>
      </c>
      <c r="I85" s="37" t="str">
        <f aca="false">IF(B85="","",IFERROR(INDEX(st_ID,MATCH(B85,st_Name,0)),"Unknown"))</f>
        <v>QP-06</v>
      </c>
      <c r="J85" s="37" t="str">
        <f aca="false">IF(C85="","",IFERROR(INDEX(cl_Code,MATCH(C85,cl_Name,0)),"Unknown"))</f>
        <v/>
      </c>
      <c r="K85" s="37" t="str">
        <f aca="false">IF(D85="","",IFERROR(INDEX(rt_Billable,MATCH(D85,rt_Code,0)),"Unknown"))</f>
        <v>No</v>
      </c>
      <c r="L85" s="38" t="str">
        <f aca="false">IF(K85&lt;&gt;"Yes","",IFERROR(INDEX(cr_Rate,MATCH(J85&amp;"|"&amp;D85,cr_Key,0)),INDEX(rt_Rate,MATCH(D85,rt_Code,0))))</f>
        <v/>
      </c>
      <c r="M85" s="25" t="str">
        <f aca="false">IF(L85="","",ROUND(N(E85)*L85,2))</f>
        <v/>
      </c>
      <c r="N85" s="39" t="n">
        <f aca="false">IF(OR(A85="",B85=""),"",SUMIFS(tl_Hours,tl_StaffID,I85,tl_Date,A85))</f>
        <v>8</v>
      </c>
      <c r="O85" s="40" t="str">
        <f aca="false">IF(A85&amp;B85&amp;D85="","",IF(OR(A85="",B85="",D85="",E85=""),"Incomplete",IF(K85="Unknown","Unknown code",IF(AND(K85="Yes",C85=""),"Billable, needs client",IF(N85&gt;MaxDayHours,"Over "&amp;MaxDayHours&amp;" hours that day","")))))</f>
        <v/>
      </c>
    </row>
    <row r="86" customFormat="false" ht="15" hidden="false" customHeight="false" outlineLevel="0" collapsed="false">
      <c r="A86" s="31" t="n">
        <v>46209</v>
      </c>
      <c r="B86" s="32" t="s">
        <v>106</v>
      </c>
      <c r="C86" s="32" t="s">
        <v>102</v>
      </c>
      <c r="D86" s="33" t="s">
        <v>88</v>
      </c>
      <c r="E86" s="34" t="n">
        <v>3.75</v>
      </c>
      <c r="F86" s="32"/>
      <c r="G86" s="35" t="n">
        <f aca="false">IF(A86="","",A86+7-WEEKDAY(A86))</f>
        <v>46214</v>
      </c>
      <c r="H86" s="36" t="n">
        <f aca="false">IF(A86="","",DATE(YEAR(A86),MONTH(A86),1))</f>
        <v>46204</v>
      </c>
      <c r="I86" s="37" t="str">
        <f aca="false">IF(B86="","",IFERROR(INDEX(st_ID,MATCH(B86,st_Name,0)),"Unknown"))</f>
        <v>QP-07</v>
      </c>
      <c r="J86" s="37" t="str">
        <f aca="false">IF(C86="","",IFERROR(INDEX(cl_Code,MATCH(C86,cl_Name,0)),"Unknown"))</f>
        <v>CLH</v>
      </c>
      <c r="K86" s="37" t="str">
        <f aca="false">IF(D86="","",IFERROR(INDEX(rt_Billable,MATCH(D86,rt_Code,0)),"Unknown"))</f>
        <v>Yes</v>
      </c>
      <c r="L86" s="38" t="n">
        <f aca="false">IF(K86&lt;&gt;"Yes","",IFERROR(INDEX(cr_Rate,MATCH(J86&amp;"|"&amp;D86,cr_Key,0)),INDEX(rt_Rate,MATCH(D86,rt_Code,0))))</f>
        <v>110</v>
      </c>
      <c r="M86" s="25" t="n">
        <f aca="false">IF(L86="","",ROUND(N(E86)*L86,2))</f>
        <v>412.5</v>
      </c>
      <c r="N86" s="39" t="n">
        <f aca="false">IF(OR(A86="",B86=""),"",SUMIFS(tl_Hours,tl_StaffID,I86,tl_Date,A86))</f>
        <v>8</v>
      </c>
      <c r="O86" s="40" t="str">
        <f aca="false">IF(A86&amp;B86&amp;D86="","",IF(OR(A86="",B86="",D86="",E86=""),"Incomplete",IF(K86="Unknown","Unknown code",IF(AND(K86="Yes",C86=""),"Billable, needs client",IF(N86&gt;MaxDayHours,"Over "&amp;MaxDayHours&amp;" hours that day","")))))</f>
        <v/>
      </c>
    </row>
    <row r="87" customFormat="false" ht="15" hidden="false" customHeight="false" outlineLevel="0" collapsed="false">
      <c r="A87" s="31" t="n">
        <v>46209</v>
      </c>
      <c r="B87" s="32" t="s">
        <v>106</v>
      </c>
      <c r="C87" s="32" t="s">
        <v>102</v>
      </c>
      <c r="D87" s="33" t="s">
        <v>89</v>
      </c>
      <c r="E87" s="34" t="n">
        <v>0.75</v>
      </c>
      <c r="F87" s="32"/>
      <c r="G87" s="35" t="n">
        <f aca="false">IF(A87="","",A87+7-WEEKDAY(A87))</f>
        <v>46214</v>
      </c>
      <c r="H87" s="36" t="n">
        <f aca="false">IF(A87="","",DATE(YEAR(A87),MONTH(A87),1))</f>
        <v>46204</v>
      </c>
      <c r="I87" s="37" t="str">
        <f aca="false">IF(B87="","",IFERROR(INDEX(st_ID,MATCH(B87,st_Name,0)),"Unknown"))</f>
        <v>QP-07</v>
      </c>
      <c r="J87" s="37" t="str">
        <f aca="false">IF(C87="","",IFERROR(INDEX(cl_Code,MATCH(C87,cl_Name,0)),"Unknown"))</f>
        <v>CLH</v>
      </c>
      <c r="K87" s="37" t="str">
        <f aca="false">IF(D87="","",IFERROR(INDEX(rt_Billable,MATCH(D87,rt_Code,0)),"Unknown"))</f>
        <v>Yes</v>
      </c>
      <c r="L87" s="38" t="n">
        <f aca="false">IF(K87&lt;&gt;"Yes","",IFERROR(INDEX(cr_Rate,MATCH(J87&amp;"|"&amp;D87,cr_Key,0)),INDEX(rt_Rate,MATCH(D87,rt_Code,0))))</f>
        <v>95</v>
      </c>
      <c r="M87" s="25" t="n">
        <f aca="false">IF(L87="","",ROUND(N(E87)*L87,2))</f>
        <v>71.25</v>
      </c>
      <c r="N87" s="39" t="n">
        <f aca="false">IF(OR(A87="",B87=""),"",SUMIFS(tl_Hours,tl_StaffID,I87,tl_Date,A87))</f>
        <v>8</v>
      </c>
      <c r="O87" s="40" t="str">
        <f aca="false">IF(A87&amp;B87&amp;D87="","",IF(OR(A87="",B87="",D87="",E87=""),"Incomplete",IF(K87="Unknown","Unknown code",IF(AND(K87="Yes",C87=""),"Billable, needs client",IF(N87&gt;MaxDayHours,"Over "&amp;MaxDayHours&amp;" hours that day","")))))</f>
        <v/>
      </c>
    </row>
    <row r="88" customFormat="false" ht="15" hidden="false" customHeight="false" outlineLevel="0" collapsed="false">
      <c r="A88" s="31" t="n">
        <v>46209</v>
      </c>
      <c r="B88" s="32" t="s">
        <v>106</v>
      </c>
      <c r="C88" s="32"/>
      <c r="D88" s="33" t="s">
        <v>96</v>
      </c>
      <c r="E88" s="34" t="n">
        <v>3.5</v>
      </c>
      <c r="F88" s="32"/>
      <c r="G88" s="35" t="n">
        <f aca="false">IF(A88="","",A88+7-WEEKDAY(A88))</f>
        <v>46214</v>
      </c>
      <c r="H88" s="36" t="n">
        <f aca="false">IF(A88="","",DATE(YEAR(A88),MONTH(A88),1))</f>
        <v>46204</v>
      </c>
      <c r="I88" s="37" t="str">
        <f aca="false">IF(B88="","",IFERROR(INDEX(st_ID,MATCH(B88,st_Name,0)),"Unknown"))</f>
        <v>QP-07</v>
      </c>
      <c r="J88" s="37" t="str">
        <f aca="false">IF(C88="","",IFERROR(INDEX(cl_Code,MATCH(C88,cl_Name,0)),"Unknown"))</f>
        <v/>
      </c>
      <c r="K88" s="37" t="str">
        <f aca="false">IF(D88="","",IFERROR(INDEX(rt_Billable,MATCH(D88,rt_Code,0)),"Unknown"))</f>
        <v>No</v>
      </c>
      <c r="L88" s="38" t="str">
        <f aca="false">IF(K88&lt;&gt;"Yes","",IFERROR(INDEX(cr_Rate,MATCH(J88&amp;"|"&amp;D88,cr_Key,0)),INDEX(rt_Rate,MATCH(D88,rt_Code,0))))</f>
        <v/>
      </c>
      <c r="M88" s="25" t="str">
        <f aca="false">IF(L88="","",ROUND(N(E88)*L88,2))</f>
        <v/>
      </c>
      <c r="N88" s="39" t="n">
        <f aca="false">IF(OR(A88="",B88=""),"",SUMIFS(tl_Hours,tl_StaffID,I88,tl_Date,A88))</f>
        <v>8</v>
      </c>
      <c r="O88" s="40" t="str">
        <f aca="false">IF(A88&amp;B88&amp;D88="","",IF(OR(A88="",B88="",D88="",E88=""),"Incomplete",IF(K88="Unknown","Unknown code",IF(AND(K88="Yes",C88=""),"Billable, needs client",IF(N88&gt;MaxDayHours,"Over "&amp;MaxDayHours&amp;" hours that day","")))))</f>
        <v/>
      </c>
    </row>
    <row r="89" customFormat="false" ht="15" hidden="false" customHeight="false" outlineLevel="0" collapsed="false">
      <c r="A89" s="31" t="n">
        <v>46209</v>
      </c>
      <c r="B89" s="32" t="s">
        <v>107</v>
      </c>
      <c r="C89" s="32"/>
      <c r="D89" s="33" t="s">
        <v>108</v>
      </c>
      <c r="E89" s="34" t="n">
        <v>7</v>
      </c>
      <c r="F89" s="32"/>
      <c r="G89" s="35" t="n">
        <f aca="false">IF(A89="","",A89+7-WEEKDAY(A89))</f>
        <v>46214</v>
      </c>
      <c r="H89" s="36" t="n">
        <f aca="false">IF(A89="","",DATE(YEAR(A89),MONTH(A89),1))</f>
        <v>46204</v>
      </c>
      <c r="I89" s="37" t="str">
        <f aca="false">IF(B89="","",IFERROR(INDEX(st_ID,MATCH(B89,st_Name,0)),"Unknown"))</f>
        <v>QP-08</v>
      </c>
      <c r="J89" s="37" t="str">
        <f aca="false">IF(C89="","",IFERROR(INDEX(cl_Code,MATCH(C89,cl_Name,0)),"Unknown"))</f>
        <v/>
      </c>
      <c r="K89" s="37" t="str">
        <f aca="false">IF(D89="","",IFERROR(INDEX(rt_Billable,MATCH(D89,rt_Code,0)),"Unknown"))</f>
        <v>No</v>
      </c>
      <c r="L89" s="38" t="str">
        <f aca="false">IF(K89&lt;&gt;"Yes","",IFERROR(INDEX(cr_Rate,MATCH(J89&amp;"|"&amp;D89,cr_Key,0)),INDEX(rt_Rate,MATCH(D89,rt_Code,0))))</f>
        <v/>
      </c>
      <c r="M89" s="25" t="str">
        <f aca="false">IF(L89="","",ROUND(N(E89)*L89,2))</f>
        <v/>
      </c>
      <c r="N89" s="39" t="n">
        <f aca="false">IF(OR(A89="",B89=""),"",SUMIFS(tl_Hours,tl_StaffID,I89,tl_Date,A89))</f>
        <v>8</v>
      </c>
      <c r="O89" s="40" t="str">
        <f aca="false">IF(A89&amp;B89&amp;D89="","",IF(OR(A89="",B89="",D89="",E89=""),"Incomplete",IF(K89="Unknown","Unknown code",IF(AND(K89="Yes",C89=""),"Billable, needs client",IF(N89&gt;MaxDayHours,"Over "&amp;MaxDayHours&amp;" hours that day","")))))</f>
        <v/>
      </c>
    </row>
    <row r="90" customFormat="false" ht="15" hidden="false" customHeight="false" outlineLevel="0" collapsed="false">
      <c r="A90" s="31" t="n">
        <v>46209</v>
      </c>
      <c r="B90" s="32" t="s">
        <v>107</v>
      </c>
      <c r="C90" s="32"/>
      <c r="D90" s="33" t="s">
        <v>98</v>
      </c>
      <c r="E90" s="34" t="n">
        <v>1</v>
      </c>
      <c r="F90" s="32"/>
      <c r="G90" s="35" t="n">
        <f aca="false">IF(A90="","",A90+7-WEEKDAY(A90))</f>
        <v>46214</v>
      </c>
      <c r="H90" s="36" t="n">
        <f aca="false">IF(A90="","",DATE(YEAR(A90),MONTH(A90),1))</f>
        <v>46204</v>
      </c>
      <c r="I90" s="37" t="str">
        <f aca="false">IF(B90="","",IFERROR(INDEX(st_ID,MATCH(B90,st_Name,0)),"Unknown"))</f>
        <v>QP-08</v>
      </c>
      <c r="J90" s="37" t="str">
        <f aca="false">IF(C90="","",IFERROR(INDEX(cl_Code,MATCH(C90,cl_Name,0)),"Unknown"))</f>
        <v/>
      </c>
      <c r="K90" s="37" t="str">
        <f aca="false">IF(D90="","",IFERROR(INDEX(rt_Billable,MATCH(D90,rt_Code,0)),"Unknown"))</f>
        <v>No</v>
      </c>
      <c r="L90" s="38" t="str">
        <f aca="false">IF(K90&lt;&gt;"Yes","",IFERROR(INDEX(cr_Rate,MATCH(J90&amp;"|"&amp;D90,cr_Key,0)),INDEX(rt_Rate,MATCH(D90,rt_Code,0))))</f>
        <v/>
      </c>
      <c r="M90" s="25" t="str">
        <f aca="false">IF(L90="","",ROUND(N(E90)*L90,2))</f>
        <v/>
      </c>
      <c r="N90" s="39" t="n">
        <f aca="false">IF(OR(A90="",B90=""),"",SUMIFS(tl_Hours,tl_StaffID,I90,tl_Date,A90))</f>
        <v>8</v>
      </c>
      <c r="O90" s="40" t="str">
        <f aca="false">IF(A90&amp;B90&amp;D90="","",IF(OR(A90="",B90="",D90="",E90=""),"Incomplete",IF(K90="Unknown","Unknown code",IF(AND(K90="Yes",C90=""),"Billable, needs client",IF(N90&gt;MaxDayHours,"Over "&amp;MaxDayHours&amp;" hours that day","")))))</f>
        <v/>
      </c>
    </row>
    <row r="91" customFormat="false" ht="15" hidden="false" customHeight="false" outlineLevel="0" collapsed="false">
      <c r="A91" s="31" t="n">
        <v>46210</v>
      </c>
      <c r="B91" s="32" t="s">
        <v>86</v>
      </c>
      <c r="C91" s="32" t="s">
        <v>90</v>
      </c>
      <c r="D91" s="33" t="s">
        <v>88</v>
      </c>
      <c r="E91" s="34" t="n">
        <v>3.25</v>
      </c>
      <c r="F91" s="32"/>
      <c r="G91" s="35" t="n">
        <f aca="false">IF(A91="","",A91+7-WEEKDAY(A91))</f>
        <v>46214</v>
      </c>
      <c r="H91" s="36" t="n">
        <f aca="false">IF(A91="","",DATE(YEAR(A91),MONTH(A91),1))</f>
        <v>46204</v>
      </c>
      <c r="I91" s="37" t="str">
        <f aca="false">IF(B91="","",IFERROR(INDEX(st_ID,MATCH(B91,st_Name,0)),"Unknown"))</f>
        <v>QP-01</v>
      </c>
      <c r="J91" s="37" t="str">
        <f aca="false">IF(C91="","",IFERROR(INDEX(cl_Code,MATCH(C91,cl_Name,0)),"Unknown"))</f>
        <v>BSE</v>
      </c>
      <c r="K91" s="37" t="str">
        <f aca="false">IF(D91="","",IFERROR(INDEX(rt_Billable,MATCH(D91,rt_Code,0)),"Unknown"))</f>
        <v>Yes</v>
      </c>
      <c r="L91" s="38" t="n">
        <f aca="false">IF(K91&lt;&gt;"Yes","",IFERROR(INDEX(cr_Rate,MATCH(J91&amp;"|"&amp;D91,cr_Key,0)),INDEX(rt_Rate,MATCH(D91,rt_Code,0))))</f>
        <v>104</v>
      </c>
      <c r="M91" s="25" t="n">
        <f aca="false">IF(L91="","",ROUND(N(E91)*L91,2))</f>
        <v>338</v>
      </c>
      <c r="N91" s="39" t="n">
        <f aca="false">IF(OR(A91="",B91=""),"",SUMIFS(tl_Hours,tl_StaffID,I91,tl_Date,A91))</f>
        <v>8</v>
      </c>
      <c r="O91" s="40" t="str">
        <f aca="false">IF(A91&amp;B91&amp;D91="","",IF(OR(A91="",B91="",D91="",E91=""),"Incomplete",IF(K91="Unknown","Unknown code",IF(AND(K91="Yes",C91=""),"Billable, needs client",IF(N91&gt;MaxDayHours,"Over "&amp;MaxDayHours&amp;" hours that day","")))))</f>
        <v/>
      </c>
    </row>
    <row r="92" customFormat="false" ht="15" hidden="false" customHeight="false" outlineLevel="0" collapsed="false">
      <c r="A92" s="31" t="n">
        <v>46210</v>
      </c>
      <c r="B92" s="32" t="s">
        <v>86</v>
      </c>
      <c r="C92" s="32" t="s">
        <v>90</v>
      </c>
      <c r="D92" s="33" t="s">
        <v>92</v>
      </c>
      <c r="E92" s="34" t="n">
        <v>0.75</v>
      </c>
      <c r="F92" s="32"/>
      <c r="G92" s="35" t="n">
        <f aca="false">IF(A92="","",A92+7-WEEKDAY(A92))</f>
        <v>46214</v>
      </c>
      <c r="H92" s="36" t="n">
        <f aca="false">IF(A92="","",DATE(YEAR(A92),MONTH(A92),1))</f>
        <v>46204</v>
      </c>
      <c r="I92" s="37" t="str">
        <f aca="false">IF(B92="","",IFERROR(INDEX(st_ID,MATCH(B92,st_Name,0)),"Unknown"))</f>
        <v>QP-01</v>
      </c>
      <c r="J92" s="37" t="str">
        <f aca="false">IF(C92="","",IFERROR(INDEX(cl_Code,MATCH(C92,cl_Name,0)),"Unknown"))</f>
        <v>BSE</v>
      </c>
      <c r="K92" s="37" t="str">
        <f aca="false">IF(D92="","",IFERROR(INDEX(rt_Billable,MATCH(D92,rt_Code,0)),"Unknown"))</f>
        <v>Yes</v>
      </c>
      <c r="L92" s="38" t="n">
        <f aca="false">IF(K92&lt;&gt;"Yes","",IFERROR(INDEX(cr_Rate,MATCH(J92&amp;"|"&amp;D92,cr_Key,0)),INDEX(rt_Rate,MATCH(D92,rt_Code,0))))</f>
        <v>145</v>
      </c>
      <c r="M92" s="25" t="n">
        <f aca="false">IF(L92="","",ROUND(N(E92)*L92,2))</f>
        <v>108.75</v>
      </c>
      <c r="N92" s="39" t="n">
        <f aca="false">IF(OR(A92="",B92=""),"",SUMIFS(tl_Hours,tl_StaffID,I92,tl_Date,A92))</f>
        <v>8</v>
      </c>
      <c r="O92" s="40" t="str">
        <f aca="false">IF(A92&amp;B92&amp;D92="","",IF(OR(A92="",B92="",D92="",E92=""),"Incomplete",IF(K92="Unknown","Unknown code",IF(AND(K92="Yes",C92=""),"Billable, needs client",IF(N92&gt;MaxDayHours,"Over "&amp;MaxDayHours&amp;" hours that day","")))))</f>
        <v/>
      </c>
    </row>
    <row r="93" customFormat="false" ht="15" hidden="false" customHeight="false" outlineLevel="0" collapsed="false">
      <c r="A93" s="31" t="n">
        <v>46210</v>
      </c>
      <c r="B93" s="32" t="s">
        <v>86</v>
      </c>
      <c r="C93" s="32"/>
      <c r="D93" s="33" t="s">
        <v>96</v>
      </c>
      <c r="E93" s="34" t="n">
        <v>4</v>
      </c>
      <c r="F93" s="32"/>
      <c r="G93" s="35" t="n">
        <f aca="false">IF(A93="","",A93+7-WEEKDAY(A93))</f>
        <v>46214</v>
      </c>
      <c r="H93" s="36" t="n">
        <f aca="false">IF(A93="","",DATE(YEAR(A93),MONTH(A93),1))</f>
        <v>46204</v>
      </c>
      <c r="I93" s="37" t="str">
        <f aca="false">IF(B93="","",IFERROR(INDEX(st_ID,MATCH(B93,st_Name,0)),"Unknown"))</f>
        <v>QP-01</v>
      </c>
      <c r="J93" s="37" t="str">
        <f aca="false">IF(C93="","",IFERROR(INDEX(cl_Code,MATCH(C93,cl_Name,0)),"Unknown"))</f>
        <v/>
      </c>
      <c r="K93" s="37" t="str">
        <f aca="false">IF(D93="","",IFERROR(INDEX(rt_Billable,MATCH(D93,rt_Code,0)),"Unknown"))</f>
        <v>No</v>
      </c>
      <c r="L93" s="38" t="str">
        <f aca="false">IF(K93&lt;&gt;"Yes","",IFERROR(INDEX(cr_Rate,MATCH(J93&amp;"|"&amp;D93,cr_Key,0)),INDEX(rt_Rate,MATCH(D93,rt_Code,0))))</f>
        <v/>
      </c>
      <c r="M93" s="25" t="str">
        <f aca="false">IF(L93="","",ROUND(N(E93)*L93,2))</f>
        <v/>
      </c>
      <c r="N93" s="39" t="n">
        <f aca="false">IF(OR(A93="",B93=""),"",SUMIFS(tl_Hours,tl_StaffID,I93,tl_Date,A93))</f>
        <v>8</v>
      </c>
      <c r="O93" s="40" t="str">
        <f aca="false">IF(A93&amp;B93&amp;D93="","",IF(OR(A93="",B93="",D93="",E93=""),"Incomplete",IF(K93="Unknown","Unknown code",IF(AND(K93="Yes",C93=""),"Billable, needs client",IF(N93&gt;MaxDayHours,"Over "&amp;MaxDayHours&amp;" hours that day","")))))</f>
        <v/>
      </c>
    </row>
    <row r="94" customFormat="false" ht="15" hidden="false" customHeight="false" outlineLevel="0" collapsed="false">
      <c r="A94" s="31" t="n">
        <v>46210</v>
      </c>
      <c r="B94" s="32" t="s">
        <v>97</v>
      </c>
      <c r="C94" s="32" t="s">
        <v>90</v>
      </c>
      <c r="D94" s="33" t="s">
        <v>91</v>
      </c>
      <c r="E94" s="34" t="n">
        <v>3</v>
      </c>
      <c r="F94" s="32"/>
      <c r="G94" s="35" t="n">
        <f aca="false">IF(A94="","",A94+7-WEEKDAY(A94))</f>
        <v>46214</v>
      </c>
      <c r="H94" s="36" t="n">
        <f aca="false">IF(A94="","",DATE(YEAR(A94),MONTH(A94),1))</f>
        <v>46204</v>
      </c>
      <c r="I94" s="37" t="str">
        <f aca="false">IF(B94="","",IFERROR(INDEX(st_ID,MATCH(B94,st_Name,0)),"Unknown"))</f>
        <v>QP-02</v>
      </c>
      <c r="J94" s="37" t="str">
        <f aca="false">IF(C94="","",IFERROR(INDEX(cl_Code,MATCH(C94,cl_Name,0)),"Unknown"))</f>
        <v>BSE</v>
      </c>
      <c r="K94" s="37" t="str">
        <f aca="false">IF(D94="","",IFERROR(INDEX(rt_Billable,MATCH(D94,rt_Code,0)),"Unknown"))</f>
        <v>Yes</v>
      </c>
      <c r="L94" s="38" t="n">
        <f aca="false">IF(K94&lt;&gt;"Yes","",IFERROR(INDEX(cr_Rate,MATCH(J94&amp;"|"&amp;D94,cr_Key,0)),INDEX(rt_Rate,MATCH(D94,rt_Code,0))))</f>
        <v>100</v>
      </c>
      <c r="M94" s="25" t="n">
        <f aca="false">IF(L94="","",ROUND(N(E94)*L94,2))</f>
        <v>300</v>
      </c>
      <c r="N94" s="39" t="n">
        <f aca="false">IF(OR(A94="",B94=""),"",SUMIFS(tl_Hours,tl_StaffID,I94,tl_Date,A94))</f>
        <v>8</v>
      </c>
      <c r="O94" s="40" t="str">
        <f aca="false">IF(A94&amp;B94&amp;D94="","",IF(OR(A94="",B94="",D94="",E94=""),"Incomplete",IF(K94="Unknown","Unknown code",IF(AND(K94="Yes",C94=""),"Billable, needs client",IF(N94&gt;MaxDayHours,"Over "&amp;MaxDayHours&amp;" hours that day","")))))</f>
        <v/>
      </c>
    </row>
    <row r="95" customFormat="false" ht="15" hidden="false" customHeight="false" outlineLevel="0" collapsed="false">
      <c r="A95" s="31" t="n">
        <v>46210</v>
      </c>
      <c r="B95" s="32" t="s">
        <v>97</v>
      </c>
      <c r="C95" s="32" t="s">
        <v>90</v>
      </c>
      <c r="D95" s="33" t="s">
        <v>92</v>
      </c>
      <c r="E95" s="34" t="n">
        <v>1.75</v>
      </c>
      <c r="F95" s="32"/>
      <c r="G95" s="35" t="n">
        <f aca="false">IF(A95="","",A95+7-WEEKDAY(A95))</f>
        <v>46214</v>
      </c>
      <c r="H95" s="36" t="n">
        <f aca="false">IF(A95="","",DATE(YEAR(A95),MONTH(A95),1))</f>
        <v>46204</v>
      </c>
      <c r="I95" s="37" t="str">
        <f aca="false">IF(B95="","",IFERROR(INDEX(st_ID,MATCH(B95,st_Name,0)),"Unknown"))</f>
        <v>QP-02</v>
      </c>
      <c r="J95" s="37" t="str">
        <f aca="false">IF(C95="","",IFERROR(INDEX(cl_Code,MATCH(C95,cl_Name,0)),"Unknown"))</f>
        <v>BSE</v>
      </c>
      <c r="K95" s="37" t="str">
        <f aca="false">IF(D95="","",IFERROR(INDEX(rt_Billable,MATCH(D95,rt_Code,0)),"Unknown"))</f>
        <v>Yes</v>
      </c>
      <c r="L95" s="38" t="n">
        <f aca="false">IF(K95&lt;&gt;"Yes","",IFERROR(INDEX(cr_Rate,MATCH(J95&amp;"|"&amp;D95,cr_Key,0)),INDEX(rt_Rate,MATCH(D95,rt_Code,0))))</f>
        <v>145</v>
      </c>
      <c r="M95" s="25" t="n">
        <f aca="false">IF(L95="","",ROUND(N(E95)*L95,2))</f>
        <v>253.75</v>
      </c>
      <c r="N95" s="39" t="n">
        <f aca="false">IF(OR(A95="",B95=""),"",SUMIFS(tl_Hours,tl_StaffID,I95,tl_Date,A95))</f>
        <v>8</v>
      </c>
      <c r="O95" s="40" t="str">
        <f aca="false">IF(A95&amp;B95&amp;D95="","",IF(OR(A95="",B95="",D95="",E95=""),"Incomplete",IF(K95="Unknown","Unknown code",IF(AND(K95="Yes",C95=""),"Billable, needs client",IF(N95&gt;MaxDayHours,"Over "&amp;MaxDayHours&amp;" hours that day","")))))</f>
        <v/>
      </c>
    </row>
    <row r="96" customFormat="false" ht="15" hidden="false" customHeight="false" outlineLevel="0" collapsed="false">
      <c r="A96" s="31" t="n">
        <v>46210</v>
      </c>
      <c r="B96" s="32" t="s">
        <v>97</v>
      </c>
      <c r="C96" s="32"/>
      <c r="D96" s="33" t="s">
        <v>96</v>
      </c>
      <c r="E96" s="34" t="n">
        <v>3.25</v>
      </c>
      <c r="F96" s="32"/>
      <c r="G96" s="35" t="n">
        <f aca="false">IF(A96="","",A96+7-WEEKDAY(A96))</f>
        <v>46214</v>
      </c>
      <c r="H96" s="36" t="n">
        <f aca="false">IF(A96="","",DATE(YEAR(A96),MONTH(A96),1))</f>
        <v>46204</v>
      </c>
      <c r="I96" s="37" t="str">
        <f aca="false">IF(B96="","",IFERROR(INDEX(st_ID,MATCH(B96,st_Name,0)),"Unknown"))</f>
        <v>QP-02</v>
      </c>
      <c r="J96" s="37" t="str">
        <f aca="false">IF(C96="","",IFERROR(INDEX(cl_Code,MATCH(C96,cl_Name,0)),"Unknown"))</f>
        <v/>
      </c>
      <c r="K96" s="37" t="str">
        <f aca="false">IF(D96="","",IFERROR(INDEX(rt_Billable,MATCH(D96,rt_Code,0)),"Unknown"))</f>
        <v>No</v>
      </c>
      <c r="L96" s="38" t="str">
        <f aca="false">IF(K96&lt;&gt;"Yes","",IFERROR(INDEX(cr_Rate,MATCH(J96&amp;"|"&amp;D96,cr_Key,0)),INDEX(rt_Rate,MATCH(D96,rt_Code,0))))</f>
        <v/>
      </c>
      <c r="M96" s="25" t="str">
        <f aca="false">IF(L96="","",ROUND(N(E96)*L96,2))</f>
        <v/>
      </c>
      <c r="N96" s="39" t="n">
        <f aca="false">IF(OR(A96="",B96=""),"",SUMIFS(tl_Hours,tl_StaffID,I96,tl_Date,A96))</f>
        <v>8</v>
      </c>
      <c r="O96" s="40" t="str">
        <f aca="false">IF(A96&amp;B96&amp;D96="","",IF(OR(A96="",B96="",D96="",E96=""),"Incomplete",IF(K96="Unknown","Unknown code",IF(AND(K96="Yes",C96=""),"Billable, needs client",IF(N96&gt;MaxDayHours,"Over "&amp;MaxDayHours&amp;" hours that day","")))))</f>
        <v/>
      </c>
    </row>
    <row r="97" customFormat="false" ht="15" hidden="false" customHeight="false" outlineLevel="0" collapsed="false">
      <c r="A97" s="31" t="n">
        <v>46210</v>
      </c>
      <c r="B97" s="32" t="s">
        <v>100</v>
      </c>
      <c r="C97" s="32" t="s">
        <v>102</v>
      </c>
      <c r="D97" s="33" t="s">
        <v>88</v>
      </c>
      <c r="E97" s="34" t="n">
        <v>3</v>
      </c>
      <c r="F97" s="32"/>
      <c r="G97" s="35" t="n">
        <f aca="false">IF(A97="","",A97+7-WEEKDAY(A97))</f>
        <v>46214</v>
      </c>
      <c r="H97" s="36" t="n">
        <f aca="false">IF(A97="","",DATE(YEAR(A97),MONTH(A97),1))</f>
        <v>46204</v>
      </c>
      <c r="I97" s="37" t="str">
        <f aca="false">IF(B97="","",IFERROR(INDEX(st_ID,MATCH(B97,st_Name,0)),"Unknown"))</f>
        <v>QP-03</v>
      </c>
      <c r="J97" s="37" t="str">
        <f aca="false">IF(C97="","",IFERROR(INDEX(cl_Code,MATCH(C97,cl_Name,0)),"Unknown"))</f>
        <v>CLH</v>
      </c>
      <c r="K97" s="37" t="str">
        <f aca="false">IF(D97="","",IFERROR(INDEX(rt_Billable,MATCH(D97,rt_Code,0)),"Unknown"))</f>
        <v>Yes</v>
      </c>
      <c r="L97" s="38" t="n">
        <f aca="false">IF(K97&lt;&gt;"Yes","",IFERROR(INDEX(cr_Rate,MATCH(J97&amp;"|"&amp;D97,cr_Key,0)),INDEX(rt_Rate,MATCH(D97,rt_Code,0))))</f>
        <v>110</v>
      </c>
      <c r="M97" s="25" t="n">
        <f aca="false">IF(L97="","",ROUND(N(E97)*L97,2))</f>
        <v>330</v>
      </c>
      <c r="N97" s="39" t="n">
        <f aca="false">IF(OR(A97="",B97=""),"",SUMIFS(tl_Hours,tl_StaffID,I97,tl_Date,A97))</f>
        <v>8</v>
      </c>
      <c r="O97" s="40" t="str">
        <f aca="false">IF(A97&amp;B97&amp;D97="","",IF(OR(A97="",B97="",D97="",E97=""),"Incomplete",IF(K97="Unknown","Unknown code",IF(AND(K97="Yes",C97=""),"Billable, needs client",IF(N97&gt;MaxDayHours,"Over "&amp;MaxDayHours&amp;" hours that day","")))))</f>
        <v/>
      </c>
    </row>
    <row r="98" customFormat="false" ht="15" hidden="false" customHeight="false" outlineLevel="0" collapsed="false">
      <c r="A98" s="31" t="n">
        <v>46210</v>
      </c>
      <c r="B98" s="32" t="s">
        <v>100</v>
      </c>
      <c r="C98" s="32" t="s">
        <v>102</v>
      </c>
      <c r="D98" s="33" t="s">
        <v>89</v>
      </c>
      <c r="E98" s="34" t="n">
        <v>0.75</v>
      </c>
      <c r="F98" s="32"/>
      <c r="G98" s="35" t="n">
        <f aca="false">IF(A98="","",A98+7-WEEKDAY(A98))</f>
        <v>46214</v>
      </c>
      <c r="H98" s="36" t="n">
        <f aca="false">IF(A98="","",DATE(YEAR(A98),MONTH(A98),1))</f>
        <v>46204</v>
      </c>
      <c r="I98" s="37" t="str">
        <f aca="false">IF(B98="","",IFERROR(INDEX(st_ID,MATCH(B98,st_Name,0)),"Unknown"))</f>
        <v>QP-03</v>
      </c>
      <c r="J98" s="37" t="str">
        <f aca="false">IF(C98="","",IFERROR(INDEX(cl_Code,MATCH(C98,cl_Name,0)),"Unknown"))</f>
        <v>CLH</v>
      </c>
      <c r="K98" s="37" t="str">
        <f aca="false">IF(D98="","",IFERROR(INDEX(rt_Billable,MATCH(D98,rt_Code,0)),"Unknown"))</f>
        <v>Yes</v>
      </c>
      <c r="L98" s="38" t="n">
        <f aca="false">IF(K98&lt;&gt;"Yes","",IFERROR(INDEX(cr_Rate,MATCH(J98&amp;"|"&amp;D98,cr_Key,0)),INDEX(rt_Rate,MATCH(D98,rt_Code,0))))</f>
        <v>95</v>
      </c>
      <c r="M98" s="25" t="n">
        <f aca="false">IF(L98="","",ROUND(N(E98)*L98,2))</f>
        <v>71.25</v>
      </c>
      <c r="N98" s="39" t="n">
        <f aca="false">IF(OR(A98="",B98=""),"",SUMIFS(tl_Hours,tl_StaffID,I98,tl_Date,A98))</f>
        <v>8</v>
      </c>
      <c r="O98" s="40" t="str">
        <f aca="false">IF(A98&amp;B98&amp;D98="","",IF(OR(A98="",B98="",D98="",E98=""),"Incomplete",IF(K98="Unknown","Unknown code",IF(AND(K98="Yes",C98=""),"Billable, needs client",IF(N98&gt;MaxDayHours,"Over "&amp;MaxDayHours&amp;" hours that day","")))))</f>
        <v/>
      </c>
    </row>
    <row r="99" customFormat="false" ht="15" hidden="false" customHeight="false" outlineLevel="0" collapsed="false">
      <c r="A99" s="31" t="n">
        <v>46210</v>
      </c>
      <c r="B99" s="32" t="s">
        <v>100</v>
      </c>
      <c r="C99" s="32"/>
      <c r="D99" s="33" t="s">
        <v>96</v>
      </c>
      <c r="E99" s="34" t="n">
        <v>4.25</v>
      </c>
      <c r="F99" s="32"/>
      <c r="G99" s="35" t="n">
        <f aca="false">IF(A99="","",A99+7-WEEKDAY(A99))</f>
        <v>46214</v>
      </c>
      <c r="H99" s="36" t="n">
        <f aca="false">IF(A99="","",DATE(YEAR(A99),MONTH(A99),1))</f>
        <v>46204</v>
      </c>
      <c r="I99" s="37" t="str">
        <f aca="false">IF(B99="","",IFERROR(INDEX(st_ID,MATCH(B99,st_Name,0)),"Unknown"))</f>
        <v>QP-03</v>
      </c>
      <c r="J99" s="37" t="str">
        <f aca="false">IF(C99="","",IFERROR(INDEX(cl_Code,MATCH(C99,cl_Name,0)),"Unknown"))</f>
        <v/>
      </c>
      <c r="K99" s="37" t="str">
        <f aca="false">IF(D99="","",IFERROR(INDEX(rt_Billable,MATCH(D99,rt_Code,0)),"Unknown"))</f>
        <v>No</v>
      </c>
      <c r="L99" s="38" t="str">
        <f aca="false">IF(K99&lt;&gt;"Yes","",IFERROR(INDEX(cr_Rate,MATCH(J99&amp;"|"&amp;D99,cr_Key,0)),INDEX(rt_Rate,MATCH(D99,rt_Code,0))))</f>
        <v/>
      </c>
      <c r="M99" s="25" t="str">
        <f aca="false">IF(L99="","",ROUND(N(E99)*L99,2))</f>
        <v/>
      </c>
      <c r="N99" s="39" t="n">
        <f aca="false">IF(OR(A99="",B99=""),"",SUMIFS(tl_Hours,tl_StaffID,I99,tl_Date,A99))</f>
        <v>8</v>
      </c>
      <c r="O99" s="40" t="str">
        <f aca="false">IF(A99&amp;B99&amp;D99="","",IF(OR(A99="",B99="",D99="",E99=""),"Incomplete",IF(K99="Unknown","Unknown code",IF(AND(K99="Yes",C99=""),"Billable, needs client",IF(N99&gt;MaxDayHours,"Over "&amp;MaxDayHours&amp;" hours that day","")))))</f>
        <v/>
      </c>
    </row>
    <row r="100" customFormat="false" ht="15" hidden="false" customHeight="false" outlineLevel="0" collapsed="false">
      <c r="A100" s="31" t="n">
        <v>46210</v>
      </c>
      <c r="B100" s="32" t="s">
        <v>101</v>
      </c>
      <c r="C100" s="32" t="s">
        <v>102</v>
      </c>
      <c r="D100" s="33" t="s">
        <v>104</v>
      </c>
      <c r="E100" s="34" t="n">
        <v>3</v>
      </c>
      <c r="F100" s="32"/>
      <c r="G100" s="35" t="n">
        <f aca="false">IF(A100="","",A100+7-WEEKDAY(A100))</f>
        <v>46214</v>
      </c>
      <c r="H100" s="36" t="n">
        <f aca="false">IF(A100="","",DATE(YEAR(A100),MONTH(A100),1))</f>
        <v>46204</v>
      </c>
      <c r="I100" s="37" t="str">
        <f aca="false">IF(B100="","",IFERROR(INDEX(st_ID,MATCH(B100,st_Name,0)),"Unknown"))</f>
        <v>QP-04</v>
      </c>
      <c r="J100" s="37" t="str">
        <f aca="false">IF(C100="","",IFERROR(INDEX(cl_Code,MATCH(C100,cl_Name,0)),"Unknown"))</f>
        <v>CLH</v>
      </c>
      <c r="K100" s="37" t="str">
        <f aca="false">IF(D100="","",IFERROR(INDEX(rt_Billable,MATCH(D100,rt_Code,0)),"Unknown"))</f>
        <v>Yes</v>
      </c>
      <c r="L100" s="38" t="n">
        <f aca="false">IF(K100&lt;&gt;"Yes","",IFERROR(INDEX(cr_Rate,MATCH(J100&amp;"|"&amp;D100,cr_Key,0)),INDEX(rt_Rate,MATCH(D100,rt_Code,0))))</f>
        <v>65</v>
      </c>
      <c r="M100" s="25" t="n">
        <f aca="false">IF(L100="","",ROUND(N(E100)*L100,2))</f>
        <v>195</v>
      </c>
      <c r="N100" s="39" t="n">
        <f aca="false">IF(OR(A100="",B100=""),"",SUMIFS(tl_Hours,tl_StaffID,I100,tl_Date,A100))</f>
        <v>8</v>
      </c>
      <c r="O100" s="40" t="str">
        <f aca="false">IF(A100&amp;B100&amp;D100="","",IF(OR(A100="",B100="",D100="",E100=""),"Incomplete",IF(K100="Unknown","Unknown code",IF(AND(K100="Yes",C100=""),"Billable, needs client",IF(N100&gt;MaxDayHours,"Over "&amp;MaxDayHours&amp;" hours that day","")))))</f>
        <v/>
      </c>
    </row>
    <row r="101" customFormat="false" ht="15" hidden="false" customHeight="false" outlineLevel="0" collapsed="false">
      <c r="A101" s="31" t="n">
        <v>46210</v>
      </c>
      <c r="B101" s="32" t="s">
        <v>101</v>
      </c>
      <c r="C101" s="32" t="s">
        <v>102</v>
      </c>
      <c r="D101" s="33" t="s">
        <v>89</v>
      </c>
      <c r="E101" s="34" t="n">
        <v>1.25</v>
      </c>
      <c r="F101" s="32"/>
      <c r="G101" s="35" t="n">
        <f aca="false">IF(A101="","",A101+7-WEEKDAY(A101))</f>
        <v>46214</v>
      </c>
      <c r="H101" s="36" t="n">
        <f aca="false">IF(A101="","",DATE(YEAR(A101),MONTH(A101),1))</f>
        <v>46204</v>
      </c>
      <c r="I101" s="37" t="str">
        <f aca="false">IF(B101="","",IFERROR(INDEX(st_ID,MATCH(B101,st_Name,0)),"Unknown"))</f>
        <v>QP-04</v>
      </c>
      <c r="J101" s="37" t="str">
        <f aca="false">IF(C101="","",IFERROR(INDEX(cl_Code,MATCH(C101,cl_Name,0)),"Unknown"))</f>
        <v>CLH</v>
      </c>
      <c r="K101" s="37" t="str">
        <f aca="false">IF(D101="","",IFERROR(INDEX(rt_Billable,MATCH(D101,rt_Code,0)),"Unknown"))</f>
        <v>Yes</v>
      </c>
      <c r="L101" s="38" t="n">
        <f aca="false">IF(K101&lt;&gt;"Yes","",IFERROR(INDEX(cr_Rate,MATCH(J101&amp;"|"&amp;D101,cr_Key,0)),INDEX(rt_Rate,MATCH(D101,rt_Code,0))))</f>
        <v>95</v>
      </c>
      <c r="M101" s="25" t="n">
        <f aca="false">IF(L101="","",ROUND(N(E101)*L101,2))</f>
        <v>118.75</v>
      </c>
      <c r="N101" s="39" t="n">
        <f aca="false">IF(OR(A101="",B101=""),"",SUMIFS(tl_Hours,tl_StaffID,I101,tl_Date,A101))</f>
        <v>8</v>
      </c>
      <c r="O101" s="40" t="str">
        <f aca="false">IF(A101&amp;B101&amp;D101="","",IF(OR(A101="",B101="",D101="",E101=""),"Incomplete",IF(K101="Unknown","Unknown code",IF(AND(K101="Yes",C101=""),"Billable, needs client",IF(N101&gt;MaxDayHours,"Over "&amp;MaxDayHours&amp;" hours that day","")))))</f>
        <v/>
      </c>
    </row>
    <row r="102" customFormat="false" ht="15" hidden="false" customHeight="false" outlineLevel="0" collapsed="false">
      <c r="A102" s="31" t="n">
        <v>46210</v>
      </c>
      <c r="B102" s="32" t="s">
        <v>101</v>
      </c>
      <c r="C102" s="32"/>
      <c r="D102" s="33" t="s">
        <v>96</v>
      </c>
      <c r="E102" s="34" t="n">
        <v>3.75</v>
      </c>
      <c r="F102" s="32"/>
      <c r="G102" s="35" t="n">
        <f aca="false">IF(A102="","",A102+7-WEEKDAY(A102))</f>
        <v>46214</v>
      </c>
      <c r="H102" s="36" t="n">
        <f aca="false">IF(A102="","",DATE(YEAR(A102),MONTH(A102),1))</f>
        <v>46204</v>
      </c>
      <c r="I102" s="37" t="str">
        <f aca="false">IF(B102="","",IFERROR(INDEX(st_ID,MATCH(B102,st_Name,0)),"Unknown"))</f>
        <v>QP-04</v>
      </c>
      <c r="J102" s="37" t="str">
        <f aca="false">IF(C102="","",IFERROR(INDEX(cl_Code,MATCH(C102,cl_Name,0)),"Unknown"))</f>
        <v/>
      </c>
      <c r="K102" s="37" t="str">
        <f aca="false">IF(D102="","",IFERROR(INDEX(rt_Billable,MATCH(D102,rt_Code,0)),"Unknown"))</f>
        <v>No</v>
      </c>
      <c r="L102" s="38" t="str">
        <f aca="false">IF(K102&lt;&gt;"Yes","",IFERROR(INDEX(cr_Rate,MATCH(J102&amp;"|"&amp;D102,cr_Key,0)),INDEX(rt_Rate,MATCH(D102,rt_Code,0))))</f>
        <v/>
      </c>
      <c r="M102" s="25" t="str">
        <f aca="false">IF(L102="","",ROUND(N(E102)*L102,2))</f>
        <v/>
      </c>
      <c r="N102" s="39" t="n">
        <f aca="false">IF(OR(A102="",B102=""),"",SUMIFS(tl_Hours,tl_StaffID,I102,tl_Date,A102))</f>
        <v>8</v>
      </c>
      <c r="O102" s="40" t="str">
        <f aca="false">IF(A102&amp;B102&amp;D102="","",IF(OR(A102="",B102="",D102="",E102=""),"Incomplete",IF(K102="Unknown","Unknown code",IF(AND(K102="Yes",C102=""),"Billable, needs client",IF(N102&gt;MaxDayHours,"Over "&amp;MaxDayHours&amp;" hours that day","")))))</f>
        <v/>
      </c>
    </row>
    <row r="103" customFormat="false" ht="15" hidden="false" customHeight="false" outlineLevel="0" collapsed="false">
      <c r="A103" s="31" t="n">
        <v>46210</v>
      </c>
      <c r="B103" s="32" t="s">
        <v>103</v>
      </c>
      <c r="C103" s="32" t="s">
        <v>90</v>
      </c>
      <c r="D103" s="33" t="s">
        <v>88</v>
      </c>
      <c r="E103" s="34" t="n">
        <v>2.75</v>
      </c>
      <c r="F103" s="32"/>
      <c r="G103" s="35" t="n">
        <f aca="false">IF(A103="","",A103+7-WEEKDAY(A103))</f>
        <v>46214</v>
      </c>
      <c r="H103" s="36" t="n">
        <f aca="false">IF(A103="","",DATE(YEAR(A103),MONTH(A103),1))</f>
        <v>46204</v>
      </c>
      <c r="I103" s="37" t="str">
        <f aca="false">IF(B103="","",IFERROR(INDEX(st_ID,MATCH(B103,st_Name,0)),"Unknown"))</f>
        <v>QP-05</v>
      </c>
      <c r="J103" s="37" t="str">
        <f aca="false">IF(C103="","",IFERROR(INDEX(cl_Code,MATCH(C103,cl_Name,0)),"Unknown"))</f>
        <v>BSE</v>
      </c>
      <c r="K103" s="37" t="str">
        <f aca="false">IF(D103="","",IFERROR(INDEX(rt_Billable,MATCH(D103,rt_Code,0)),"Unknown"))</f>
        <v>Yes</v>
      </c>
      <c r="L103" s="38" t="n">
        <f aca="false">IF(K103&lt;&gt;"Yes","",IFERROR(INDEX(cr_Rate,MATCH(J103&amp;"|"&amp;D103,cr_Key,0)),INDEX(rt_Rate,MATCH(D103,rt_Code,0))))</f>
        <v>104</v>
      </c>
      <c r="M103" s="25" t="n">
        <f aca="false">IF(L103="","",ROUND(N(E103)*L103,2))</f>
        <v>286</v>
      </c>
      <c r="N103" s="39" t="n">
        <f aca="false">IF(OR(A103="",B103=""),"",SUMIFS(tl_Hours,tl_StaffID,I103,tl_Date,A103))</f>
        <v>8</v>
      </c>
      <c r="O103" s="40" t="str">
        <f aca="false">IF(A103&amp;B103&amp;D103="","",IF(OR(A103="",B103="",D103="",E103=""),"Incomplete",IF(K103="Unknown","Unknown code",IF(AND(K103="Yes",C103=""),"Billable, needs client",IF(N103&gt;MaxDayHours,"Over "&amp;MaxDayHours&amp;" hours that day","")))))</f>
        <v/>
      </c>
    </row>
    <row r="104" customFormat="false" ht="15" hidden="false" customHeight="false" outlineLevel="0" collapsed="false">
      <c r="A104" s="31" t="n">
        <v>46210</v>
      </c>
      <c r="B104" s="32" t="s">
        <v>103</v>
      </c>
      <c r="C104" s="32" t="s">
        <v>90</v>
      </c>
      <c r="D104" s="33" t="s">
        <v>89</v>
      </c>
      <c r="E104" s="34" t="n">
        <v>1.25</v>
      </c>
      <c r="F104" s="32"/>
      <c r="G104" s="35" t="n">
        <f aca="false">IF(A104="","",A104+7-WEEKDAY(A104))</f>
        <v>46214</v>
      </c>
      <c r="H104" s="36" t="n">
        <f aca="false">IF(A104="","",DATE(YEAR(A104),MONTH(A104),1))</f>
        <v>46204</v>
      </c>
      <c r="I104" s="37" t="str">
        <f aca="false">IF(B104="","",IFERROR(INDEX(st_ID,MATCH(B104,st_Name,0)),"Unknown"))</f>
        <v>QP-05</v>
      </c>
      <c r="J104" s="37" t="str">
        <f aca="false">IF(C104="","",IFERROR(INDEX(cl_Code,MATCH(C104,cl_Name,0)),"Unknown"))</f>
        <v>BSE</v>
      </c>
      <c r="K104" s="37" t="str">
        <f aca="false">IF(D104="","",IFERROR(INDEX(rt_Billable,MATCH(D104,rt_Code,0)),"Unknown"))</f>
        <v>Yes</v>
      </c>
      <c r="L104" s="38" t="n">
        <f aca="false">IF(K104&lt;&gt;"Yes","",IFERROR(INDEX(cr_Rate,MATCH(J104&amp;"|"&amp;D104,cr_Key,0)),INDEX(rt_Rate,MATCH(D104,rt_Code,0))))</f>
        <v>95</v>
      </c>
      <c r="M104" s="25" t="n">
        <f aca="false">IF(L104="","",ROUND(N(E104)*L104,2))</f>
        <v>118.75</v>
      </c>
      <c r="N104" s="39" t="n">
        <f aca="false">IF(OR(A104="",B104=""),"",SUMIFS(tl_Hours,tl_StaffID,I104,tl_Date,A104))</f>
        <v>8</v>
      </c>
      <c r="O104" s="40" t="str">
        <f aca="false">IF(A104&amp;B104&amp;D104="","",IF(OR(A104="",B104="",D104="",E104=""),"Incomplete",IF(K104="Unknown","Unknown code",IF(AND(K104="Yes",C104=""),"Billable, needs client",IF(N104&gt;MaxDayHours,"Over "&amp;MaxDayHours&amp;" hours that day","")))))</f>
        <v/>
      </c>
    </row>
    <row r="105" customFormat="false" ht="15" hidden="false" customHeight="false" outlineLevel="0" collapsed="false">
      <c r="A105" s="31" t="n">
        <v>46210</v>
      </c>
      <c r="B105" s="32" t="s">
        <v>103</v>
      </c>
      <c r="C105" s="32"/>
      <c r="D105" s="33" t="s">
        <v>96</v>
      </c>
      <c r="E105" s="34" t="n">
        <v>4</v>
      </c>
      <c r="F105" s="32"/>
      <c r="G105" s="35" t="n">
        <f aca="false">IF(A105="","",A105+7-WEEKDAY(A105))</f>
        <v>46214</v>
      </c>
      <c r="H105" s="36" t="n">
        <f aca="false">IF(A105="","",DATE(YEAR(A105),MONTH(A105),1))</f>
        <v>46204</v>
      </c>
      <c r="I105" s="37" t="str">
        <f aca="false">IF(B105="","",IFERROR(INDEX(st_ID,MATCH(B105,st_Name,0)),"Unknown"))</f>
        <v>QP-05</v>
      </c>
      <c r="J105" s="37" t="str">
        <f aca="false">IF(C105="","",IFERROR(INDEX(cl_Code,MATCH(C105,cl_Name,0)),"Unknown"))</f>
        <v/>
      </c>
      <c r="K105" s="37" t="str">
        <f aca="false">IF(D105="","",IFERROR(INDEX(rt_Billable,MATCH(D105,rt_Code,0)),"Unknown"))</f>
        <v>No</v>
      </c>
      <c r="L105" s="38" t="str">
        <f aca="false">IF(K105&lt;&gt;"Yes","",IFERROR(INDEX(cr_Rate,MATCH(J105&amp;"|"&amp;D105,cr_Key,0)),INDEX(rt_Rate,MATCH(D105,rt_Code,0))))</f>
        <v/>
      </c>
      <c r="M105" s="25" t="str">
        <f aca="false">IF(L105="","",ROUND(N(E105)*L105,2))</f>
        <v/>
      </c>
      <c r="N105" s="39" t="n">
        <f aca="false">IF(OR(A105="",B105=""),"",SUMIFS(tl_Hours,tl_StaffID,I105,tl_Date,A105))</f>
        <v>8</v>
      </c>
      <c r="O105" s="40" t="str">
        <f aca="false">IF(A105&amp;B105&amp;D105="","",IF(OR(A105="",B105="",D105="",E105=""),"Incomplete",IF(K105="Unknown","Unknown code",IF(AND(K105="Yes",C105=""),"Billable, needs client",IF(N105&gt;MaxDayHours,"Over "&amp;MaxDayHours&amp;" hours that day","")))))</f>
        <v/>
      </c>
    </row>
    <row r="106" customFormat="false" ht="15" hidden="false" customHeight="false" outlineLevel="0" collapsed="false">
      <c r="A106" s="31" t="n">
        <v>46210</v>
      </c>
      <c r="B106" s="32" t="s">
        <v>105</v>
      </c>
      <c r="C106" s="32" t="s">
        <v>90</v>
      </c>
      <c r="D106" s="33" t="s">
        <v>88</v>
      </c>
      <c r="E106" s="34" t="n">
        <v>2.5</v>
      </c>
      <c r="F106" s="32"/>
      <c r="G106" s="35" t="n">
        <f aca="false">IF(A106="","",A106+7-WEEKDAY(A106))</f>
        <v>46214</v>
      </c>
      <c r="H106" s="36" t="n">
        <f aca="false">IF(A106="","",DATE(YEAR(A106),MONTH(A106),1))</f>
        <v>46204</v>
      </c>
      <c r="I106" s="37" t="str">
        <f aca="false">IF(B106="","",IFERROR(INDEX(st_ID,MATCH(B106,st_Name,0)),"Unknown"))</f>
        <v>QP-06</v>
      </c>
      <c r="J106" s="37" t="str">
        <f aca="false">IF(C106="","",IFERROR(INDEX(cl_Code,MATCH(C106,cl_Name,0)),"Unknown"))</f>
        <v>BSE</v>
      </c>
      <c r="K106" s="37" t="str">
        <f aca="false">IF(D106="","",IFERROR(INDEX(rt_Billable,MATCH(D106,rt_Code,0)),"Unknown"))</f>
        <v>Yes</v>
      </c>
      <c r="L106" s="38" t="n">
        <f aca="false">IF(K106&lt;&gt;"Yes","",IFERROR(INDEX(cr_Rate,MATCH(J106&amp;"|"&amp;D106,cr_Key,0)),INDEX(rt_Rate,MATCH(D106,rt_Code,0))))</f>
        <v>104</v>
      </c>
      <c r="M106" s="25" t="n">
        <f aca="false">IF(L106="","",ROUND(N(E106)*L106,2))</f>
        <v>260</v>
      </c>
      <c r="N106" s="39" t="n">
        <f aca="false">IF(OR(A106="",B106=""),"",SUMIFS(tl_Hours,tl_StaffID,I106,tl_Date,A106))</f>
        <v>8</v>
      </c>
      <c r="O106" s="40" t="str">
        <f aca="false">IF(A106&amp;B106&amp;D106="","",IF(OR(A106="",B106="",D106="",E106=""),"Incomplete",IF(K106="Unknown","Unknown code",IF(AND(K106="Yes",C106=""),"Billable, needs client",IF(N106&gt;MaxDayHours,"Over "&amp;MaxDayHours&amp;" hours that day","")))))</f>
        <v/>
      </c>
    </row>
    <row r="107" customFormat="false" ht="15" hidden="false" customHeight="false" outlineLevel="0" collapsed="false">
      <c r="A107" s="31" t="n">
        <v>46210</v>
      </c>
      <c r="B107" s="32" t="s">
        <v>105</v>
      </c>
      <c r="C107" s="32" t="s">
        <v>90</v>
      </c>
      <c r="D107" s="33" t="s">
        <v>89</v>
      </c>
      <c r="E107" s="34" t="n">
        <v>2</v>
      </c>
      <c r="F107" s="32"/>
      <c r="G107" s="35" t="n">
        <f aca="false">IF(A107="","",A107+7-WEEKDAY(A107))</f>
        <v>46214</v>
      </c>
      <c r="H107" s="36" t="n">
        <f aca="false">IF(A107="","",DATE(YEAR(A107),MONTH(A107),1))</f>
        <v>46204</v>
      </c>
      <c r="I107" s="37" t="str">
        <f aca="false">IF(B107="","",IFERROR(INDEX(st_ID,MATCH(B107,st_Name,0)),"Unknown"))</f>
        <v>QP-06</v>
      </c>
      <c r="J107" s="37" t="str">
        <f aca="false">IF(C107="","",IFERROR(INDEX(cl_Code,MATCH(C107,cl_Name,0)),"Unknown"))</f>
        <v>BSE</v>
      </c>
      <c r="K107" s="37" t="str">
        <f aca="false">IF(D107="","",IFERROR(INDEX(rt_Billable,MATCH(D107,rt_Code,0)),"Unknown"))</f>
        <v>Yes</v>
      </c>
      <c r="L107" s="38" t="n">
        <f aca="false">IF(K107&lt;&gt;"Yes","",IFERROR(INDEX(cr_Rate,MATCH(J107&amp;"|"&amp;D107,cr_Key,0)),INDEX(rt_Rate,MATCH(D107,rt_Code,0))))</f>
        <v>95</v>
      </c>
      <c r="M107" s="25" t="n">
        <f aca="false">IF(L107="","",ROUND(N(E107)*L107,2))</f>
        <v>190</v>
      </c>
      <c r="N107" s="39" t="n">
        <f aca="false">IF(OR(A107="",B107=""),"",SUMIFS(tl_Hours,tl_StaffID,I107,tl_Date,A107))</f>
        <v>8</v>
      </c>
      <c r="O107" s="40" t="str">
        <f aca="false">IF(A107&amp;B107&amp;D107="","",IF(OR(A107="",B107="",D107="",E107=""),"Incomplete",IF(K107="Unknown","Unknown code",IF(AND(K107="Yes",C107=""),"Billable, needs client",IF(N107&gt;MaxDayHours,"Over "&amp;MaxDayHours&amp;" hours that day","")))))</f>
        <v/>
      </c>
    </row>
    <row r="108" customFormat="false" ht="15" hidden="false" customHeight="false" outlineLevel="0" collapsed="false">
      <c r="A108" s="31" t="n">
        <v>46210</v>
      </c>
      <c r="B108" s="32" t="s">
        <v>105</v>
      </c>
      <c r="C108" s="32"/>
      <c r="D108" s="33" t="s">
        <v>96</v>
      </c>
      <c r="E108" s="34" t="n">
        <v>3.5</v>
      </c>
      <c r="F108" s="32"/>
      <c r="G108" s="35" t="n">
        <f aca="false">IF(A108="","",A108+7-WEEKDAY(A108))</f>
        <v>46214</v>
      </c>
      <c r="H108" s="36" t="n">
        <f aca="false">IF(A108="","",DATE(YEAR(A108),MONTH(A108),1))</f>
        <v>46204</v>
      </c>
      <c r="I108" s="37" t="str">
        <f aca="false">IF(B108="","",IFERROR(INDEX(st_ID,MATCH(B108,st_Name,0)),"Unknown"))</f>
        <v>QP-06</v>
      </c>
      <c r="J108" s="37" t="str">
        <f aca="false">IF(C108="","",IFERROR(INDEX(cl_Code,MATCH(C108,cl_Name,0)),"Unknown"))</f>
        <v/>
      </c>
      <c r="K108" s="37" t="str">
        <f aca="false">IF(D108="","",IFERROR(INDEX(rt_Billable,MATCH(D108,rt_Code,0)),"Unknown"))</f>
        <v>No</v>
      </c>
      <c r="L108" s="38" t="str">
        <f aca="false">IF(K108&lt;&gt;"Yes","",IFERROR(INDEX(cr_Rate,MATCH(J108&amp;"|"&amp;D108,cr_Key,0)),INDEX(rt_Rate,MATCH(D108,rt_Code,0))))</f>
        <v/>
      </c>
      <c r="M108" s="25" t="str">
        <f aca="false">IF(L108="","",ROUND(N(E108)*L108,2))</f>
        <v/>
      </c>
      <c r="N108" s="39" t="n">
        <f aca="false">IF(OR(A108="",B108=""),"",SUMIFS(tl_Hours,tl_StaffID,I108,tl_Date,A108))</f>
        <v>8</v>
      </c>
      <c r="O108" s="40" t="str">
        <f aca="false">IF(A108&amp;B108&amp;D108="","",IF(OR(A108="",B108="",D108="",E108=""),"Incomplete",IF(K108="Unknown","Unknown code",IF(AND(K108="Yes",C108=""),"Billable, needs client",IF(N108&gt;MaxDayHours,"Over "&amp;MaxDayHours&amp;" hours that day","")))))</f>
        <v/>
      </c>
    </row>
    <row r="109" customFormat="false" ht="15" hidden="false" customHeight="false" outlineLevel="0" collapsed="false">
      <c r="A109" s="31" t="n">
        <v>46210</v>
      </c>
      <c r="B109" s="32" t="s">
        <v>106</v>
      </c>
      <c r="C109" s="32" t="s">
        <v>102</v>
      </c>
      <c r="D109" s="33" t="s">
        <v>88</v>
      </c>
      <c r="E109" s="34" t="n">
        <v>3.75</v>
      </c>
      <c r="F109" s="32"/>
      <c r="G109" s="35" t="n">
        <f aca="false">IF(A109="","",A109+7-WEEKDAY(A109))</f>
        <v>46214</v>
      </c>
      <c r="H109" s="36" t="n">
        <f aca="false">IF(A109="","",DATE(YEAR(A109),MONTH(A109),1))</f>
        <v>46204</v>
      </c>
      <c r="I109" s="37" t="str">
        <f aca="false">IF(B109="","",IFERROR(INDEX(st_ID,MATCH(B109,st_Name,0)),"Unknown"))</f>
        <v>QP-07</v>
      </c>
      <c r="J109" s="37" t="str">
        <f aca="false">IF(C109="","",IFERROR(INDEX(cl_Code,MATCH(C109,cl_Name,0)),"Unknown"))</f>
        <v>CLH</v>
      </c>
      <c r="K109" s="37" t="str">
        <f aca="false">IF(D109="","",IFERROR(INDEX(rt_Billable,MATCH(D109,rt_Code,0)),"Unknown"))</f>
        <v>Yes</v>
      </c>
      <c r="L109" s="38" t="n">
        <f aca="false">IF(K109&lt;&gt;"Yes","",IFERROR(INDEX(cr_Rate,MATCH(J109&amp;"|"&amp;D109,cr_Key,0)),INDEX(rt_Rate,MATCH(D109,rt_Code,0))))</f>
        <v>110</v>
      </c>
      <c r="M109" s="25" t="n">
        <f aca="false">IF(L109="","",ROUND(N(E109)*L109,2))</f>
        <v>412.5</v>
      </c>
      <c r="N109" s="39" t="n">
        <f aca="false">IF(OR(A109="",B109=""),"",SUMIFS(tl_Hours,tl_StaffID,I109,tl_Date,A109))</f>
        <v>8</v>
      </c>
      <c r="O109" s="40" t="str">
        <f aca="false">IF(A109&amp;B109&amp;D109="","",IF(OR(A109="",B109="",D109="",E109=""),"Incomplete",IF(K109="Unknown","Unknown code",IF(AND(K109="Yes",C109=""),"Billable, needs client",IF(N109&gt;MaxDayHours,"Over "&amp;MaxDayHours&amp;" hours that day","")))))</f>
        <v/>
      </c>
    </row>
    <row r="110" customFormat="false" ht="15" hidden="false" customHeight="false" outlineLevel="0" collapsed="false">
      <c r="A110" s="31" t="n">
        <v>46210</v>
      </c>
      <c r="B110" s="32" t="s">
        <v>106</v>
      </c>
      <c r="C110" s="32" t="s">
        <v>102</v>
      </c>
      <c r="D110" s="33" t="s">
        <v>104</v>
      </c>
      <c r="E110" s="34" t="n">
        <v>1.25</v>
      </c>
      <c r="F110" s="32"/>
      <c r="G110" s="35" t="n">
        <f aca="false">IF(A110="","",A110+7-WEEKDAY(A110))</f>
        <v>46214</v>
      </c>
      <c r="H110" s="36" t="n">
        <f aca="false">IF(A110="","",DATE(YEAR(A110),MONTH(A110),1))</f>
        <v>46204</v>
      </c>
      <c r="I110" s="37" t="str">
        <f aca="false">IF(B110="","",IFERROR(INDEX(st_ID,MATCH(B110,st_Name,0)),"Unknown"))</f>
        <v>QP-07</v>
      </c>
      <c r="J110" s="37" t="str">
        <f aca="false">IF(C110="","",IFERROR(INDEX(cl_Code,MATCH(C110,cl_Name,0)),"Unknown"))</f>
        <v>CLH</v>
      </c>
      <c r="K110" s="37" t="str">
        <f aca="false">IF(D110="","",IFERROR(INDEX(rt_Billable,MATCH(D110,rt_Code,0)),"Unknown"))</f>
        <v>Yes</v>
      </c>
      <c r="L110" s="38" t="n">
        <f aca="false">IF(K110&lt;&gt;"Yes","",IFERROR(INDEX(cr_Rate,MATCH(J110&amp;"|"&amp;D110,cr_Key,0)),INDEX(rt_Rate,MATCH(D110,rt_Code,0))))</f>
        <v>65</v>
      </c>
      <c r="M110" s="25" t="n">
        <f aca="false">IF(L110="","",ROUND(N(E110)*L110,2))</f>
        <v>81.25</v>
      </c>
      <c r="N110" s="39" t="n">
        <f aca="false">IF(OR(A110="",B110=""),"",SUMIFS(tl_Hours,tl_StaffID,I110,tl_Date,A110))</f>
        <v>8</v>
      </c>
      <c r="O110" s="40" t="str">
        <f aca="false">IF(A110&amp;B110&amp;D110="","",IF(OR(A110="",B110="",D110="",E110=""),"Incomplete",IF(K110="Unknown","Unknown code",IF(AND(K110="Yes",C110=""),"Billable, needs client",IF(N110&gt;MaxDayHours,"Over "&amp;MaxDayHours&amp;" hours that day","")))))</f>
        <v/>
      </c>
    </row>
    <row r="111" customFormat="false" ht="15" hidden="false" customHeight="false" outlineLevel="0" collapsed="false">
      <c r="A111" s="31" t="n">
        <v>46210</v>
      </c>
      <c r="B111" s="32" t="s">
        <v>106</v>
      </c>
      <c r="C111" s="32"/>
      <c r="D111" s="33" t="s">
        <v>94</v>
      </c>
      <c r="E111" s="34" t="n">
        <v>1.5</v>
      </c>
      <c r="F111" s="32" t="s">
        <v>95</v>
      </c>
      <c r="G111" s="35" t="n">
        <f aca="false">IF(A111="","",A111+7-WEEKDAY(A111))</f>
        <v>46214</v>
      </c>
      <c r="H111" s="36" t="n">
        <f aca="false">IF(A111="","",DATE(YEAR(A111),MONTH(A111),1))</f>
        <v>46204</v>
      </c>
      <c r="I111" s="37" t="str">
        <f aca="false">IF(B111="","",IFERROR(INDEX(st_ID,MATCH(B111,st_Name,0)),"Unknown"))</f>
        <v>QP-07</v>
      </c>
      <c r="J111" s="37" t="str">
        <f aca="false">IF(C111="","",IFERROR(INDEX(cl_Code,MATCH(C111,cl_Name,0)),"Unknown"))</f>
        <v/>
      </c>
      <c r="K111" s="37" t="str">
        <f aca="false">IF(D111="","",IFERROR(INDEX(rt_Billable,MATCH(D111,rt_Code,0)),"Unknown"))</f>
        <v>No</v>
      </c>
      <c r="L111" s="38" t="str">
        <f aca="false">IF(K111&lt;&gt;"Yes","",IFERROR(INDEX(cr_Rate,MATCH(J111&amp;"|"&amp;D111,cr_Key,0)),INDEX(rt_Rate,MATCH(D111,rt_Code,0))))</f>
        <v/>
      </c>
      <c r="M111" s="25" t="str">
        <f aca="false">IF(L111="","",ROUND(N(E111)*L111,2))</f>
        <v/>
      </c>
      <c r="N111" s="39" t="n">
        <f aca="false">IF(OR(A111="",B111=""),"",SUMIFS(tl_Hours,tl_StaffID,I111,tl_Date,A111))</f>
        <v>8</v>
      </c>
      <c r="O111" s="40" t="str">
        <f aca="false">IF(A111&amp;B111&amp;D111="","",IF(OR(A111="",B111="",D111="",E111=""),"Incomplete",IF(K111="Unknown","Unknown code",IF(AND(K111="Yes",C111=""),"Billable, needs client",IF(N111&gt;MaxDayHours,"Over "&amp;MaxDayHours&amp;" hours that day","")))))</f>
        <v/>
      </c>
    </row>
    <row r="112" customFormat="false" ht="15" hidden="false" customHeight="false" outlineLevel="0" collapsed="false">
      <c r="A112" s="31" t="n">
        <v>46210</v>
      </c>
      <c r="B112" s="32" t="s">
        <v>106</v>
      </c>
      <c r="C112" s="32"/>
      <c r="D112" s="33" t="s">
        <v>96</v>
      </c>
      <c r="E112" s="34" t="n">
        <v>1.5</v>
      </c>
      <c r="F112" s="32"/>
      <c r="G112" s="35" t="n">
        <f aca="false">IF(A112="","",A112+7-WEEKDAY(A112))</f>
        <v>46214</v>
      </c>
      <c r="H112" s="36" t="n">
        <f aca="false">IF(A112="","",DATE(YEAR(A112),MONTH(A112),1))</f>
        <v>46204</v>
      </c>
      <c r="I112" s="37" t="str">
        <f aca="false">IF(B112="","",IFERROR(INDEX(st_ID,MATCH(B112,st_Name,0)),"Unknown"))</f>
        <v>QP-07</v>
      </c>
      <c r="J112" s="37" t="str">
        <f aca="false">IF(C112="","",IFERROR(INDEX(cl_Code,MATCH(C112,cl_Name,0)),"Unknown"))</f>
        <v/>
      </c>
      <c r="K112" s="37" t="str">
        <f aca="false">IF(D112="","",IFERROR(INDEX(rt_Billable,MATCH(D112,rt_Code,0)),"Unknown"))</f>
        <v>No</v>
      </c>
      <c r="L112" s="38" t="str">
        <f aca="false">IF(K112&lt;&gt;"Yes","",IFERROR(INDEX(cr_Rate,MATCH(J112&amp;"|"&amp;D112,cr_Key,0)),INDEX(rt_Rate,MATCH(D112,rt_Code,0))))</f>
        <v/>
      </c>
      <c r="M112" s="25" t="str">
        <f aca="false">IF(L112="","",ROUND(N(E112)*L112,2))</f>
        <v/>
      </c>
      <c r="N112" s="39" t="n">
        <f aca="false">IF(OR(A112="",B112=""),"",SUMIFS(tl_Hours,tl_StaffID,I112,tl_Date,A112))</f>
        <v>8</v>
      </c>
      <c r="O112" s="40" t="str">
        <f aca="false">IF(A112&amp;B112&amp;D112="","",IF(OR(A112="",B112="",D112="",E112=""),"Incomplete",IF(K112="Unknown","Unknown code",IF(AND(K112="Yes",C112=""),"Billable, needs client",IF(N112&gt;MaxDayHours,"Over "&amp;MaxDayHours&amp;" hours that day","")))))</f>
        <v/>
      </c>
    </row>
    <row r="113" customFormat="false" ht="15" hidden="false" customHeight="false" outlineLevel="0" collapsed="false">
      <c r="A113" s="31" t="n">
        <v>46210</v>
      </c>
      <c r="B113" s="32" t="s">
        <v>107</v>
      </c>
      <c r="C113" s="32"/>
      <c r="D113" s="33" t="s">
        <v>108</v>
      </c>
      <c r="E113" s="34" t="n">
        <v>6.5</v>
      </c>
      <c r="F113" s="32"/>
      <c r="G113" s="35" t="n">
        <f aca="false">IF(A113="","",A113+7-WEEKDAY(A113))</f>
        <v>46214</v>
      </c>
      <c r="H113" s="36" t="n">
        <f aca="false">IF(A113="","",DATE(YEAR(A113),MONTH(A113),1))</f>
        <v>46204</v>
      </c>
      <c r="I113" s="37" t="str">
        <f aca="false">IF(B113="","",IFERROR(INDEX(st_ID,MATCH(B113,st_Name,0)),"Unknown"))</f>
        <v>QP-08</v>
      </c>
      <c r="J113" s="37" t="str">
        <f aca="false">IF(C113="","",IFERROR(INDEX(cl_Code,MATCH(C113,cl_Name,0)),"Unknown"))</f>
        <v/>
      </c>
      <c r="K113" s="37" t="str">
        <f aca="false">IF(D113="","",IFERROR(INDEX(rt_Billable,MATCH(D113,rt_Code,0)),"Unknown"))</f>
        <v>No</v>
      </c>
      <c r="L113" s="38" t="str">
        <f aca="false">IF(K113&lt;&gt;"Yes","",IFERROR(INDEX(cr_Rate,MATCH(J113&amp;"|"&amp;D113,cr_Key,0)),INDEX(rt_Rate,MATCH(D113,rt_Code,0))))</f>
        <v/>
      </c>
      <c r="M113" s="25" t="str">
        <f aca="false">IF(L113="","",ROUND(N(E113)*L113,2))</f>
        <v/>
      </c>
      <c r="N113" s="39" t="n">
        <f aca="false">IF(OR(A113="",B113=""),"",SUMIFS(tl_Hours,tl_StaffID,I113,tl_Date,A113))</f>
        <v>8</v>
      </c>
      <c r="O113" s="40" t="str">
        <f aca="false">IF(A113&amp;B113&amp;D113="","",IF(OR(A113="",B113="",D113="",E113=""),"Incomplete",IF(K113="Unknown","Unknown code",IF(AND(K113="Yes",C113=""),"Billable, needs client",IF(N113&gt;MaxDayHours,"Over "&amp;MaxDayHours&amp;" hours that day","")))))</f>
        <v/>
      </c>
    </row>
    <row r="114" customFormat="false" ht="15" hidden="false" customHeight="false" outlineLevel="0" collapsed="false">
      <c r="A114" s="31" t="n">
        <v>46210</v>
      </c>
      <c r="B114" s="32" t="s">
        <v>107</v>
      </c>
      <c r="C114" s="32"/>
      <c r="D114" s="33" t="s">
        <v>98</v>
      </c>
      <c r="E114" s="34" t="n">
        <v>1.5</v>
      </c>
      <c r="F114" s="32"/>
      <c r="G114" s="35" t="n">
        <f aca="false">IF(A114="","",A114+7-WEEKDAY(A114))</f>
        <v>46214</v>
      </c>
      <c r="H114" s="36" t="n">
        <f aca="false">IF(A114="","",DATE(YEAR(A114),MONTH(A114),1))</f>
        <v>46204</v>
      </c>
      <c r="I114" s="37" t="str">
        <f aca="false">IF(B114="","",IFERROR(INDEX(st_ID,MATCH(B114,st_Name,0)),"Unknown"))</f>
        <v>QP-08</v>
      </c>
      <c r="J114" s="37" t="str">
        <f aca="false">IF(C114="","",IFERROR(INDEX(cl_Code,MATCH(C114,cl_Name,0)),"Unknown"))</f>
        <v/>
      </c>
      <c r="K114" s="37" t="str">
        <f aca="false">IF(D114="","",IFERROR(INDEX(rt_Billable,MATCH(D114,rt_Code,0)),"Unknown"))</f>
        <v>No</v>
      </c>
      <c r="L114" s="38" t="str">
        <f aca="false">IF(K114&lt;&gt;"Yes","",IFERROR(INDEX(cr_Rate,MATCH(J114&amp;"|"&amp;D114,cr_Key,0)),INDEX(rt_Rate,MATCH(D114,rt_Code,0))))</f>
        <v/>
      </c>
      <c r="M114" s="25" t="str">
        <f aca="false">IF(L114="","",ROUND(N(E114)*L114,2))</f>
        <v/>
      </c>
      <c r="N114" s="39" t="n">
        <f aca="false">IF(OR(A114="",B114=""),"",SUMIFS(tl_Hours,tl_StaffID,I114,tl_Date,A114))</f>
        <v>8</v>
      </c>
      <c r="O114" s="40" t="str">
        <f aca="false">IF(A114&amp;B114&amp;D114="","",IF(OR(A114="",B114="",D114="",E114=""),"Incomplete",IF(K114="Unknown","Unknown code",IF(AND(K114="Yes",C114=""),"Billable, needs client",IF(N114&gt;MaxDayHours,"Over "&amp;MaxDayHours&amp;" hours that day","")))))</f>
        <v/>
      </c>
    </row>
    <row r="115" customFormat="false" ht="15" hidden="false" customHeight="false" outlineLevel="0" collapsed="false">
      <c r="A115" s="31" t="n">
        <v>46211</v>
      </c>
      <c r="B115" s="32" t="s">
        <v>86</v>
      </c>
      <c r="C115" s="32" t="s">
        <v>90</v>
      </c>
      <c r="D115" s="33" t="s">
        <v>88</v>
      </c>
      <c r="E115" s="34" t="n">
        <v>3</v>
      </c>
      <c r="F115" s="32"/>
      <c r="G115" s="35" t="n">
        <f aca="false">IF(A115="","",A115+7-WEEKDAY(A115))</f>
        <v>46214</v>
      </c>
      <c r="H115" s="36" t="n">
        <f aca="false">IF(A115="","",DATE(YEAR(A115),MONTH(A115),1))</f>
        <v>46204</v>
      </c>
      <c r="I115" s="37" t="str">
        <f aca="false">IF(B115="","",IFERROR(INDEX(st_ID,MATCH(B115,st_Name,0)),"Unknown"))</f>
        <v>QP-01</v>
      </c>
      <c r="J115" s="37" t="str">
        <f aca="false">IF(C115="","",IFERROR(INDEX(cl_Code,MATCH(C115,cl_Name,0)),"Unknown"))</f>
        <v>BSE</v>
      </c>
      <c r="K115" s="37" t="str">
        <f aca="false">IF(D115="","",IFERROR(INDEX(rt_Billable,MATCH(D115,rt_Code,0)),"Unknown"))</f>
        <v>Yes</v>
      </c>
      <c r="L115" s="38" t="n">
        <f aca="false">IF(K115&lt;&gt;"Yes","",IFERROR(INDEX(cr_Rate,MATCH(J115&amp;"|"&amp;D115,cr_Key,0)),INDEX(rt_Rate,MATCH(D115,rt_Code,0))))</f>
        <v>104</v>
      </c>
      <c r="M115" s="25" t="n">
        <f aca="false">IF(L115="","",ROUND(N(E115)*L115,2))</f>
        <v>312</v>
      </c>
      <c r="N115" s="39" t="n">
        <f aca="false">IF(OR(A115="",B115=""),"",SUMIFS(tl_Hours,tl_StaffID,I115,tl_Date,A115))</f>
        <v>8</v>
      </c>
      <c r="O115" s="40" t="str">
        <f aca="false">IF(A115&amp;B115&amp;D115="","",IF(OR(A115="",B115="",D115="",E115=""),"Incomplete",IF(K115="Unknown","Unknown code",IF(AND(K115="Yes",C115=""),"Billable, needs client",IF(N115&gt;MaxDayHours,"Over "&amp;MaxDayHours&amp;" hours that day","")))))</f>
        <v/>
      </c>
    </row>
    <row r="116" customFormat="false" ht="15" hidden="false" customHeight="false" outlineLevel="0" collapsed="false">
      <c r="A116" s="31" t="n">
        <v>46211</v>
      </c>
      <c r="B116" s="32" t="s">
        <v>86</v>
      </c>
      <c r="C116" s="32" t="s">
        <v>90</v>
      </c>
      <c r="D116" s="33" t="s">
        <v>92</v>
      </c>
      <c r="E116" s="34" t="n">
        <v>1.5</v>
      </c>
      <c r="F116" s="32"/>
      <c r="G116" s="35" t="n">
        <f aca="false">IF(A116="","",A116+7-WEEKDAY(A116))</f>
        <v>46214</v>
      </c>
      <c r="H116" s="36" t="n">
        <f aca="false">IF(A116="","",DATE(YEAR(A116),MONTH(A116),1))</f>
        <v>46204</v>
      </c>
      <c r="I116" s="37" t="str">
        <f aca="false">IF(B116="","",IFERROR(INDEX(st_ID,MATCH(B116,st_Name,0)),"Unknown"))</f>
        <v>QP-01</v>
      </c>
      <c r="J116" s="37" t="str">
        <f aca="false">IF(C116="","",IFERROR(INDEX(cl_Code,MATCH(C116,cl_Name,0)),"Unknown"))</f>
        <v>BSE</v>
      </c>
      <c r="K116" s="37" t="str">
        <f aca="false">IF(D116="","",IFERROR(INDEX(rt_Billable,MATCH(D116,rt_Code,0)),"Unknown"))</f>
        <v>Yes</v>
      </c>
      <c r="L116" s="38" t="n">
        <f aca="false">IF(K116&lt;&gt;"Yes","",IFERROR(INDEX(cr_Rate,MATCH(J116&amp;"|"&amp;D116,cr_Key,0)),INDEX(rt_Rate,MATCH(D116,rt_Code,0))))</f>
        <v>145</v>
      </c>
      <c r="M116" s="25" t="n">
        <f aca="false">IF(L116="","",ROUND(N(E116)*L116,2))</f>
        <v>217.5</v>
      </c>
      <c r="N116" s="39" t="n">
        <f aca="false">IF(OR(A116="",B116=""),"",SUMIFS(tl_Hours,tl_StaffID,I116,tl_Date,A116))</f>
        <v>8</v>
      </c>
      <c r="O116" s="40" t="str">
        <f aca="false">IF(A116&amp;B116&amp;D116="","",IF(OR(A116="",B116="",D116="",E116=""),"Incomplete",IF(K116="Unknown","Unknown code",IF(AND(K116="Yes",C116=""),"Billable, needs client",IF(N116&gt;MaxDayHours,"Over "&amp;MaxDayHours&amp;" hours that day","")))))</f>
        <v/>
      </c>
    </row>
    <row r="117" customFormat="false" ht="15" hidden="false" customHeight="false" outlineLevel="0" collapsed="false">
      <c r="A117" s="31" t="n">
        <v>46211</v>
      </c>
      <c r="B117" s="32" t="s">
        <v>86</v>
      </c>
      <c r="C117" s="32"/>
      <c r="D117" s="33" t="s">
        <v>98</v>
      </c>
      <c r="E117" s="34" t="n">
        <v>1</v>
      </c>
      <c r="F117" s="32" t="s">
        <v>99</v>
      </c>
      <c r="G117" s="35" t="n">
        <f aca="false">IF(A117="","",A117+7-WEEKDAY(A117))</f>
        <v>46214</v>
      </c>
      <c r="H117" s="36" t="n">
        <f aca="false">IF(A117="","",DATE(YEAR(A117),MONTH(A117),1))</f>
        <v>46204</v>
      </c>
      <c r="I117" s="37" t="str">
        <f aca="false">IF(B117="","",IFERROR(INDEX(st_ID,MATCH(B117,st_Name,0)),"Unknown"))</f>
        <v>QP-01</v>
      </c>
      <c r="J117" s="37" t="str">
        <f aca="false">IF(C117="","",IFERROR(INDEX(cl_Code,MATCH(C117,cl_Name,0)),"Unknown"))</f>
        <v/>
      </c>
      <c r="K117" s="37" t="str">
        <f aca="false">IF(D117="","",IFERROR(INDEX(rt_Billable,MATCH(D117,rt_Code,0)),"Unknown"))</f>
        <v>No</v>
      </c>
      <c r="L117" s="38" t="str">
        <f aca="false">IF(K117&lt;&gt;"Yes","",IFERROR(INDEX(cr_Rate,MATCH(J117&amp;"|"&amp;D117,cr_Key,0)),INDEX(rt_Rate,MATCH(D117,rt_Code,0))))</f>
        <v/>
      </c>
      <c r="M117" s="25" t="str">
        <f aca="false">IF(L117="","",ROUND(N(E117)*L117,2))</f>
        <v/>
      </c>
      <c r="N117" s="39" t="n">
        <f aca="false">IF(OR(A117="",B117=""),"",SUMIFS(tl_Hours,tl_StaffID,I117,tl_Date,A117))</f>
        <v>8</v>
      </c>
      <c r="O117" s="40" t="str">
        <f aca="false">IF(A117&amp;B117&amp;D117="","",IF(OR(A117="",B117="",D117="",E117=""),"Incomplete",IF(K117="Unknown","Unknown code",IF(AND(K117="Yes",C117=""),"Billable, needs client",IF(N117&gt;MaxDayHours,"Over "&amp;MaxDayHours&amp;" hours that day","")))))</f>
        <v/>
      </c>
    </row>
    <row r="118" customFormat="false" ht="15" hidden="false" customHeight="false" outlineLevel="0" collapsed="false">
      <c r="A118" s="31" t="n">
        <v>46211</v>
      </c>
      <c r="B118" s="32" t="s">
        <v>86</v>
      </c>
      <c r="C118" s="32"/>
      <c r="D118" s="33" t="s">
        <v>96</v>
      </c>
      <c r="E118" s="34" t="n">
        <v>2.5</v>
      </c>
      <c r="F118" s="32"/>
      <c r="G118" s="35" t="n">
        <f aca="false">IF(A118="","",A118+7-WEEKDAY(A118))</f>
        <v>46214</v>
      </c>
      <c r="H118" s="36" t="n">
        <f aca="false">IF(A118="","",DATE(YEAR(A118),MONTH(A118),1))</f>
        <v>46204</v>
      </c>
      <c r="I118" s="37" t="str">
        <f aca="false">IF(B118="","",IFERROR(INDEX(st_ID,MATCH(B118,st_Name,0)),"Unknown"))</f>
        <v>QP-01</v>
      </c>
      <c r="J118" s="37" t="str">
        <f aca="false">IF(C118="","",IFERROR(INDEX(cl_Code,MATCH(C118,cl_Name,0)),"Unknown"))</f>
        <v/>
      </c>
      <c r="K118" s="37" t="str">
        <f aca="false">IF(D118="","",IFERROR(INDEX(rt_Billable,MATCH(D118,rt_Code,0)),"Unknown"))</f>
        <v>No</v>
      </c>
      <c r="L118" s="38" t="str">
        <f aca="false">IF(K118&lt;&gt;"Yes","",IFERROR(INDEX(cr_Rate,MATCH(J118&amp;"|"&amp;D118,cr_Key,0)),INDEX(rt_Rate,MATCH(D118,rt_Code,0))))</f>
        <v/>
      </c>
      <c r="M118" s="25" t="str">
        <f aca="false">IF(L118="","",ROUND(N(E118)*L118,2))</f>
        <v/>
      </c>
      <c r="N118" s="39" t="n">
        <f aca="false">IF(OR(A118="",B118=""),"",SUMIFS(tl_Hours,tl_StaffID,I118,tl_Date,A118))</f>
        <v>8</v>
      </c>
      <c r="O118" s="40" t="str">
        <f aca="false">IF(A118&amp;B118&amp;D118="","",IF(OR(A118="",B118="",D118="",E118=""),"Incomplete",IF(K118="Unknown","Unknown code",IF(AND(K118="Yes",C118=""),"Billable, needs client",IF(N118&gt;MaxDayHours,"Over "&amp;MaxDayHours&amp;" hours that day","")))))</f>
        <v/>
      </c>
    </row>
    <row r="119" customFormat="false" ht="15" hidden="false" customHeight="false" outlineLevel="0" collapsed="false">
      <c r="A119" s="31" t="n">
        <v>46211</v>
      </c>
      <c r="B119" s="32" t="s">
        <v>97</v>
      </c>
      <c r="C119" s="32" t="s">
        <v>90</v>
      </c>
      <c r="D119" s="33" t="s">
        <v>91</v>
      </c>
      <c r="E119" s="34" t="n">
        <v>3.25</v>
      </c>
      <c r="F119" s="32"/>
      <c r="G119" s="35" t="n">
        <f aca="false">IF(A119="","",A119+7-WEEKDAY(A119))</f>
        <v>46214</v>
      </c>
      <c r="H119" s="36" t="n">
        <f aca="false">IF(A119="","",DATE(YEAR(A119),MONTH(A119),1))</f>
        <v>46204</v>
      </c>
      <c r="I119" s="37" t="str">
        <f aca="false">IF(B119="","",IFERROR(INDEX(st_ID,MATCH(B119,st_Name,0)),"Unknown"))</f>
        <v>QP-02</v>
      </c>
      <c r="J119" s="37" t="str">
        <f aca="false">IF(C119="","",IFERROR(INDEX(cl_Code,MATCH(C119,cl_Name,0)),"Unknown"))</f>
        <v>BSE</v>
      </c>
      <c r="K119" s="37" t="str">
        <f aca="false">IF(D119="","",IFERROR(INDEX(rt_Billable,MATCH(D119,rt_Code,0)),"Unknown"))</f>
        <v>Yes</v>
      </c>
      <c r="L119" s="38" t="n">
        <f aca="false">IF(K119&lt;&gt;"Yes","",IFERROR(INDEX(cr_Rate,MATCH(J119&amp;"|"&amp;D119,cr_Key,0)),INDEX(rt_Rate,MATCH(D119,rt_Code,0))))</f>
        <v>100</v>
      </c>
      <c r="M119" s="25" t="n">
        <f aca="false">IF(L119="","",ROUND(N(E119)*L119,2))</f>
        <v>325</v>
      </c>
      <c r="N119" s="39" t="n">
        <f aca="false">IF(OR(A119="",B119=""),"",SUMIFS(tl_Hours,tl_StaffID,I119,tl_Date,A119))</f>
        <v>8</v>
      </c>
      <c r="O119" s="40" t="str">
        <f aca="false">IF(A119&amp;B119&amp;D119="","",IF(OR(A119="",B119="",D119="",E119=""),"Incomplete",IF(K119="Unknown","Unknown code",IF(AND(K119="Yes",C119=""),"Billable, needs client",IF(N119&gt;MaxDayHours,"Over "&amp;MaxDayHours&amp;" hours that day","")))))</f>
        <v/>
      </c>
    </row>
    <row r="120" customFormat="false" ht="15" hidden="false" customHeight="false" outlineLevel="0" collapsed="false">
      <c r="A120" s="31" t="n">
        <v>46211</v>
      </c>
      <c r="B120" s="32" t="s">
        <v>97</v>
      </c>
      <c r="C120" s="32" t="s">
        <v>90</v>
      </c>
      <c r="D120" s="33" t="s">
        <v>92</v>
      </c>
      <c r="E120" s="34" t="n">
        <v>0.5</v>
      </c>
      <c r="F120" s="32"/>
      <c r="G120" s="35" t="n">
        <f aca="false">IF(A120="","",A120+7-WEEKDAY(A120))</f>
        <v>46214</v>
      </c>
      <c r="H120" s="36" t="n">
        <f aca="false">IF(A120="","",DATE(YEAR(A120),MONTH(A120),1))</f>
        <v>46204</v>
      </c>
      <c r="I120" s="37" t="str">
        <f aca="false">IF(B120="","",IFERROR(INDEX(st_ID,MATCH(B120,st_Name,0)),"Unknown"))</f>
        <v>QP-02</v>
      </c>
      <c r="J120" s="37" t="str">
        <f aca="false">IF(C120="","",IFERROR(INDEX(cl_Code,MATCH(C120,cl_Name,0)),"Unknown"))</f>
        <v>BSE</v>
      </c>
      <c r="K120" s="37" t="str">
        <f aca="false">IF(D120="","",IFERROR(INDEX(rt_Billable,MATCH(D120,rt_Code,0)),"Unknown"))</f>
        <v>Yes</v>
      </c>
      <c r="L120" s="38" t="n">
        <f aca="false">IF(K120&lt;&gt;"Yes","",IFERROR(INDEX(cr_Rate,MATCH(J120&amp;"|"&amp;D120,cr_Key,0)),INDEX(rt_Rate,MATCH(D120,rt_Code,0))))</f>
        <v>145</v>
      </c>
      <c r="M120" s="25" t="n">
        <f aca="false">IF(L120="","",ROUND(N(E120)*L120,2))</f>
        <v>72.5</v>
      </c>
      <c r="N120" s="39" t="n">
        <f aca="false">IF(OR(A120="",B120=""),"",SUMIFS(tl_Hours,tl_StaffID,I120,tl_Date,A120))</f>
        <v>8</v>
      </c>
      <c r="O120" s="40" t="str">
        <f aca="false">IF(A120&amp;B120&amp;D120="","",IF(OR(A120="",B120="",D120="",E120=""),"Incomplete",IF(K120="Unknown","Unknown code",IF(AND(K120="Yes",C120=""),"Billable, needs client",IF(N120&gt;MaxDayHours,"Over "&amp;MaxDayHours&amp;" hours that day","")))))</f>
        <v/>
      </c>
    </row>
    <row r="121" customFormat="false" ht="15" hidden="false" customHeight="false" outlineLevel="0" collapsed="false">
      <c r="A121" s="31" t="n">
        <v>46211</v>
      </c>
      <c r="B121" s="32" t="s">
        <v>97</v>
      </c>
      <c r="C121" s="32"/>
      <c r="D121" s="33" t="s">
        <v>98</v>
      </c>
      <c r="E121" s="34" t="n">
        <v>1</v>
      </c>
      <c r="F121" s="32" t="s">
        <v>99</v>
      </c>
      <c r="G121" s="35" t="n">
        <f aca="false">IF(A121="","",A121+7-WEEKDAY(A121))</f>
        <v>46214</v>
      </c>
      <c r="H121" s="36" t="n">
        <f aca="false">IF(A121="","",DATE(YEAR(A121),MONTH(A121),1))</f>
        <v>46204</v>
      </c>
      <c r="I121" s="37" t="str">
        <f aca="false">IF(B121="","",IFERROR(INDEX(st_ID,MATCH(B121,st_Name,0)),"Unknown"))</f>
        <v>QP-02</v>
      </c>
      <c r="J121" s="37" t="str">
        <f aca="false">IF(C121="","",IFERROR(INDEX(cl_Code,MATCH(C121,cl_Name,0)),"Unknown"))</f>
        <v/>
      </c>
      <c r="K121" s="37" t="str">
        <f aca="false">IF(D121="","",IFERROR(INDEX(rt_Billable,MATCH(D121,rt_Code,0)),"Unknown"))</f>
        <v>No</v>
      </c>
      <c r="L121" s="38" t="str">
        <f aca="false">IF(K121&lt;&gt;"Yes","",IFERROR(INDEX(cr_Rate,MATCH(J121&amp;"|"&amp;D121,cr_Key,0)),INDEX(rt_Rate,MATCH(D121,rt_Code,0))))</f>
        <v/>
      </c>
      <c r="M121" s="25" t="str">
        <f aca="false">IF(L121="","",ROUND(N(E121)*L121,2))</f>
        <v/>
      </c>
      <c r="N121" s="39" t="n">
        <f aca="false">IF(OR(A121="",B121=""),"",SUMIFS(tl_Hours,tl_StaffID,I121,tl_Date,A121))</f>
        <v>8</v>
      </c>
      <c r="O121" s="40" t="str">
        <f aca="false">IF(A121&amp;B121&amp;D121="","",IF(OR(A121="",B121="",D121="",E121=""),"Incomplete",IF(K121="Unknown","Unknown code",IF(AND(K121="Yes",C121=""),"Billable, needs client",IF(N121&gt;MaxDayHours,"Over "&amp;MaxDayHours&amp;" hours that day","")))))</f>
        <v/>
      </c>
    </row>
    <row r="122" customFormat="false" ht="15" hidden="false" customHeight="false" outlineLevel="0" collapsed="false">
      <c r="A122" s="31" t="n">
        <v>46211</v>
      </c>
      <c r="B122" s="32" t="s">
        <v>97</v>
      </c>
      <c r="C122" s="32"/>
      <c r="D122" s="33" t="s">
        <v>96</v>
      </c>
      <c r="E122" s="34" t="n">
        <v>3.25</v>
      </c>
      <c r="F122" s="32"/>
      <c r="G122" s="35" t="n">
        <f aca="false">IF(A122="","",A122+7-WEEKDAY(A122))</f>
        <v>46214</v>
      </c>
      <c r="H122" s="36" t="n">
        <f aca="false">IF(A122="","",DATE(YEAR(A122),MONTH(A122),1))</f>
        <v>46204</v>
      </c>
      <c r="I122" s="37" t="str">
        <f aca="false">IF(B122="","",IFERROR(INDEX(st_ID,MATCH(B122,st_Name,0)),"Unknown"))</f>
        <v>QP-02</v>
      </c>
      <c r="J122" s="37" t="str">
        <f aca="false">IF(C122="","",IFERROR(INDEX(cl_Code,MATCH(C122,cl_Name,0)),"Unknown"))</f>
        <v/>
      </c>
      <c r="K122" s="37" t="str">
        <f aca="false">IF(D122="","",IFERROR(INDEX(rt_Billable,MATCH(D122,rt_Code,0)),"Unknown"))</f>
        <v>No</v>
      </c>
      <c r="L122" s="38" t="str">
        <f aca="false">IF(K122&lt;&gt;"Yes","",IFERROR(INDEX(cr_Rate,MATCH(J122&amp;"|"&amp;D122,cr_Key,0)),INDEX(rt_Rate,MATCH(D122,rt_Code,0))))</f>
        <v/>
      </c>
      <c r="M122" s="25" t="str">
        <f aca="false">IF(L122="","",ROUND(N(E122)*L122,2))</f>
        <v/>
      </c>
      <c r="N122" s="39" t="n">
        <f aca="false">IF(OR(A122="",B122=""),"",SUMIFS(tl_Hours,tl_StaffID,I122,tl_Date,A122))</f>
        <v>8</v>
      </c>
      <c r="O122" s="40" t="str">
        <f aca="false">IF(A122&amp;B122&amp;D122="","",IF(OR(A122="",B122="",D122="",E122=""),"Incomplete",IF(K122="Unknown","Unknown code",IF(AND(K122="Yes",C122=""),"Billable, needs client",IF(N122&gt;MaxDayHours,"Over "&amp;MaxDayHours&amp;" hours that day","")))))</f>
        <v/>
      </c>
    </row>
    <row r="123" customFormat="false" ht="15" hidden="false" customHeight="false" outlineLevel="0" collapsed="false">
      <c r="A123" s="31" t="n">
        <v>46211</v>
      </c>
      <c r="B123" s="32" t="s">
        <v>100</v>
      </c>
      <c r="C123" s="32" t="s">
        <v>102</v>
      </c>
      <c r="D123" s="33" t="s">
        <v>88</v>
      </c>
      <c r="E123" s="34" t="n">
        <v>2.75</v>
      </c>
      <c r="F123" s="32"/>
      <c r="G123" s="35" t="n">
        <f aca="false">IF(A123="","",A123+7-WEEKDAY(A123))</f>
        <v>46214</v>
      </c>
      <c r="H123" s="36" t="n">
        <f aca="false">IF(A123="","",DATE(YEAR(A123),MONTH(A123),1))</f>
        <v>46204</v>
      </c>
      <c r="I123" s="37" t="str">
        <f aca="false">IF(B123="","",IFERROR(INDEX(st_ID,MATCH(B123,st_Name,0)),"Unknown"))</f>
        <v>QP-03</v>
      </c>
      <c r="J123" s="37" t="str">
        <f aca="false">IF(C123="","",IFERROR(INDEX(cl_Code,MATCH(C123,cl_Name,0)),"Unknown"))</f>
        <v>CLH</v>
      </c>
      <c r="K123" s="37" t="str">
        <f aca="false">IF(D123="","",IFERROR(INDEX(rt_Billable,MATCH(D123,rt_Code,0)),"Unknown"))</f>
        <v>Yes</v>
      </c>
      <c r="L123" s="38" t="n">
        <f aca="false">IF(K123&lt;&gt;"Yes","",IFERROR(INDEX(cr_Rate,MATCH(J123&amp;"|"&amp;D123,cr_Key,0)),INDEX(rt_Rate,MATCH(D123,rt_Code,0))))</f>
        <v>110</v>
      </c>
      <c r="M123" s="25" t="n">
        <f aca="false">IF(L123="","",ROUND(N(E123)*L123,2))</f>
        <v>302.5</v>
      </c>
      <c r="N123" s="39" t="n">
        <f aca="false">IF(OR(A123="",B123=""),"",SUMIFS(tl_Hours,tl_StaffID,I123,tl_Date,A123))</f>
        <v>8</v>
      </c>
      <c r="O123" s="40" t="str">
        <f aca="false">IF(A123&amp;B123&amp;D123="","",IF(OR(A123="",B123="",D123="",E123=""),"Incomplete",IF(K123="Unknown","Unknown code",IF(AND(K123="Yes",C123=""),"Billable, needs client",IF(N123&gt;MaxDayHours,"Over "&amp;MaxDayHours&amp;" hours that day","")))))</f>
        <v/>
      </c>
    </row>
    <row r="124" customFormat="false" ht="15" hidden="false" customHeight="false" outlineLevel="0" collapsed="false">
      <c r="A124" s="31" t="n">
        <v>46211</v>
      </c>
      <c r="B124" s="32" t="s">
        <v>100</v>
      </c>
      <c r="C124" s="32" t="s">
        <v>102</v>
      </c>
      <c r="D124" s="33" t="s">
        <v>89</v>
      </c>
      <c r="E124" s="34" t="n">
        <v>0.75</v>
      </c>
      <c r="F124" s="32"/>
      <c r="G124" s="35" t="n">
        <f aca="false">IF(A124="","",A124+7-WEEKDAY(A124))</f>
        <v>46214</v>
      </c>
      <c r="H124" s="36" t="n">
        <f aca="false">IF(A124="","",DATE(YEAR(A124),MONTH(A124),1))</f>
        <v>46204</v>
      </c>
      <c r="I124" s="37" t="str">
        <f aca="false">IF(B124="","",IFERROR(INDEX(st_ID,MATCH(B124,st_Name,0)),"Unknown"))</f>
        <v>QP-03</v>
      </c>
      <c r="J124" s="37" t="str">
        <f aca="false">IF(C124="","",IFERROR(INDEX(cl_Code,MATCH(C124,cl_Name,0)),"Unknown"))</f>
        <v>CLH</v>
      </c>
      <c r="K124" s="37" t="str">
        <f aca="false">IF(D124="","",IFERROR(INDEX(rt_Billable,MATCH(D124,rt_Code,0)),"Unknown"))</f>
        <v>Yes</v>
      </c>
      <c r="L124" s="38" t="n">
        <f aca="false">IF(K124&lt;&gt;"Yes","",IFERROR(INDEX(cr_Rate,MATCH(J124&amp;"|"&amp;D124,cr_Key,0)),INDEX(rt_Rate,MATCH(D124,rt_Code,0))))</f>
        <v>95</v>
      </c>
      <c r="M124" s="25" t="n">
        <f aca="false">IF(L124="","",ROUND(N(E124)*L124,2))</f>
        <v>71.25</v>
      </c>
      <c r="N124" s="39" t="n">
        <f aca="false">IF(OR(A124="",B124=""),"",SUMIFS(tl_Hours,tl_StaffID,I124,tl_Date,A124))</f>
        <v>8</v>
      </c>
      <c r="O124" s="40" t="str">
        <f aca="false">IF(A124&amp;B124&amp;D124="","",IF(OR(A124="",B124="",D124="",E124=""),"Incomplete",IF(K124="Unknown","Unknown code",IF(AND(K124="Yes",C124=""),"Billable, needs client",IF(N124&gt;MaxDayHours,"Over "&amp;MaxDayHours&amp;" hours that day","")))))</f>
        <v/>
      </c>
    </row>
    <row r="125" customFormat="false" ht="15" hidden="false" customHeight="false" outlineLevel="0" collapsed="false">
      <c r="A125" s="31" t="n">
        <v>46211</v>
      </c>
      <c r="B125" s="32" t="s">
        <v>100</v>
      </c>
      <c r="C125" s="32"/>
      <c r="D125" s="33" t="s">
        <v>98</v>
      </c>
      <c r="E125" s="34" t="n">
        <v>1</v>
      </c>
      <c r="F125" s="32" t="s">
        <v>99</v>
      </c>
      <c r="G125" s="35" t="n">
        <f aca="false">IF(A125="","",A125+7-WEEKDAY(A125))</f>
        <v>46214</v>
      </c>
      <c r="H125" s="36" t="n">
        <f aca="false">IF(A125="","",DATE(YEAR(A125),MONTH(A125),1))</f>
        <v>46204</v>
      </c>
      <c r="I125" s="37" t="str">
        <f aca="false">IF(B125="","",IFERROR(INDEX(st_ID,MATCH(B125,st_Name,0)),"Unknown"))</f>
        <v>QP-03</v>
      </c>
      <c r="J125" s="37" t="str">
        <f aca="false">IF(C125="","",IFERROR(INDEX(cl_Code,MATCH(C125,cl_Name,0)),"Unknown"))</f>
        <v/>
      </c>
      <c r="K125" s="37" t="str">
        <f aca="false">IF(D125="","",IFERROR(INDEX(rt_Billable,MATCH(D125,rt_Code,0)),"Unknown"))</f>
        <v>No</v>
      </c>
      <c r="L125" s="38" t="str">
        <f aca="false">IF(K125&lt;&gt;"Yes","",IFERROR(INDEX(cr_Rate,MATCH(J125&amp;"|"&amp;D125,cr_Key,0)),INDEX(rt_Rate,MATCH(D125,rt_Code,0))))</f>
        <v/>
      </c>
      <c r="M125" s="25" t="str">
        <f aca="false">IF(L125="","",ROUND(N(E125)*L125,2))</f>
        <v/>
      </c>
      <c r="N125" s="39" t="n">
        <f aca="false">IF(OR(A125="",B125=""),"",SUMIFS(tl_Hours,tl_StaffID,I125,tl_Date,A125))</f>
        <v>8</v>
      </c>
      <c r="O125" s="40" t="str">
        <f aca="false">IF(A125&amp;B125&amp;D125="","",IF(OR(A125="",B125="",D125="",E125=""),"Incomplete",IF(K125="Unknown","Unknown code",IF(AND(K125="Yes",C125=""),"Billable, needs client",IF(N125&gt;MaxDayHours,"Over "&amp;MaxDayHours&amp;" hours that day","")))))</f>
        <v/>
      </c>
    </row>
    <row r="126" customFormat="false" ht="15" hidden="false" customHeight="false" outlineLevel="0" collapsed="false">
      <c r="A126" s="31" t="n">
        <v>46211</v>
      </c>
      <c r="B126" s="32" t="s">
        <v>100</v>
      </c>
      <c r="C126" s="32"/>
      <c r="D126" s="33" t="s">
        <v>96</v>
      </c>
      <c r="E126" s="34" t="n">
        <v>3.5</v>
      </c>
      <c r="F126" s="32"/>
      <c r="G126" s="35" t="n">
        <f aca="false">IF(A126="","",A126+7-WEEKDAY(A126))</f>
        <v>46214</v>
      </c>
      <c r="H126" s="36" t="n">
        <f aca="false">IF(A126="","",DATE(YEAR(A126),MONTH(A126),1))</f>
        <v>46204</v>
      </c>
      <c r="I126" s="37" t="str">
        <f aca="false">IF(B126="","",IFERROR(INDEX(st_ID,MATCH(B126,st_Name,0)),"Unknown"))</f>
        <v>QP-03</v>
      </c>
      <c r="J126" s="37" t="str">
        <f aca="false">IF(C126="","",IFERROR(INDEX(cl_Code,MATCH(C126,cl_Name,0)),"Unknown"))</f>
        <v/>
      </c>
      <c r="K126" s="37" t="str">
        <f aca="false">IF(D126="","",IFERROR(INDEX(rt_Billable,MATCH(D126,rt_Code,0)),"Unknown"))</f>
        <v>No</v>
      </c>
      <c r="L126" s="38" t="str">
        <f aca="false">IF(K126&lt;&gt;"Yes","",IFERROR(INDEX(cr_Rate,MATCH(J126&amp;"|"&amp;D126,cr_Key,0)),INDEX(rt_Rate,MATCH(D126,rt_Code,0))))</f>
        <v/>
      </c>
      <c r="M126" s="25" t="str">
        <f aca="false">IF(L126="","",ROUND(N(E126)*L126,2))</f>
        <v/>
      </c>
      <c r="N126" s="39" t="n">
        <f aca="false">IF(OR(A126="",B126=""),"",SUMIFS(tl_Hours,tl_StaffID,I126,tl_Date,A126))</f>
        <v>8</v>
      </c>
      <c r="O126" s="40" t="str">
        <f aca="false">IF(A126&amp;B126&amp;D126="","",IF(OR(A126="",B126="",D126="",E126=""),"Incomplete",IF(K126="Unknown","Unknown code",IF(AND(K126="Yes",C126=""),"Billable, needs client",IF(N126&gt;MaxDayHours,"Over "&amp;MaxDayHours&amp;" hours that day","")))))</f>
        <v/>
      </c>
    </row>
    <row r="127" customFormat="false" ht="15" hidden="false" customHeight="false" outlineLevel="0" collapsed="false">
      <c r="A127" s="31" t="n">
        <v>46211</v>
      </c>
      <c r="B127" s="32" t="s">
        <v>101</v>
      </c>
      <c r="C127" s="32" t="s">
        <v>102</v>
      </c>
      <c r="D127" s="33" t="s">
        <v>104</v>
      </c>
      <c r="E127" s="34" t="n">
        <v>3.75</v>
      </c>
      <c r="F127" s="32"/>
      <c r="G127" s="35" t="n">
        <f aca="false">IF(A127="","",A127+7-WEEKDAY(A127))</f>
        <v>46214</v>
      </c>
      <c r="H127" s="36" t="n">
        <f aca="false">IF(A127="","",DATE(YEAR(A127),MONTH(A127),1))</f>
        <v>46204</v>
      </c>
      <c r="I127" s="37" t="str">
        <f aca="false">IF(B127="","",IFERROR(INDEX(st_ID,MATCH(B127,st_Name,0)),"Unknown"))</f>
        <v>QP-04</v>
      </c>
      <c r="J127" s="37" t="str">
        <f aca="false">IF(C127="","",IFERROR(INDEX(cl_Code,MATCH(C127,cl_Name,0)),"Unknown"))</f>
        <v>CLH</v>
      </c>
      <c r="K127" s="37" t="str">
        <f aca="false">IF(D127="","",IFERROR(INDEX(rt_Billable,MATCH(D127,rt_Code,0)),"Unknown"))</f>
        <v>Yes</v>
      </c>
      <c r="L127" s="38" t="n">
        <f aca="false">IF(K127&lt;&gt;"Yes","",IFERROR(INDEX(cr_Rate,MATCH(J127&amp;"|"&amp;D127,cr_Key,0)),INDEX(rt_Rate,MATCH(D127,rt_Code,0))))</f>
        <v>65</v>
      </c>
      <c r="M127" s="25" t="n">
        <f aca="false">IF(L127="","",ROUND(N(E127)*L127,2))</f>
        <v>243.75</v>
      </c>
      <c r="N127" s="39" t="n">
        <f aca="false">IF(OR(A127="",B127=""),"",SUMIFS(tl_Hours,tl_StaffID,I127,tl_Date,A127))</f>
        <v>8</v>
      </c>
      <c r="O127" s="40" t="str">
        <f aca="false">IF(A127&amp;B127&amp;D127="","",IF(OR(A127="",B127="",D127="",E127=""),"Incomplete",IF(K127="Unknown","Unknown code",IF(AND(K127="Yes",C127=""),"Billable, needs client",IF(N127&gt;MaxDayHours,"Over "&amp;MaxDayHours&amp;" hours that day","")))))</f>
        <v/>
      </c>
    </row>
    <row r="128" customFormat="false" ht="15" hidden="false" customHeight="false" outlineLevel="0" collapsed="false">
      <c r="A128" s="31" t="n">
        <v>46211</v>
      </c>
      <c r="B128" s="32" t="s">
        <v>101</v>
      </c>
      <c r="C128" s="32" t="s">
        <v>102</v>
      </c>
      <c r="D128" s="33" t="s">
        <v>88</v>
      </c>
      <c r="E128" s="34" t="n">
        <v>0.5</v>
      </c>
      <c r="F128" s="32"/>
      <c r="G128" s="35" t="n">
        <f aca="false">IF(A128="","",A128+7-WEEKDAY(A128))</f>
        <v>46214</v>
      </c>
      <c r="H128" s="36" t="n">
        <f aca="false">IF(A128="","",DATE(YEAR(A128),MONTH(A128),1))</f>
        <v>46204</v>
      </c>
      <c r="I128" s="37" t="str">
        <f aca="false">IF(B128="","",IFERROR(INDEX(st_ID,MATCH(B128,st_Name,0)),"Unknown"))</f>
        <v>QP-04</v>
      </c>
      <c r="J128" s="37" t="str">
        <f aca="false">IF(C128="","",IFERROR(INDEX(cl_Code,MATCH(C128,cl_Name,0)),"Unknown"))</f>
        <v>CLH</v>
      </c>
      <c r="K128" s="37" t="str">
        <f aca="false">IF(D128="","",IFERROR(INDEX(rt_Billable,MATCH(D128,rt_Code,0)),"Unknown"))</f>
        <v>Yes</v>
      </c>
      <c r="L128" s="38" t="n">
        <f aca="false">IF(K128&lt;&gt;"Yes","",IFERROR(INDEX(cr_Rate,MATCH(J128&amp;"|"&amp;D128,cr_Key,0)),INDEX(rt_Rate,MATCH(D128,rt_Code,0))))</f>
        <v>110</v>
      </c>
      <c r="M128" s="25" t="n">
        <f aca="false">IF(L128="","",ROUND(N(E128)*L128,2))</f>
        <v>55</v>
      </c>
      <c r="N128" s="39" t="n">
        <f aca="false">IF(OR(A128="",B128=""),"",SUMIFS(tl_Hours,tl_StaffID,I128,tl_Date,A128))</f>
        <v>8</v>
      </c>
      <c r="O128" s="40" t="str">
        <f aca="false">IF(A128&amp;B128&amp;D128="","",IF(OR(A128="",B128="",D128="",E128=""),"Incomplete",IF(K128="Unknown","Unknown code",IF(AND(K128="Yes",C128=""),"Billable, needs client",IF(N128&gt;MaxDayHours,"Over "&amp;MaxDayHours&amp;" hours that day","")))))</f>
        <v/>
      </c>
    </row>
    <row r="129" customFormat="false" ht="15" hidden="false" customHeight="false" outlineLevel="0" collapsed="false">
      <c r="A129" s="31" t="n">
        <v>46211</v>
      </c>
      <c r="B129" s="32" t="s">
        <v>101</v>
      </c>
      <c r="C129" s="32"/>
      <c r="D129" s="33" t="s">
        <v>98</v>
      </c>
      <c r="E129" s="34" t="n">
        <v>1</v>
      </c>
      <c r="F129" s="32" t="s">
        <v>99</v>
      </c>
      <c r="G129" s="35" t="n">
        <f aca="false">IF(A129="","",A129+7-WEEKDAY(A129))</f>
        <v>46214</v>
      </c>
      <c r="H129" s="36" t="n">
        <f aca="false">IF(A129="","",DATE(YEAR(A129),MONTH(A129),1))</f>
        <v>46204</v>
      </c>
      <c r="I129" s="37" t="str">
        <f aca="false">IF(B129="","",IFERROR(INDEX(st_ID,MATCH(B129,st_Name,0)),"Unknown"))</f>
        <v>QP-04</v>
      </c>
      <c r="J129" s="37" t="str">
        <f aca="false">IF(C129="","",IFERROR(INDEX(cl_Code,MATCH(C129,cl_Name,0)),"Unknown"))</f>
        <v/>
      </c>
      <c r="K129" s="37" t="str">
        <f aca="false">IF(D129="","",IFERROR(INDEX(rt_Billable,MATCH(D129,rt_Code,0)),"Unknown"))</f>
        <v>No</v>
      </c>
      <c r="L129" s="38" t="str">
        <f aca="false">IF(K129&lt;&gt;"Yes","",IFERROR(INDEX(cr_Rate,MATCH(J129&amp;"|"&amp;D129,cr_Key,0)),INDEX(rt_Rate,MATCH(D129,rt_Code,0))))</f>
        <v/>
      </c>
      <c r="M129" s="25" t="str">
        <f aca="false">IF(L129="","",ROUND(N(E129)*L129,2))</f>
        <v/>
      </c>
      <c r="N129" s="39" t="n">
        <f aca="false">IF(OR(A129="",B129=""),"",SUMIFS(tl_Hours,tl_StaffID,I129,tl_Date,A129))</f>
        <v>8</v>
      </c>
      <c r="O129" s="40" t="str">
        <f aca="false">IF(A129&amp;B129&amp;D129="","",IF(OR(A129="",B129="",D129="",E129=""),"Incomplete",IF(K129="Unknown","Unknown code",IF(AND(K129="Yes",C129=""),"Billable, needs client",IF(N129&gt;MaxDayHours,"Over "&amp;MaxDayHours&amp;" hours that day","")))))</f>
        <v/>
      </c>
    </row>
    <row r="130" customFormat="false" ht="15" hidden="false" customHeight="false" outlineLevel="0" collapsed="false">
      <c r="A130" s="31" t="n">
        <v>46211</v>
      </c>
      <c r="B130" s="32" t="s">
        <v>101</v>
      </c>
      <c r="C130" s="32"/>
      <c r="D130" s="33" t="s">
        <v>96</v>
      </c>
      <c r="E130" s="34" t="n">
        <v>2.75</v>
      </c>
      <c r="F130" s="32"/>
      <c r="G130" s="35" t="n">
        <f aca="false">IF(A130="","",A130+7-WEEKDAY(A130))</f>
        <v>46214</v>
      </c>
      <c r="H130" s="36" t="n">
        <f aca="false">IF(A130="","",DATE(YEAR(A130),MONTH(A130),1))</f>
        <v>46204</v>
      </c>
      <c r="I130" s="37" t="str">
        <f aca="false">IF(B130="","",IFERROR(INDEX(st_ID,MATCH(B130,st_Name,0)),"Unknown"))</f>
        <v>QP-04</v>
      </c>
      <c r="J130" s="37" t="str">
        <f aca="false">IF(C130="","",IFERROR(INDEX(cl_Code,MATCH(C130,cl_Name,0)),"Unknown"))</f>
        <v/>
      </c>
      <c r="K130" s="37" t="str">
        <f aca="false">IF(D130="","",IFERROR(INDEX(rt_Billable,MATCH(D130,rt_Code,0)),"Unknown"))</f>
        <v>No</v>
      </c>
      <c r="L130" s="38" t="str">
        <f aca="false">IF(K130&lt;&gt;"Yes","",IFERROR(INDEX(cr_Rate,MATCH(J130&amp;"|"&amp;D130,cr_Key,0)),INDEX(rt_Rate,MATCH(D130,rt_Code,0))))</f>
        <v/>
      </c>
      <c r="M130" s="25" t="str">
        <f aca="false">IF(L130="","",ROUND(N(E130)*L130,2))</f>
        <v/>
      </c>
      <c r="N130" s="39" t="n">
        <f aca="false">IF(OR(A130="",B130=""),"",SUMIFS(tl_Hours,tl_StaffID,I130,tl_Date,A130))</f>
        <v>8</v>
      </c>
      <c r="O130" s="40" t="str">
        <f aca="false">IF(A130&amp;B130&amp;D130="","",IF(OR(A130="",B130="",D130="",E130=""),"Incomplete",IF(K130="Unknown","Unknown code",IF(AND(K130="Yes",C130=""),"Billable, needs client",IF(N130&gt;MaxDayHours,"Over "&amp;MaxDayHours&amp;" hours that day","")))))</f>
        <v/>
      </c>
    </row>
    <row r="131" customFormat="false" ht="15" hidden="false" customHeight="false" outlineLevel="0" collapsed="false">
      <c r="A131" s="31" t="n">
        <v>46211</v>
      </c>
      <c r="B131" s="32" t="s">
        <v>103</v>
      </c>
      <c r="C131" s="32" t="s">
        <v>90</v>
      </c>
      <c r="D131" s="33" t="s">
        <v>88</v>
      </c>
      <c r="E131" s="34" t="n">
        <v>1.5</v>
      </c>
      <c r="F131" s="32"/>
      <c r="G131" s="35" t="n">
        <f aca="false">IF(A131="","",A131+7-WEEKDAY(A131))</f>
        <v>46214</v>
      </c>
      <c r="H131" s="36" t="n">
        <f aca="false">IF(A131="","",DATE(YEAR(A131),MONTH(A131),1))</f>
        <v>46204</v>
      </c>
      <c r="I131" s="37" t="str">
        <f aca="false">IF(B131="","",IFERROR(INDEX(st_ID,MATCH(B131,st_Name,0)),"Unknown"))</f>
        <v>QP-05</v>
      </c>
      <c r="J131" s="37" t="str">
        <f aca="false">IF(C131="","",IFERROR(INDEX(cl_Code,MATCH(C131,cl_Name,0)),"Unknown"))</f>
        <v>BSE</v>
      </c>
      <c r="K131" s="37" t="str">
        <f aca="false">IF(D131="","",IFERROR(INDEX(rt_Billable,MATCH(D131,rt_Code,0)),"Unknown"))</f>
        <v>Yes</v>
      </c>
      <c r="L131" s="38" t="n">
        <f aca="false">IF(K131&lt;&gt;"Yes","",IFERROR(INDEX(cr_Rate,MATCH(J131&amp;"|"&amp;D131,cr_Key,0)),INDEX(rt_Rate,MATCH(D131,rt_Code,0))))</f>
        <v>104</v>
      </c>
      <c r="M131" s="25" t="n">
        <f aca="false">IF(L131="","",ROUND(N(E131)*L131,2))</f>
        <v>156</v>
      </c>
      <c r="N131" s="39" t="n">
        <f aca="false">IF(OR(A131="",B131=""),"",SUMIFS(tl_Hours,tl_StaffID,I131,tl_Date,A131))</f>
        <v>8</v>
      </c>
      <c r="O131" s="40" t="str">
        <f aca="false">IF(A131&amp;B131&amp;D131="","",IF(OR(A131="",B131="",D131="",E131=""),"Incomplete",IF(K131="Unknown","Unknown code",IF(AND(K131="Yes",C131=""),"Billable, needs client",IF(N131&gt;MaxDayHours,"Over "&amp;MaxDayHours&amp;" hours that day","")))))</f>
        <v/>
      </c>
    </row>
    <row r="132" customFormat="false" ht="15" hidden="false" customHeight="false" outlineLevel="0" collapsed="false">
      <c r="A132" s="31" t="n">
        <v>46211</v>
      </c>
      <c r="B132" s="32" t="s">
        <v>103</v>
      </c>
      <c r="C132" s="32" t="s">
        <v>90</v>
      </c>
      <c r="D132" s="33" t="s">
        <v>89</v>
      </c>
      <c r="E132" s="34" t="n">
        <v>0.75</v>
      </c>
      <c r="F132" s="32"/>
      <c r="G132" s="35" t="n">
        <f aca="false">IF(A132="","",A132+7-WEEKDAY(A132))</f>
        <v>46214</v>
      </c>
      <c r="H132" s="36" t="n">
        <f aca="false">IF(A132="","",DATE(YEAR(A132),MONTH(A132),1))</f>
        <v>46204</v>
      </c>
      <c r="I132" s="37" t="str">
        <f aca="false">IF(B132="","",IFERROR(INDEX(st_ID,MATCH(B132,st_Name,0)),"Unknown"))</f>
        <v>QP-05</v>
      </c>
      <c r="J132" s="37" t="str">
        <f aca="false">IF(C132="","",IFERROR(INDEX(cl_Code,MATCH(C132,cl_Name,0)),"Unknown"))</f>
        <v>BSE</v>
      </c>
      <c r="K132" s="37" t="str">
        <f aca="false">IF(D132="","",IFERROR(INDEX(rt_Billable,MATCH(D132,rt_Code,0)),"Unknown"))</f>
        <v>Yes</v>
      </c>
      <c r="L132" s="38" t="n">
        <f aca="false">IF(K132&lt;&gt;"Yes","",IFERROR(INDEX(cr_Rate,MATCH(J132&amp;"|"&amp;D132,cr_Key,0)),INDEX(rt_Rate,MATCH(D132,rt_Code,0))))</f>
        <v>95</v>
      </c>
      <c r="M132" s="25" t="n">
        <f aca="false">IF(L132="","",ROUND(N(E132)*L132,2))</f>
        <v>71.25</v>
      </c>
      <c r="N132" s="39" t="n">
        <f aca="false">IF(OR(A132="",B132=""),"",SUMIFS(tl_Hours,tl_StaffID,I132,tl_Date,A132))</f>
        <v>8</v>
      </c>
      <c r="O132" s="40" t="str">
        <f aca="false">IF(A132&amp;B132&amp;D132="","",IF(OR(A132="",B132="",D132="",E132=""),"Incomplete",IF(K132="Unknown","Unknown code",IF(AND(K132="Yes",C132=""),"Billable, needs client",IF(N132&gt;MaxDayHours,"Over "&amp;MaxDayHours&amp;" hours that day","")))))</f>
        <v/>
      </c>
    </row>
    <row r="133" customFormat="false" ht="15" hidden="false" customHeight="false" outlineLevel="0" collapsed="false">
      <c r="A133" s="31" t="n">
        <v>46211</v>
      </c>
      <c r="B133" s="32" t="s">
        <v>103</v>
      </c>
      <c r="C133" s="32" t="s">
        <v>87</v>
      </c>
      <c r="D133" s="33" t="s">
        <v>104</v>
      </c>
      <c r="E133" s="34" t="n">
        <v>1.25</v>
      </c>
      <c r="F133" s="32"/>
      <c r="G133" s="35" t="n">
        <f aca="false">IF(A133="","",A133+7-WEEKDAY(A133))</f>
        <v>46214</v>
      </c>
      <c r="H133" s="36" t="n">
        <f aca="false">IF(A133="","",DATE(YEAR(A133),MONTH(A133),1))</f>
        <v>46204</v>
      </c>
      <c r="I133" s="37" t="str">
        <f aca="false">IF(B133="","",IFERROR(INDEX(st_ID,MATCH(B133,st_Name,0)),"Unknown"))</f>
        <v>QP-05</v>
      </c>
      <c r="J133" s="37" t="str">
        <f aca="false">IF(C133="","",IFERROR(INDEX(cl_Code,MATCH(C133,cl_Name,0)),"Unknown"))</f>
        <v>HCS</v>
      </c>
      <c r="K133" s="37" t="str">
        <f aca="false">IF(D133="","",IFERROR(INDEX(rt_Billable,MATCH(D133,rt_Code,0)),"Unknown"))</f>
        <v>Yes</v>
      </c>
      <c r="L133" s="38" t="n">
        <f aca="false">IF(K133&lt;&gt;"Yes","",IFERROR(INDEX(cr_Rate,MATCH(J133&amp;"|"&amp;D133,cr_Key,0)),INDEX(rt_Rate,MATCH(D133,rt_Code,0))))</f>
        <v>62</v>
      </c>
      <c r="M133" s="25" t="n">
        <f aca="false">IF(L133="","",ROUND(N(E133)*L133,2))</f>
        <v>77.5</v>
      </c>
      <c r="N133" s="39" t="n">
        <f aca="false">IF(OR(A133="",B133=""),"",SUMIFS(tl_Hours,tl_StaffID,I133,tl_Date,A133))</f>
        <v>8</v>
      </c>
      <c r="O133" s="40" t="str">
        <f aca="false">IF(A133&amp;B133&amp;D133="","",IF(OR(A133="",B133="",D133="",E133=""),"Incomplete",IF(K133="Unknown","Unknown code",IF(AND(K133="Yes",C133=""),"Billable, needs client",IF(N133&gt;MaxDayHours,"Over "&amp;MaxDayHours&amp;" hours that day","")))))</f>
        <v/>
      </c>
    </row>
    <row r="134" customFormat="false" ht="15" hidden="false" customHeight="false" outlineLevel="0" collapsed="false">
      <c r="A134" s="31" t="n">
        <v>46211</v>
      </c>
      <c r="B134" s="32" t="s">
        <v>103</v>
      </c>
      <c r="C134" s="32" t="s">
        <v>87</v>
      </c>
      <c r="D134" s="33" t="s">
        <v>89</v>
      </c>
      <c r="E134" s="34" t="n">
        <v>1</v>
      </c>
      <c r="F134" s="32"/>
      <c r="G134" s="35" t="n">
        <f aca="false">IF(A134="","",A134+7-WEEKDAY(A134))</f>
        <v>46214</v>
      </c>
      <c r="H134" s="36" t="n">
        <f aca="false">IF(A134="","",DATE(YEAR(A134),MONTH(A134),1))</f>
        <v>46204</v>
      </c>
      <c r="I134" s="37" t="str">
        <f aca="false">IF(B134="","",IFERROR(INDEX(st_ID,MATCH(B134,st_Name,0)),"Unknown"))</f>
        <v>QP-05</v>
      </c>
      <c r="J134" s="37" t="str">
        <f aca="false">IF(C134="","",IFERROR(INDEX(cl_Code,MATCH(C134,cl_Name,0)),"Unknown"))</f>
        <v>HCS</v>
      </c>
      <c r="K134" s="37" t="str">
        <f aca="false">IF(D134="","",IFERROR(INDEX(rt_Billable,MATCH(D134,rt_Code,0)),"Unknown"))</f>
        <v>Yes</v>
      </c>
      <c r="L134" s="38" t="n">
        <f aca="false">IF(K134&lt;&gt;"Yes","",IFERROR(INDEX(cr_Rate,MATCH(J134&amp;"|"&amp;D134,cr_Key,0)),INDEX(rt_Rate,MATCH(D134,rt_Code,0))))</f>
        <v>88</v>
      </c>
      <c r="M134" s="25" t="n">
        <f aca="false">IF(L134="","",ROUND(N(E134)*L134,2))</f>
        <v>88</v>
      </c>
      <c r="N134" s="39" t="n">
        <f aca="false">IF(OR(A134="",B134=""),"",SUMIFS(tl_Hours,tl_StaffID,I134,tl_Date,A134))</f>
        <v>8</v>
      </c>
      <c r="O134" s="40" t="str">
        <f aca="false">IF(A134&amp;B134&amp;D134="","",IF(OR(A134="",B134="",D134="",E134=""),"Incomplete",IF(K134="Unknown","Unknown code",IF(AND(K134="Yes",C134=""),"Billable, needs client",IF(N134&gt;MaxDayHours,"Over "&amp;MaxDayHours&amp;" hours that day","")))))</f>
        <v/>
      </c>
    </row>
    <row r="135" customFormat="false" ht="15" hidden="false" customHeight="false" outlineLevel="0" collapsed="false">
      <c r="A135" s="31" t="n">
        <v>46211</v>
      </c>
      <c r="B135" s="32" t="s">
        <v>103</v>
      </c>
      <c r="C135" s="32"/>
      <c r="D135" s="33" t="s">
        <v>93</v>
      </c>
      <c r="E135" s="34" t="n">
        <v>0.5</v>
      </c>
      <c r="F135" s="32"/>
      <c r="G135" s="35" t="n">
        <f aca="false">IF(A135="","",A135+7-WEEKDAY(A135))</f>
        <v>46214</v>
      </c>
      <c r="H135" s="36" t="n">
        <f aca="false">IF(A135="","",DATE(YEAR(A135),MONTH(A135),1))</f>
        <v>46204</v>
      </c>
      <c r="I135" s="37" t="str">
        <f aca="false">IF(B135="","",IFERROR(INDEX(st_ID,MATCH(B135,st_Name,0)),"Unknown"))</f>
        <v>QP-05</v>
      </c>
      <c r="J135" s="37" t="str">
        <f aca="false">IF(C135="","",IFERROR(INDEX(cl_Code,MATCH(C135,cl_Name,0)),"Unknown"))</f>
        <v/>
      </c>
      <c r="K135" s="37" t="str">
        <f aca="false">IF(D135="","",IFERROR(INDEX(rt_Billable,MATCH(D135,rt_Code,0)),"Unknown"))</f>
        <v>No</v>
      </c>
      <c r="L135" s="38" t="str">
        <f aca="false">IF(K135&lt;&gt;"Yes","",IFERROR(INDEX(cr_Rate,MATCH(J135&amp;"|"&amp;D135,cr_Key,0)),INDEX(rt_Rate,MATCH(D135,rt_Code,0))))</f>
        <v/>
      </c>
      <c r="M135" s="25" t="str">
        <f aca="false">IF(L135="","",ROUND(N(E135)*L135,2))</f>
        <v/>
      </c>
      <c r="N135" s="39" t="n">
        <f aca="false">IF(OR(A135="",B135=""),"",SUMIFS(tl_Hours,tl_StaffID,I135,tl_Date,A135))</f>
        <v>8</v>
      </c>
      <c r="O135" s="40" t="str">
        <f aca="false">IF(A135&amp;B135&amp;D135="","",IF(OR(A135="",B135="",D135="",E135=""),"Incomplete",IF(K135="Unknown","Unknown code",IF(AND(K135="Yes",C135=""),"Billable, needs client",IF(N135&gt;MaxDayHours,"Over "&amp;MaxDayHours&amp;" hours that day","")))))</f>
        <v/>
      </c>
    </row>
    <row r="136" customFormat="false" ht="15" hidden="false" customHeight="false" outlineLevel="0" collapsed="false">
      <c r="A136" s="31" t="n">
        <v>46211</v>
      </c>
      <c r="B136" s="32" t="s">
        <v>103</v>
      </c>
      <c r="C136" s="32"/>
      <c r="D136" s="33" t="s">
        <v>98</v>
      </c>
      <c r="E136" s="34" t="n">
        <v>1</v>
      </c>
      <c r="F136" s="32" t="s">
        <v>99</v>
      </c>
      <c r="G136" s="35" t="n">
        <f aca="false">IF(A136="","",A136+7-WEEKDAY(A136))</f>
        <v>46214</v>
      </c>
      <c r="H136" s="36" t="n">
        <f aca="false">IF(A136="","",DATE(YEAR(A136),MONTH(A136),1))</f>
        <v>46204</v>
      </c>
      <c r="I136" s="37" t="str">
        <f aca="false">IF(B136="","",IFERROR(INDEX(st_ID,MATCH(B136,st_Name,0)),"Unknown"))</f>
        <v>QP-05</v>
      </c>
      <c r="J136" s="37" t="str">
        <f aca="false">IF(C136="","",IFERROR(INDEX(cl_Code,MATCH(C136,cl_Name,0)),"Unknown"))</f>
        <v/>
      </c>
      <c r="K136" s="37" t="str">
        <f aca="false">IF(D136="","",IFERROR(INDEX(rt_Billable,MATCH(D136,rt_Code,0)),"Unknown"))</f>
        <v>No</v>
      </c>
      <c r="L136" s="38" t="str">
        <f aca="false">IF(K136&lt;&gt;"Yes","",IFERROR(INDEX(cr_Rate,MATCH(J136&amp;"|"&amp;D136,cr_Key,0)),INDEX(rt_Rate,MATCH(D136,rt_Code,0))))</f>
        <v/>
      </c>
      <c r="M136" s="25" t="str">
        <f aca="false">IF(L136="","",ROUND(N(E136)*L136,2))</f>
        <v/>
      </c>
      <c r="N136" s="39" t="n">
        <f aca="false">IF(OR(A136="",B136=""),"",SUMIFS(tl_Hours,tl_StaffID,I136,tl_Date,A136))</f>
        <v>8</v>
      </c>
      <c r="O136" s="40" t="str">
        <f aca="false">IF(A136&amp;B136&amp;D136="","",IF(OR(A136="",B136="",D136="",E136=""),"Incomplete",IF(K136="Unknown","Unknown code",IF(AND(K136="Yes",C136=""),"Billable, needs client",IF(N136&gt;MaxDayHours,"Over "&amp;MaxDayHours&amp;" hours that day","")))))</f>
        <v/>
      </c>
    </row>
    <row r="137" customFormat="false" ht="15" hidden="false" customHeight="false" outlineLevel="0" collapsed="false">
      <c r="A137" s="31" t="n">
        <v>46211</v>
      </c>
      <c r="B137" s="32" t="s">
        <v>103</v>
      </c>
      <c r="C137" s="32"/>
      <c r="D137" s="33" t="s">
        <v>96</v>
      </c>
      <c r="E137" s="34" t="n">
        <v>2</v>
      </c>
      <c r="F137" s="32"/>
      <c r="G137" s="35" t="n">
        <f aca="false">IF(A137="","",A137+7-WEEKDAY(A137))</f>
        <v>46214</v>
      </c>
      <c r="H137" s="36" t="n">
        <f aca="false">IF(A137="","",DATE(YEAR(A137),MONTH(A137),1))</f>
        <v>46204</v>
      </c>
      <c r="I137" s="37" t="str">
        <f aca="false">IF(B137="","",IFERROR(INDEX(st_ID,MATCH(B137,st_Name,0)),"Unknown"))</f>
        <v>QP-05</v>
      </c>
      <c r="J137" s="37" t="str">
        <f aca="false">IF(C137="","",IFERROR(INDEX(cl_Code,MATCH(C137,cl_Name,0)),"Unknown"))</f>
        <v/>
      </c>
      <c r="K137" s="37" t="str">
        <f aca="false">IF(D137="","",IFERROR(INDEX(rt_Billable,MATCH(D137,rt_Code,0)),"Unknown"))</f>
        <v>No</v>
      </c>
      <c r="L137" s="38" t="str">
        <f aca="false">IF(K137&lt;&gt;"Yes","",IFERROR(INDEX(cr_Rate,MATCH(J137&amp;"|"&amp;D137,cr_Key,0)),INDEX(rt_Rate,MATCH(D137,rt_Code,0))))</f>
        <v/>
      </c>
      <c r="M137" s="25" t="str">
        <f aca="false">IF(L137="","",ROUND(N(E137)*L137,2))</f>
        <v/>
      </c>
      <c r="N137" s="39" t="n">
        <f aca="false">IF(OR(A137="",B137=""),"",SUMIFS(tl_Hours,tl_StaffID,I137,tl_Date,A137))</f>
        <v>8</v>
      </c>
      <c r="O137" s="40" t="str">
        <f aca="false">IF(A137&amp;B137&amp;D137="","",IF(OR(A137="",B137="",D137="",E137=""),"Incomplete",IF(K137="Unknown","Unknown code",IF(AND(K137="Yes",C137=""),"Billable, needs client",IF(N137&gt;MaxDayHours,"Over "&amp;MaxDayHours&amp;" hours that day","")))))</f>
        <v/>
      </c>
    </row>
    <row r="138" customFormat="false" ht="15" hidden="false" customHeight="false" outlineLevel="0" collapsed="false">
      <c r="A138" s="31" t="n">
        <v>46211</v>
      </c>
      <c r="B138" s="32" t="s">
        <v>105</v>
      </c>
      <c r="C138" s="32" t="s">
        <v>90</v>
      </c>
      <c r="D138" s="33" t="s">
        <v>91</v>
      </c>
      <c r="E138" s="34" t="n">
        <v>2.75</v>
      </c>
      <c r="F138" s="32"/>
      <c r="G138" s="35" t="n">
        <f aca="false">IF(A138="","",A138+7-WEEKDAY(A138))</f>
        <v>46214</v>
      </c>
      <c r="H138" s="36" t="n">
        <f aca="false">IF(A138="","",DATE(YEAR(A138),MONTH(A138),1))</f>
        <v>46204</v>
      </c>
      <c r="I138" s="37" t="str">
        <f aca="false">IF(B138="","",IFERROR(INDEX(st_ID,MATCH(B138,st_Name,0)),"Unknown"))</f>
        <v>QP-06</v>
      </c>
      <c r="J138" s="37" t="str">
        <f aca="false">IF(C138="","",IFERROR(INDEX(cl_Code,MATCH(C138,cl_Name,0)),"Unknown"))</f>
        <v>BSE</v>
      </c>
      <c r="K138" s="37" t="str">
        <f aca="false">IF(D138="","",IFERROR(INDEX(rt_Billable,MATCH(D138,rt_Code,0)),"Unknown"))</f>
        <v>Yes</v>
      </c>
      <c r="L138" s="38" t="n">
        <f aca="false">IF(K138&lt;&gt;"Yes","",IFERROR(INDEX(cr_Rate,MATCH(J138&amp;"|"&amp;D138,cr_Key,0)),INDEX(rt_Rate,MATCH(D138,rt_Code,0))))</f>
        <v>100</v>
      </c>
      <c r="M138" s="25" t="n">
        <f aca="false">IF(L138="","",ROUND(N(E138)*L138,2))</f>
        <v>275</v>
      </c>
      <c r="N138" s="39" t="n">
        <f aca="false">IF(OR(A138="",B138=""),"",SUMIFS(tl_Hours,tl_StaffID,I138,tl_Date,A138))</f>
        <v>8</v>
      </c>
      <c r="O138" s="40" t="str">
        <f aca="false">IF(A138&amp;B138&amp;D138="","",IF(OR(A138="",B138="",D138="",E138=""),"Incomplete",IF(K138="Unknown","Unknown code",IF(AND(K138="Yes",C138=""),"Billable, needs client",IF(N138&gt;MaxDayHours,"Over "&amp;MaxDayHours&amp;" hours that day","")))))</f>
        <v/>
      </c>
    </row>
    <row r="139" customFormat="false" ht="15" hidden="false" customHeight="false" outlineLevel="0" collapsed="false">
      <c r="A139" s="31" t="n">
        <v>46211</v>
      </c>
      <c r="B139" s="32" t="s">
        <v>105</v>
      </c>
      <c r="C139" s="32" t="s">
        <v>90</v>
      </c>
      <c r="D139" s="33" t="s">
        <v>89</v>
      </c>
      <c r="E139" s="34" t="n">
        <v>1.25</v>
      </c>
      <c r="F139" s="32"/>
      <c r="G139" s="35" t="n">
        <f aca="false">IF(A139="","",A139+7-WEEKDAY(A139))</f>
        <v>46214</v>
      </c>
      <c r="H139" s="36" t="n">
        <f aca="false">IF(A139="","",DATE(YEAR(A139),MONTH(A139),1))</f>
        <v>46204</v>
      </c>
      <c r="I139" s="37" t="str">
        <f aca="false">IF(B139="","",IFERROR(INDEX(st_ID,MATCH(B139,st_Name,0)),"Unknown"))</f>
        <v>QP-06</v>
      </c>
      <c r="J139" s="37" t="str">
        <f aca="false">IF(C139="","",IFERROR(INDEX(cl_Code,MATCH(C139,cl_Name,0)),"Unknown"))</f>
        <v>BSE</v>
      </c>
      <c r="K139" s="37" t="str">
        <f aca="false">IF(D139="","",IFERROR(INDEX(rt_Billable,MATCH(D139,rt_Code,0)),"Unknown"))</f>
        <v>Yes</v>
      </c>
      <c r="L139" s="38" t="n">
        <f aca="false">IF(K139&lt;&gt;"Yes","",IFERROR(INDEX(cr_Rate,MATCH(J139&amp;"|"&amp;D139,cr_Key,0)),INDEX(rt_Rate,MATCH(D139,rt_Code,0))))</f>
        <v>95</v>
      </c>
      <c r="M139" s="25" t="n">
        <f aca="false">IF(L139="","",ROUND(N(E139)*L139,2))</f>
        <v>118.75</v>
      </c>
      <c r="N139" s="39" t="n">
        <f aca="false">IF(OR(A139="",B139=""),"",SUMIFS(tl_Hours,tl_StaffID,I139,tl_Date,A139))</f>
        <v>8</v>
      </c>
      <c r="O139" s="40" t="str">
        <f aca="false">IF(A139&amp;B139&amp;D139="","",IF(OR(A139="",B139="",D139="",E139=""),"Incomplete",IF(K139="Unknown","Unknown code",IF(AND(K139="Yes",C139=""),"Billable, needs client",IF(N139&gt;MaxDayHours,"Over "&amp;MaxDayHours&amp;" hours that day","")))))</f>
        <v/>
      </c>
    </row>
    <row r="140" customFormat="false" ht="15" hidden="false" customHeight="false" outlineLevel="0" collapsed="false">
      <c r="A140" s="31" t="n">
        <v>46211</v>
      </c>
      <c r="B140" s="32" t="s">
        <v>105</v>
      </c>
      <c r="C140" s="32"/>
      <c r="D140" s="33" t="s">
        <v>98</v>
      </c>
      <c r="E140" s="34" t="n">
        <v>1</v>
      </c>
      <c r="F140" s="32" t="s">
        <v>99</v>
      </c>
      <c r="G140" s="35" t="n">
        <f aca="false">IF(A140="","",A140+7-WEEKDAY(A140))</f>
        <v>46214</v>
      </c>
      <c r="H140" s="36" t="n">
        <f aca="false">IF(A140="","",DATE(YEAR(A140),MONTH(A140),1))</f>
        <v>46204</v>
      </c>
      <c r="I140" s="37" t="str">
        <f aca="false">IF(B140="","",IFERROR(INDEX(st_ID,MATCH(B140,st_Name,0)),"Unknown"))</f>
        <v>QP-06</v>
      </c>
      <c r="J140" s="37" t="str">
        <f aca="false">IF(C140="","",IFERROR(INDEX(cl_Code,MATCH(C140,cl_Name,0)),"Unknown"))</f>
        <v/>
      </c>
      <c r="K140" s="37" t="str">
        <f aca="false">IF(D140="","",IFERROR(INDEX(rt_Billable,MATCH(D140,rt_Code,0)),"Unknown"))</f>
        <v>No</v>
      </c>
      <c r="L140" s="38" t="str">
        <f aca="false">IF(K140&lt;&gt;"Yes","",IFERROR(INDEX(cr_Rate,MATCH(J140&amp;"|"&amp;D140,cr_Key,0)),INDEX(rt_Rate,MATCH(D140,rt_Code,0))))</f>
        <v/>
      </c>
      <c r="M140" s="25" t="str">
        <f aca="false">IF(L140="","",ROUND(N(E140)*L140,2))</f>
        <v/>
      </c>
      <c r="N140" s="39" t="n">
        <f aca="false">IF(OR(A140="",B140=""),"",SUMIFS(tl_Hours,tl_StaffID,I140,tl_Date,A140))</f>
        <v>8</v>
      </c>
      <c r="O140" s="40" t="str">
        <f aca="false">IF(A140&amp;B140&amp;D140="","",IF(OR(A140="",B140="",D140="",E140=""),"Incomplete",IF(K140="Unknown","Unknown code",IF(AND(K140="Yes",C140=""),"Billable, needs client",IF(N140&gt;MaxDayHours,"Over "&amp;MaxDayHours&amp;" hours that day","")))))</f>
        <v/>
      </c>
    </row>
    <row r="141" customFormat="false" ht="15" hidden="false" customHeight="false" outlineLevel="0" collapsed="false">
      <c r="A141" s="31" t="n">
        <v>46211</v>
      </c>
      <c r="B141" s="32" t="s">
        <v>105</v>
      </c>
      <c r="C141" s="32"/>
      <c r="D141" s="33" t="s">
        <v>96</v>
      </c>
      <c r="E141" s="34" t="n">
        <v>3</v>
      </c>
      <c r="F141" s="32"/>
      <c r="G141" s="35" t="n">
        <f aca="false">IF(A141="","",A141+7-WEEKDAY(A141))</f>
        <v>46214</v>
      </c>
      <c r="H141" s="36" t="n">
        <f aca="false">IF(A141="","",DATE(YEAR(A141),MONTH(A141),1))</f>
        <v>46204</v>
      </c>
      <c r="I141" s="37" t="str">
        <f aca="false">IF(B141="","",IFERROR(INDEX(st_ID,MATCH(B141,st_Name,0)),"Unknown"))</f>
        <v>QP-06</v>
      </c>
      <c r="J141" s="37" t="str">
        <f aca="false">IF(C141="","",IFERROR(INDEX(cl_Code,MATCH(C141,cl_Name,0)),"Unknown"))</f>
        <v/>
      </c>
      <c r="K141" s="37" t="str">
        <f aca="false">IF(D141="","",IFERROR(INDEX(rt_Billable,MATCH(D141,rt_Code,0)),"Unknown"))</f>
        <v>No</v>
      </c>
      <c r="L141" s="38" t="str">
        <f aca="false">IF(K141&lt;&gt;"Yes","",IFERROR(INDEX(cr_Rate,MATCH(J141&amp;"|"&amp;D141,cr_Key,0)),INDEX(rt_Rate,MATCH(D141,rt_Code,0))))</f>
        <v/>
      </c>
      <c r="M141" s="25" t="str">
        <f aca="false">IF(L141="","",ROUND(N(E141)*L141,2))</f>
        <v/>
      </c>
      <c r="N141" s="39" t="n">
        <f aca="false">IF(OR(A141="",B141=""),"",SUMIFS(tl_Hours,tl_StaffID,I141,tl_Date,A141))</f>
        <v>8</v>
      </c>
      <c r="O141" s="40" t="str">
        <f aca="false">IF(A141&amp;B141&amp;D141="","",IF(OR(A141="",B141="",D141="",E141=""),"Incomplete",IF(K141="Unknown","Unknown code",IF(AND(K141="Yes",C141=""),"Billable, needs client",IF(N141&gt;MaxDayHours,"Over "&amp;MaxDayHours&amp;" hours that day","")))))</f>
        <v/>
      </c>
    </row>
    <row r="142" customFormat="false" ht="15" hidden="false" customHeight="false" outlineLevel="0" collapsed="false">
      <c r="A142" s="31" t="n">
        <v>46211</v>
      </c>
      <c r="B142" s="32" t="s">
        <v>106</v>
      </c>
      <c r="C142" s="32" t="s">
        <v>102</v>
      </c>
      <c r="D142" s="33" t="s">
        <v>88</v>
      </c>
      <c r="E142" s="34" t="n">
        <v>3.5</v>
      </c>
      <c r="F142" s="32"/>
      <c r="G142" s="35" t="n">
        <f aca="false">IF(A142="","",A142+7-WEEKDAY(A142))</f>
        <v>46214</v>
      </c>
      <c r="H142" s="36" t="n">
        <f aca="false">IF(A142="","",DATE(YEAR(A142),MONTH(A142),1))</f>
        <v>46204</v>
      </c>
      <c r="I142" s="37" t="str">
        <f aca="false">IF(B142="","",IFERROR(INDEX(st_ID,MATCH(B142,st_Name,0)),"Unknown"))</f>
        <v>QP-07</v>
      </c>
      <c r="J142" s="37" t="str">
        <f aca="false">IF(C142="","",IFERROR(INDEX(cl_Code,MATCH(C142,cl_Name,0)),"Unknown"))</f>
        <v>CLH</v>
      </c>
      <c r="K142" s="37" t="str">
        <f aca="false">IF(D142="","",IFERROR(INDEX(rt_Billable,MATCH(D142,rt_Code,0)),"Unknown"))</f>
        <v>Yes</v>
      </c>
      <c r="L142" s="38" t="n">
        <f aca="false">IF(K142&lt;&gt;"Yes","",IFERROR(INDEX(cr_Rate,MATCH(J142&amp;"|"&amp;D142,cr_Key,0)),INDEX(rt_Rate,MATCH(D142,rt_Code,0))))</f>
        <v>110</v>
      </c>
      <c r="M142" s="25" t="n">
        <f aca="false">IF(L142="","",ROUND(N(E142)*L142,2))</f>
        <v>385</v>
      </c>
      <c r="N142" s="39" t="n">
        <f aca="false">IF(OR(A142="",B142=""),"",SUMIFS(tl_Hours,tl_StaffID,I142,tl_Date,A142))</f>
        <v>8</v>
      </c>
      <c r="O142" s="40" t="str">
        <f aca="false">IF(A142&amp;B142&amp;D142="","",IF(OR(A142="",B142="",D142="",E142=""),"Incomplete",IF(K142="Unknown","Unknown code",IF(AND(K142="Yes",C142=""),"Billable, needs client",IF(N142&gt;MaxDayHours,"Over "&amp;MaxDayHours&amp;" hours that day","")))))</f>
        <v/>
      </c>
    </row>
    <row r="143" customFormat="false" ht="15" hidden="false" customHeight="false" outlineLevel="0" collapsed="false">
      <c r="A143" s="31" t="n">
        <v>46211</v>
      </c>
      <c r="B143" s="32" t="s">
        <v>106</v>
      </c>
      <c r="C143" s="32" t="s">
        <v>102</v>
      </c>
      <c r="D143" s="33" t="s">
        <v>104</v>
      </c>
      <c r="E143" s="34" t="n">
        <v>0.5</v>
      </c>
      <c r="F143" s="32"/>
      <c r="G143" s="35" t="n">
        <f aca="false">IF(A143="","",A143+7-WEEKDAY(A143))</f>
        <v>46214</v>
      </c>
      <c r="H143" s="36" t="n">
        <f aca="false">IF(A143="","",DATE(YEAR(A143),MONTH(A143),1))</f>
        <v>46204</v>
      </c>
      <c r="I143" s="37" t="str">
        <f aca="false">IF(B143="","",IFERROR(INDEX(st_ID,MATCH(B143,st_Name,0)),"Unknown"))</f>
        <v>QP-07</v>
      </c>
      <c r="J143" s="37" t="str">
        <f aca="false">IF(C143="","",IFERROR(INDEX(cl_Code,MATCH(C143,cl_Name,0)),"Unknown"))</f>
        <v>CLH</v>
      </c>
      <c r="K143" s="37" t="str">
        <f aca="false">IF(D143="","",IFERROR(INDEX(rt_Billable,MATCH(D143,rt_Code,0)),"Unknown"))</f>
        <v>Yes</v>
      </c>
      <c r="L143" s="38" t="n">
        <f aca="false">IF(K143&lt;&gt;"Yes","",IFERROR(INDEX(cr_Rate,MATCH(J143&amp;"|"&amp;D143,cr_Key,0)),INDEX(rt_Rate,MATCH(D143,rt_Code,0))))</f>
        <v>65</v>
      </c>
      <c r="M143" s="25" t="n">
        <f aca="false">IF(L143="","",ROUND(N(E143)*L143,2))</f>
        <v>32.5</v>
      </c>
      <c r="N143" s="39" t="n">
        <f aca="false">IF(OR(A143="",B143=""),"",SUMIFS(tl_Hours,tl_StaffID,I143,tl_Date,A143))</f>
        <v>8</v>
      </c>
      <c r="O143" s="40" t="str">
        <f aca="false">IF(A143&amp;B143&amp;D143="","",IF(OR(A143="",B143="",D143="",E143=""),"Incomplete",IF(K143="Unknown","Unknown code",IF(AND(K143="Yes",C143=""),"Billable, needs client",IF(N143&gt;MaxDayHours,"Over "&amp;MaxDayHours&amp;" hours that day","")))))</f>
        <v/>
      </c>
    </row>
    <row r="144" customFormat="false" ht="15" hidden="false" customHeight="false" outlineLevel="0" collapsed="false">
      <c r="A144" s="31" t="n">
        <v>46211</v>
      </c>
      <c r="B144" s="32" t="s">
        <v>106</v>
      </c>
      <c r="C144" s="32"/>
      <c r="D144" s="33" t="s">
        <v>98</v>
      </c>
      <c r="E144" s="34" t="n">
        <v>1</v>
      </c>
      <c r="F144" s="32" t="s">
        <v>99</v>
      </c>
      <c r="G144" s="35" t="n">
        <f aca="false">IF(A144="","",A144+7-WEEKDAY(A144))</f>
        <v>46214</v>
      </c>
      <c r="H144" s="36" t="n">
        <f aca="false">IF(A144="","",DATE(YEAR(A144),MONTH(A144),1))</f>
        <v>46204</v>
      </c>
      <c r="I144" s="37" t="str">
        <f aca="false">IF(B144="","",IFERROR(INDEX(st_ID,MATCH(B144,st_Name,0)),"Unknown"))</f>
        <v>QP-07</v>
      </c>
      <c r="J144" s="37" t="str">
        <f aca="false">IF(C144="","",IFERROR(INDEX(cl_Code,MATCH(C144,cl_Name,0)),"Unknown"))</f>
        <v/>
      </c>
      <c r="K144" s="37" t="str">
        <f aca="false">IF(D144="","",IFERROR(INDEX(rt_Billable,MATCH(D144,rt_Code,0)),"Unknown"))</f>
        <v>No</v>
      </c>
      <c r="L144" s="38" t="str">
        <f aca="false">IF(K144&lt;&gt;"Yes","",IFERROR(INDEX(cr_Rate,MATCH(J144&amp;"|"&amp;D144,cr_Key,0)),INDEX(rt_Rate,MATCH(D144,rt_Code,0))))</f>
        <v/>
      </c>
      <c r="M144" s="25" t="str">
        <f aca="false">IF(L144="","",ROUND(N(E144)*L144,2))</f>
        <v/>
      </c>
      <c r="N144" s="39" t="n">
        <f aca="false">IF(OR(A144="",B144=""),"",SUMIFS(tl_Hours,tl_StaffID,I144,tl_Date,A144))</f>
        <v>8</v>
      </c>
      <c r="O144" s="40" t="str">
        <f aca="false">IF(A144&amp;B144&amp;D144="","",IF(OR(A144="",B144="",D144="",E144=""),"Incomplete",IF(K144="Unknown","Unknown code",IF(AND(K144="Yes",C144=""),"Billable, needs client",IF(N144&gt;MaxDayHours,"Over "&amp;MaxDayHours&amp;" hours that day","")))))</f>
        <v/>
      </c>
    </row>
    <row r="145" customFormat="false" ht="15" hidden="false" customHeight="false" outlineLevel="0" collapsed="false">
      <c r="A145" s="31" t="n">
        <v>46211</v>
      </c>
      <c r="B145" s="32" t="s">
        <v>106</v>
      </c>
      <c r="C145" s="32"/>
      <c r="D145" s="33" t="s">
        <v>96</v>
      </c>
      <c r="E145" s="34" t="n">
        <v>3</v>
      </c>
      <c r="F145" s="32"/>
      <c r="G145" s="35" t="n">
        <f aca="false">IF(A145="","",A145+7-WEEKDAY(A145))</f>
        <v>46214</v>
      </c>
      <c r="H145" s="36" t="n">
        <f aca="false">IF(A145="","",DATE(YEAR(A145),MONTH(A145),1))</f>
        <v>46204</v>
      </c>
      <c r="I145" s="37" t="str">
        <f aca="false">IF(B145="","",IFERROR(INDEX(st_ID,MATCH(B145,st_Name,0)),"Unknown"))</f>
        <v>QP-07</v>
      </c>
      <c r="J145" s="37" t="str">
        <f aca="false">IF(C145="","",IFERROR(INDEX(cl_Code,MATCH(C145,cl_Name,0)),"Unknown"))</f>
        <v/>
      </c>
      <c r="K145" s="37" t="str">
        <f aca="false">IF(D145="","",IFERROR(INDEX(rt_Billable,MATCH(D145,rt_Code,0)),"Unknown"))</f>
        <v>No</v>
      </c>
      <c r="L145" s="38" t="str">
        <f aca="false">IF(K145&lt;&gt;"Yes","",IFERROR(INDEX(cr_Rate,MATCH(J145&amp;"|"&amp;D145,cr_Key,0)),INDEX(rt_Rate,MATCH(D145,rt_Code,0))))</f>
        <v/>
      </c>
      <c r="M145" s="25" t="str">
        <f aca="false">IF(L145="","",ROUND(N(E145)*L145,2))</f>
        <v/>
      </c>
      <c r="N145" s="39" t="n">
        <f aca="false">IF(OR(A145="",B145=""),"",SUMIFS(tl_Hours,tl_StaffID,I145,tl_Date,A145))</f>
        <v>8</v>
      </c>
      <c r="O145" s="40" t="str">
        <f aca="false">IF(A145&amp;B145&amp;D145="","",IF(OR(A145="",B145="",D145="",E145=""),"Incomplete",IF(K145="Unknown","Unknown code",IF(AND(K145="Yes",C145=""),"Billable, needs client",IF(N145&gt;MaxDayHours,"Over "&amp;MaxDayHours&amp;" hours that day","")))))</f>
        <v/>
      </c>
    </row>
    <row r="146" customFormat="false" ht="15" hidden="false" customHeight="false" outlineLevel="0" collapsed="false">
      <c r="A146" s="31" t="n">
        <v>46211</v>
      </c>
      <c r="B146" s="32" t="s">
        <v>107</v>
      </c>
      <c r="C146" s="32"/>
      <c r="D146" s="33" t="s">
        <v>109</v>
      </c>
      <c r="E146" s="34" t="n">
        <v>8</v>
      </c>
      <c r="F146" s="32"/>
      <c r="G146" s="35" t="n">
        <f aca="false">IF(A146="","",A146+7-WEEKDAY(A146))</f>
        <v>46214</v>
      </c>
      <c r="H146" s="36" t="n">
        <f aca="false">IF(A146="","",DATE(YEAR(A146),MONTH(A146),1))</f>
        <v>46204</v>
      </c>
      <c r="I146" s="37" t="str">
        <f aca="false">IF(B146="","",IFERROR(INDEX(st_ID,MATCH(B146,st_Name,0)),"Unknown"))</f>
        <v>QP-08</v>
      </c>
      <c r="J146" s="37" t="str">
        <f aca="false">IF(C146="","",IFERROR(INDEX(cl_Code,MATCH(C146,cl_Name,0)),"Unknown"))</f>
        <v/>
      </c>
      <c r="K146" s="37" t="str">
        <f aca="false">IF(D146="","",IFERROR(INDEX(rt_Billable,MATCH(D146,rt_Code,0)),"Unknown"))</f>
        <v>No</v>
      </c>
      <c r="L146" s="38" t="str">
        <f aca="false">IF(K146&lt;&gt;"Yes","",IFERROR(INDEX(cr_Rate,MATCH(J146&amp;"|"&amp;D146,cr_Key,0)),INDEX(rt_Rate,MATCH(D146,rt_Code,0))))</f>
        <v/>
      </c>
      <c r="M146" s="25" t="str">
        <f aca="false">IF(L146="","",ROUND(N(E146)*L146,2))</f>
        <v/>
      </c>
      <c r="N146" s="39" t="n">
        <f aca="false">IF(OR(A146="",B146=""),"",SUMIFS(tl_Hours,tl_StaffID,I146,tl_Date,A146))</f>
        <v>8</v>
      </c>
      <c r="O146" s="40" t="str">
        <f aca="false">IF(A146&amp;B146&amp;D146="","",IF(OR(A146="",B146="",D146="",E146=""),"Incomplete",IF(K146="Unknown","Unknown code",IF(AND(K146="Yes",C146=""),"Billable, needs client",IF(N146&gt;MaxDayHours,"Over "&amp;MaxDayHours&amp;" hours that day","")))))</f>
        <v/>
      </c>
    </row>
    <row r="147" customFormat="false" ht="15" hidden="false" customHeight="false" outlineLevel="0" collapsed="false">
      <c r="A147" s="31" t="n">
        <v>46212</v>
      </c>
      <c r="B147" s="32" t="s">
        <v>86</v>
      </c>
      <c r="C147" s="32" t="s">
        <v>90</v>
      </c>
      <c r="D147" s="33" t="s">
        <v>88</v>
      </c>
      <c r="E147" s="34" t="n">
        <v>3.5</v>
      </c>
      <c r="F147" s="32"/>
      <c r="G147" s="35" t="n">
        <f aca="false">IF(A147="","",A147+7-WEEKDAY(A147))</f>
        <v>46214</v>
      </c>
      <c r="H147" s="36" t="n">
        <f aca="false">IF(A147="","",DATE(YEAR(A147),MONTH(A147),1))</f>
        <v>46204</v>
      </c>
      <c r="I147" s="37" t="str">
        <f aca="false">IF(B147="","",IFERROR(INDEX(st_ID,MATCH(B147,st_Name,0)),"Unknown"))</f>
        <v>QP-01</v>
      </c>
      <c r="J147" s="37" t="str">
        <f aca="false">IF(C147="","",IFERROR(INDEX(cl_Code,MATCH(C147,cl_Name,0)),"Unknown"))</f>
        <v>BSE</v>
      </c>
      <c r="K147" s="37" t="str">
        <f aca="false">IF(D147="","",IFERROR(INDEX(rt_Billable,MATCH(D147,rt_Code,0)),"Unknown"))</f>
        <v>Yes</v>
      </c>
      <c r="L147" s="38" t="n">
        <f aca="false">IF(K147&lt;&gt;"Yes","",IFERROR(INDEX(cr_Rate,MATCH(J147&amp;"|"&amp;D147,cr_Key,0)),INDEX(rt_Rate,MATCH(D147,rt_Code,0))))</f>
        <v>104</v>
      </c>
      <c r="M147" s="25" t="n">
        <f aca="false">IF(L147="","",ROUND(N(E147)*L147,2))</f>
        <v>364</v>
      </c>
      <c r="N147" s="39" t="n">
        <f aca="false">IF(OR(A147="",B147=""),"",SUMIFS(tl_Hours,tl_StaffID,I147,tl_Date,A147))</f>
        <v>8</v>
      </c>
      <c r="O147" s="40" t="str">
        <f aca="false">IF(A147&amp;B147&amp;D147="","",IF(OR(A147="",B147="",D147="",E147=""),"Incomplete",IF(K147="Unknown","Unknown code",IF(AND(K147="Yes",C147=""),"Billable, needs client",IF(N147&gt;MaxDayHours,"Over "&amp;MaxDayHours&amp;" hours that day","")))))</f>
        <v/>
      </c>
    </row>
    <row r="148" customFormat="false" ht="15" hidden="false" customHeight="false" outlineLevel="0" collapsed="false">
      <c r="A148" s="31" t="n">
        <v>46212</v>
      </c>
      <c r="B148" s="32" t="s">
        <v>86</v>
      </c>
      <c r="C148" s="32" t="s">
        <v>90</v>
      </c>
      <c r="D148" s="33" t="s">
        <v>89</v>
      </c>
      <c r="E148" s="34" t="n">
        <v>1</v>
      </c>
      <c r="F148" s="32"/>
      <c r="G148" s="35" t="n">
        <f aca="false">IF(A148="","",A148+7-WEEKDAY(A148))</f>
        <v>46214</v>
      </c>
      <c r="H148" s="36" t="n">
        <f aca="false">IF(A148="","",DATE(YEAR(A148),MONTH(A148),1))</f>
        <v>46204</v>
      </c>
      <c r="I148" s="37" t="str">
        <f aca="false">IF(B148="","",IFERROR(INDEX(st_ID,MATCH(B148,st_Name,0)),"Unknown"))</f>
        <v>QP-01</v>
      </c>
      <c r="J148" s="37" t="str">
        <f aca="false">IF(C148="","",IFERROR(INDEX(cl_Code,MATCH(C148,cl_Name,0)),"Unknown"))</f>
        <v>BSE</v>
      </c>
      <c r="K148" s="37" t="str">
        <f aca="false">IF(D148="","",IFERROR(INDEX(rt_Billable,MATCH(D148,rt_Code,0)),"Unknown"))</f>
        <v>Yes</v>
      </c>
      <c r="L148" s="38" t="n">
        <f aca="false">IF(K148&lt;&gt;"Yes","",IFERROR(INDEX(cr_Rate,MATCH(J148&amp;"|"&amp;D148,cr_Key,0)),INDEX(rt_Rate,MATCH(D148,rt_Code,0))))</f>
        <v>95</v>
      </c>
      <c r="M148" s="25" t="n">
        <f aca="false">IF(L148="","",ROUND(N(E148)*L148,2))</f>
        <v>95</v>
      </c>
      <c r="N148" s="39" t="n">
        <f aca="false">IF(OR(A148="",B148=""),"",SUMIFS(tl_Hours,tl_StaffID,I148,tl_Date,A148))</f>
        <v>8</v>
      </c>
      <c r="O148" s="40" t="str">
        <f aca="false">IF(A148&amp;B148&amp;D148="","",IF(OR(A148="",B148="",D148="",E148=""),"Incomplete",IF(K148="Unknown","Unknown code",IF(AND(K148="Yes",C148=""),"Billable, needs client",IF(N148&gt;MaxDayHours,"Over "&amp;MaxDayHours&amp;" hours that day","")))))</f>
        <v/>
      </c>
    </row>
    <row r="149" customFormat="false" ht="15" hidden="false" customHeight="false" outlineLevel="0" collapsed="false">
      <c r="A149" s="31" t="n">
        <v>46212</v>
      </c>
      <c r="B149" s="32" t="s">
        <v>86</v>
      </c>
      <c r="C149" s="32"/>
      <c r="D149" s="33" t="s">
        <v>96</v>
      </c>
      <c r="E149" s="34" t="n">
        <v>3.5</v>
      </c>
      <c r="F149" s="32"/>
      <c r="G149" s="35" t="n">
        <f aca="false">IF(A149="","",A149+7-WEEKDAY(A149))</f>
        <v>46214</v>
      </c>
      <c r="H149" s="36" t="n">
        <f aca="false">IF(A149="","",DATE(YEAR(A149),MONTH(A149),1))</f>
        <v>46204</v>
      </c>
      <c r="I149" s="37" t="str">
        <f aca="false">IF(B149="","",IFERROR(INDEX(st_ID,MATCH(B149,st_Name,0)),"Unknown"))</f>
        <v>QP-01</v>
      </c>
      <c r="J149" s="37" t="str">
        <f aca="false">IF(C149="","",IFERROR(INDEX(cl_Code,MATCH(C149,cl_Name,0)),"Unknown"))</f>
        <v/>
      </c>
      <c r="K149" s="37" t="str">
        <f aca="false">IF(D149="","",IFERROR(INDEX(rt_Billable,MATCH(D149,rt_Code,0)),"Unknown"))</f>
        <v>No</v>
      </c>
      <c r="L149" s="38" t="str">
        <f aca="false">IF(K149&lt;&gt;"Yes","",IFERROR(INDEX(cr_Rate,MATCH(J149&amp;"|"&amp;D149,cr_Key,0)),INDEX(rt_Rate,MATCH(D149,rt_Code,0))))</f>
        <v/>
      </c>
      <c r="M149" s="25" t="str">
        <f aca="false">IF(L149="","",ROUND(N(E149)*L149,2))</f>
        <v/>
      </c>
      <c r="N149" s="39" t="n">
        <f aca="false">IF(OR(A149="",B149=""),"",SUMIFS(tl_Hours,tl_StaffID,I149,tl_Date,A149))</f>
        <v>8</v>
      </c>
      <c r="O149" s="40" t="str">
        <f aca="false">IF(A149&amp;B149&amp;D149="","",IF(OR(A149="",B149="",D149="",E149=""),"Incomplete",IF(K149="Unknown","Unknown code",IF(AND(K149="Yes",C149=""),"Billable, needs client",IF(N149&gt;MaxDayHours,"Over "&amp;MaxDayHours&amp;" hours that day","")))))</f>
        <v/>
      </c>
    </row>
    <row r="150" customFormat="false" ht="15" hidden="false" customHeight="false" outlineLevel="0" collapsed="false">
      <c r="A150" s="31" t="n">
        <v>46212</v>
      </c>
      <c r="B150" s="32" t="s">
        <v>97</v>
      </c>
      <c r="C150" s="32" t="s">
        <v>111</v>
      </c>
      <c r="D150" s="33" t="s">
        <v>104</v>
      </c>
      <c r="E150" s="34" t="n">
        <v>2.75</v>
      </c>
      <c r="F150" s="32"/>
      <c r="G150" s="35" t="n">
        <f aca="false">IF(A150="","",A150+7-WEEKDAY(A150))</f>
        <v>46214</v>
      </c>
      <c r="H150" s="36" t="n">
        <f aca="false">IF(A150="","",DATE(YEAR(A150),MONTH(A150),1))</f>
        <v>46204</v>
      </c>
      <c r="I150" s="37" t="str">
        <f aca="false">IF(B150="","",IFERROR(INDEX(st_ID,MATCH(B150,st_Name,0)),"Unknown"))</f>
        <v>QP-02</v>
      </c>
      <c r="J150" s="37" t="str">
        <f aca="false">IF(C150="","",IFERROR(INDEX(cl_Code,MATCH(C150,cl_Name,0)),"Unknown"))</f>
        <v>WMS</v>
      </c>
      <c r="K150" s="37" t="str">
        <f aca="false">IF(D150="","",IFERROR(INDEX(rt_Billable,MATCH(D150,rt_Code,0)),"Unknown"))</f>
        <v>Yes</v>
      </c>
      <c r="L150" s="38" t="n">
        <f aca="false">IF(K150&lt;&gt;"Yes","",IFERROR(INDEX(cr_Rate,MATCH(J150&amp;"|"&amp;D150,cr_Key,0)),INDEX(rt_Rate,MATCH(D150,rt_Code,0))))</f>
        <v>70</v>
      </c>
      <c r="M150" s="25" t="n">
        <f aca="false">IF(L150="","",ROUND(N(E150)*L150,2))</f>
        <v>192.5</v>
      </c>
      <c r="N150" s="39" t="n">
        <f aca="false">IF(OR(A150="",B150=""),"",SUMIFS(tl_Hours,tl_StaffID,I150,tl_Date,A150))</f>
        <v>8</v>
      </c>
      <c r="O150" s="40" t="str">
        <f aca="false">IF(A150&amp;B150&amp;D150="","",IF(OR(A150="",B150="",D150="",E150=""),"Incomplete",IF(K150="Unknown","Unknown code",IF(AND(K150="Yes",C150=""),"Billable, needs client",IF(N150&gt;MaxDayHours,"Over "&amp;MaxDayHours&amp;" hours that day","")))))</f>
        <v/>
      </c>
    </row>
    <row r="151" customFormat="false" ht="15" hidden="false" customHeight="false" outlineLevel="0" collapsed="false">
      <c r="A151" s="31" t="n">
        <v>46212</v>
      </c>
      <c r="B151" s="32" t="s">
        <v>97</v>
      </c>
      <c r="C151" s="32" t="s">
        <v>111</v>
      </c>
      <c r="D151" s="33" t="s">
        <v>88</v>
      </c>
      <c r="E151" s="34" t="n">
        <v>1.25</v>
      </c>
      <c r="F151" s="32"/>
      <c r="G151" s="35" t="n">
        <f aca="false">IF(A151="","",A151+7-WEEKDAY(A151))</f>
        <v>46214</v>
      </c>
      <c r="H151" s="36" t="n">
        <f aca="false">IF(A151="","",DATE(YEAR(A151),MONTH(A151),1))</f>
        <v>46204</v>
      </c>
      <c r="I151" s="37" t="str">
        <f aca="false">IF(B151="","",IFERROR(INDEX(st_ID,MATCH(B151,st_Name,0)),"Unknown"))</f>
        <v>QP-02</v>
      </c>
      <c r="J151" s="37" t="str">
        <f aca="false">IF(C151="","",IFERROR(INDEX(cl_Code,MATCH(C151,cl_Name,0)),"Unknown"))</f>
        <v>WMS</v>
      </c>
      <c r="K151" s="37" t="str">
        <f aca="false">IF(D151="","",IFERROR(INDEX(rt_Billable,MATCH(D151,rt_Code,0)),"Unknown"))</f>
        <v>Yes</v>
      </c>
      <c r="L151" s="38" t="n">
        <f aca="false">IF(K151&lt;&gt;"Yes","",IFERROR(INDEX(cr_Rate,MATCH(J151&amp;"|"&amp;D151,cr_Key,0)),INDEX(rt_Rate,MATCH(D151,rt_Code,0))))</f>
        <v>110</v>
      </c>
      <c r="M151" s="25" t="n">
        <f aca="false">IF(L151="","",ROUND(N(E151)*L151,2))</f>
        <v>137.5</v>
      </c>
      <c r="N151" s="39" t="n">
        <f aca="false">IF(OR(A151="",B151=""),"",SUMIFS(tl_Hours,tl_StaffID,I151,tl_Date,A151))</f>
        <v>8</v>
      </c>
      <c r="O151" s="40" t="str">
        <f aca="false">IF(A151&amp;B151&amp;D151="","",IF(OR(A151="",B151="",D151="",E151=""),"Incomplete",IF(K151="Unknown","Unknown code",IF(AND(K151="Yes",C151=""),"Billable, needs client",IF(N151&gt;MaxDayHours,"Over "&amp;MaxDayHours&amp;" hours that day","")))))</f>
        <v/>
      </c>
    </row>
    <row r="152" customFormat="false" ht="15" hidden="false" customHeight="false" outlineLevel="0" collapsed="false">
      <c r="A152" s="31" t="n">
        <v>46212</v>
      </c>
      <c r="B152" s="32" t="s">
        <v>97</v>
      </c>
      <c r="C152" s="32"/>
      <c r="D152" s="33" t="s">
        <v>96</v>
      </c>
      <c r="E152" s="34" t="n">
        <v>4</v>
      </c>
      <c r="F152" s="32"/>
      <c r="G152" s="35" t="n">
        <f aca="false">IF(A152="","",A152+7-WEEKDAY(A152))</f>
        <v>46214</v>
      </c>
      <c r="H152" s="36" t="n">
        <f aca="false">IF(A152="","",DATE(YEAR(A152),MONTH(A152),1))</f>
        <v>46204</v>
      </c>
      <c r="I152" s="37" t="str">
        <f aca="false">IF(B152="","",IFERROR(INDEX(st_ID,MATCH(B152,st_Name,0)),"Unknown"))</f>
        <v>QP-02</v>
      </c>
      <c r="J152" s="37" t="str">
        <f aca="false">IF(C152="","",IFERROR(INDEX(cl_Code,MATCH(C152,cl_Name,0)),"Unknown"))</f>
        <v/>
      </c>
      <c r="K152" s="37" t="str">
        <f aca="false">IF(D152="","",IFERROR(INDEX(rt_Billable,MATCH(D152,rt_Code,0)),"Unknown"))</f>
        <v>No</v>
      </c>
      <c r="L152" s="38" t="str">
        <f aca="false">IF(K152&lt;&gt;"Yes","",IFERROR(INDEX(cr_Rate,MATCH(J152&amp;"|"&amp;D152,cr_Key,0)),INDEX(rt_Rate,MATCH(D152,rt_Code,0))))</f>
        <v/>
      </c>
      <c r="M152" s="25" t="str">
        <f aca="false">IF(L152="","",ROUND(N(E152)*L152,2))</f>
        <v/>
      </c>
      <c r="N152" s="39" t="n">
        <f aca="false">IF(OR(A152="",B152=""),"",SUMIFS(tl_Hours,tl_StaffID,I152,tl_Date,A152))</f>
        <v>8</v>
      </c>
      <c r="O152" s="40" t="str">
        <f aca="false">IF(A152&amp;B152&amp;D152="","",IF(OR(A152="",B152="",D152="",E152=""),"Incomplete",IF(K152="Unknown","Unknown code",IF(AND(K152="Yes",C152=""),"Billable, needs client",IF(N152&gt;MaxDayHours,"Over "&amp;MaxDayHours&amp;" hours that day","")))))</f>
        <v/>
      </c>
    </row>
    <row r="153" customFormat="false" ht="15" hidden="false" customHeight="false" outlineLevel="0" collapsed="false">
      <c r="A153" s="31" t="n">
        <v>46212</v>
      </c>
      <c r="B153" s="32" t="s">
        <v>100</v>
      </c>
      <c r="C153" s="32" t="s">
        <v>90</v>
      </c>
      <c r="D153" s="33" t="s">
        <v>91</v>
      </c>
      <c r="E153" s="34" t="n">
        <v>3</v>
      </c>
      <c r="F153" s="32"/>
      <c r="G153" s="35" t="n">
        <f aca="false">IF(A153="","",A153+7-WEEKDAY(A153))</f>
        <v>46214</v>
      </c>
      <c r="H153" s="36" t="n">
        <f aca="false">IF(A153="","",DATE(YEAR(A153),MONTH(A153),1))</f>
        <v>46204</v>
      </c>
      <c r="I153" s="37" t="str">
        <f aca="false">IF(B153="","",IFERROR(INDEX(st_ID,MATCH(B153,st_Name,0)),"Unknown"))</f>
        <v>QP-03</v>
      </c>
      <c r="J153" s="37" t="str">
        <f aca="false">IF(C153="","",IFERROR(INDEX(cl_Code,MATCH(C153,cl_Name,0)),"Unknown"))</f>
        <v>BSE</v>
      </c>
      <c r="K153" s="37" t="str">
        <f aca="false">IF(D153="","",IFERROR(INDEX(rt_Billable,MATCH(D153,rt_Code,0)),"Unknown"))</f>
        <v>Yes</v>
      </c>
      <c r="L153" s="38" t="n">
        <f aca="false">IF(K153&lt;&gt;"Yes","",IFERROR(INDEX(cr_Rate,MATCH(J153&amp;"|"&amp;D153,cr_Key,0)),INDEX(rt_Rate,MATCH(D153,rt_Code,0))))</f>
        <v>100</v>
      </c>
      <c r="M153" s="25" t="n">
        <f aca="false">IF(L153="","",ROUND(N(E153)*L153,2))</f>
        <v>300</v>
      </c>
      <c r="N153" s="39" t="n">
        <f aca="false">IF(OR(A153="",B153=""),"",SUMIFS(tl_Hours,tl_StaffID,I153,tl_Date,A153))</f>
        <v>8</v>
      </c>
      <c r="O153" s="40" t="str">
        <f aca="false">IF(A153&amp;B153&amp;D153="","",IF(OR(A153="",B153="",D153="",E153=""),"Incomplete",IF(K153="Unknown","Unknown code",IF(AND(K153="Yes",C153=""),"Billable, needs client",IF(N153&gt;MaxDayHours,"Over "&amp;MaxDayHours&amp;" hours that day","")))))</f>
        <v/>
      </c>
    </row>
    <row r="154" customFormat="false" ht="15" hidden="false" customHeight="false" outlineLevel="0" collapsed="false">
      <c r="A154" s="31" t="n">
        <v>46212</v>
      </c>
      <c r="B154" s="32" t="s">
        <v>100</v>
      </c>
      <c r="C154" s="32" t="s">
        <v>90</v>
      </c>
      <c r="D154" s="33" t="s">
        <v>104</v>
      </c>
      <c r="E154" s="34" t="n">
        <v>1</v>
      </c>
      <c r="F154" s="32"/>
      <c r="G154" s="35" t="n">
        <f aca="false">IF(A154="","",A154+7-WEEKDAY(A154))</f>
        <v>46214</v>
      </c>
      <c r="H154" s="36" t="n">
        <f aca="false">IF(A154="","",DATE(YEAR(A154),MONTH(A154),1))</f>
        <v>46204</v>
      </c>
      <c r="I154" s="37" t="str">
        <f aca="false">IF(B154="","",IFERROR(INDEX(st_ID,MATCH(B154,st_Name,0)),"Unknown"))</f>
        <v>QP-03</v>
      </c>
      <c r="J154" s="37" t="str">
        <f aca="false">IF(C154="","",IFERROR(INDEX(cl_Code,MATCH(C154,cl_Name,0)),"Unknown"))</f>
        <v>BSE</v>
      </c>
      <c r="K154" s="37" t="str">
        <f aca="false">IF(D154="","",IFERROR(INDEX(rt_Billable,MATCH(D154,rt_Code,0)),"Unknown"))</f>
        <v>Yes</v>
      </c>
      <c r="L154" s="38" t="n">
        <f aca="false">IF(K154&lt;&gt;"Yes","",IFERROR(INDEX(cr_Rate,MATCH(J154&amp;"|"&amp;D154,cr_Key,0)),INDEX(rt_Rate,MATCH(D154,rt_Code,0))))</f>
        <v>70</v>
      </c>
      <c r="M154" s="25" t="n">
        <f aca="false">IF(L154="","",ROUND(N(E154)*L154,2))</f>
        <v>70</v>
      </c>
      <c r="N154" s="39" t="n">
        <f aca="false">IF(OR(A154="",B154=""),"",SUMIFS(tl_Hours,tl_StaffID,I154,tl_Date,A154))</f>
        <v>8</v>
      </c>
      <c r="O154" s="40" t="str">
        <f aca="false">IF(A154&amp;B154&amp;D154="","",IF(OR(A154="",B154="",D154="",E154=""),"Incomplete",IF(K154="Unknown","Unknown code",IF(AND(K154="Yes",C154=""),"Billable, needs client",IF(N154&gt;MaxDayHours,"Over "&amp;MaxDayHours&amp;" hours that day","")))))</f>
        <v/>
      </c>
    </row>
    <row r="155" customFormat="false" ht="15" hidden="false" customHeight="false" outlineLevel="0" collapsed="false">
      <c r="A155" s="31" t="n">
        <v>46212</v>
      </c>
      <c r="B155" s="32" t="s">
        <v>100</v>
      </c>
      <c r="C155" s="32"/>
      <c r="D155" s="33" t="s">
        <v>96</v>
      </c>
      <c r="E155" s="34" t="n">
        <v>4</v>
      </c>
      <c r="F155" s="32"/>
      <c r="G155" s="35" t="n">
        <f aca="false">IF(A155="","",A155+7-WEEKDAY(A155))</f>
        <v>46214</v>
      </c>
      <c r="H155" s="36" t="n">
        <f aca="false">IF(A155="","",DATE(YEAR(A155),MONTH(A155),1))</f>
        <v>46204</v>
      </c>
      <c r="I155" s="37" t="str">
        <f aca="false">IF(B155="","",IFERROR(INDEX(st_ID,MATCH(B155,st_Name,0)),"Unknown"))</f>
        <v>QP-03</v>
      </c>
      <c r="J155" s="37" t="str">
        <f aca="false">IF(C155="","",IFERROR(INDEX(cl_Code,MATCH(C155,cl_Name,0)),"Unknown"))</f>
        <v/>
      </c>
      <c r="K155" s="37" t="str">
        <f aca="false">IF(D155="","",IFERROR(INDEX(rt_Billable,MATCH(D155,rt_Code,0)),"Unknown"))</f>
        <v>No</v>
      </c>
      <c r="L155" s="38" t="str">
        <f aca="false">IF(K155&lt;&gt;"Yes","",IFERROR(INDEX(cr_Rate,MATCH(J155&amp;"|"&amp;D155,cr_Key,0)),INDEX(rt_Rate,MATCH(D155,rt_Code,0))))</f>
        <v/>
      </c>
      <c r="M155" s="25" t="str">
        <f aca="false">IF(L155="","",ROUND(N(E155)*L155,2))</f>
        <v/>
      </c>
      <c r="N155" s="39" t="n">
        <f aca="false">IF(OR(A155="",B155=""),"",SUMIFS(tl_Hours,tl_StaffID,I155,tl_Date,A155))</f>
        <v>8</v>
      </c>
      <c r="O155" s="40" t="str">
        <f aca="false">IF(A155&amp;B155&amp;D155="","",IF(OR(A155="",B155="",D155="",E155=""),"Incomplete",IF(K155="Unknown","Unknown code",IF(AND(K155="Yes",C155=""),"Billable, needs client",IF(N155&gt;MaxDayHours,"Over "&amp;MaxDayHours&amp;" hours that day","")))))</f>
        <v/>
      </c>
    </row>
    <row r="156" customFormat="false" ht="15" hidden="false" customHeight="false" outlineLevel="0" collapsed="false">
      <c r="A156" s="31" t="n">
        <v>46212</v>
      </c>
      <c r="B156" s="32" t="s">
        <v>101</v>
      </c>
      <c r="C156" s="32" t="s">
        <v>102</v>
      </c>
      <c r="D156" s="33" t="s">
        <v>104</v>
      </c>
      <c r="E156" s="34" t="n">
        <v>2.75</v>
      </c>
      <c r="F156" s="32"/>
      <c r="G156" s="35" t="n">
        <f aca="false">IF(A156="","",A156+7-WEEKDAY(A156))</f>
        <v>46214</v>
      </c>
      <c r="H156" s="36" t="n">
        <f aca="false">IF(A156="","",DATE(YEAR(A156),MONTH(A156),1))</f>
        <v>46204</v>
      </c>
      <c r="I156" s="37" t="str">
        <f aca="false">IF(B156="","",IFERROR(INDEX(st_ID,MATCH(B156,st_Name,0)),"Unknown"))</f>
        <v>QP-04</v>
      </c>
      <c r="J156" s="37" t="str">
        <f aca="false">IF(C156="","",IFERROR(INDEX(cl_Code,MATCH(C156,cl_Name,0)),"Unknown"))</f>
        <v>CLH</v>
      </c>
      <c r="K156" s="37" t="str">
        <f aca="false">IF(D156="","",IFERROR(INDEX(rt_Billable,MATCH(D156,rt_Code,0)),"Unknown"))</f>
        <v>Yes</v>
      </c>
      <c r="L156" s="38" t="n">
        <f aca="false">IF(K156&lt;&gt;"Yes","",IFERROR(INDEX(cr_Rate,MATCH(J156&amp;"|"&amp;D156,cr_Key,0)),INDEX(rt_Rate,MATCH(D156,rt_Code,0))))</f>
        <v>65</v>
      </c>
      <c r="M156" s="25" t="n">
        <f aca="false">IF(L156="","",ROUND(N(E156)*L156,2))</f>
        <v>178.75</v>
      </c>
      <c r="N156" s="39" t="n">
        <f aca="false">IF(OR(A156="",B156=""),"",SUMIFS(tl_Hours,tl_StaffID,I156,tl_Date,A156))</f>
        <v>8</v>
      </c>
      <c r="O156" s="40" t="str">
        <f aca="false">IF(A156&amp;B156&amp;D156="","",IF(OR(A156="",B156="",D156="",E156=""),"Incomplete",IF(K156="Unknown","Unknown code",IF(AND(K156="Yes",C156=""),"Billable, needs client",IF(N156&gt;MaxDayHours,"Over "&amp;MaxDayHours&amp;" hours that day","")))))</f>
        <v/>
      </c>
    </row>
    <row r="157" customFormat="false" ht="15" hidden="false" customHeight="false" outlineLevel="0" collapsed="false">
      <c r="A157" s="31" t="n">
        <v>46212</v>
      </c>
      <c r="B157" s="32" t="s">
        <v>101</v>
      </c>
      <c r="C157" s="32" t="s">
        <v>102</v>
      </c>
      <c r="D157" s="33" t="s">
        <v>89</v>
      </c>
      <c r="E157" s="34" t="n">
        <v>2</v>
      </c>
      <c r="F157" s="32"/>
      <c r="G157" s="35" t="n">
        <f aca="false">IF(A157="","",A157+7-WEEKDAY(A157))</f>
        <v>46214</v>
      </c>
      <c r="H157" s="36" t="n">
        <f aca="false">IF(A157="","",DATE(YEAR(A157),MONTH(A157),1))</f>
        <v>46204</v>
      </c>
      <c r="I157" s="37" t="str">
        <f aca="false">IF(B157="","",IFERROR(INDEX(st_ID,MATCH(B157,st_Name,0)),"Unknown"))</f>
        <v>QP-04</v>
      </c>
      <c r="J157" s="37" t="str">
        <f aca="false">IF(C157="","",IFERROR(INDEX(cl_Code,MATCH(C157,cl_Name,0)),"Unknown"))</f>
        <v>CLH</v>
      </c>
      <c r="K157" s="37" t="str">
        <f aca="false">IF(D157="","",IFERROR(INDEX(rt_Billable,MATCH(D157,rt_Code,0)),"Unknown"))</f>
        <v>Yes</v>
      </c>
      <c r="L157" s="38" t="n">
        <f aca="false">IF(K157&lt;&gt;"Yes","",IFERROR(INDEX(cr_Rate,MATCH(J157&amp;"|"&amp;D157,cr_Key,0)),INDEX(rt_Rate,MATCH(D157,rt_Code,0))))</f>
        <v>95</v>
      </c>
      <c r="M157" s="25" t="n">
        <f aca="false">IF(L157="","",ROUND(N(E157)*L157,2))</f>
        <v>190</v>
      </c>
      <c r="N157" s="39" t="n">
        <f aca="false">IF(OR(A157="",B157=""),"",SUMIFS(tl_Hours,tl_StaffID,I157,tl_Date,A157))</f>
        <v>8</v>
      </c>
      <c r="O157" s="40" t="str">
        <f aca="false">IF(A157&amp;B157&amp;D157="","",IF(OR(A157="",B157="",D157="",E157=""),"Incomplete",IF(K157="Unknown","Unknown code",IF(AND(K157="Yes",C157=""),"Billable, needs client",IF(N157&gt;MaxDayHours,"Over "&amp;MaxDayHours&amp;" hours that day","")))))</f>
        <v/>
      </c>
    </row>
    <row r="158" customFormat="false" ht="15" hidden="false" customHeight="false" outlineLevel="0" collapsed="false">
      <c r="A158" s="31" t="n">
        <v>46212</v>
      </c>
      <c r="B158" s="32" t="s">
        <v>101</v>
      </c>
      <c r="C158" s="32"/>
      <c r="D158" s="33" t="s">
        <v>96</v>
      </c>
      <c r="E158" s="34" t="n">
        <v>3.25</v>
      </c>
      <c r="F158" s="32"/>
      <c r="G158" s="35" t="n">
        <f aca="false">IF(A158="","",A158+7-WEEKDAY(A158))</f>
        <v>46214</v>
      </c>
      <c r="H158" s="36" t="n">
        <f aca="false">IF(A158="","",DATE(YEAR(A158),MONTH(A158),1))</f>
        <v>46204</v>
      </c>
      <c r="I158" s="37" t="str">
        <f aca="false">IF(B158="","",IFERROR(INDEX(st_ID,MATCH(B158,st_Name,0)),"Unknown"))</f>
        <v>QP-04</v>
      </c>
      <c r="J158" s="37" t="str">
        <f aca="false">IF(C158="","",IFERROR(INDEX(cl_Code,MATCH(C158,cl_Name,0)),"Unknown"))</f>
        <v/>
      </c>
      <c r="K158" s="37" t="str">
        <f aca="false">IF(D158="","",IFERROR(INDEX(rt_Billable,MATCH(D158,rt_Code,0)),"Unknown"))</f>
        <v>No</v>
      </c>
      <c r="L158" s="38" t="str">
        <f aca="false">IF(K158&lt;&gt;"Yes","",IFERROR(INDEX(cr_Rate,MATCH(J158&amp;"|"&amp;D158,cr_Key,0)),INDEX(rt_Rate,MATCH(D158,rt_Code,0))))</f>
        <v/>
      </c>
      <c r="M158" s="25" t="str">
        <f aca="false">IF(L158="","",ROUND(N(E158)*L158,2))</f>
        <v/>
      </c>
      <c r="N158" s="39" t="n">
        <f aca="false">IF(OR(A158="",B158=""),"",SUMIFS(tl_Hours,tl_StaffID,I158,tl_Date,A158))</f>
        <v>8</v>
      </c>
      <c r="O158" s="40" t="str">
        <f aca="false">IF(A158&amp;B158&amp;D158="","",IF(OR(A158="",B158="",D158="",E158=""),"Incomplete",IF(K158="Unknown","Unknown code",IF(AND(K158="Yes",C158=""),"Billable, needs client",IF(N158&gt;MaxDayHours,"Over "&amp;MaxDayHours&amp;" hours that day","")))))</f>
        <v/>
      </c>
    </row>
    <row r="159" customFormat="false" ht="15" hidden="false" customHeight="false" outlineLevel="0" collapsed="false">
      <c r="A159" s="31" t="n">
        <v>46212</v>
      </c>
      <c r="B159" s="32" t="s">
        <v>103</v>
      </c>
      <c r="C159" s="32"/>
      <c r="D159" s="33" t="s">
        <v>109</v>
      </c>
      <c r="E159" s="34" t="n">
        <v>8</v>
      </c>
      <c r="F159" s="32"/>
      <c r="G159" s="35" t="n">
        <f aca="false">IF(A159="","",A159+7-WEEKDAY(A159))</f>
        <v>46214</v>
      </c>
      <c r="H159" s="36" t="n">
        <f aca="false">IF(A159="","",DATE(YEAR(A159),MONTH(A159),1))</f>
        <v>46204</v>
      </c>
      <c r="I159" s="37" t="str">
        <f aca="false">IF(B159="","",IFERROR(INDEX(st_ID,MATCH(B159,st_Name,0)),"Unknown"))</f>
        <v>QP-05</v>
      </c>
      <c r="J159" s="37" t="str">
        <f aca="false">IF(C159="","",IFERROR(INDEX(cl_Code,MATCH(C159,cl_Name,0)),"Unknown"))</f>
        <v/>
      </c>
      <c r="K159" s="37" t="str">
        <f aca="false">IF(D159="","",IFERROR(INDEX(rt_Billable,MATCH(D159,rt_Code,0)),"Unknown"))</f>
        <v>No</v>
      </c>
      <c r="L159" s="38" t="str">
        <f aca="false">IF(K159&lt;&gt;"Yes","",IFERROR(INDEX(cr_Rate,MATCH(J159&amp;"|"&amp;D159,cr_Key,0)),INDEX(rt_Rate,MATCH(D159,rt_Code,0))))</f>
        <v/>
      </c>
      <c r="M159" s="25" t="str">
        <f aca="false">IF(L159="","",ROUND(N(E159)*L159,2))</f>
        <v/>
      </c>
      <c r="N159" s="39" t="n">
        <f aca="false">IF(OR(A159="",B159=""),"",SUMIFS(tl_Hours,tl_StaffID,I159,tl_Date,A159))</f>
        <v>8</v>
      </c>
      <c r="O159" s="40" t="str">
        <f aca="false">IF(A159&amp;B159&amp;D159="","",IF(OR(A159="",B159="",D159="",E159=""),"Incomplete",IF(K159="Unknown","Unknown code",IF(AND(K159="Yes",C159=""),"Billable, needs client",IF(N159&gt;MaxDayHours,"Over "&amp;MaxDayHours&amp;" hours that day","")))))</f>
        <v/>
      </c>
    </row>
    <row r="160" customFormat="false" ht="15" hidden="false" customHeight="false" outlineLevel="0" collapsed="false">
      <c r="A160" s="31" t="n">
        <v>46212</v>
      </c>
      <c r="B160" s="32" t="s">
        <v>105</v>
      </c>
      <c r="C160" s="32" t="s">
        <v>90</v>
      </c>
      <c r="D160" s="33" t="s">
        <v>88</v>
      </c>
      <c r="E160" s="34" t="n">
        <v>2.5</v>
      </c>
      <c r="F160" s="32"/>
      <c r="G160" s="35" t="n">
        <f aca="false">IF(A160="","",A160+7-WEEKDAY(A160))</f>
        <v>46214</v>
      </c>
      <c r="H160" s="36" t="n">
        <f aca="false">IF(A160="","",DATE(YEAR(A160),MONTH(A160),1))</f>
        <v>46204</v>
      </c>
      <c r="I160" s="37" t="str">
        <f aca="false">IF(B160="","",IFERROR(INDEX(st_ID,MATCH(B160,st_Name,0)),"Unknown"))</f>
        <v>QP-06</v>
      </c>
      <c r="J160" s="37" t="str">
        <f aca="false">IF(C160="","",IFERROR(INDEX(cl_Code,MATCH(C160,cl_Name,0)),"Unknown"))</f>
        <v>BSE</v>
      </c>
      <c r="K160" s="37" t="str">
        <f aca="false">IF(D160="","",IFERROR(INDEX(rt_Billable,MATCH(D160,rt_Code,0)),"Unknown"))</f>
        <v>Yes</v>
      </c>
      <c r="L160" s="38" t="n">
        <f aca="false">IF(K160&lt;&gt;"Yes","",IFERROR(INDEX(cr_Rate,MATCH(J160&amp;"|"&amp;D160,cr_Key,0)),INDEX(rt_Rate,MATCH(D160,rt_Code,0))))</f>
        <v>104</v>
      </c>
      <c r="M160" s="25" t="n">
        <f aca="false">IF(L160="","",ROUND(N(E160)*L160,2))</f>
        <v>260</v>
      </c>
      <c r="N160" s="39" t="n">
        <f aca="false">IF(OR(A160="",B160=""),"",SUMIFS(tl_Hours,tl_StaffID,I160,tl_Date,A160))</f>
        <v>8</v>
      </c>
      <c r="O160" s="40" t="str">
        <f aca="false">IF(A160&amp;B160&amp;D160="","",IF(OR(A160="",B160="",D160="",E160=""),"Incomplete",IF(K160="Unknown","Unknown code",IF(AND(K160="Yes",C160=""),"Billable, needs client",IF(N160&gt;MaxDayHours,"Over "&amp;MaxDayHours&amp;" hours that day","")))))</f>
        <v/>
      </c>
    </row>
    <row r="161" customFormat="false" ht="15" hidden="false" customHeight="false" outlineLevel="0" collapsed="false">
      <c r="A161" s="31" t="n">
        <v>46212</v>
      </c>
      <c r="B161" s="32" t="s">
        <v>105</v>
      </c>
      <c r="C161" s="32" t="s">
        <v>90</v>
      </c>
      <c r="D161" s="33" t="s">
        <v>89</v>
      </c>
      <c r="E161" s="34" t="n">
        <v>1.5</v>
      </c>
      <c r="F161" s="32"/>
      <c r="G161" s="35" t="n">
        <f aca="false">IF(A161="","",A161+7-WEEKDAY(A161))</f>
        <v>46214</v>
      </c>
      <c r="H161" s="36" t="n">
        <f aca="false">IF(A161="","",DATE(YEAR(A161),MONTH(A161),1))</f>
        <v>46204</v>
      </c>
      <c r="I161" s="37" t="str">
        <f aca="false">IF(B161="","",IFERROR(INDEX(st_ID,MATCH(B161,st_Name,0)),"Unknown"))</f>
        <v>QP-06</v>
      </c>
      <c r="J161" s="37" t="str">
        <f aca="false">IF(C161="","",IFERROR(INDEX(cl_Code,MATCH(C161,cl_Name,0)),"Unknown"))</f>
        <v>BSE</v>
      </c>
      <c r="K161" s="37" t="str">
        <f aca="false">IF(D161="","",IFERROR(INDEX(rt_Billable,MATCH(D161,rt_Code,0)),"Unknown"))</f>
        <v>Yes</v>
      </c>
      <c r="L161" s="38" t="n">
        <f aca="false">IF(K161&lt;&gt;"Yes","",IFERROR(INDEX(cr_Rate,MATCH(J161&amp;"|"&amp;D161,cr_Key,0)),INDEX(rt_Rate,MATCH(D161,rt_Code,0))))</f>
        <v>95</v>
      </c>
      <c r="M161" s="25" t="n">
        <f aca="false">IF(L161="","",ROUND(N(E161)*L161,2))</f>
        <v>142.5</v>
      </c>
      <c r="N161" s="39" t="n">
        <f aca="false">IF(OR(A161="",B161=""),"",SUMIFS(tl_Hours,tl_StaffID,I161,tl_Date,A161))</f>
        <v>8</v>
      </c>
      <c r="O161" s="40" t="str">
        <f aca="false">IF(A161&amp;B161&amp;D161="","",IF(OR(A161="",B161="",D161="",E161=""),"Incomplete",IF(K161="Unknown","Unknown code",IF(AND(K161="Yes",C161=""),"Billable, needs client",IF(N161&gt;MaxDayHours,"Over "&amp;MaxDayHours&amp;" hours that day","")))))</f>
        <v/>
      </c>
    </row>
    <row r="162" customFormat="false" ht="15" hidden="false" customHeight="false" outlineLevel="0" collapsed="false">
      <c r="A162" s="31" t="n">
        <v>46212</v>
      </c>
      <c r="B162" s="32" t="s">
        <v>105</v>
      </c>
      <c r="C162" s="32"/>
      <c r="D162" s="33" t="s">
        <v>96</v>
      </c>
      <c r="E162" s="34" t="n">
        <v>4</v>
      </c>
      <c r="F162" s="32"/>
      <c r="G162" s="35" t="n">
        <f aca="false">IF(A162="","",A162+7-WEEKDAY(A162))</f>
        <v>46214</v>
      </c>
      <c r="H162" s="36" t="n">
        <f aca="false">IF(A162="","",DATE(YEAR(A162),MONTH(A162),1))</f>
        <v>46204</v>
      </c>
      <c r="I162" s="37" t="str">
        <f aca="false">IF(B162="","",IFERROR(INDEX(st_ID,MATCH(B162,st_Name,0)),"Unknown"))</f>
        <v>QP-06</v>
      </c>
      <c r="J162" s="37" t="str">
        <f aca="false">IF(C162="","",IFERROR(INDEX(cl_Code,MATCH(C162,cl_Name,0)),"Unknown"))</f>
        <v/>
      </c>
      <c r="K162" s="37" t="str">
        <f aca="false">IF(D162="","",IFERROR(INDEX(rt_Billable,MATCH(D162,rt_Code,0)),"Unknown"))</f>
        <v>No</v>
      </c>
      <c r="L162" s="38" t="str">
        <f aca="false">IF(K162&lt;&gt;"Yes","",IFERROR(INDEX(cr_Rate,MATCH(J162&amp;"|"&amp;D162,cr_Key,0)),INDEX(rt_Rate,MATCH(D162,rt_Code,0))))</f>
        <v/>
      </c>
      <c r="M162" s="25" t="str">
        <f aca="false">IF(L162="","",ROUND(N(E162)*L162,2))</f>
        <v/>
      </c>
      <c r="N162" s="39" t="n">
        <f aca="false">IF(OR(A162="",B162=""),"",SUMIFS(tl_Hours,tl_StaffID,I162,tl_Date,A162))</f>
        <v>8</v>
      </c>
      <c r="O162" s="40" t="str">
        <f aca="false">IF(A162&amp;B162&amp;D162="","",IF(OR(A162="",B162="",D162="",E162=""),"Incomplete",IF(K162="Unknown","Unknown code",IF(AND(K162="Yes",C162=""),"Billable, needs client",IF(N162&gt;MaxDayHours,"Over "&amp;MaxDayHours&amp;" hours that day","")))))</f>
        <v/>
      </c>
    </row>
    <row r="163" customFormat="false" ht="15" hidden="false" customHeight="false" outlineLevel="0" collapsed="false">
      <c r="A163" s="31" t="n">
        <v>46212</v>
      </c>
      <c r="B163" s="32" t="s">
        <v>106</v>
      </c>
      <c r="C163" s="32" t="s">
        <v>87</v>
      </c>
      <c r="D163" s="33" t="s">
        <v>104</v>
      </c>
      <c r="E163" s="34" t="n">
        <v>1.25</v>
      </c>
      <c r="F163" s="32"/>
      <c r="G163" s="35" t="n">
        <f aca="false">IF(A163="","",A163+7-WEEKDAY(A163))</f>
        <v>46214</v>
      </c>
      <c r="H163" s="36" t="n">
        <f aca="false">IF(A163="","",DATE(YEAR(A163),MONTH(A163),1))</f>
        <v>46204</v>
      </c>
      <c r="I163" s="37" t="str">
        <f aca="false">IF(B163="","",IFERROR(INDEX(st_ID,MATCH(B163,st_Name,0)),"Unknown"))</f>
        <v>QP-07</v>
      </c>
      <c r="J163" s="37" t="str">
        <f aca="false">IF(C163="","",IFERROR(INDEX(cl_Code,MATCH(C163,cl_Name,0)),"Unknown"))</f>
        <v>HCS</v>
      </c>
      <c r="K163" s="37" t="str">
        <f aca="false">IF(D163="","",IFERROR(INDEX(rt_Billable,MATCH(D163,rt_Code,0)),"Unknown"))</f>
        <v>Yes</v>
      </c>
      <c r="L163" s="38" t="n">
        <f aca="false">IF(K163&lt;&gt;"Yes","",IFERROR(INDEX(cr_Rate,MATCH(J163&amp;"|"&amp;D163,cr_Key,0)),INDEX(rt_Rate,MATCH(D163,rt_Code,0))))</f>
        <v>62</v>
      </c>
      <c r="M163" s="25" t="n">
        <f aca="false">IF(L163="","",ROUND(N(E163)*L163,2))</f>
        <v>77.5</v>
      </c>
      <c r="N163" s="39" t="n">
        <f aca="false">IF(OR(A163="",B163=""),"",SUMIFS(tl_Hours,tl_StaffID,I163,tl_Date,A163))</f>
        <v>8</v>
      </c>
      <c r="O163" s="40" t="str">
        <f aca="false">IF(A163&amp;B163&amp;D163="","",IF(OR(A163="",B163="",D163="",E163=""),"Incomplete",IF(K163="Unknown","Unknown code",IF(AND(K163="Yes",C163=""),"Billable, needs client",IF(N163&gt;MaxDayHours,"Over "&amp;MaxDayHours&amp;" hours that day","")))))</f>
        <v/>
      </c>
    </row>
    <row r="164" customFormat="false" ht="15" hidden="false" customHeight="false" outlineLevel="0" collapsed="false">
      <c r="A164" s="31" t="n">
        <v>46212</v>
      </c>
      <c r="B164" s="32" t="s">
        <v>106</v>
      </c>
      <c r="C164" s="32" t="s">
        <v>87</v>
      </c>
      <c r="D164" s="33" t="s">
        <v>89</v>
      </c>
      <c r="E164" s="34" t="n">
        <v>1</v>
      </c>
      <c r="F164" s="32"/>
      <c r="G164" s="35" t="n">
        <f aca="false">IF(A164="","",A164+7-WEEKDAY(A164))</f>
        <v>46214</v>
      </c>
      <c r="H164" s="36" t="n">
        <f aca="false">IF(A164="","",DATE(YEAR(A164),MONTH(A164),1))</f>
        <v>46204</v>
      </c>
      <c r="I164" s="37" t="str">
        <f aca="false">IF(B164="","",IFERROR(INDEX(st_ID,MATCH(B164,st_Name,0)),"Unknown"))</f>
        <v>QP-07</v>
      </c>
      <c r="J164" s="37" t="str">
        <f aca="false">IF(C164="","",IFERROR(INDEX(cl_Code,MATCH(C164,cl_Name,0)),"Unknown"))</f>
        <v>HCS</v>
      </c>
      <c r="K164" s="37" t="str">
        <f aca="false">IF(D164="","",IFERROR(INDEX(rt_Billable,MATCH(D164,rt_Code,0)),"Unknown"))</f>
        <v>Yes</v>
      </c>
      <c r="L164" s="38" t="n">
        <f aca="false">IF(K164&lt;&gt;"Yes","",IFERROR(INDEX(cr_Rate,MATCH(J164&amp;"|"&amp;D164,cr_Key,0)),INDEX(rt_Rate,MATCH(D164,rt_Code,0))))</f>
        <v>88</v>
      </c>
      <c r="M164" s="25" t="n">
        <f aca="false">IF(L164="","",ROUND(N(E164)*L164,2))</f>
        <v>88</v>
      </c>
      <c r="N164" s="39" t="n">
        <f aca="false">IF(OR(A164="",B164=""),"",SUMIFS(tl_Hours,tl_StaffID,I164,tl_Date,A164))</f>
        <v>8</v>
      </c>
      <c r="O164" s="40" t="str">
        <f aca="false">IF(A164&amp;B164&amp;D164="","",IF(OR(A164="",B164="",D164="",E164=""),"Incomplete",IF(K164="Unknown","Unknown code",IF(AND(K164="Yes",C164=""),"Billable, needs client",IF(N164&gt;MaxDayHours,"Over "&amp;MaxDayHours&amp;" hours that day","")))))</f>
        <v/>
      </c>
    </row>
    <row r="165" customFormat="false" ht="15" hidden="false" customHeight="false" outlineLevel="0" collapsed="false">
      <c r="A165" s="31" t="n">
        <v>46212</v>
      </c>
      <c r="B165" s="32" t="s">
        <v>106</v>
      </c>
      <c r="C165" s="32" t="s">
        <v>102</v>
      </c>
      <c r="D165" s="33" t="s">
        <v>104</v>
      </c>
      <c r="E165" s="34" t="n">
        <v>2.25</v>
      </c>
      <c r="F165" s="32"/>
      <c r="G165" s="35" t="n">
        <f aca="false">IF(A165="","",A165+7-WEEKDAY(A165))</f>
        <v>46214</v>
      </c>
      <c r="H165" s="36" t="n">
        <f aca="false">IF(A165="","",DATE(YEAR(A165),MONTH(A165),1))</f>
        <v>46204</v>
      </c>
      <c r="I165" s="37" t="str">
        <f aca="false">IF(B165="","",IFERROR(INDEX(st_ID,MATCH(B165,st_Name,0)),"Unknown"))</f>
        <v>QP-07</v>
      </c>
      <c r="J165" s="37" t="str">
        <f aca="false">IF(C165="","",IFERROR(INDEX(cl_Code,MATCH(C165,cl_Name,0)),"Unknown"))</f>
        <v>CLH</v>
      </c>
      <c r="K165" s="37" t="str">
        <f aca="false">IF(D165="","",IFERROR(INDEX(rt_Billable,MATCH(D165,rt_Code,0)),"Unknown"))</f>
        <v>Yes</v>
      </c>
      <c r="L165" s="38" t="n">
        <f aca="false">IF(K165&lt;&gt;"Yes","",IFERROR(INDEX(cr_Rate,MATCH(J165&amp;"|"&amp;D165,cr_Key,0)),INDEX(rt_Rate,MATCH(D165,rt_Code,0))))</f>
        <v>65</v>
      </c>
      <c r="M165" s="25" t="n">
        <f aca="false">IF(L165="","",ROUND(N(E165)*L165,2))</f>
        <v>146.25</v>
      </c>
      <c r="N165" s="39" t="n">
        <f aca="false">IF(OR(A165="",B165=""),"",SUMIFS(tl_Hours,tl_StaffID,I165,tl_Date,A165))</f>
        <v>8</v>
      </c>
      <c r="O165" s="40" t="str">
        <f aca="false">IF(A165&amp;B165&amp;D165="","",IF(OR(A165="",B165="",D165="",E165=""),"Incomplete",IF(K165="Unknown","Unknown code",IF(AND(K165="Yes",C165=""),"Billable, needs client",IF(N165&gt;MaxDayHours,"Over "&amp;MaxDayHours&amp;" hours that day","")))))</f>
        <v/>
      </c>
    </row>
    <row r="166" customFormat="false" ht="15" hidden="false" customHeight="false" outlineLevel="0" collapsed="false">
      <c r="A166" s="31" t="n">
        <v>46212</v>
      </c>
      <c r="B166" s="32" t="s">
        <v>106</v>
      </c>
      <c r="C166" s="32"/>
      <c r="D166" s="33" t="s">
        <v>93</v>
      </c>
      <c r="E166" s="34" t="n">
        <v>0.5</v>
      </c>
      <c r="F166" s="32"/>
      <c r="G166" s="35" t="n">
        <f aca="false">IF(A166="","",A166+7-WEEKDAY(A166))</f>
        <v>46214</v>
      </c>
      <c r="H166" s="36" t="n">
        <f aca="false">IF(A166="","",DATE(YEAR(A166),MONTH(A166),1))</f>
        <v>46204</v>
      </c>
      <c r="I166" s="37" t="str">
        <f aca="false">IF(B166="","",IFERROR(INDEX(st_ID,MATCH(B166,st_Name,0)),"Unknown"))</f>
        <v>QP-07</v>
      </c>
      <c r="J166" s="37" t="str">
        <f aca="false">IF(C166="","",IFERROR(INDEX(cl_Code,MATCH(C166,cl_Name,0)),"Unknown"))</f>
        <v/>
      </c>
      <c r="K166" s="37" t="str">
        <f aca="false">IF(D166="","",IFERROR(INDEX(rt_Billable,MATCH(D166,rt_Code,0)),"Unknown"))</f>
        <v>No</v>
      </c>
      <c r="L166" s="38" t="str">
        <f aca="false">IF(K166&lt;&gt;"Yes","",IFERROR(INDEX(cr_Rate,MATCH(J166&amp;"|"&amp;D166,cr_Key,0)),INDEX(rt_Rate,MATCH(D166,rt_Code,0))))</f>
        <v/>
      </c>
      <c r="M166" s="25" t="str">
        <f aca="false">IF(L166="","",ROUND(N(E166)*L166,2))</f>
        <v/>
      </c>
      <c r="N166" s="39" t="n">
        <f aca="false">IF(OR(A166="",B166=""),"",SUMIFS(tl_Hours,tl_StaffID,I166,tl_Date,A166))</f>
        <v>8</v>
      </c>
      <c r="O166" s="40" t="str">
        <f aca="false">IF(A166&amp;B166&amp;D166="","",IF(OR(A166="",B166="",D166="",E166=""),"Incomplete",IF(K166="Unknown","Unknown code",IF(AND(K166="Yes",C166=""),"Billable, needs client",IF(N166&gt;MaxDayHours,"Over "&amp;MaxDayHours&amp;" hours that day","")))))</f>
        <v/>
      </c>
    </row>
    <row r="167" customFormat="false" ht="15" hidden="false" customHeight="false" outlineLevel="0" collapsed="false">
      <c r="A167" s="31" t="n">
        <v>46212</v>
      </c>
      <c r="B167" s="32" t="s">
        <v>106</v>
      </c>
      <c r="C167" s="32"/>
      <c r="D167" s="33" t="s">
        <v>96</v>
      </c>
      <c r="E167" s="34" t="n">
        <v>3</v>
      </c>
      <c r="F167" s="32"/>
      <c r="G167" s="35" t="n">
        <f aca="false">IF(A167="","",A167+7-WEEKDAY(A167))</f>
        <v>46214</v>
      </c>
      <c r="H167" s="36" t="n">
        <f aca="false">IF(A167="","",DATE(YEAR(A167),MONTH(A167),1))</f>
        <v>46204</v>
      </c>
      <c r="I167" s="37" t="str">
        <f aca="false">IF(B167="","",IFERROR(INDEX(st_ID,MATCH(B167,st_Name,0)),"Unknown"))</f>
        <v>QP-07</v>
      </c>
      <c r="J167" s="37" t="str">
        <f aca="false">IF(C167="","",IFERROR(INDEX(cl_Code,MATCH(C167,cl_Name,0)),"Unknown"))</f>
        <v/>
      </c>
      <c r="K167" s="37" t="str">
        <f aca="false">IF(D167="","",IFERROR(INDEX(rt_Billable,MATCH(D167,rt_Code,0)),"Unknown"))</f>
        <v>No</v>
      </c>
      <c r="L167" s="38" t="str">
        <f aca="false">IF(K167&lt;&gt;"Yes","",IFERROR(INDEX(cr_Rate,MATCH(J167&amp;"|"&amp;D167,cr_Key,0)),INDEX(rt_Rate,MATCH(D167,rt_Code,0))))</f>
        <v/>
      </c>
      <c r="M167" s="25" t="str">
        <f aca="false">IF(L167="","",ROUND(N(E167)*L167,2))</f>
        <v/>
      </c>
      <c r="N167" s="39" t="n">
        <f aca="false">IF(OR(A167="",B167=""),"",SUMIFS(tl_Hours,tl_StaffID,I167,tl_Date,A167))</f>
        <v>8</v>
      </c>
      <c r="O167" s="40" t="str">
        <f aca="false">IF(A167&amp;B167&amp;D167="","",IF(OR(A167="",B167="",D167="",E167=""),"Incomplete",IF(K167="Unknown","Unknown code",IF(AND(K167="Yes",C167=""),"Billable, needs client",IF(N167&gt;MaxDayHours,"Over "&amp;MaxDayHours&amp;" hours that day","")))))</f>
        <v/>
      </c>
    </row>
    <row r="168" customFormat="false" ht="15" hidden="false" customHeight="false" outlineLevel="0" collapsed="false">
      <c r="A168" s="31" t="n">
        <v>46212</v>
      </c>
      <c r="B168" s="32" t="s">
        <v>107</v>
      </c>
      <c r="C168" s="32"/>
      <c r="D168" s="33" t="s">
        <v>108</v>
      </c>
      <c r="E168" s="34" t="n">
        <v>6</v>
      </c>
      <c r="F168" s="32"/>
      <c r="G168" s="35" t="n">
        <f aca="false">IF(A168="","",A168+7-WEEKDAY(A168))</f>
        <v>46214</v>
      </c>
      <c r="H168" s="36" t="n">
        <f aca="false">IF(A168="","",DATE(YEAR(A168),MONTH(A168),1))</f>
        <v>46204</v>
      </c>
      <c r="I168" s="37" t="str">
        <f aca="false">IF(B168="","",IFERROR(INDEX(st_ID,MATCH(B168,st_Name,0)),"Unknown"))</f>
        <v>QP-08</v>
      </c>
      <c r="J168" s="37" t="str">
        <f aca="false">IF(C168="","",IFERROR(INDEX(cl_Code,MATCH(C168,cl_Name,0)),"Unknown"))</f>
        <v/>
      </c>
      <c r="K168" s="37" t="str">
        <f aca="false">IF(D168="","",IFERROR(INDEX(rt_Billable,MATCH(D168,rt_Code,0)),"Unknown"))</f>
        <v>No</v>
      </c>
      <c r="L168" s="38" t="str">
        <f aca="false">IF(K168&lt;&gt;"Yes","",IFERROR(INDEX(cr_Rate,MATCH(J168&amp;"|"&amp;D168,cr_Key,0)),INDEX(rt_Rate,MATCH(D168,rt_Code,0))))</f>
        <v/>
      </c>
      <c r="M168" s="25" t="str">
        <f aca="false">IF(L168="","",ROUND(N(E168)*L168,2))</f>
        <v/>
      </c>
      <c r="N168" s="39" t="n">
        <f aca="false">IF(OR(A168="",B168=""),"",SUMIFS(tl_Hours,tl_StaffID,I168,tl_Date,A168))</f>
        <v>8</v>
      </c>
      <c r="O168" s="40" t="str">
        <f aca="false">IF(A168&amp;B168&amp;D168="","",IF(OR(A168="",B168="",D168="",E168=""),"Incomplete",IF(K168="Unknown","Unknown code",IF(AND(K168="Yes",C168=""),"Billable, needs client",IF(N168&gt;MaxDayHours,"Over "&amp;MaxDayHours&amp;" hours that day","")))))</f>
        <v/>
      </c>
    </row>
    <row r="169" customFormat="false" ht="15" hidden="false" customHeight="false" outlineLevel="0" collapsed="false">
      <c r="A169" s="31" t="n">
        <v>46212</v>
      </c>
      <c r="B169" s="32" t="s">
        <v>107</v>
      </c>
      <c r="C169" s="32"/>
      <c r="D169" s="33" t="s">
        <v>98</v>
      </c>
      <c r="E169" s="34" t="n">
        <v>2</v>
      </c>
      <c r="F169" s="32"/>
      <c r="G169" s="35" t="n">
        <f aca="false">IF(A169="","",A169+7-WEEKDAY(A169))</f>
        <v>46214</v>
      </c>
      <c r="H169" s="36" t="n">
        <f aca="false">IF(A169="","",DATE(YEAR(A169),MONTH(A169),1))</f>
        <v>46204</v>
      </c>
      <c r="I169" s="37" t="str">
        <f aca="false">IF(B169="","",IFERROR(INDEX(st_ID,MATCH(B169,st_Name,0)),"Unknown"))</f>
        <v>QP-08</v>
      </c>
      <c r="J169" s="37" t="str">
        <f aca="false">IF(C169="","",IFERROR(INDEX(cl_Code,MATCH(C169,cl_Name,0)),"Unknown"))</f>
        <v/>
      </c>
      <c r="K169" s="37" t="str">
        <f aca="false">IF(D169="","",IFERROR(INDEX(rt_Billable,MATCH(D169,rt_Code,0)),"Unknown"))</f>
        <v>No</v>
      </c>
      <c r="L169" s="38" t="str">
        <f aca="false">IF(K169&lt;&gt;"Yes","",IFERROR(INDEX(cr_Rate,MATCH(J169&amp;"|"&amp;D169,cr_Key,0)),INDEX(rt_Rate,MATCH(D169,rt_Code,0))))</f>
        <v/>
      </c>
      <c r="M169" s="25" t="str">
        <f aca="false">IF(L169="","",ROUND(N(E169)*L169,2))</f>
        <v/>
      </c>
      <c r="N169" s="39" t="n">
        <f aca="false">IF(OR(A169="",B169=""),"",SUMIFS(tl_Hours,tl_StaffID,I169,tl_Date,A169))</f>
        <v>8</v>
      </c>
      <c r="O169" s="40" t="str">
        <f aca="false">IF(A169&amp;B169&amp;D169="","",IF(OR(A169="",B169="",D169="",E169=""),"Incomplete",IF(K169="Unknown","Unknown code",IF(AND(K169="Yes",C169=""),"Billable, needs client",IF(N169&gt;MaxDayHours,"Over "&amp;MaxDayHours&amp;" hours that day","")))))</f>
        <v/>
      </c>
    </row>
    <row r="170" customFormat="false" ht="15" hidden="false" customHeight="false" outlineLevel="0" collapsed="false">
      <c r="A170" s="31" t="n">
        <v>46213</v>
      </c>
      <c r="B170" s="32" t="s">
        <v>86</v>
      </c>
      <c r="C170" s="32" t="s">
        <v>87</v>
      </c>
      <c r="D170" s="33" t="s">
        <v>88</v>
      </c>
      <c r="E170" s="34" t="n">
        <v>3.25</v>
      </c>
      <c r="F170" s="32"/>
      <c r="G170" s="35" t="n">
        <f aca="false">IF(A170="","",A170+7-WEEKDAY(A170))</f>
        <v>46214</v>
      </c>
      <c r="H170" s="36" t="n">
        <f aca="false">IF(A170="","",DATE(YEAR(A170),MONTH(A170),1))</f>
        <v>46204</v>
      </c>
      <c r="I170" s="37" t="str">
        <f aca="false">IF(B170="","",IFERROR(INDEX(st_ID,MATCH(B170,st_Name,0)),"Unknown"))</f>
        <v>QP-01</v>
      </c>
      <c r="J170" s="37" t="str">
        <f aca="false">IF(C170="","",IFERROR(INDEX(cl_Code,MATCH(C170,cl_Name,0)),"Unknown"))</f>
        <v>HCS</v>
      </c>
      <c r="K170" s="37" t="str">
        <f aca="false">IF(D170="","",IFERROR(INDEX(rt_Billable,MATCH(D170,rt_Code,0)),"Unknown"))</f>
        <v>Yes</v>
      </c>
      <c r="L170" s="38" t="n">
        <f aca="false">IF(K170&lt;&gt;"Yes","",IFERROR(INDEX(cr_Rate,MATCH(J170&amp;"|"&amp;D170,cr_Key,0)),INDEX(rt_Rate,MATCH(D170,rt_Code,0))))</f>
        <v>98</v>
      </c>
      <c r="M170" s="25" t="n">
        <f aca="false">IF(L170="","",ROUND(N(E170)*L170,2))</f>
        <v>318.5</v>
      </c>
      <c r="N170" s="39" t="n">
        <f aca="false">IF(OR(A170="",B170=""),"",SUMIFS(tl_Hours,tl_StaffID,I170,tl_Date,A170))</f>
        <v>8</v>
      </c>
      <c r="O170" s="40" t="str">
        <f aca="false">IF(A170&amp;B170&amp;D170="","",IF(OR(A170="",B170="",D170="",E170=""),"Incomplete",IF(K170="Unknown","Unknown code",IF(AND(K170="Yes",C170=""),"Billable, needs client",IF(N170&gt;MaxDayHours,"Over "&amp;MaxDayHours&amp;" hours that day","")))))</f>
        <v/>
      </c>
    </row>
    <row r="171" customFormat="false" ht="15" hidden="false" customHeight="false" outlineLevel="0" collapsed="false">
      <c r="A171" s="31" t="n">
        <v>46213</v>
      </c>
      <c r="B171" s="32" t="s">
        <v>86</v>
      </c>
      <c r="C171" s="32" t="s">
        <v>87</v>
      </c>
      <c r="D171" s="33" t="s">
        <v>89</v>
      </c>
      <c r="E171" s="34" t="n">
        <v>1</v>
      </c>
      <c r="F171" s="32"/>
      <c r="G171" s="35" t="n">
        <f aca="false">IF(A171="","",A171+7-WEEKDAY(A171))</f>
        <v>46214</v>
      </c>
      <c r="H171" s="36" t="n">
        <f aca="false">IF(A171="","",DATE(YEAR(A171),MONTH(A171),1))</f>
        <v>46204</v>
      </c>
      <c r="I171" s="37" t="str">
        <f aca="false">IF(B171="","",IFERROR(INDEX(st_ID,MATCH(B171,st_Name,0)),"Unknown"))</f>
        <v>QP-01</v>
      </c>
      <c r="J171" s="37" t="str">
        <f aca="false">IF(C171="","",IFERROR(INDEX(cl_Code,MATCH(C171,cl_Name,0)),"Unknown"))</f>
        <v>HCS</v>
      </c>
      <c r="K171" s="37" t="str">
        <f aca="false">IF(D171="","",IFERROR(INDEX(rt_Billable,MATCH(D171,rt_Code,0)),"Unknown"))</f>
        <v>Yes</v>
      </c>
      <c r="L171" s="38" t="n">
        <f aca="false">IF(K171&lt;&gt;"Yes","",IFERROR(INDEX(cr_Rate,MATCH(J171&amp;"|"&amp;D171,cr_Key,0)),INDEX(rt_Rate,MATCH(D171,rt_Code,0))))</f>
        <v>88</v>
      </c>
      <c r="M171" s="25" t="n">
        <f aca="false">IF(L171="","",ROUND(N(E171)*L171,2))</f>
        <v>88</v>
      </c>
      <c r="N171" s="39" t="n">
        <f aca="false">IF(OR(A171="",B171=""),"",SUMIFS(tl_Hours,tl_StaffID,I171,tl_Date,A171))</f>
        <v>8</v>
      </c>
      <c r="O171" s="40" t="str">
        <f aca="false">IF(A171&amp;B171&amp;D171="","",IF(OR(A171="",B171="",D171="",E171=""),"Incomplete",IF(K171="Unknown","Unknown code",IF(AND(K171="Yes",C171=""),"Billable, needs client",IF(N171&gt;MaxDayHours,"Over "&amp;MaxDayHours&amp;" hours that day","")))))</f>
        <v/>
      </c>
    </row>
    <row r="172" customFormat="false" ht="15" hidden="false" customHeight="false" outlineLevel="0" collapsed="false">
      <c r="A172" s="31" t="n">
        <v>46213</v>
      </c>
      <c r="B172" s="32" t="s">
        <v>86</v>
      </c>
      <c r="C172" s="32"/>
      <c r="D172" s="33" t="s">
        <v>96</v>
      </c>
      <c r="E172" s="34" t="n">
        <v>3.75</v>
      </c>
      <c r="F172" s="32"/>
      <c r="G172" s="35" t="n">
        <f aca="false">IF(A172="","",A172+7-WEEKDAY(A172))</f>
        <v>46214</v>
      </c>
      <c r="H172" s="36" t="n">
        <f aca="false">IF(A172="","",DATE(YEAR(A172),MONTH(A172),1))</f>
        <v>46204</v>
      </c>
      <c r="I172" s="37" t="str">
        <f aca="false">IF(B172="","",IFERROR(INDEX(st_ID,MATCH(B172,st_Name,0)),"Unknown"))</f>
        <v>QP-01</v>
      </c>
      <c r="J172" s="37" t="str">
        <f aca="false">IF(C172="","",IFERROR(INDEX(cl_Code,MATCH(C172,cl_Name,0)),"Unknown"))</f>
        <v/>
      </c>
      <c r="K172" s="37" t="str">
        <f aca="false">IF(D172="","",IFERROR(INDEX(rt_Billable,MATCH(D172,rt_Code,0)),"Unknown"))</f>
        <v>No</v>
      </c>
      <c r="L172" s="38" t="str">
        <f aca="false">IF(K172&lt;&gt;"Yes","",IFERROR(INDEX(cr_Rate,MATCH(J172&amp;"|"&amp;D172,cr_Key,0)),INDEX(rt_Rate,MATCH(D172,rt_Code,0))))</f>
        <v/>
      </c>
      <c r="M172" s="25" t="str">
        <f aca="false">IF(L172="","",ROUND(N(E172)*L172,2))</f>
        <v/>
      </c>
      <c r="N172" s="39" t="n">
        <f aca="false">IF(OR(A172="",B172=""),"",SUMIFS(tl_Hours,tl_StaffID,I172,tl_Date,A172))</f>
        <v>8</v>
      </c>
      <c r="O172" s="40" t="str">
        <f aca="false">IF(A172&amp;B172&amp;D172="","",IF(OR(A172="",B172="",D172="",E172=""),"Incomplete",IF(K172="Unknown","Unknown code",IF(AND(K172="Yes",C172=""),"Billable, needs client",IF(N172&gt;MaxDayHours,"Over "&amp;MaxDayHours&amp;" hours that day","")))))</f>
        <v/>
      </c>
    </row>
    <row r="173" customFormat="false" ht="15" hidden="false" customHeight="false" outlineLevel="0" collapsed="false">
      <c r="A173" s="31" t="n">
        <v>46213</v>
      </c>
      <c r="B173" s="32" t="s">
        <v>97</v>
      </c>
      <c r="C173" s="32" t="s">
        <v>90</v>
      </c>
      <c r="D173" s="33" t="s">
        <v>88</v>
      </c>
      <c r="E173" s="34" t="n">
        <v>3.25</v>
      </c>
      <c r="F173" s="32"/>
      <c r="G173" s="35" t="n">
        <f aca="false">IF(A173="","",A173+7-WEEKDAY(A173))</f>
        <v>46214</v>
      </c>
      <c r="H173" s="36" t="n">
        <f aca="false">IF(A173="","",DATE(YEAR(A173),MONTH(A173),1))</f>
        <v>46204</v>
      </c>
      <c r="I173" s="37" t="str">
        <f aca="false">IF(B173="","",IFERROR(INDEX(st_ID,MATCH(B173,st_Name,0)),"Unknown"))</f>
        <v>QP-02</v>
      </c>
      <c r="J173" s="37" t="str">
        <f aca="false">IF(C173="","",IFERROR(INDEX(cl_Code,MATCH(C173,cl_Name,0)),"Unknown"))</f>
        <v>BSE</v>
      </c>
      <c r="K173" s="37" t="str">
        <f aca="false">IF(D173="","",IFERROR(INDEX(rt_Billable,MATCH(D173,rt_Code,0)),"Unknown"))</f>
        <v>Yes</v>
      </c>
      <c r="L173" s="38" t="n">
        <f aca="false">IF(K173&lt;&gt;"Yes","",IFERROR(INDEX(cr_Rate,MATCH(J173&amp;"|"&amp;D173,cr_Key,0)),INDEX(rt_Rate,MATCH(D173,rt_Code,0))))</f>
        <v>104</v>
      </c>
      <c r="M173" s="25" t="n">
        <f aca="false">IF(L173="","",ROUND(N(E173)*L173,2))</f>
        <v>338</v>
      </c>
      <c r="N173" s="39" t="n">
        <f aca="false">IF(OR(A173="",B173=""),"",SUMIFS(tl_Hours,tl_StaffID,I173,tl_Date,A173))</f>
        <v>8</v>
      </c>
      <c r="O173" s="40" t="str">
        <f aca="false">IF(A173&amp;B173&amp;D173="","",IF(OR(A173="",B173="",D173="",E173=""),"Incomplete",IF(K173="Unknown","Unknown code",IF(AND(K173="Yes",C173=""),"Billable, needs client",IF(N173&gt;MaxDayHours,"Over "&amp;MaxDayHours&amp;" hours that day","")))))</f>
        <v/>
      </c>
    </row>
    <row r="174" customFormat="false" ht="15" hidden="false" customHeight="false" outlineLevel="0" collapsed="false">
      <c r="A174" s="31" t="n">
        <v>46213</v>
      </c>
      <c r="B174" s="32" t="s">
        <v>97</v>
      </c>
      <c r="C174" s="32" t="s">
        <v>90</v>
      </c>
      <c r="D174" s="33" t="s">
        <v>92</v>
      </c>
      <c r="E174" s="34" t="n">
        <v>0.75</v>
      </c>
      <c r="F174" s="32"/>
      <c r="G174" s="35" t="n">
        <f aca="false">IF(A174="","",A174+7-WEEKDAY(A174))</f>
        <v>46214</v>
      </c>
      <c r="H174" s="36" t="n">
        <f aca="false">IF(A174="","",DATE(YEAR(A174),MONTH(A174),1))</f>
        <v>46204</v>
      </c>
      <c r="I174" s="37" t="str">
        <f aca="false">IF(B174="","",IFERROR(INDEX(st_ID,MATCH(B174,st_Name,0)),"Unknown"))</f>
        <v>QP-02</v>
      </c>
      <c r="J174" s="37" t="str">
        <f aca="false">IF(C174="","",IFERROR(INDEX(cl_Code,MATCH(C174,cl_Name,0)),"Unknown"))</f>
        <v>BSE</v>
      </c>
      <c r="K174" s="37" t="str">
        <f aca="false">IF(D174="","",IFERROR(INDEX(rt_Billable,MATCH(D174,rt_Code,0)),"Unknown"))</f>
        <v>Yes</v>
      </c>
      <c r="L174" s="38" t="n">
        <f aca="false">IF(K174&lt;&gt;"Yes","",IFERROR(INDEX(cr_Rate,MATCH(J174&amp;"|"&amp;D174,cr_Key,0)),INDEX(rt_Rate,MATCH(D174,rt_Code,0))))</f>
        <v>145</v>
      </c>
      <c r="M174" s="25" t="n">
        <f aca="false">IF(L174="","",ROUND(N(E174)*L174,2))</f>
        <v>108.75</v>
      </c>
      <c r="N174" s="39" t="n">
        <f aca="false">IF(OR(A174="",B174=""),"",SUMIFS(tl_Hours,tl_StaffID,I174,tl_Date,A174))</f>
        <v>8</v>
      </c>
      <c r="O174" s="40" t="str">
        <f aca="false">IF(A174&amp;B174&amp;D174="","",IF(OR(A174="",B174="",D174="",E174=""),"Incomplete",IF(K174="Unknown","Unknown code",IF(AND(K174="Yes",C174=""),"Billable, needs client",IF(N174&gt;MaxDayHours,"Over "&amp;MaxDayHours&amp;" hours that day","")))))</f>
        <v/>
      </c>
    </row>
    <row r="175" customFormat="false" ht="15" hidden="false" customHeight="false" outlineLevel="0" collapsed="false">
      <c r="A175" s="31" t="n">
        <v>46213</v>
      </c>
      <c r="B175" s="32" t="s">
        <v>97</v>
      </c>
      <c r="C175" s="32"/>
      <c r="D175" s="33" t="s">
        <v>96</v>
      </c>
      <c r="E175" s="34" t="n">
        <v>4</v>
      </c>
      <c r="F175" s="32"/>
      <c r="G175" s="35" t="n">
        <f aca="false">IF(A175="","",A175+7-WEEKDAY(A175))</f>
        <v>46214</v>
      </c>
      <c r="H175" s="36" t="n">
        <f aca="false">IF(A175="","",DATE(YEAR(A175),MONTH(A175),1))</f>
        <v>46204</v>
      </c>
      <c r="I175" s="37" t="str">
        <f aca="false">IF(B175="","",IFERROR(INDEX(st_ID,MATCH(B175,st_Name,0)),"Unknown"))</f>
        <v>QP-02</v>
      </c>
      <c r="J175" s="37" t="str">
        <f aca="false">IF(C175="","",IFERROR(INDEX(cl_Code,MATCH(C175,cl_Name,0)),"Unknown"))</f>
        <v/>
      </c>
      <c r="K175" s="37" t="str">
        <f aca="false">IF(D175="","",IFERROR(INDEX(rt_Billable,MATCH(D175,rt_Code,0)),"Unknown"))</f>
        <v>No</v>
      </c>
      <c r="L175" s="38" t="str">
        <f aca="false">IF(K175&lt;&gt;"Yes","",IFERROR(INDEX(cr_Rate,MATCH(J175&amp;"|"&amp;D175,cr_Key,0)),INDEX(rt_Rate,MATCH(D175,rt_Code,0))))</f>
        <v/>
      </c>
      <c r="M175" s="25" t="str">
        <f aca="false">IF(L175="","",ROUND(N(E175)*L175,2))</f>
        <v/>
      </c>
      <c r="N175" s="39" t="n">
        <f aca="false">IF(OR(A175="",B175=""),"",SUMIFS(tl_Hours,tl_StaffID,I175,tl_Date,A175))</f>
        <v>8</v>
      </c>
      <c r="O175" s="40" t="str">
        <f aca="false">IF(A175&amp;B175&amp;D175="","",IF(OR(A175="",B175="",D175="",E175=""),"Incomplete",IF(K175="Unknown","Unknown code",IF(AND(K175="Yes",C175=""),"Billable, needs client",IF(N175&gt;MaxDayHours,"Over "&amp;MaxDayHours&amp;" hours that day","")))))</f>
        <v/>
      </c>
    </row>
    <row r="176" customFormat="false" ht="15" hidden="false" customHeight="false" outlineLevel="0" collapsed="false">
      <c r="A176" s="31" t="n">
        <v>46213</v>
      </c>
      <c r="B176" s="32" t="s">
        <v>101</v>
      </c>
      <c r="C176" s="32" t="s">
        <v>102</v>
      </c>
      <c r="D176" s="33" t="s">
        <v>88</v>
      </c>
      <c r="E176" s="34" t="n">
        <v>1.5</v>
      </c>
      <c r="F176" s="32"/>
      <c r="G176" s="35" t="n">
        <f aca="false">IF(A176="","",A176+7-WEEKDAY(A176))</f>
        <v>46214</v>
      </c>
      <c r="H176" s="36" t="n">
        <f aca="false">IF(A176="","",DATE(YEAR(A176),MONTH(A176),1))</f>
        <v>46204</v>
      </c>
      <c r="I176" s="37" t="str">
        <f aca="false">IF(B176="","",IFERROR(INDEX(st_ID,MATCH(B176,st_Name,0)),"Unknown"))</f>
        <v>QP-04</v>
      </c>
      <c r="J176" s="37" t="str">
        <f aca="false">IF(C176="","",IFERROR(INDEX(cl_Code,MATCH(C176,cl_Name,0)),"Unknown"))</f>
        <v>CLH</v>
      </c>
      <c r="K176" s="37" t="str">
        <f aca="false">IF(D176="","",IFERROR(INDEX(rt_Billable,MATCH(D176,rt_Code,0)),"Unknown"))</f>
        <v>Yes</v>
      </c>
      <c r="L176" s="38" t="n">
        <f aca="false">IF(K176&lt;&gt;"Yes","",IFERROR(INDEX(cr_Rate,MATCH(J176&amp;"|"&amp;D176,cr_Key,0)),INDEX(rt_Rate,MATCH(D176,rt_Code,0))))</f>
        <v>110</v>
      </c>
      <c r="M176" s="25" t="n">
        <f aca="false">IF(L176="","",ROUND(N(E176)*L176,2))</f>
        <v>165</v>
      </c>
      <c r="N176" s="39" t="n">
        <f aca="false">IF(OR(A176="",B176=""),"",SUMIFS(tl_Hours,tl_StaffID,I176,tl_Date,A176))</f>
        <v>8</v>
      </c>
      <c r="O176" s="40" t="str">
        <f aca="false">IF(A176&amp;B176&amp;D176="","",IF(OR(A176="",B176="",D176="",E176=""),"Incomplete",IF(K176="Unknown","Unknown code",IF(AND(K176="Yes",C176=""),"Billable, needs client",IF(N176&gt;MaxDayHours,"Over "&amp;MaxDayHours&amp;" hours that day","")))))</f>
        <v/>
      </c>
    </row>
    <row r="177" customFormat="false" ht="15" hidden="false" customHeight="false" outlineLevel="0" collapsed="false">
      <c r="A177" s="31" t="n">
        <v>46213</v>
      </c>
      <c r="B177" s="32" t="s">
        <v>101</v>
      </c>
      <c r="C177" s="32" t="s">
        <v>102</v>
      </c>
      <c r="D177" s="33" t="s">
        <v>92</v>
      </c>
      <c r="E177" s="34" t="n">
        <v>0.75</v>
      </c>
      <c r="F177" s="32"/>
      <c r="G177" s="35" t="n">
        <f aca="false">IF(A177="","",A177+7-WEEKDAY(A177))</f>
        <v>46214</v>
      </c>
      <c r="H177" s="36" t="n">
        <f aca="false">IF(A177="","",DATE(YEAR(A177),MONTH(A177),1))</f>
        <v>46204</v>
      </c>
      <c r="I177" s="37" t="str">
        <f aca="false">IF(B177="","",IFERROR(INDEX(st_ID,MATCH(B177,st_Name,0)),"Unknown"))</f>
        <v>QP-04</v>
      </c>
      <c r="J177" s="37" t="str">
        <f aca="false">IF(C177="","",IFERROR(INDEX(cl_Code,MATCH(C177,cl_Name,0)),"Unknown"))</f>
        <v>CLH</v>
      </c>
      <c r="K177" s="37" t="str">
        <f aca="false">IF(D177="","",IFERROR(INDEX(rt_Billable,MATCH(D177,rt_Code,0)),"Unknown"))</f>
        <v>Yes</v>
      </c>
      <c r="L177" s="38" t="n">
        <f aca="false">IF(K177&lt;&gt;"Yes","",IFERROR(INDEX(cr_Rate,MATCH(J177&amp;"|"&amp;D177,cr_Key,0)),INDEX(rt_Rate,MATCH(D177,rt_Code,0))))</f>
        <v>150</v>
      </c>
      <c r="M177" s="25" t="n">
        <f aca="false">IF(L177="","",ROUND(N(E177)*L177,2))</f>
        <v>112.5</v>
      </c>
      <c r="N177" s="39" t="n">
        <f aca="false">IF(OR(A177="",B177=""),"",SUMIFS(tl_Hours,tl_StaffID,I177,tl_Date,A177))</f>
        <v>8</v>
      </c>
      <c r="O177" s="40" t="str">
        <f aca="false">IF(A177&amp;B177&amp;D177="","",IF(OR(A177="",B177="",D177="",E177=""),"Incomplete",IF(K177="Unknown","Unknown code",IF(AND(K177="Yes",C177=""),"Billable, needs client",IF(N177&gt;MaxDayHours,"Over "&amp;MaxDayHours&amp;" hours that day","")))))</f>
        <v/>
      </c>
    </row>
    <row r="178" customFormat="false" ht="15" hidden="false" customHeight="false" outlineLevel="0" collapsed="false">
      <c r="A178" s="31" t="n">
        <v>46213</v>
      </c>
      <c r="B178" s="32" t="s">
        <v>101</v>
      </c>
      <c r="C178" s="32" t="s">
        <v>112</v>
      </c>
      <c r="D178" s="33" t="s">
        <v>104</v>
      </c>
      <c r="E178" s="34" t="n">
        <v>1.25</v>
      </c>
      <c r="F178" s="32"/>
      <c r="G178" s="35" t="n">
        <f aca="false">IF(A178="","",A178+7-WEEKDAY(A178))</f>
        <v>46214</v>
      </c>
      <c r="H178" s="36" t="n">
        <f aca="false">IF(A178="","",DATE(YEAR(A178),MONTH(A178),1))</f>
        <v>46204</v>
      </c>
      <c r="I178" s="37" t="str">
        <f aca="false">IF(B178="","",IFERROR(INDEX(st_ID,MATCH(B178,st_Name,0)),"Unknown"))</f>
        <v>QP-04</v>
      </c>
      <c r="J178" s="37" t="str">
        <f aca="false">IF(C178="","",IFERROR(INDEX(cl_Code,MATCH(C178,cl_Name,0)),"Unknown"))</f>
        <v>PCA</v>
      </c>
      <c r="K178" s="37" t="str">
        <f aca="false">IF(D178="","",IFERROR(INDEX(rt_Billable,MATCH(D178,rt_Code,0)),"Unknown"))</f>
        <v>Yes</v>
      </c>
      <c r="L178" s="38" t="n">
        <f aca="false">IF(K178&lt;&gt;"Yes","",IFERROR(INDEX(cr_Rate,MATCH(J178&amp;"|"&amp;D178,cr_Key,0)),INDEX(rt_Rate,MATCH(D178,rt_Code,0))))</f>
        <v>70</v>
      </c>
      <c r="M178" s="25" t="n">
        <f aca="false">IF(L178="","",ROUND(N(E178)*L178,2))</f>
        <v>87.5</v>
      </c>
      <c r="N178" s="39" t="n">
        <f aca="false">IF(OR(A178="",B178=""),"",SUMIFS(tl_Hours,tl_StaffID,I178,tl_Date,A178))</f>
        <v>8</v>
      </c>
      <c r="O178" s="40" t="str">
        <f aca="false">IF(A178&amp;B178&amp;D178="","",IF(OR(A178="",B178="",D178="",E178=""),"Incomplete",IF(K178="Unknown","Unknown code",IF(AND(K178="Yes",C178=""),"Billable, needs client",IF(N178&gt;MaxDayHours,"Over "&amp;MaxDayHours&amp;" hours that day","")))))</f>
        <v/>
      </c>
    </row>
    <row r="179" customFormat="false" ht="15" hidden="false" customHeight="false" outlineLevel="0" collapsed="false">
      <c r="A179" s="31" t="n">
        <v>46213</v>
      </c>
      <c r="B179" s="32" t="s">
        <v>101</v>
      </c>
      <c r="C179" s="32" t="s">
        <v>112</v>
      </c>
      <c r="D179" s="33" t="s">
        <v>88</v>
      </c>
      <c r="E179" s="34" t="n">
        <v>1</v>
      </c>
      <c r="F179" s="32"/>
      <c r="G179" s="35" t="n">
        <f aca="false">IF(A179="","",A179+7-WEEKDAY(A179))</f>
        <v>46214</v>
      </c>
      <c r="H179" s="36" t="n">
        <f aca="false">IF(A179="","",DATE(YEAR(A179),MONTH(A179),1))</f>
        <v>46204</v>
      </c>
      <c r="I179" s="37" t="str">
        <f aca="false">IF(B179="","",IFERROR(INDEX(st_ID,MATCH(B179,st_Name,0)),"Unknown"))</f>
        <v>QP-04</v>
      </c>
      <c r="J179" s="37" t="str">
        <f aca="false">IF(C179="","",IFERROR(INDEX(cl_Code,MATCH(C179,cl_Name,0)),"Unknown"))</f>
        <v>PCA</v>
      </c>
      <c r="K179" s="37" t="str">
        <f aca="false">IF(D179="","",IFERROR(INDEX(rt_Billable,MATCH(D179,rt_Code,0)),"Unknown"))</f>
        <v>Yes</v>
      </c>
      <c r="L179" s="38" t="n">
        <f aca="false">IF(K179&lt;&gt;"Yes","",IFERROR(INDEX(cr_Rate,MATCH(J179&amp;"|"&amp;D179,cr_Key,0)),INDEX(rt_Rate,MATCH(D179,rt_Code,0))))</f>
        <v>110</v>
      </c>
      <c r="M179" s="25" t="n">
        <f aca="false">IF(L179="","",ROUND(N(E179)*L179,2))</f>
        <v>110</v>
      </c>
      <c r="N179" s="39" t="n">
        <f aca="false">IF(OR(A179="",B179=""),"",SUMIFS(tl_Hours,tl_StaffID,I179,tl_Date,A179))</f>
        <v>8</v>
      </c>
      <c r="O179" s="40" t="str">
        <f aca="false">IF(A179&amp;B179&amp;D179="","",IF(OR(A179="",B179="",D179="",E179=""),"Incomplete",IF(K179="Unknown","Unknown code",IF(AND(K179="Yes",C179=""),"Billable, needs client",IF(N179&gt;MaxDayHours,"Over "&amp;MaxDayHours&amp;" hours that day","")))))</f>
        <v/>
      </c>
    </row>
    <row r="180" customFormat="false" ht="15" hidden="false" customHeight="false" outlineLevel="0" collapsed="false">
      <c r="A180" s="31" t="n">
        <v>46213</v>
      </c>
      <c r="B180" s="32" t="s">
        <v>101</v>
      </c>
      <c r="C180" s="32"/>
      <c r="D180" s="33" t="s">
        <v>93</v>
      </c>
      <c r="E180" s="34" t="n">
        <v>0.5</v>
      </c>
      <c r="F180" s="32"/>
      <c r="G180" s="35" t="n">
        <f aca="false">IF(A180="","",A180+7-WEEKDAY(A180))</f>
        <v>46214</v>
      </c>
      <c r="H180" s="36" t="n">
        <f aca="false">IF(A180="","",DATE(YEAR(A180),MONTH(A180),1))</f>
        <v>46204</v>
      </c>
      <c r="I180" s="37" t="str">
        <f aca="false">IF(B180="","",IFERROR(INDEX(st_ID,MATCH(B180,st_Name,0)),"Unknown"))</f>
        <v>QP-04</v>
      </c>
      <c r="J180" s="37" t="str">
        <f aca="false">IF(C180="","",IFERROR(INDEX(cl_Code,MATCH(C180,cl_Name,0)),"Unknown"))</f>
        <v/>
      </c>
      <c r="K180" s="37" t="str">
        <f aca="false">IF(D180="","",IFERROR(INDEX(rt_Billable,MATCH(D180,rt_Code,0)),"Unknown"))</f>
        <v>No</v>
      </c>
      <c r="L180" s="38" t="str">
        <f aca="false">IF(K180&lt;&gt;"Yes","",IFERROR(INDEX(cr_Rate,MATCH(J180&amp;"|"&amp;D180,cr_Key,0)),INDEX(rt_Rate,MATCH(D180,rt_Code,0))))</f>
        <v/>
      </c>
      <c r="M180" s="25" t="str">
        <f aca="false">IF(L180="","",ROUND(N(E180)*L180,2))</f>
        <v/>
      </c>
      <c r="N180" s="39" t="n">
        <f aca="false">IF(OR(A180="",B180=""),"",SUMIFS(tl_Hours,tl_StaffID,I180,tl_Date,A180))</f>
        <v>8</v>
      </c>
      <c r="O180" s="40" t="str">
        <f aca="false">IF(A180&amp;B180&amp;D180="","",IF(OR(A180="",B180="",D180="",E180=""),"Incomplete",IF(K180="Unknown","Unknown code",IF(AND(K180="Yes",C180=""),"Billable, needs client",IF(N180&gt;MaxDayHours,"Over "&amp;MaxDayHours&amp;" hours that day","")))))</f>
        <v/>
      </c>
    </row>
    <row r="181" customFormat="false" ht="15" hidden="false" customHeight="false" outlineLevel="0" collapsed="false">
      <c r="A181" s="31" t="n">
        <v>46213</v>
      </c>
      <c r="B181" s="32" t="s">
        <v>101</v>
      </c>
      <c r="C181" s="32"/>
      <c r="D181" s="33" t="s">
        <v>96</v>
      </c>
      <c r="E181" s="34" t="n">
        <v>3</v>
      </c>
      <c r="F181" s="32"/>
      <c r="G181" s="35" t="n">
        <f aca="false">IF(A181="","",A181+7-WEEKDAY(A181))</f>
        <v>46214</v>
      </c>
      <c r="H181" s="36" t="n">
        <f aca="false">IF(A181="","",DATE(YEAR(A181),MONTH(A181),1))</f>
        <v>46204</v>
      </c>
      <c r="I181" s="37" t="str">
        <f aca="false">IF(B181="","",IFERROR(INDEX(st_ID,MATCH(B181,st_Name,0)),"Unknown"))</f>
        <v>QP-04</v>
      </c>
      <c r="J181" s="37" t="str">
        <f aca="false">IF(C181="","",IFERROR(INDEX(cl_Code,MATCH(C181,cl_Name,0)),"Unknown"))</f>
        <v/>
      </c>
      <c r="K181" s="37" t="str">
        <f aca="false">IF(D181="","",IFERROR(INDEX(rt_Billable,MATCH(D181,rt_Code,0)),"Unknown"))</f>
        <v>No</v>
      </c>
      <c r="L181" s="38" t="str">
        <f aca="false">IF(K181&lt;&gt;"Yes","",IFERROR(INDEX(cr_Rate,MATCH(J181&amp;"|"&amp;D181,cr_Key,0)),INDEX(rt_Rate,MATCH(D181,rt_Code,0))))</f>
        <v/>
      </c>
      <c r="M181" s="25" t="str">
        <f aca="false">IF(L181="","",ROUND(N(E181)*L181,2))</f>
        <v/>
      </c>
      <c r="N181" s="39" t="n">
        <f aca="false">IF(OR(A181="",B181=""),"",SUMIFS(tl_Hours,tl_StaffID,I181,tl_Date,A181))</f>
        <v>8</v>
      </c>
      <c r="O181" s="40" t="str">
        <f aca="false">IF(A181&amp;B181&amp;D181="","",IF(OR(A181="",B181="",D181="",E181=""),"Incomplete",IF(K181="Unknown","Unknown code",IF(AND(K181="Yes",C181=""),"Billable, needs client",IF(N181&gt;MaxDayHours,"Over "&amp;MaxDayHours&amp;" hours that day","")))))</f>
        <v/>
      </c>
    </row>
    <row r="182" customFormat="false" ht="15" hidden="false" customHeight="false" outlineLevel="0" collapsed="false">
      <c r="A182" s="31" t="n">
        <v>46213</v>
      </c>
      <c r="B182" s="32" t="s">
        <v>103</v>
      </c>
      <c r="C182" s="32"/>
      <c r="D182" s="33" t="s">
        <v>109</v>
      </c>
      <c r="E182" s="34" t="n">
        <v>8</v>
      </c>
      <c r="F182" s="32"/>
      <c r="G182" s="35" t="n">
        <f aca="false">IF(A182="","",A182+7-WEEKDAY(A182))</f>
        <v>46214</v>
      </c>
      <c r="H182" s="36" t="n">
        <f aca="false">IF(A182="","",DATE(YEAR(A182),MONTH(A182),1))</f>
        <v>46204</v>
      </c>
      <c r="I182" s="37" t="str">
        <f aca="false">IF(B182="","",IFERROR(INDEX(st_ID,MATCH(B182,st_Name,0)),"Unknown"))</f>
        <v>QP-05</v>
      </c>
      <c r="J182" s="37" t="str">
        <f aca="false">IF(C182="","",IFERROR(INDEX(cl_Code,MATCH(C182,cl_Name,0)),"Unknown"))</f>
        <v/>
      </c>
      <c r="K182" s="37" t="str">
        <f aca="false">IF(D182="","",IFERROR(INDEX(rt_Billable,MATCH(D182,rt_Code,0)),"Unknown"))</f>
        <v>No</v>
      </c>
      <c r="L182" s="38" t="str">
        <f aca="false">IF(K182&lt;&gt;"Yes","",IFERROR(INDEX(cr_Rate,MATCH(J182&amp;"|"&amp;D182,cr_Key,0)),INDEX(rt_Rate,MATCH(D182,rt_Code,0))))</f>
        <v/>
      </c>
      <c r="M182" s="25" t="str">
        <f aca="false">IF(L182="","",ROUND(N(E182)*L182,2))</f>
        <v/>
      </c>
      <c r="N182" s="39" t="n">
        <f aca="false">IF(OR(A182="",B182=""),"",SUMIFS(tl_Hours,tl_StaffID,I182,tl_Date,A182))</f>
        <v>8</v>
      </c>
      <c r="O182" s="40" t="str">
        <f aca="false">IF(A182&amp;B182&amp;D182="","",IF(OR(A182="",B182="",D182="",E182=""),"Incomplete",IF(K182="Unknown","Unknown code",IF(AND(K182="Yes",C182=""),"Billable, needs client",IF(N182&gt;MaxDayHours,"Over "&amp;MaxDayHours&amp;" hours that day","")))))</f>
        <v/>
      </c>
    </row>
    <row r="183" customFormat="false" ht="15" hidden="false" customHeight="false" outlineLevel="0" collapsed="false">
      <c r="A183" s="31" t="n">
        <v>46213</v>
      </c>
      <c r="B183" s="32" t="s">
        <v>105</v>
      </c>
      <c r="C183" s="32" t="s">
        <v>90</v>
      </c>
      <c r="D183" s="33" t="s">
        <v>91</v>
      </c>
      <c r="E183" s="34" t="n">
        <v>3.25</v>
      </c>
      <c r="F183" s="32"/>
      <c r="G183" s="35" t="n">
        <f aca="false">IF(A183="","",A183+7-WEEKDAY(A183))</f>
        <v>46214</v>
      </c>
      <c r="H183" s="36" t="n">
        <f aca="false">IF(A183="","",DATE(YEAR(A183),MONTH(A183),1))</f>
        <v>46204</v>
      </c>
      <c r="I183" s="37" t="str">
        <f aca="false">IF(B183="","",IFERROR(INDEX(st_ID,MATCH(B183,st_Name,0)),"Unknown"))</f>
        <v>QP-06</v>
      </c>
      <c r="J183" s="37" t="str">
        <f aca="false">IF(C183="","",IFERROR(INDEX(cl_Code,MATCH(C183,cl_Name,0)),"Unknown"))</f>
        <v>BSE</v>
      </c>
      <c r="K183" s="37" t="str">
        <f aca="false">IF(D183="","",IFERROR(INDEX(rt_Billable,MATCH(D183,rt_Code,0)),"Unknown"))</f>
        <v>Yes</v>
      </c>
      <c r="L183" s="38" t="n">
        <f aca="false">IF(K183&lt;&gt;"Yes","",IFERROR(INDEX(cr_Rate,MATCH(J183&amp;"|"&amp;D183,cr_Key,0)),INDEX(rt_Rate,MATCH(D183,rt_Code,0))))</f>
        <v>100</v>
      </c>
      <c r="M183" s="25" t="n">
        <f aca="false">IF(L183="","",ROUND(N(E183)*L183,2))</f>
        <v>325</v>
      </c>
      <c r="N183" s="39" t="n">
        <f aca="false">IF(OR(A183="",B183=""),"",SUMIFS(tl_Hours,tl_StaffID,I183,tl_Date,A183))</f>
        <v>8</v>
      </c>
      <c r="O183" s="40" t="str">
        <f aca="false">IF(A183&amp;B183&amp;D183="","",IF(OR(A183="",B183="",D183="",E183=""),"Incomplete",IF(K183="Unknown","Unknown code",IF(AND(K183="Yes",C183=""),"Billable, needs client",IF(N183&gt;MaxDayHours,"Over "&amp;MaxDayHours&amp;" hours that day","")))))</f>
        <v/>
      </c>
    </row>
    <row r="184" customFormat="false" ht="15" hidden="false" customHeight="false" outlineLevel="0" collapsed="false">
      <c r="A184" s="31" t="n">
        <v>46213</v>
      </c>
      <c r="B184" s="32" t="s">
        <v>105</v>
      </c>
      <c r="C184" s="32" t="s">
        <v>90</v>
      </c>
      <c r="D184" s="33" t="s">
        <v>89</v>
      </c>
      <c r="E184" s="34" t="n">
        <v>0.75</v>
      </c>
      <c r="F184" s="32"/>
      <c r="G184" s="35" t="n">
        <f aca="false">IF(A184="","",A184+7-WEEKDAY(A184))</f>
        <v>46214</v>
      </c>
      <c r="H184" s="36" t="n">
        <f aca="false">IF(A184="","",DATE(YEAR(A184),MONTH(A184),1))</f>
        <v>46204</v>
      </c>
      <c r="I184" s="37" t="str">
        <f aca="false">IF(B184="","",IFERROR(INDEX(st_ID,MATCH(B184,st_Name,0)),"Unknown"))</f>
        <v>QP-06</v>
      </c>
      <c r="J184" s="37" t="str">
        <f aca="false">IF(C184="","",IFERROR(INDEX(cl_Code,MATCH(C184,cl_Name,0)),"Unknown"))</f>
        <v>BSE</v>
      </c>
      <c r="K184" s="37" t="str">
        <f aca="false">IF(D184="","",IFERROR(INDEX(rt_Billable,MATCH(D184,rt_Code,0)),"Unknown"))</f>
        <v>Yes</v>
      </c>
      <c r="L184" s="38" t="n">
        <f aca="false">IF(K184&lt;&gt;"Yes","",IFERROR(INDEX(cr_Rate,MATCH(J184&amp;"|"&amp;D184,cr_Key,0)),INDEX(rt_Rate,MATCH(D184,rt_Code,0))))</f>
        <v>95</v>
      </c>
      <c r="M184" s="25" t="n">
        <f aca="false">IF(L184="","",ROUND(N(E184)*L184,2))</f>
        <v>71.25</v>
      </c>
      <c r="N184" s="39" t="n">
        <f aca="false">IF(OR(A184="",B184=""),"",SUMIFS(tl_Hours,tl_StaffID,I184,tl_Date,A184))</f>
        <v>8</v>
      </c>
      <c r="O184" s="40" t="str">
        <f aca="false">IF(A184&amp;B184&amp;D184="","",IF(OR(A184="",B184="",D184="",E184=""),"Incomplete",IF(K184="Unknown","Unknown code",IF(AND(K184="Yes",C184=""),"Billable, needs client",IF(N184&gt;MaxDayHours,"Over "&amp;MaxDayHours&amp;" hours that day","")))))</f>
        <v/>
      </c>
    </row>
    <row r="185" customFormat="false" ht="15" hidden="false" customHeight="false" outlineLevel="0" collapsed="false">
      <c r="A185" s="31" t="n">
        <v>46213</v>
      </c>
      <c r="B185" s="32" t="s">
        <v>105</v>
      </c>
      <c r="C185" s="32"/>
      <c r="D185" s="33" t="s">
        <v>96</v>
      </c>
      <c r="E185" s="34" t="n">
        <v>4</v>
      </c>
      <c r="F185" s="32"/>
      <c r="G185" s="35" t="n">
        <f aca="false">IF(A185="","",A185+7-WEEKDAY(A185))</f>
        <v>46214</v>
      </c>
      <c r="H185" s="36" t="n">
        <f aca="false">IF(A185="","",DATE(YEAR(A185),MONTH(A185),1))</f>
        <v>46204</v>
      </c>
      <c r="I185" s="37" t="str">
        <f aca="false">IF(B185="","",IFERROR(INDEX(st_ID,MATCH(B185,st_Name,0)),"Unknown"))</f>
        <v>QP-06</v>
      </c>
      <c r="J185" s="37" t="str">
        <f aca="false">IF(C185="","",IFERROR(INDEX(cl_Code,MATCH(C185,cl_Name,0)),"Unknown"))</f>
        <v/>
      </c>
      <c r="K185" s="37" t="str">
        <f aca="false">IF(D185="","",IFERROR(INDEX(rt_Billable,MATCH(D185,rt_Code,0)),"Unknown"))</f>
        <v>No</v>
      </c>
      <c r="L185" s="38" t="str">
        <f aca="false">IF(K185&lt;&gt;"Yes","",IFERROR(INDEX(cr_Rate,MATCH(J185&amp;"|"&amp;D185,cr_Key,0)),INDEX(rt_Rate,MATCH(D185,rt_Code,0))))</f>
        <v/>
      </c>
      <c r="M185" s="25" t="str">
        <f aca="false">IF(L185="","",ROUND(N(E185)*L185,2))</f>
        <v/>
      </c>
      <c r="N185" s="39" t="n">
        <f aca="false">IF(OR(A185="",B185=""),"",SUMIFS(tl_Hours,tl_StaffID,I185,tl_Date,A185))</f>
        <v>8</v>
      </c>
      <c r="O185" s="40" t="str">
        <f aca="false">IF(A185&amp;B185&amp;D185="","",IF(OR(A185="",B185="",D185="",E185=""),"Incomplete",IF(K185="Unknown","Unknown code",IF(AND(K185="Yes",C185=""),"Billable, needs client",IF(N185&gt;MaxDayHours,"Over "&amp;MaxDayHours&amp;" hours that day","")))))</f>
        <v/>
      </c>
    </row>
    <row r="186" customFormat="false" ht="15" hidden="false" customHeight="false" outlineLevel="0" collapsed="false">
      <c r="A186" s="31" t="n">
        <v>46213</v>
      </c>
      <c r="B186" s="32" t="s">
        <v>106</v>
      </c>
      <c r="C186" s="32" t="s">
        <v>102</v>
      </c>
      <c r="D186" s="33" t="s">
        <v>104</v>
      </c>
      <c r="E186" s="34" t="n">
        <v>3.25</v>
      </c>
      <c r="F186" s="32"/>
      <c r="G186" s="35" t="n">
        <f aca="false">IF(A186="","",A186+7-WEEKDAY(A186))</f>
        <v>46214</v>
      </c>
      <c r="H186" s="36" t="n">
        <f aca="false">IF(A186="","",DATE(YEAR(A186),MONTH(A186),1))</f>
        <v>46204</v>
      </c>
      <c r="I186" s="37" t="str">
        <f aca="false">IF(B186="","",IFERROR(INDEX(st_ID,MATCH(B186,st_Name,0)),"Unknown"))</f>
        <v>QP-07</v>
      </c>
      <c r="J186" s="37" t="str">
        <f aca="false">IF(C186="","",IFERROR(INDEX(cl_Code,MATCH(C186,cl_Name,0)),"Unknown"))</f>
        <v>CLH</v>
      </c>
      <c r="K186" s="37" t="str">
        <f aca="false">IF(D186="","",IFERROR(INDEX(rt_Billable,MATCH(D186,rt_Code,0)),"Unknown"))</f>
        <v>Yes</v>
      </c>
      <c r="L186" s="38" t="n">
        <f aca="false">IF(K186&lt;&gt;"Yes","",IFERROR(INDEX(cr_Rate,MATCH(J186&amp;"|"&amp;D186,cr_Key,0)),INDEX(rt_Rate,MATCH(D186,rt_Code,0))))</f>
        <v>65</v>
      </c>
      <c r="M186" s="25" t="n">
        <f aca="false">IF(L186="","",ROUND(N(E186)*L186,2))</f>
        <v>211.25</v>
      </c>
      <c r="N186" s="39" t="n">
        <f aca="false">IF(OR(A186="",B186=""),"",SUMIFS(tl_Hours,tl_StaffID,I186,tl_Date,A186))</f>
        <v>8</v>
      </c>
      <c r="O186" s="40" t="str">
        <f aca="false">IF(A186&amp;B186&amp;D186="","",IF(OR(A186="",B186="",D186="",E186=""),"Incomplete",IF(K186="Unknown","Unknown code",IF(AND(K186="Yes",C186=""),"Billable, needs client",IF(N186&gt;MaxDayHours,"Over "&amp;MaxDayHours&amp;" hours that day","")))))</f>
        <v/>
      </c>
    </row>
    <row r="187" customFormat="false" ht="15" hidden="false" customHeight="false" outlineLevel="0" collapsed="false">
      <c r="A187" s="31" t="n">
        <v>46213</v>
      </c>
      <c r="B187" s="32" t="s">
        <v>106</v>
      </c>
      <c r="C187" s="32" t="s">
        <v>102</v>
      </c>
      <c r="D187" s="33" t="s">
        <v>88</v>
      </c>
      <c r="E187" s="34" t="n">
        <v>1</v>
      </c>
      <c r="F187" s="32"/>
      <c r="G187" s="35" t="n">
        <f aca="false">IF(A187="","",A187+7-WEEKDAY(A187))</f>
        <v>46214</v>
      </c>
      <c r="H187" s="36" t="n">
        <f aca="false">IF(A187="","",DATE(YEAR(A187),MONTH(A187),1))</f>
        <v>46204</v>
      </c>
      <c r="I187" s="37" t="str">
        <f aca="false">IF(B187="","",IFERROR(INDEX(st_ID,MATCH(B187,st_Name,0)),"Unknown"))</f>
        <v>QP-07</v>
      </c>
      <c r="J187" s="37" t="str">
        <f aca="false">IF(C187="","",IFERROR(INDEX(cl_Code,MATCH(C187,cl_Name,0)),"Unknown"))</f>
        <v>CLH</v>
      </c>
      <c r="K187" s="37" t="str">
        <f aca="false">IF(D187="","",IFERROR(INDEX(rt_Billable,MATCH(D187,rt_Code,0)),"Unknown"))</f>
        <v>Yes</v>
      </c>
      <c r="L187" s="38" t="n">
        <f aca="false">IF(K187&lt;&gt;"Yes","",IFERROR(INDEX(cr_Rate,MATCH(J187&amp;"|"&amp;D187,cr_Key,0)),INDEX(rt_Rate,MATCH(D187,rt_Code,0))))</f>
        <v>110</v>
      </c>
      <c r="M187" s="25" t="n">
        <f aca="false">IF(L187="","",ROUND(N(E187)*L187,2))</f>
        <v>110</v>
      </c>
      <c r="N187" s="39" t="n">
        <f aca="false">IF(OR(A187="",B187=""),"",SUMIFS(tl_Hours,tl_StaffID,I187,tl_Date,A187))</f>
        <v>8</v>
      </c>
      <c r="O187" s="40" t="str">
        <f aca="false">IF(A187&amp;B187&amp;D187="","",IF(OR(A187="",B187="",D187="",E187=""),"Incomplete",IF(K187="Unknown","Unknown code",IF(AND(K187="Yes",C187=""),"Billable, needs client",IF(N187&gt;MaxDayHours,"Over "&amp;MaxDayHours&amp;" hours that day","")))))</f>
        <v/>
      </c>
    </row>
    <row r="188" customFormat="false" ht="15" hidden="false" customHeight="false" outlineLevel="0" collapsed="false">
      <c r="A188" s="31" t="n">
        <v>46213</v>
      </c>
      <c r="B188" s="32" t="s">
        <v>106</v>
      </c>
      <c r="C188" s="32"/>
      <c r="D188" s="33" t="s">
        <v>96</v>
      </c>
      <c r="E188" s="34" t="n">
        <v>3.75</v>
      </c>
      <c r="F188" s="32"/>
      <c r="G188" s="35" t="n">
        <f aca="false">IF(A188="","",A188+7-WEEKDAY(A188))</f>
        <v>46214</v>
      </c>
      <c r="H188" s="36" t="n">
        <f aca="false">IF(A188="","",DATE(YEAR(A188),MONTH(A188),1))</f>
        <v>46204</v>
      </c>
      <c r="I188" s="37" t="str">
        <f aca="false">IF(B188="","",IFERROR(INDEX(st_ID,MATCH(B188,st_Name,0)),"Unknown"))</f>
        <v>QP-07</v>
      </c>
      <c r="J188" s="37" t="str">
        <f aca="false">IF(C188="","",IFERROR(INDEX(cl_Code,MATCH(C188,cl_Name,0)),"Unknown"))</f>
        <v/>
      </c>
      <c r="K188" s="37" t="str">
        <f aca="false">IF(D188="","",IFERROR(INDEX(rt_Billable,MATCH(D188,rt_Code,0)),"Unknown"))</f>
        <v>No</v>
      </c>
      <c r="L188" s="38" t="str">
        <f aca="false">IF(K188&lt;&gt;"Yes","",IFERROR(INDEX(cr_Rate,MATCH(J188&amp;"|"&amp;D188,cr_Key,0)),INDEX(rt_Rate,MATCH(D188,rt_Code,0))))</f>
        <v/>
      </c>
      <c r="M188" s="25" t="str">
        <f aca="false">IF(L188="","",ROUND(N(E188)*L188,2))</f>
        <v/>
      </c>
      <c r="N188" s="39" t="n">
        <f aca="false">IF(OR(A188="",B188=""),"",SUMIFS(tl_Hours,tl_StaffID,I188,tl_Date,A188))</f>
        <v>8</v>
      </c>
      <c r="O188" s="40" t="str">
        <f aca="false">IF(A188&amp;B188&amp;D188="","",IF(OR(A188="",B188="",D188="",E188=""),"Incomplete",IF(K188="Unknown","Unknown code",IF(AND(K188="Yes",C188=""),"Billable, needs client",IF(N188&gt;MaxDayHours,"Over "&amp;MaxDayHours&amp;" hours that day","")))))</f>
        <v/>
      </c>
    </row>
    <row r="189" customFormat="false" ht="15" hidden="false" customHeight="false" outlineLevel="0" collapsed="false">
      <c r="A189" s="31" t="n">
        <v>46213</v>
      </c>
      <c r="B189" s="32" t="s">
        <v>107</v>
      </c>
      <c r="C189" s="32"/>
      <c r="D189" s="33" t="s">
        <v>108</v>
      </c>
      <c r="E189" s="34" t="n">
        <v>7</v>
      </c>
      <c r="F189" s="32"/>
      <c r="G189" s="35" t="n">
        <f aca="false">IF(A189="","",A189+7-WEEKDAY(A189))</f>
        <v>46214</v>
      </c>
      <c r="H189" s="36" t="n">
        <f aca="false">IF(A189="","",DATE(YEAR(A189),MONTH(A189),1))</f>
        <v>46204</v>
      </c>
      <c r="I189" s="37" t="str">
        <f aca="false">IF(B189="","",IFERROR(INDEX(st_ID,MATCH(B189,st_Name,0)),"Unknown"))</f>
        <v>QP-08</v>
      </c>
      <c r="J189" s="37" t="str">
        <f aca="false">IF(C189="","",IFERROR(INDEX(cl_Code,MATCH(C189,cl_Name,0)),"Unknown"))</f>
        <v/>
      </c>
      <c r="K189" s="37" t="str">
        <f aca="false">IF(D189="","",IFERROR(INDEX(rt_Billable,MATCH(D189,rt_Code,0)),"Unknown"))</f>
        <v>No</v>
      </c>
      <c r="L189" s="38" t="str">
        <f aca="false">IF(K189&lt;&gt;"Yes","",IFERROR(INDEX(cr_Rate,MATCH(J189&amp;"|"&amp;D189,cr_Key,0)),INDEX(rt_Rate,MATCH(D189,rt_Code,0))))</f>
        <v/>
      </c>
      <c r="M189" s="25" t="str">
        <f aca="false">IF(L189="","",ROUND(N(E189)*L189,2))</f>
        <v/>
      </c>
      <c r="N189" s="39" t="n">
        <f aca="false">IF(OR(A189="",B189=""),"",SUMIFS(tl_Hours,tl_StaffID,I189,tl_Date,A189))</f>
        <v>8</v>
      </c>
      <c r="O189" s="40" t="str">
        <f aca="false">IF(A189&amp;B189&amp;D189="","",IF(OR(A189="",B189="",D189="",E189=""),"Incomplete",IF(K189="Unknown","Unknown code",IF(AND(K189="Yes",C189=""),"Billable, needs client",IF(N189&gt;MaxDayHours,"Over "&amp;MaxDayHours&amp;" hours that day","")))))</f>
        <v/>
      </c>
    </row>
    <row r="190" customFormat="false" ht="15" hidden="false" customHeight="false" outlineLevel="0" collapsed="false">
      <c r="A190" s="31" t="n">
        <v>46213</v>
      </c>
      <c r="B190" s="32" t="s">
        <v>107</v>
      </c>
      <c r="C190" s="32"/>
      <c r="D190" s="33" t="s">
        <v>98</v>
      </c>
      <c r="E190" s="34" t="n">
        <v>1</v>
      </c>
      <c r="F190" s="32"/>
      <c r="G190" s="35" t="n">
        <f aca="false">IF(A190="","",A190+7-WEEKDAY(A190))</f>
        <v>46214</v>
      </c>
      <c r="H190" s="36" t="n">
        <f aca="false">IF(A190="","",DATE(YEAR(A190),MONTH(A190),1))</f>
        <v>46204</v>
      </c>
      <c r="I190" s="37" t="str">
        <f aca="false">IF(B190="","",IFERROR(INDEX(st_ID,MATCH(B190,st_Name,0)),"Unknown"))</f>
        <v>QP-08</v>
      </c>
      <c r="J190" s="37" t="str">
        <f aca="false">IF(C190="","",IFERROR(INDEX(cl_Code,MATCH(C190,cl_Name,0)),"Unknown"))</f>
        <v/>
      </c>
      <c r="K190" s="37" t="str">
        <f aca="false">IF(D190="","",IFERROR(INDEX(rt_Billable,MATCH(D190,rt_Code,0)),"Unknown"))</f>
        <v>No</v>
      </c>
      <c r="L190" s="38" t="str">
        <f aca="false">IF(K190&lt;&gt;"Yes","",IFERROR(INDEX(cr_Rate,MATCH(J190&amp;"|"&amp;D190,cr_Key,0)),INDEX(rt_Rate,MATCH(D190,rt_Code,0))))</f>
        <v/>
      </c>
      <c r="M190" s="25" t="str">
        <f aca="false">IF(L190="","",ROUND(N(E190)*L190,2))</f>
        <v/>
      </c>
      <c r="N190" s="39" t="n">
        <f aca="false">IF(OR(A190="",B190=""),"",SUMIFS(tl_Hours,tl_StaffID,I190,tl_Date,A190))</f>
        <v>8</v>
      </c>
      <c r="O190" s="40" t="str">
        <f aca="false">IF(A190&amp;B190&amp;D190="","",IF(OR(A190="",B190="",D190="",E190=""),"Incomplete",IF(K190="Unknown","Unknown code",IF(AND(K190="Yes",C190=""),"Billable, needs client",IF(N190&gt;MaxDayHours,"Over "&amp;MaxDayHours&amp;" hours that day","")))))</f>
        <v/>
      </c>
    </row>
    <row r="191" customFormat="false" ht="15" hidden="false" customHeight="false" outlineLevel="0" collapsed="false">
      <c r="A191" s="31" t="n">
        <v>46216</v>
      </c>
      <c r="B191" s="32" t="s">
        <v>86</v>
      </c>
      <c r="C191" s="32" t="s">
        <v>90</v>
      </c>
      <c r="D191" s="33" t="s">
        <v>88</v>
      </c>
      <c r="E191" s="34" t="n">
        <v>3.5</v>
      </c>
      <c r="F191" s="32"/>
      <c r="G191" s="35" t="n">
        <f aca="false">IF(A191="","",A191+7-WEEKDAY(A191))</f>
        <v>46221</v>
      </c>
      <c r="H191" s="36" t="n">
        <f aca="false">IF(A191="","",DATE(YEAR(A191),MONTH(A191),1))</f>
        <v>46204</v>
      </c>
      <c r="I191" s="37" t="str">
        <f aca="false">IF(B191="","",IFERROR(INDEX(st_ID,MATCH(B191,st_Name,0)),"Unknown"))</f>
        <v>QP-01</v>
      </c>
      <c r="J191" s="37" t="str">
        <f aca="false">IF(C191="","",IFERROR(INDEX(cl_Code,MATCH(C191,cl_Name,0)),"Unknown"))</f>
        <v>BSE</v>
      </c>
      <c r="K191" s="37" t="str">
        <f aca="false">IF(D191="","",IFERROR(INDEX(rt_Billable,MATCH(D191,rt_Code,0)),"Unknown"))</f>
        <v>Yes</v>
      </c>
      <c r="L191" s="38" t="n">
        <f aca="false">IF(K191&lt;&gt;"Yes","",IFERROR(INDEX(cr_Rate,MATCH(J191&amp;"|"&amp;D191,cr_Key,0)),INDEX(rt_Rate,MATCH(D191,rt_Code,0))))</f>
        <v>104</v>
      </c>
      <c r="M191" s="25" t="n">
        <f aca="false">IF(L191="","",ROUND(N(E191)*L191,2))</f>
        <v>364</v>
      </c>
      <c r="N191" s="39" t="n">
        <f aca="false">IF(OR(A191="",B191=""),"",SUMIFS(tl_Hours,tl_StaffID,I191,tl_Date,A191))</f>
        <v>8</v>
      </c>
      <c r="O191" s="40" t="str">
        <f aca="false">IF(A191&amp;B191&amp;D191="","",IF(OR(A191="",B191="",D191="",E191=""),"Incomplete",IF(K191="Unknown","Unknown code",IF(AND(K191="Yes",C191=""),"Billable, needs client",IF(N191&gt;MaxDayHours,"Over "&amp;MaxDayHours&amp;" hours that day","")))))</f>
        <v/>
      </c>
    </row>
    <row r="192" customFormat="false" ht="15" hidden="false" customHeight="false" outlineLevel="0" collapsed="false">
      <c r="A192" s="31" t="n">
        <v>46216</v>
      </c>
      <c r="B192" s="32" t="s">
        <v>86</v>
      </c>
      <c r="C192" s="32" t="s">
        <v>90</v>
      </c>
      <c r="D192" s="33" t="s">
        <v>92</v>
      </c>
      <c r="E192" s="34" t="n">
        <v>1.25</v>
      </c>
      <c r="F192" s="32"/>
      <c r="G192" s="35" t="n">
        <f aca="false">IF(A192="","",A192+7-WEEKDAY(A192))</f>
        <v>46221</v>
      </c>
      <c r="H192" s="36" t="n">
        <f aca="false">IF(A192="","",DATE(YEAR(A192),MONTH(A192),1))</f>
        <v>46204</v>
      </c>
      <c r="I192" s="37" t="str">
        <f aca="false">IF(B192="","",IFERROR(INDEX(st_ID,MATCH(B192,st_Name,0)),"Unknown"))</f>
        <v>QP-01</v>
      </c>
      <c r="J192" s="37" t="str">
        <f aca="false">IF(C192="","",IFERROR(INDEX(cl_Code,MATCH(C192,cl_Name,0)),"Unknown"))</f>
        <v>BSE</v>
      </c>
      <c r="K192" s="37" t="str">
        <f aca="false">IF(D192="","",IFERROR(INDEX(rt_Billable,MATCH(D192,rt_Code,0)),"Unknown"))</f>
        <v>Yes</v>
      </c>
      <c r="L192" s="38" t="n">
        <f aca="false">IF(K192&lt;&gt;"Yes","",IFERROR(INDEX(cr_Rate,MATCH(J192&amp;"|"&amp;D192,cr_Key,0)),INDEX(rt_Rate,MATCH(D192,rt_Code,0))))</f>
        <v>145</v>
      </c>
      <c r="M192" s="25" t="n">
        <f aca="false">IF(L192="","",ROUND(N(E192)*L192,2))</f>
        <v>181.25</v>
      </c>
      <c r="N192" s="39" t="n">
        <f aca="false">IF(OR(A192="",B192=""),"",SUMIFS(tl_Hours,tl_StaffID,I192,tl_Date,A192))</f>
        <v>8</v>
      </c>
      <c r="O192" s="40" t="str">
        <f aca="false">IF(A192&amp;B192&amp;D192="","",IF(OR(A192="",B192="",D192="",E192=""),"Incomplete",IF(K192="Unknown","Unknown code",IF(AND(K192="Yes",C192=""),"Billable, needs client",IF(N192&gt;MaxDayHours,"Over "&amp;MaxDayHours&amp;" hours that day","")))))</f>
        <v/>
      </c>
    </row>
    <row r="193" customFormat="false" ht="15" hidden="false" customHeight="false" outlineLevel="0" collapsed="false">
      <c r="A193" s="31" t="n">
        <v>46216</v>
      </c>
      <c r="B193" s="32" t="s">
        <v>86</v>
      </c>
      <c r="C193" s="32"/>
      <c r="D193" s="33" t="s">
        <v>94</v>
      </c>
      <c r="E193" s="34" t="n">
        <v>1.5</v>
      </c>
      <c r="F193" s="32" t="s">
        <v>95</v>
      </c>
      <c r="G193" s="35" t="n">
        <f aca="false">IF(A193="","",A193+7-WEEKDAY(A193))</f>
        <v>46221</v>
      </c>
      <c r="H193" s="36" t="n">
        <f aca="false">IF(A193="","",DATE(YEAR(A193),MONTH(A193),1))</f>
        <v>46204</v>
      </c>
      <c r="I193" s="37" t="str">
        <f aca="false">IF(B193="","",IFERROR(INDEX(st_ID,MATCH(B193,st_Name,0)),"Unknown"))</f>
        <v>QP-01</v>
      </c>
      <c r="J193" s="37" t="str">
        <f aca="false">IF(C193="","",IFERROR(INDEX(cl_Code,MATCH(C193,cl_Name,0)),"Unknown"))</f>
        <v/>
      </c>
      <c r="K193" s="37" t="str">
        <f aca="false">IF(D193="","",IFERROR(INDEX(rt_Billable,MATCH(D193,rt_Code,0)),"Unknown"))</f>
        <v>No</v>
      </c>
      <c r="L193" s="38" t="str">
        <f aca="false">IF(K193&lt;&gt;"Yes","",IFERROR(INDEX(cr_Rate,MATCH(J193&amp;"|"&amp;D193,cr_Key,0)),INDEX(rt_Rate,MATCH(D193,rt_Code,0))))</f>
        <v/>
      </c>
      <c r="M193" s="25" t="str">
        <f aca="false">IF(L193="","",ROUND(N(E193)*L193,2))</f>
        <v/>
      </c>
      <c r="N193" s="39" t="n">
        <f aca="false">IF(OR(A193="",B193=""),"",SUMIFS(tl_Hours,tl_StaffID,I193,tl_Date,A193))</f>
        <v>8</v>
      </c>
      <c r="O193" s="40" t="str">
        <f aca="false">IF(A193&amp;B193&amp;D193="","",IF(OR(A193="",B193="",D193="",E193=""),"Incomplete",IF(K193="Unknown","Unknown code",IF(AND(K193="Yes",C193=""),"Billable, needs client",IF(N193&gt;MaxDayHours,"Over "&amp;MaxDayHours&amp;" hours that day","")))))</f>
        <v/>
      </c>
    </row>
    <row r="194" customFormat="false" ht="15" hidden="false" customHeight="false" outlineLevel="0" collapsed="false">
      <c r="A194" s="31" t="n">
        <v>46216</v>
      </c>
      <c r="B194" s="32" t="s">
        <v>86</v>
      </c>
      <c r="C194" s="32"/>
      <c r="D194" s="33" t="s">
        <v>96</v>
      </c>
      <c r="E194" s="34" t="n">
        <v>1.75</v>
      </c>
      <c r="F194" s="32"/>
      <c r="G194" s="35" t="n">
        <f aca="false">IF(A194="","",A194+7-WEEKDAY(A194))</f>
        <v>46221</v>
      </c>
      <c r="H194" s="36" t="n">
        <f aca="false">IF(A194="","",DATE(YEAR(A194),MONTH(A194),1))</f>
        <v>46204</v>
      </c>
      <c r="I194" s="37" t="str">
        <f aca="false">IF(B194="","",IFERROR(INDEX(st_ID,MATCH(B194,st_Name,0)),"Unknown"))</f>
        <v>QP-01</v>
      </c>
      <c r="J194" s="37" t="str">
        <f aca="false">IF(C194="","",IFERROR(INDEX(cl_Code,MATCH(C194,cl_Name,0)),"Unknown"))</f>
        <v/>
      </c>
      <c r="K194" s="37" t="str">
        <f aca="false">IF(D194="","",IFERROR(INDEX(rt_Billable,MATCH(D194,rt_Code,0)),"Unknown"))</f>
        <v>No</v>
      </c>
      <c r="L194" s="38" t="str">
        <f aca="false">IF(K194&lt;&gt;"Yes","",IFERROR(INDEX(cr_Rate,MATCH(J194&amp;"|"&amp;D194,cr_Key,0)),INDEX(rt_Rate,MATCH(D194,rt_Code,0))))</f>
        <v/>
      </c>
      <c r="M194" s="25" t="str">
        <f aca="false">IF(L194="","",ROUND(N(E194)*L194,2))</f>
        <v/>
      </c>
      <c r="N194" s="39" t="n">
        <f aca="false">IF(OR(A194="",B194=""),"",SUMIFS(tl_Hours,tl_StaffID,I194,tl_Date,A194))</f>
        <v>8</v>
      </c>
      <c r="O194" s="40" t="str">
        <f aca="false">IF(A194&amp;B194&amp;D194="","",IF(OR(A194="",B194="",D194="",E194=""),"Incomplete",IF(K194="Unknown","Unknown code",IF(AND(K194="Yes",C194=""),"Billable, needs client",IF(N194&gt;MaxDayHours,"Over "&amp;MaxDayHours&amp;" hours that day","")))))</f>
        <v/>
      </c>
    </row>
    <row r="195" customFormat="false" ht="15" hidden="false" customHeight="false" outlineLevel="0" collapsed="false">
      <c r="A195" s="31" t="n">
        <v>46216</v>
      </c>
      <c r="B195" s="32" t="s">
        <v>97</v>
      </c>
      <c r="C195" s="32" t="s">
        <v>90</v>
      </c>
      <c r="D195" s="33" t="s">
        <v>88</v>
      </c>
      <c r="E195" s="34" t="n">
        <v>2.75</v>
      </c>
      <c r="F195" s="32"/>
      <c r="G195" s="35" t="n">
        <f aca="false">IF(A195="","",A195+7-WEEKDAY(A195))</f>
        <v>46221</v>
      </c>
      <c r="H195" s="36" t="n">
        <f aca="false">IF(A195="","",DATE(YEAR(A195),MONTH(A195),1))</f>
        <v>46204</v>
      </c>
      <c r="I195" s="37" t="str">
        <f aca="false">IF(B195="","",IFERROR(INDEX(st_ID,MATCH(B195,st_Name,0)),"Unknown"))</f>
        <v>QP-02</v>
      </c>
      <c r="J195" s="37" t="str">
        <f aca="false">IF(C195="","",IFERROR(INDEX(cl_Code,MATCH(C195,cl_Name,0)),"Unknown"))</f>
        <v>BSE</v>
      </c>
      <c r="K195" s="37" t="str">
        <f aca="false">IF(D195="","",IFERROR(INDEX(rt_Billable,MATCH(D195,rt_Code,0)),"Unknown"))</f>
        <v>Yes</v>
      </c>
      <c r="L195" s="38" t="n">
        <f aca="false">IF(K195&lt;&gt;"Yes","",IFERROR(INDEX(cr_Rate,MATCH(J195&amp;"|"&amp;D195,cr_Key,0)),INDEX(rt_Rate,MATCH(D195,rt_Code,0))))</f>
        <v>104</v>
      </c>
      <c r="M195" s="25" t="n">
        <f aca="false">IF(L195="","",ROUND(N(E195)*L195,2))</f>
        <v>286</v>
      </c>
      <c r="N195" s="39" t="n">
        <f aca="false">IF(OR(A195="",B195=""),"",SUMIFS(tl_Hours,tl_StaffID,I195,tl_Date,A195))</f>
        <v>8</v>
      </c>
      <c r="O195" s="40" t="str">
        <f aca="false">IF(A195&amp;B195&amp;D195="","",IF(OR(A195="",B195="",D195="",E195=""),"Incomplete",IF(K195="Unknown","Unknown code",IF(AND(K195="Yes",C195=""),"Billable, needs client",IF(N195&gt;MaxDayHours,"Over "&amp;MaxDayHours&amp;" hours that day","")))))</f>
        <v/>
      </c>
    </row>
    <row r="196" customFormat="false" ht="15" hidden="false" customHeight="false" outlineLevel="0" collapsed="false">
      <c r="A196" s="31" t="n">
        <v>46216</v>
      </c>
      <c r="B196" s="32" t="s">
        <v>97</v>
      </c>
      <c r="C196" s="32" t="s">
        <v>90</v>
      </c>
      <c r="D196" s="33" t="s">
        <v>92</v>
      </c>
      <c r="E196" s="34" t="n">
        <v>2</v>
      </c>
      <c r="F196" s="32"/>
      <c r="G196" s="35" t="n">
        <f aca="false">IF(A196="","",A196+7-WEEKDAY(A196))</f>
        <v>46221</v>
      </c>
      <c r="H196" s="36" t="n">
        <f aca="false">IF(A196="","",DATE(YEAR(A196),MONTH(A196),1))</f>
        <v>46204</v>
      </c>
      <c r="I196" s="37" t="str">
        <f aca="false">IF(B196="","",IFERROR(INDEX(st_ID,MATCH(B196,st_Name,0)),"Unknown"))</f>
        <v>QP-02</v>
      </c>
      <c r="J196" s="37" t="str">
        <f aca="false">IF(C196="","",IFERROR(INDEX(cl_Code,MATCH(C196,cl_Name,0)),"Unknown"))</f>
        <v>BSE</v>
      </c>
      <c r="K196" s="37" t="str">
        <f aca="false">IF(D196="","",IFERROR(INDEX(rt_Billable,MATCH(D196,rt_Code,0)),"Unknown"))</f>
        <v>Yes</v>
      </c>
      <c r="L196" s="38" t="n">
        <f aca="false">IF(K196&lt;&gt;"Yes","",IFERROR(INDEX(cr_Rate,MATCH(J196&amp;"|"&amp;D196,cr_Key,0)),INDEX(rt_Rate,MATCH(D196,rt_Code,0))))</f>
        <v>145</v>
      </c>
      <c r="M196" s="25" t="n">
        <f aca="false">IF(L196="","",ROUND(N(E196)*L196,2))</f>
        <v>290</v>
      </c>
      <c r="N196" s="39" t="n">
        <f aca="false">IF(OR(A196="",B196=""),"",SUMIFS(tl_Hours,tl_StaffID,I196,tl_Date,A196))</f>
        <v>8</v>
      </c>
      <c r="O196" s="40" t="str">
        <f aca="false">IF(A196&amp;B196&amp;D196="","",IF(OR(A196="",B196="",D196="",E196=""),"Incomplete",IF(K196="Unknown","Unknown code",IF(AND(K196="Yes",C196=""),"Billable, needs client",IF(N196&gt;MaxDayHours,"Over "&amp;MaxDayHours&amp;" hours that day","")))))</f>
        <v/>
      </c>
    </row>
    <row r="197" customFormat="false" ht="15" hidden="false" customHeight="false" outlineLevel="0" collapsed="false">
      <c r="A197" s="31" t="n">
        <v>46216</v>
      </c>
      <c r="B197" s="32" t="s">
        <v>97</v>
      </c>
      <c r="C197" s="32"/>
      <c r="D197" s="33" t="s">
        <v>96</v>
      </c>
      <c r="E197" s="34" t="n">
        <v>3.25</v>
      </c>
      <c r="F197" s="32"/>
      <c r="G197" s="35" t="n">
        <f aca="false">IF(A197="","",A197+7-WEEKDAY(A197))</f>
        <v>46221</v>
      </c>
      <c r="H197" s="36" t="n">
        <f aca="false">IF(A197="","",DATE(YEAR(A197),MONTH(A197),1))</f>
        <v>46204</v>
      </c>
      <c r="I197" s="37" t="str">
        <f aca="false">IF(B197="","",IFERROR(INDEX(st_ID,MATCH(B197,st_Name,0)),"Unknown"))</f>
        <v>QP-02</v>
      </c>
      <c r="J197" s="37" t="str">
        <f aca="false">IF(C197="","",IFERROR(INDEX(cl_Code,MATCH(C197,cl_Name,0)),"Unknown"))</f>
        <v/>
      </c>
      <c r="K197" s="37" t="str">
        <f aca="false">IF(D197="","",IFERROR(INDEX(rt_Billable,MATCH(D197,rt_Code,0)),"Unknown"))</f>
        <v>No</v>
      </c>
      <c r="L197" s="38" t="str">
        <f aca="false">IF(K197&lt;&gt;"Yes","",IFERROR(INDEX(cr_Rate,MATCH(J197&amp;"|"&amp;D197,cr_Key,0)),INDEX(rt_Rate,MATCH(D197,rt_Code,0))))</f>
        <v/>
      </c>
      <c r="M197" s="25" t="str">
        <f aca="false">IF(L197="","",ROUND(N(E197)*L197,2))</f>
        <v/>
      </c>
      <c r="N197" s="39" t="n">
        <f aca="false">IF(OR(A197="",B197=""),"",SUMIFS(tl_Hours,tl_StaffID,I197,tl_Date,A197))</f>
        <v>8</v>
      </c>
      <c r="O197" s="40" t="str">
        <f aca="false">IF(A197&amp;B197&amp;D197="","",IF(OR(A197="",B197="",D197="",E197=""),"Incomplete",IF(K197="Unknown","Unknown code",IF(AND(K197="Yes",C197=""),"Billable, needs client",IF(N197&gt;MaxDayHours,"Over "&amp;MaxDayHours&amp;" hours that day","")))))</f>
        <v/>
      </c>
    </row>
    <row r="198" customFormat="false" ht="15" hidden="false" customHeight="false" outlineLevel="0" collapsed="false">
      <c r="A198" s="31" t="n">
        <v>46216</v>
      </c>
      <c r="B198" s="32" t="s">
        <v>101</v>
      </c>
      <c r="C198" s="32" t="s">
        <v>87</v>
      </c>
      <c r="D198" s="33" t="s">
        <v>104</v>
      </c>
      <c r="E198" s="34" t="n">
        <v>3</v>
      </c>
      <c r="F198" s="32"/>
      <c r="G198" s="35" t="n">
        <f aca="false">IF(A198="","",A198+7-WEEKDAY(A198))</f>
        <v>46221</v>
      </c>
      <c r="H198" s="36" t="n">
        <f aca="false">IF(A198="","",DATE(YEAR(A198),MONTH(A198),1))</f>
        <v>46204</v>
      </c>
      <c r="I198" s="37" t="str">
        <f aca="false">IF(B198="","",IFERROR(INDEX(st_ID,MATCH(B198,st_Name,0)),"Unknown"))</f>
        <v>QP-04</v>
      </c>
      <c r="J198" s="37" t="str">
        <f aca="false">IF(C198="","",IFERROR(INDEX(cl_Code,MATCH(C198,cl_Name,0)),"Unknown"))</f>
        <v>HCS</v>
      </c>
      <c r="K198" s="37" t="str">
        <f aca="false">IF(D198="","",IFERROR(INDEX(rt_Billable,MATCH(D198,rt_Code,0)),"Unknown"))</f>
        <v>Yes</v>
      </c>
      <c r="L198" s="38" t="n">
        <f aca="false">IF(K198&lt;&gt;"Yes","",IFERROR(INDEX(cr_Rate,MATCH(J198&amp;"|"&amp;D198,cr_Key,0)),INDEX(rt_Rate,MATCH(D198,rt_Code,0))))</f>
        <v>62</v>
      </c>
      <c r="M198" s="25" t="n">
        <f aca="false">IF(L198="","",ROUND(N(E198)*L198,2))</f>
        <v>186</v>
      </c>
      <c r="N198" s="39" t="n">
        <f aca="false">IF(OR(A198="",B198=""),"",SUMIFS(tl_Hours,tl_StaffID,I198,tl_Date,A198))</f>
        <v>8</v>
      </c>
      <c r="O198" s="40" t="str">
        <f aca="false">IF(A198&amp;B198&amp;D198="","",IF(OR(A198="",B198="",D198="",E198=""),"Incomplete",IF(K198="Unknown","Unknown code",IF(AND(K198="Yes",C198=""),"Billable, needs client",IF(N198&gt;MaxDayHours,"Over "&amp;MaxDayHours&amp;" hours that day","")))))</f>
        <v/>
      </c>
    </row>
    <row r="199" customFormat="false" ht="15" hidden="false" customHeight="false" outlineLevel="0" collapsed="false">
      <c r="A199" s="31" t="n">
        <v>46216</v>
      </c>
      <c r="B199" s="32" t="s">
        <v>101</v>
      </c>
      <c r="C199" s="32" t="s">
        <v>87</v>
      </c>
      <c r="D199" s="33" t="s">
        <v>92</v>
      </c>
      <c r="E199" s="34" t="n">
        <v>1.25</v>
      </c>
      <c r="F199" s="32"/>
      <c r="G199" s="35" t="n">
        <f aca="false">IF(A199="","",A199+7-WEEKDAY(A199))</f>
        <v>46221</v>
      </c>
      <c r="H199" s="36" t="n">
        <f aca="false">IF(A199="","",DATE(YEAR(A199),MONTH(A199),1))</f>
        <v>46204</v>
      </c>
      <c r="I199" s="37" t="str">
        <f aca="false">IF(B199="","",IFERROR(INDEX(st_ID,MATCH(B199,st_Name,0)),"Unknown"))</f>
        <v>QP-04</v>
      </c>
      <c r="J199" s="37" t="str">
        <f aca="false">IF(C199="","",IFERROR(INDEX(cl_Code,MATCH(C199,cl_Name,0)),"Unknown"))</f>
        <v>HCS</v>
      </c>
      <c r="K199" s="37" t="str">
        <f aca="false">IF(D199="","",IFERROR(INDEX(rt_Billable,MATCH(D199,rt_Code,0)),"Unknown"))</f>
        <v>Yes</v>
      </c>
      <c r="L199" s="38" t="n">
        <f aca="false">IF(K199&lt;&gt;"Yes","",IFERROR(INDEX(cr_Rate,MATCH(J199&amp;"|"&amp;D199,cr_Key,0)),INDEX(rt_Rate,MATCH(D199,rt_Code,0))))</f>
        <v>140</v>
      </c>
      <c r="M199" s="25" t="n">
        <f aca="false">IF(L199="","",ROUND(N(E199)*L199,2))</f>
        <v>175</v>
      </c>
      <c r="N199" s="39" t="n">
        <f aca="false">IF(OR(A199="",B199=""),"",SUMIFS(tl_Hours,tl_StaffID,I199,tl_Date,A199))</f>
        <v>8</v>
      </c>
      <c r="O199" s="40" t="str">
        <f aca="false">IF(A199&amp;B199&amp;D199="","",IF(OR(A199="",B199="",D199="",E199=""),"Incomplete",IF(K199="Unknown","Unknown code",IF(AND(K199="Yes",C199=""),"Billable, needs client",IF(N199&gt;MaxDayHours,"Over "&amp;MaxDayHours&amp;" hours that day","")))))</f>
        <v/>
      </c>
    </row>
    <row r="200" customFormat="false" ht="15" hidden="false" customHeight="false" outlineLevel="0" collapsed="false">
      <c r="A200" s="31" t="n">
        <v>46216</v>
      </c>
      <c r="B200" s="32" t="s">
        <v>101</v>
      </c>
      <c r="C200" s="32"/>
      <c r="D200" s="33" t="s">
        <v>96</v>
      </c>
      <c r="E200" s="34" t="n">
        <v>3.75</v>
      </c>
      <c r="F200" s="32"/>
      <c r="G200" s="35" t="n">
        <f aca="false">IF(A200="","",A200+7-WEEKDAY(A200))</f>
        <v>46221</v>
      </c>
      <c r="H200" s="36" t="n">
        <f aca="false">IF(A200="","",DATE(YEAR(A200),MONTH(A200),1))</f>
        <v>46204</v>
      </c>
      <c r="I200" s="37" t="str">
        <f aca="false">IF(B200="","",IFERROR(INDEX(st_ID,MATCH(B200,st_Name,0)),"Unknown"))</f>
        <v>QP-04</v>
      </c>
      <c r="J200" s="37" t="str">
        <f aca="false">IF(C200="","",IFERROR(INDEX(cl_Code,MATCH(C200,cl_Name,0)),"Unknown"))</f>
        <v/>
      </c>
      <c r="K200" s="37" t="str">
        <f aca="false">IF(D200="","",IFERROR(INDEX(rt_Billable,MATCH(D200,rt_Code,0)),"Unknown"))</f>
        <v>No</v>
      </c>
      <c r="L200" s="38" t="str">
        <f aca="false">IF(K200&lt;&gt;"Yes","",IFERROR(INDEX(cr_Rate,MATCH(J200&amp;"|"&amp;D200,cr_Key,0)),INDEX(rt_Rate,MATCH(D200,rt_Code,0))))</f>
        <v/>
      </c>
      <c r="M200" s="25" t="str">
        <f aca="false">IF(L200="","",ROUND(N(E200)*L200,2))</f>
        <v/>
      </c>
      <c r="N200" s="39" t="n">
        <f aca="false">IF(OR(A200="",B200=""),"",SUMIFS(tl_Hours,tl_StaffID,I200,tl_Date,A200))</f>
        <v>8</v>
      </c>
      <c r="O200" s="40" t="str">
        <f aca="false">IF(A200&amp;B200&amp;D200="","",IF(OR(A200="",B200="",D200="",E200=""),"Incomplete",IF(K200="Unknown","Unknown code",IF(AND(K200="Yes",C200=""),"Billable, needs client",IF(N200&gt;MaxDayHours,"Over "&amp;MaxDayHours&amp;" hours that day","")))))</f>
        <v/>
      </c>
    </row>
    <row r="201" customFormat="false" ht="15" hidden="false" customHeight="false" outlineLevel="0" collapsed="false">
      <c r="A201" s="31" t="n">
        <v>46216</v>
      </c>
      <c r="B201" s="32" t="s">
        <v>103</v>
      </c>
      <c r="C201" s="32" t="s">
        <v>90</v>
      </c>
      <c r="D201" s="33" t="s">
        <v>91</v>
      </c>
      <c r="E201" s="34" t="n">
        <v>3.5</v>
      </c>
      <c r="F201" s="32"/>
      <c r="G201" s="35" t="n">
        <f aca="false">IF(A201="","",A201+7-WEEKDAY(A201))</f>
        <v>46221</v>
      </c>
      <c r="H201" s="36" t="n">
        <f aca="false">IF(A201="","",DATE(YEAR(A201),MONTH(A201),1))</f>
        <v>46204</v>
      </c>
      <c r="I201" s="37" t="str">
        <f aca="false">IF(B201="","",IFERROR(INDEX(st_ID,MATCH(B201,st_Name,0)),"Unknown"))</f>
        <v>QP-05</v>
      </c>
      <c r="J201" s="37" t="str">
        <f aca="false">IF(C201="","",IFERROR(INDEX(cl_Code,MATCH(C201,cl_Name,0)),"Unknown"))</f>
        <v>BSE</v>
      </c>
      <c r="K201" s="37" t="str">
        <f aca="false">IF(D201="","",IFERROR(INDEX(rt_Billable,MATCH(D201,rt_Code,0)),"Unknown"))</f>
        <v>Yes</v>
      </c>
      <c r="L201" s="38" t="n">
        <f aca="false">IF(K201&lt;&gt;"Yes","",IFERROR(INDEX(cr_Rate,MATCH(J201&amp;"|"&amp;D201,cr_Key,0)),INDEX(rt_Rate,MATCH(D201,rt_Code,0))))</f>
        <v>100</v>
      </c>
      <c r="M201" s="25" t="n">
        <f aca="false">IF(L201="","",ROUND(N(E201)*L201,2))</f>
        <v>350</v>
      </c>
      <c r="N201" s="39" t="n">
        <f aca="false">IF(OR(A201="",B201=""),"",SUMIFS(tl_Hours,tl_StaffID,I201,tl_Date,A201))</f>
        <v>8</v>
      </c>
      <c r="O201" s="40" t="str">
        <f aca="false">IF(A201&amp;B201&amp;D201="","",IF(OR(A201="",B201="",D201="",E201=""),"Incomplete",IF(K201="Unknown","Unknown code",IF(AND(K201="Yes",C201=""),"Billable, needs client",IF(N201&gt;MaxDayHours,"Over "&amp;MaxDayHours&amp;" hours that day","")))))</f>
        <v/>
      </c>
    </row>
    <row r="202" customFormat="false" ht="15" hidden="false" customHeight="false" outlineLevel="0" collapsed="false">
      <c r="A202" s="31" t="n">
        <v>46216</v>
      </c>
      <c r="B202" s="32" t="s">
        <v>103</v>
      </c>
      <c r="C202" s="32" t="s">
        <v>90</v>
      </c>
      <c r="D202" s="33" t="s">
        <v>89</v>
      </c>
      <c r="E202" s="34" t="n">
        <v>0.5</v>
      </c>
      <c r="F202" s="32"/>
      <c r="G202" s="35" t="n">
        <f aca="false">IF(A202="","",A202+7-WEEKDAY(A202))</f>
        <v>46221</v>
      </c>
      <c r="H202" s="36" t="n">
        <f aca="false">IF(A202="","",DATE(YEAR(A202),MONTH(A202),1))</f>
        <v>46204</v>
      </c>
      <c r="I202" s="37" t="str">
        <f aca="false">IF(B202="","",IFERROR(INDEX(st_ID,MATCH(B202,st_Name,0)),"Unknown"))</f>
        <v>QP-05</v>
      </c>
      <c r="J202" s="37" t="str">
        <f aca="false">IF(C202="","",IFERROR(INDEX(cl_Code,MATCH(C202,cl_Name,0)),"Unknown"))</f>
        <v>BSE</v>
      </c>
      <c r="K202" s="37" t="str">
        <f aca="false">IF(D202="","",IFERROR(INDEX(rt_Billable,MATCH(D202,rt_Code,0)),"Unknown"))</f>
        <v>Yes</v>
      </c>
      <c r="L202" s="38" t="n">
        <f aca="false">IF(K202&lt;&gt;"Yes","",IFERROR(INDEX(cr_Rate,MATCH(J202&amp;"|"&amp;D202,cr_Key,0)),INDEX(rt_Rate,MATCH(D202,rt_Code,0))))</f>
        <v>95</v>
      </c>
      <c r="M202" s="25" t="n">
        <f aca="false">IF(L202="","",ROUND(N(E202)*L202,2))</f>
        <v>47.5</v>
      </c>
      <c r="N202" s="39" t="n">
        <f aca="false">IF(OR(A202="",B202=""),"",SUMIFS(tl_Hours,tl_StaffID,I202,tl_Date,A202))</f>
        <v>8</v>
      </c>
      <c r="O202" s="40" t="str">
        <f aca="false">IF(A202&amp;B202&amp;D202="","",IF(OR(A202="",B202="",D202="",E202=""),"Incomplete",IF(K202="Unknown","Unknown code",IF(AND(K202="Yes",C202=""),"Billable, needs client",IF(N202&gt;MaxDayHours,"Over "&amp;MaxDayHours&amp;" hours that day","")))))</f>
        <v/>
      </c>
    </row>
    <row r="203" customFormat="false" ht="15" hidden="false" customHeight="false" outlineLevel="0" collapsed="false">
      <c r="A203" s="31" t="n">
        <v>46216</v>
      </c>
      <c r="B203" s="32" t="s">
        <v>103</v>
      </c>
      <c r="C203" s="32"/>
      <c r="D203" s="33" t="s">
        <v>96</v>
      </c>
      <c r="E203" s="34" t="n">
        <v>4</v>
      </c>
      <c r="F203" s="32"/>
      <c r="G203" s="35" t="n">
        <f aca="false">IF(A203="","",A203+7-WEEKDAY(A203))</f>
        <v>46221</v>
      </c>
      <c r="H203" s="36" t="n">
        <f aca="false">IF(A203="","",DATE(YEAR(A203),MONTH(A203),1))</f>
        <v>46204</v>
      </c>
      <c r="I203" s="37" t="str">
        <f aca="false">IF(B203="","",IFERROR(INDEX(st_ID,MATCH(B203,st_Name,0)),"Unknown"))</f>
        <v>QP-05</v>
      </c>
      <c r="J203" s="37" t="str">
        <f aca="false">IF(C203="","",IFERROR(INDEX(cl_Code,MATCH(C203,cl_Name,0)),"Unknown"))</f>
        <v/>
      </c>
      <c r="K203" s="37" t="str">
        <f aca="false">IF(D203="","",IFERROR(INDEX(rt_Billable,MATCH(D203,rt_Code,0)),"Unknown"))</f>
        <v>No</v>
      </c>
      <c r="L203" s="38" t="str">
        <f aca="false">IF(K203&lt;&gt;"Yes","",IFERROR(INDEX(cr_Rate,MATCH(J203&amp;"|"&amp;D203,cr_Key,0)),INDEX(rt_Rate,MATCH(D203,rt_Code,0))))</f>
        <v/>
      </c>
      <c r="M203" s="25" t="str">
        <f aca="false">IF(L203="","",ROUND(N(E203)*L203,2))</f>
        <v/>
      </c>
      <c r="N203" s="39" t="n">
        <f aca="false">IF(OR(A203="",B203=""),"",SUMIFS(tl_Hours,tl_StaffID,I203,tl_Date,A203))</f>
        <v>8</v>
      </c>
      <c r="O203" s="40" t="str">
        <f aca="false">IF(A203&amp;B203&amp;D203="","",IF(OR(A203="",B203="",D203="",E203=""),"Incomplete",IF(K203="Unknown","Unknown code",IF(AND(K203="Yes",C203=""),"Billable, needs client",IF(N203&gt;MaxDayHours,"Over "&amp;MaxDayHours&amp;" hours that day","")))))</f>
        <v/>
      </c>
    </row>
    <row r="204" customFormat="false" ht="15" hidden="false" customHeight="false" outlineLevel="0" collapsed="false">
      <c r="A204" s="31" t="n">
        <v>46216</v>
      </c>
      <c r="B204" s="32" t="s">
        <v>105</v>
      </c>
      <c r="C204" s="32" t="s">
        <v>90</v>
      </c>
      <c r="D204" s="33" t="s">
        <v>88</v>
      </c>
      <c r="E204" s="34" t="n">
        <v>2.25</v>
      </c>
      <c r="F204" s="32"/>
      <c r="G204" s="35" t="n">
        <f aca="false">IF(A204="","",A204+7-WEEKDAY(A204))</f>
        <v>46221</v>
      </c>
      <c r="H204" s="36" t="n">
        <f aca="false">IF(A204="","",DATE(YEAR(A204),MONTH(A204),1))</f>
        <v>46204</v>
      </c>
      <c r="I204" s="37" t="str">
        <f aca="false">IF(B204="","",IFERROR(INDEX(st_ID,MATCH(B204,st_Name,0)),"Unknown"))</f>
        <v>QP-06</v>
      </c>
      <c r="J204" s="37" t="str">
        <f aca="false">IF(C204="","",IFERROR(INDEX(cl_Code,MATCH(C204,cl_Name,0)),"Unknown"))</f>
        <v>BSE</v>
      </c>
      <c r="K204" s="37" t="str">
        <f aca="false">IF(D204="","",IFERROR(INDEX(rt_Billable,MATCH(D204,rt_Code,0)),"Unknown"))</f>
        <v>Yes</v>
      </c>
      <c r="L204" s="38" t="n">
        <f aca="false">IF(K204&lt;&gt;"Yes","",IFERROR(INDEX(cr_Rate,MATCH(J204&amp;"|"&amp;D204,cr_Key,0)),INDEX(rt_Rate,MATCH(D204,rt_Code,0))))</f>
        <v>104</v>
      </c>
      <c r="M204" s="25" t="n">
        <f aca="false">IF(L204="","",ROUND(N(E204)*L204,2))</f>
        <v>234</v>
      </c>
      <c r="N204" s="39" t="n">
        <f aca="false">IF(OR(A204="",B204=""),"",SUMIFS(tl_Hours,tl_StaffID,I204,tl_Date,A204))</f>
        <v>8</v>
      </c>
      <c r="O204" s="40" t="str">
        <f aca="false">IF(A204&amp;B204&amp;D204="","",IF(OR(A204="",B204="",D204="",E204=""),"Incomplete",IF(K204="Unknown","Unknown code",IF(AND(K204="Yes",C204=""),"Billable, needs client",IF(N204&gt;MaxDayHours,"Over "&amp;MaxDayHours&amp;" hours that day","")))))</f>
        <v/>
      </c>
    </row>
    <row r="205" customFormat="false" ht="15" hidden="false" customHeight="false" outlineLevel="0" collapsed="false">
      <c r="A205" s="31" t="n">
        <v>46216</v>
      </c>
      <c r="B205" s="32" t="s">
        <v>105</v>
      </c>
      <c r="C205" s="32" t="s">
        <v>90</v>
      </c>
      <c r="D205" s="33" t="s">
        <v>89</v>
      </c>
      <c r="E205" s="34" t="n">
        <v>1.75</v>
      </c>
      <c r="F205" s="32"/>
      <c r="G205" s="35" t="n">
        <f aca="false">IF(A205="","",A205+7-WEEKDAY(A205))</f>
        <v>46221</v>
      </c>
      <c r="H205" s="36" t="n">
        <f aca="false">IF(A205="","",DATE(YEAR(A205),MONTH(A205),1))</f>
        <v>46204</v>
      </c>
      <c r="I205" s="37" t="str">
        <f aca="false">IF(B205="","",IFERROR(INDEX(st_ID,MATCH(B205,st_Name,0)),"Unknown"))</f>
        <v>QP-06</v>
      </c>
      <c r="J205" s="37" t="str">
        <f aca="false">IF(C205="","",IFERROR(INDEX(cl_Code,MATCH(C205,cl_Name,0)),"Unknown"))</f>
        <v>BSE</v>
      </c>
      <c r="K205" s="37" t="str">
        <f aca="false">IF(D205="","",IFERROR(INDEX(rt_Billable,MATCH(D205,rt_Code,0)),"Unknown"))</f>
        <v>Yes</v>
      </c>
      <c r="L205" s="38" t="n">
        <f aca="false">IF(K205&lt;&gt;"Yes","",IFERROR(INDEX(cr_Rate,MATCH(J205&amp;"|"&amp;D205,cr_Key,0)),INDEX(rt_Rate,MATCH(D205,rt_Code,0))))</f>
        <v>95</v>
      </c>
      <c r="M205" s="25" t="n">
        <f aca="false">IF(L205="","",ROUND(N(E205)*L205,2))</f>
        <v>166.25</v>
      </c>
      <c r="N205" s="39" t="n">
        <f aca="false">IF(OR(A205="",B205=""),"",SUMIFS(tl_Hours,tl_StaffID,I205,tl_Date,A205))</f>
        <v>8</v>
      </c>
      <c r="O205" s="40" t="str">
        <f aca="false">IF(A205&amp;B205&amp;D205="","",IF(OR(A205="",B205="",D205="",E205=""),"Incomplete",IF(K205="Unknown","Unknown code",IF(AND(K205="Yes",C205=""),"Billable, needs client",IF(N205&gt;MaxDayHours,"Over "&amp;MaxDayHours&amp;" hours that day","")))))</f>
        <v/>
      </c>
    </row>
    <row r="206" customFormat="false" ht="15" hidden="false" customHeight="false" outlineLevel="0" collapsed="false">
      <c r="A206" s="31" t="n">
        <v>46216</v>
      </c>
      <c r="B206" s="32" t="s">
        <v>105</v>
      </c>
      <c r="C206" s="32"/>
      <c r="D206" s="33" t="s">
        <v>96</v>
      </c>
      <c r="E206" s="34" t="n">
        <v>4</v>
      </c>
      <c r="F206" s="32"/>
      <c r="G206" s="35" t="n">
        <f aca="false">IF(A206="","",A206+7-WEEKDAY(A206))</f>
        <v>46221</v>
      </c>
      <c r="H206" s="36" t="n">
        <f aca="false">IF(A206="","",DATE(YEAR(A206),MONTH(A206),1))</f>
        <v>46204</v>
      </c>
      <c r="I206" s="37" t="str">
        <f aca="false">IF(B206="","",IFERROR(INDEX(st_ID,MATCH(B206,st_Name,0)),"Unknown"))</f>
        <v>QP-06</v>
      </c>
      <c r="J206" s="37" t="str">
        <f aca="false">IF(C206="","",IFERROR(INDEX(cl_Code,MATCH(C206,cl_Name,0)),"Unknown"))</f>
        <v/>
      </c>
      <c r="K206" s="37" t="str">
        <f aca="false">IF(D206="","",IFERROR(INDEX(rt_Billable,MATCH(D206,rt_Code,0)),"Unknown"))</f>
        <v>No</v>
      </c>
      <c r="L206" s="38" t="str">
        <f aca="false">IF(K206&lt;&gt;"Yes","",IFERROR(INDEX(cr_Rate,MATCH(J206&amp;"|"&amp;D206,cr_Key,0)),INDEX(rt_Rate,MATCH(D206,rt_Code,0))))</f>
        <v/>
      </c>
      <c r="M206" s="25" t="str">
        <f aca="false">IF(L206="","",ROUND(N(E206)*L206,2))</f>
        <v/>
      </c>
      <c r="N206" s="39" t="n">
        <f aca="false">IF(OR(A206="",B206=""),"",SUMIFS(tl_Hours,tl_StaffID,I206,tl_Date,A206))</f>
        <v>8</v>
      </c>
      <c r="O206" s="40" t="str">
        <f aca="false">IF(A206&amp;B206&amp;D206="","",IF(OR(A206="",B206="",D206="",E206=""),"Incomplete",IF(K206="Unknown","Unknown code",IF(AND(K206="Yes",C206=""),"Billable, needs client",IF(N206&gt;MaxDayHours,"Over "&amp;MaxDayHours&amp;" hours that day","")))))</f>
        <v/>
      </c>
    </row>
    <row r="207" customFormat="false" ht="15" hidden="false" customHeight="false" outlineLevel="0" collapsed="false">
      <c r="A207" s="31" t="n">
        <v>46216</v>
      </c>
      <c r="B207" s="32" t="s">
        <v>106</v>
      </c>
      <c r="C207" s="32" t="s">
        <v>102</v>
      </c>
      <c r="D207" s="33" t="s">
        <v>104</v>
      </c>
      <c r="E207" s="34" t="n">
        <v>4.75</v>
      </c>
      <c r="F207" s="32"/>
      <c r="G207" s="35" t="n">
        <f aca="false">IF(A207="","",A207+7-WEEKDAY(A207))</f>
        <v>46221</v>
      </c>
      <c r="H207" s="36" t="n">
        <f aca="false">IF(A207="","",DATE(YEAR(A207),MONTH(A207),1))</f>
        <v>46204</v>
      </c>
      <c r="I207" s="37" t="str">
        <f aca="false">IF(B207="","",IFERROR(INDEX(st_ID,MATCH(B207,st_Name,0)),"Unknown"))</f>
        <v>QP-07</v>
      </c>
      <c r="J207" s="37" t="str">
        <f aca="false">IF(C207="","",IFERROR(INDEX(cl_Code,MATCH(C207,cl_Name,0)),"Unknown"))</f>
        <v>CLH</v>
      </c>
      <c r="K207" s="37" t="str">
        <f aca="false">IF(D207="","",IFERROR(INDEX(rt_Billable,MATCH(D207,rt_Code,0)),"Unknown"))</f>
        <v>Yes</v>
      </c>
      <c r="L207" s="38" t="n">
        <f aca="false">IF(K207&lt;&gt;"Yes","",IFERROR(INDEX(cr_Rate,MATCH(J207&amp;"|"&amp;D207,cr_Key,0)),INDEX(rt_Rate,MATCH(D207,rt_Code,0))))</f>
        <v>65</v>
      </c>
      <c r="M207" s="25" t="n">
        <f aca="false">IF(L207="","",ROUND(N(E207)*L207,2))</f>
        <v>308.75</v>
      </c>
      <c r="N207" s="39" t="n">
        <f aca="false">IF(OR(A207="",B207=""),"",SUMIFS(tl_Hours,tl_StaffID,I207,tl_Date,A207))</f>
        <v>8</v>
      </c>
      <c r="O207" s="40" t="str">
        <f aca="false">IF(A207&amp;B207&amp;D207="","",IF(OR(A207="",B207="",D207="",E207=""),"Incomplete",IF(K207="Unknown","Unknown code",IF(AND(K207="Yes",C207=""),"Billable, needs client",IF(N207&gt;MaxDayHours,"Over "&amp;MaxDayHours&amp;" hours that day","")))))</f>
        <v/>
      </c>
    </row>
    <row r="208" customFormat="false" ht="15" hidden="false" customHeight="false" outlineLevel="0" collapsed="false">
      <c r="A208" s="31" t="n">
        <v>46216</v>
      </c>
      <c r="B208" s="32" t="s">
        <v>106</v>
      </c>
      <c r="C208" s="32"/>
      <c r="D208" s="33" t="s">
        <v>96</v>
      </c>
      <c r="E208" s="34" t="n">
        <v>3.25</v>
      </c>
      <c r="F208" s="32"/>
      <c r="G208" s="35" t="n">
        <f aca="false">IF(A208="","",A208+7-WEEKDAY(A208))</f>
        <v>46221</v>
      </c>
      <c r="H208" s="36" t="n">
        <f aca="false">IF(A208="","",DATE(YEAR(A208),MONTH(A208),1))</f>
        <v>46204</v>
      </c>
      <c r="I208" s="37" t="str">
        <f aca="false">IF(B208="","",IFERROR(INDEX(st_ID,MATCH(B208,st_Name,0)),"Unknown"))</f>
        <v>QP-07</v>
      </c>
      <c r="J208" s="37" t="str">
        <f aca="false">IF(C208="","",IFERROR(INDEX(cl_Code,MATCH(C208,cl_Name,0)),"Unknown"))</f>
        <v/>
      </c>
      <c r="K208" s="37" t="str">
        <f aca="false">IF(D208="","",IFERROR(INDEX(rt_Billable,MATCH(D208,rt_Code,0)),"Unknown"))</f>
        <v>No</v>
      </c>
      <c r="L208" s="38" t="str">
        <f aca="false">IF(K208&lt;&gt;"Yes","",IFERROR(INDEX(cr_Rate,MATCH(J208&amp;"|"&amp;D208,cr_Key,0)),INDEX(rt_Rate,MATCH(D208,rt_Code,0))))</f>
        <v/>
      </c>
      <c r="M208" s="25" t="str">
        <f aca="false">IF(L208="","",ROUND(N(E208)*L208,2))</f>
        <v/>
      </c>
      <c r="N208" s="39" t="n">
        <f aca="false">IF(OR(A208="",B208=""),"",SUMIFS(tl_Hours,tl_StaffID,I208,tl_Date,A208))</f>
        <v>8</v>
      </c>
      <c r="O208" s="40" t="str">
        <f aca="false">IF(A208&amp;B208&amp;D208="","",IF(OR(A208="",B208="",D208="",E208=""),"Incomplete",IF(K208="Unknown","Unknown code",IF(AND(K208="Yes",C208=""),"Billable, needs client",IF(N208&gt;MaxDayHours,"Over "&amp;MaxDayHours&amp;" hours that day","")))))</f>
        <v/>
      </c>
    </row>
    <row r="209" customFormat="false" ht="15" hidden="false" customHeight="false" outlineLevel="0" collapsed="false">
      <c r="A209" s="31" t="n">
        <v>46216</v>
      </c>
      <c r="B209" s="32" t="s">
        <v>107</v>
      </c>
      <c r="C209" s="32"/>
      <c r="D209" s="33" t="s">
        <v>108</v>
      </c>
      <c r="E209" s="34" t="n">
        <v>6.5</v>
      </c>
      <c r="F209" s="32"/>
      <c r="G209" s="35" t="n">
        <f aca="false">IF(A209="","",A209+7-WEEKDAY(A209))</f>
        <v>46221</v>
      </c>
      <c r="H209" s="36" t="n">
        <f aca="false">IF(A209="","",DATE(YEAR(A209),MONTH(A209),1))</f>
        <v>46204</v>
      </c>
      <c r="I209" s="37" t="str">
        <f aca="false">IF(B209="","",IFERROR(INDEX(st_ID,MATCH(B209,st_Name,0)),"Unknown"))</f>
        <v>QP-08</v>
      </c>
      <c r="J209" s="37" t="str">
        <f aca="false">IF(C209="","",IFERROR(INDEX(cl_Code,MATCH(C209,cl_Name,0)),"Unknown"))</f>
        <v/>
      </c>
      <c r="K209" s="37" t="str">
        <f aca="false">IF(D209="","",IFERROR(INDEX(rt_Billable,MATCH(D209,rt_Code,0)),"Unknown"))</f>
        <v>No</v>
      </c>
      <c r="L209" s="38" t="str">
        <f aca="false">IF(K209&lt;&gt;"Yes","",IFERROR(INDEX(cr_Rate,MATCH(J209&amp;"|"&amp;D209,cr_Key,0)),INDEX(rt_Rate,MATCH(D209,rt_Code,0))))</f>
        <v/>
      </c>
      <c r="M209" s="25" t="str">
        <f aca="false">IF(L209="","",ROUND(N(E209)*L209,2))</f>
        <v/>
      </c>
      <c r="N209" s="39" t="n">
        <f aca="false">IF(OR(A209="",B209=""),"",SUMIFS(tl_Hours,tl_StaffID,I209,tl_Date,A209))</f>
        <v>8</v>
      </c>
      <c r="O209" s="40" t="str">
        <f aca="false">IF(A209&amp;B209&amp;D209="","",IF(OR(A209="",B209="",D209="",E209=""),"Incomplete",IF(K209="Unknown","Unknown code",IF(AND(K209="Yes",C209=""),"Billable, needs client",IF(N209&gt;MaxDayHours,"Over "&amp;MaxDayHours&amp;" hours that day","")))))</f>
        <v/>
      </c>
    </row>
    <row r="210" customFormat="false" ht="15" hidden="false" customHeight="false" outlineLevel="0" collapsed="false">
      <c r="A210" s="31" t="n">
        <v>46216</v>
      </c>
      <c r="B210" s="32" t="s">
        <v>107</v>
      </c>
      <c r="C210" s="32"/>
      <c r="D210" s="33" t="s">
        <v>98</v>
      </c>
      <c r="E210" s="34" t="n">
        <v>1.5</v>
      </c>
      <c r="F210" s="32"/>
      <c r="G210" s="35" t="n">
        <f aca="false">IF(A210="","",A210+7-WEEKDAY(A210))</f>
        <v>46221</v>
      </c>
      <c r="H210" s="36" t="n">
        <f aca="false">IF(A210="","",DATE(YEAR(A210),MONTH(A210),1))</f>
        <v>46204</v>
      </c>
      <c r="I210" s="37" t="str">
        <f aca="false">IF(B210="","",IFERROR(INDEX(st_ID,MATCH(B210,st_Name,0)),"Unknown"))</f>
        <v>QP-08</v>
      </c>
      <c r="J210" s="37" t="str">
        <f aca="false">IF(C210="","",IFERROR(INDEX(cl_Code,MATCH(C210,cl_Name,0)),"Unknown"))</f>
        <v/>
      </c>
      <c r="K210" s="37" t="str">
        <f aca="false">IF(D210="","",IFERROR(INDEX(rt_Billable,MATCH(D210,rt_Code,0)),"Unknown"))</f>
        <v>No</v>
      </c>
      <c r="L210" s="38" t="str">
        <f aca="false">IF(K210&lt;&gt;"Yes","",IFERROR(INDEX(cr_Rate,MATCH(J210&amp;"|"&amp;D210,cr_Key,0)),INDEX(rt_Rate,MATCH(D210,rt_Code,0))))</f>
        <v/>
      </c>
      <c r="M210" s="25" t="str">
        <f aca="false">IF(L210="","",ROUND(N(E210)*L210,2))</f>
        <v/>
      </c>
      <c r="N210" s="39" t="n">
        <f aca="false">IF(OR(A210="",B210=""),"",SUMIFS(tl_Hours,tl_StaffID,I210,tl_Date,A210))</f>
        <v>8</v>
      </c>
      <c r="O210" s="40" t="str">
        <f aca="false">IF(A210&amp;B210&amp;D210="","",IF(OR(A210="",B210="",D210="",E210=""),"Incomplete",IF(K210="Unknown","Unknown code",IF(AND(K210="Yes",C210=""),"Billable, needs client",IF(N210&gt;MaxDayHours,"Over "&amp;MaxDayHours&amp;" hours that day","")))))</f>
        <v/>
      </c>
    </row>
    <row r="211" customFormat="false" ht="15" hidden="false" customHeight="false" outlineLevel="0" collapsed="false">
      <c r="A211" s="31" t="n">
        <v>46217</v>
      </c>
      <c r="B211" s="32" t="s">
        <v>86</v>
      </c>
      <c r="C211" s="32" t="s">
        <v>90</v>
      </c>
      <c r="D211" s="33" t="s">
        <v>88</v>
      </c>
      <c r="E211" s="34" t="n">
        <v>3.5</v>
      </c>
      <c r="F211" s="32"/>
      <c r="G211" s="35" t="n">
        <f aca="false">IF(A211="","",A211+7-WEEKDAY(A211))</f>
        <v>46221</v>
      </c>
      <c r="H211" s="36" t="n">
        <f aca="false">IF(A211="","",DATE(YEAR(A211),MONTH(A211),1))</f>
        <v>46204</v>
      </c>
      <c r="I211" s="37" t="str">
        <f aca="false">IF(B211="","",IFERROR(INDEX(st_ID,MATCH(B211,st_Name,0)),"Unknown"))</f>
        <v>QP-01</v>
      </c>
      <c r="J211" s="37" t="str">
        <f aca="false">IF(C211="","",IFERROR(INDEX(cl_Code,MATCH(C211,cl_Name,0)),"Unknown"))</f>
        <v>BSE</v>
      </c>
      <c r="K211" s="37" t="str">
        <f aca="false">IF(D211="","",IFERROR(INDEX(rt_Billable,MATCH(D211,rt_Code,0)),"Unknown"))</f>
        <v>Yes</v>
      </c>
      <c r="L211" s="38" t="n">
        <f aca="false">IF(K211&lt;&gt;"Yes","",IFERROR(INDEX(cr_Rate,MATCH(J211&amp;"|"&amp;D211,cr_Key,0)),INDEX(rt_Rate,MATCH(D211,rt_Code,0))))</f>
        <v>104</v>
      </c>
      <c r="M211" s="25" t="n">
        <f aca="false">IF(L211="","",ROUND(N(E211)*L211,2))</f>
        <v>364</v>
      </c>
      <c r="N211" s="39" t="n">
        <f aca="false">IF(OR(A211="",B211=""),"",SUMIFS(tl_Hours,tl_StaffID,I211,tl_Date,A211))</f>
        <v>8</v>
      </c>
      <c r="O211" s="40" t="str">
        <f aca="false">IF(A211&amp;B211&amp;D211="","",IF(OR(A211="",B211="",D211="",E211=""),"Incomplete",IF(K211="Unknown","Unknown code",IF(AND(K211="Yes",C211=""),"Billable, needs client",IF(N211&gt;MaxDayHours,"Over "&amp;MaxDayHours&amp;" hours that day","")))))</f>
        <v/>
      </c>
    </row>
    <row r="212" customFormat="false" ht="15" hidden="false" customHeight="false" outlineLevel="0" collapsed="false">
      <c r="A212" s="31" t="n">
        <v>46217</v>
      </c>
      <c r="B212" s="32" t="s">
        <v>86</v>
      </c>
      <c r="C212" s="32" t="s">
        <v>90</v>
      </c>
      <c r="D212" s="33" t="s">
        <v>89</v>
      </c>
      <c r="E212" s="34" t="n">
        <v>0.5</v>
      </c>
      <c r="F212" s="32"/>
      <c r="G212" s="35" t="n">
        <f aca="false">IF(A212="","",A212+7-WEEKDAY(A212))</f>
        <v>46221</v>
      </c>
      <c r="H212" s="36" t="n">
        <f aca="false">IF(A212="","",DATE(YEAR(A212),MONTH(A212),1))</f>
        <v>46204</v>
      </c>
      <c r="I212" s="37" t="str">
        <f aca="false">IF(B212="","",IFERROR(INDEX(st_ID,MATCH(B212,st_Name,0)),"Unknown"))</f>
        <v>QP-01</v>
      </c>
      <c r="J212" s="37" t="str">
        <f aca="false">IF(C212="","",IFERROR(INDEX(cl_Code,MATCH(C212,cl_Name,0)),"Unknown"))</f>
        <v>BSE</v>
      </c>
      <c r="K212" s="37" t="str">
        <f aca="false">IF(D212="","",IFERROR(INDEX(rt_Billable,MATCH(D212,rt_Code,0)),"Unknown"))</f>
        <v>Yes</v>
      </c>
      <c r="L212" s="38" t="n">
        <f aca="false">IF(K212&lt;&gt;"Yes","",IFERROR(INDEX(cr_Rate,MATCH(J212&amp;"|"&amp;D212,cr_Key,0)),INDEX(rt_Rate,MATCH(D212,rt_Code,0))))</f>
        <v>95</v>
      </c>
      <c r="M212" s="25" t="n">
        <f aca="false">IF(L212="","",ROUND(N(E212)*L212,2))</f>
        <v>47.5</v>
      </c>
      <c r="N212" s="39" t="n">
        <f aca="false">IF(OR(A212="",B212=""),"",SUMIFS(tl_Hours,tl_StaffID,I212,tl_Date,A212))</f>
        <v>8</v>
      </c>
      <c r="O212" s="40" t="str">
        <f aca="false">IF(A212&amp;B212&amp;D212="","",IF(OR(A212="",B212="",D212="",E212=""),"Incomplete",IF(K212="Unknown","Unknown code",IF(AND(K212="Yes",C212=""),"Billable, needs client",IF(N212&gt;MaxDayHours,"Over "&amp;MaxDayHours&amp;" hours that day","")))))</f>
        <v/>
      </c>
    </row>
    <row r="213" customFormat="false" ht="15" hidden="false" customHeight="false" outlineLevel="0" collapsed="false">
      <c r="A213" s="31" t="n">
        <v>46217</v>
      </c>
      <c r="B213" s="32" t="s">
        <v>86</v>
      </c>
      <c r="C213" s="32"/>
      <c r="D213" s="33" t="s">
        <v>94</v>
      </c>
      <c r="E213" s="34" t="n">
        <v>1.5</v>
      </c>
      <c r="F213" s="32" t="s">
        <v>95</v>
      </c>
      <c r="G213" s="35" t="n">
        <f aca="false">IF(A213="","",A213+7-WEEKDAY(A213))</f>
        <v>46221</v>
      </c>
      <c r="H213" s="36" t="n">
        <f aca="false">IF(A213="","",DATE(YEAR(A213),MONTH(A213),1))</f>
        <v>46204</v>
      </c>
      <c r="I213" s="37" t="str">
        <f aca="false">IF(B213="","",IFERROR(INDEX(st_ID,MATCH(B213,st_Name,0)),"Unknown"))</f>
        <v>QP-01</v>
      </c>
      <c r="J213" s="37" t="str">
        <f aca="false">IF(C213="","",IFERROR(INDEX(cl_Code,MATCH(C213,cl_Name,0)),"Unknown"))</f>
        <v/>
      </c>
      <c r="K213" s="37" t="str">
        <f aca="false">IF(D213="","",IFERROR(INDEX(rt_Billable,MATCH(D213,rt_Code,0)),"Unknown"))</f>
        <v>No</v>
      </c>
      <c r="L213" s="38" t="str">
        <f aca="false">IF(K213&lt;&gt;"Yes","",IFERROR(INDEX(cr_Rate,MATCH(J213&amp;"|"&amp;D213,cr_Key,0)),INDEX(rt_Rate,MATCH(D213,rt_Code,0))))</f>
        <v/>
      </c>
      <c r="M213" s="25" t="str">
        <f aca="false">IF(L213="","",ROUND(N(E213)*L213,2))</f>
        <v/>
      </c>
      <c r="N213" s="39" t="n">
        <f aca="false">IF(OR(A213="",B213=""),"",SUMIFS(tl_Hours,tl_StaffID,I213,tl_Date,A213))</f>
        <v>8</v>
      </c>
      <c r="O213" s="40" t="str">
        <f aca="false">IF(A213&amp;B213&amp;D213="","",IF(OR(A213="",B213="",D213="",E213=""),"Incomplete",IF(K213="Unknown","Unknown code",IF(AND(K213="Yes",C213=""),"Billable, needs client",IF(N213&gt;MaxDayHours,"Over "&amp;MaxDayHours&amp;" hours that day","")))))</f>
        <v/>
      </c>
    </row>
    <row r="214" customFormat="false" ht="15" hidden="false" customHeight="false" outlineLevel="0" collapsed="false">
      <c r="A214" s="31" t="n">
        <v>46217</v>
      </c>
      <c r="B214" s="32" t="s">
        <v>86</v>
      </c>
      <c r="C214" s="32"/>
      <c r="D214" s="33" t="s">
        <v>96</v>
      </c>
      <c r="E214" s="34" t="n">
        <v>2.5</v>
      </c>
      <c r="F214" s="32"/>
      <c r="G214" s="35" t="n">
        <f aca="false">IF(A214="","",A214+7-WEEKDAY(A214))</f>
        <v>46221</v>
      </c>
      <c r="H214" s="36" t="n">
        <f aca="false">IF(A214="","",DATE(YEAR(A214),MONTH(A214),1))</f>
        <v>46204</v>
      </c>
      <c r="I214" s="37" t="str">
        <f aca="false">IF(B214="","",IFERROR(INDEX(st_ID,MATCH(B214,st_Name,0)),"Unknown"))</f>
        <v>QP-01</v>
      </c>
      <c r="J214" s="37" t="str">
        <f aca="false">IF(C214="","",IFERROR(INDEX(cl_Code,MATCH(C214,cl_Name,0)),"Unknown"))</f>
        <v/>
      </c>
      <c r="K214" s="37" t="str">
        <f aca="false">IF(D214="","",IFERROR(INDEX(rt_Billable,MATCH(D214,rt_Code,0)),"Unknown"))</f>
        <v>No</v>
      </c>
      <c r="L214" s="38" t="str">
        <f aca="false">IF(K214&lt;&gt;"Yes","",IFERROR(INDEX(cr_Rate,MATCH(J214&amp;"|"&amp;D214,cr_Key,0)),INDEX(rt_Rate,MATCH(D214,rt_Code,0))))</f>
        <v/>
      </c>
      <c r="M214" s="25" t="str">
        <f aca="false">IF(L214="","",ROUND(N(E214)*L214,2))</f>
        <v/>
      </c>
      <c r="N214" s="39" t="n">
        <f aca="false">IF(OR(A214="",B214=""),"",SUMIFS(tl_Hours,tl_StaffID,I214,tl_Date,A214))</f>
        <v>8</v>
      </c>
      <c r="O214" s="40" t="str">
        <f aca="false">IF(A214&amp;B214&amp;D214="","",IF(OR(A214="",B214="",D214="",E214=""),"Incomplete",IF(K214="Unknown","Unknown code",IF(AND(K214="Yes",C214=""),"Billable, needs client",IF(N214&gt;MaxDayHours,"Over "&amp;MaxDayHours&amp;" hours that day","")))))</f>
        <v/>
      </c>
    </row>
    <row r="215" customFormat="false" ht="15" hidden="false" customHeight="false" outlineLevel="0" collapsed="false">
      <c r="A215" s="31" t="n">
        <v>46217</v>
      </c>
      <c r="B215" s="32" t="s">
        <v>97</v>
      </c>
      <c r="C215" s="32" t="s">
        <v>90</v>
      </c>
      <c r="D215" s="33" t="s">
        <v>88</v>
      </c>
      <c r="E215" s="34" t="n">
        <v>2.25</v>
      </c>
      <c r="F215" s="32"/>
      <c r="G215" s="35" t="n">
        <f aca="false">IF(A215="","",A215+7-WEEKDAY(A215))</f>
        <v>46221</v>
      </c>
      <c r="H215" s="36" t="n">
        <f aca="false">IF(A215="","",DATE(YEAR(A215),MONTH(A215),1))</f>
        <v>46204</v>
      </c>
      <c r="I215" s="37" t="str">
        <f aca="false">IF(B215="","",IFERROR(INDEX(st_ID,MATCH(B215,st_Name,0)),"Unknown"))</f>
        <v>QP-02</v>
      </c>
      <c r="J215" s="37" t="str">
        <f aca="false">IF(C215="","",IFERROR(INDEX(cl_Code,MATCH(C215,cl_Name,0)),"Unknown"))</f>
        <v>BSE</v>
      </c>
      <c r="K215" s="37" t="str">
        <f aca="false">IF(D215="","",IFERROR(INDEX(rt_Billable,MATCH(D215,rt_Code,0)),"Unknown"))</f>
        <v>Yes</v>
      </c>
      <c r="L215" s="38" t="n">
        <f aca="false">IF(K215&lt;&gt;"Yes","",IFERROR(INDEX(cr_Rate,MATCH(J215&amp;"|"&amp;D215,cr_Key,0)),INDEX(rt_Rate,MATCH(D215,rt_Code,0))))</f>
        <v>104</v>
      </c>
      <c r="M215" s="25" t="n">
        <f aca="false">IF(L215="","",ROUND(N(E215)*L215,2))</f>
        <v>234</v>
      </c>
      <c r="N215" s="39" t="n">
        <f aca="false">IF(OR(A215="",B215=""),"",SUMIFS(tl_Hours,tl_StaffID,I215,tl_Date,A215))</f>
        <v>8</v>
      </c>
      <c r="O215" s="40" t="str">
        <f aca="false">IF(A215&amp;B215&amp;D215="","",IF(OR(A215="",B215="",D215="",E215=""),"Incomplete",IF(K215="Unknown","Unknown code",IF(AND(K215="Yes",C215=""),"Billable, needs client",IF(N215&gt;MaxDayHours,"Over "&amp;MaxDayHours&amp;" hours that day","")))))</f>
        <v/>
      </c>
    </row>
    <row r="216" customFormat="false" ht="15" hidden="false" customHeight="false" outlineLevel="0" collapsed="false">
      <c r="A216" s="31" t="n">
        <v>46217</v>
      </c>
      <c r="B216" s="32" t="s">
        <v>97</v>
      </c>
      <c r="C216" s="32" t="s">
        <v>90</v>
      </c>
      <c r="D216" s="33" t="s">
        <v>89</v>
      </c>
      <c r="E216" s="34" t="n">
        <v>1.75</v>
      </c>
      <c r="F216" s="32"/>
      <c r="G216" s="35" t="n">
        <f aca="false">IF(A216="","",A216+7-WEEKDAY(A216))</f>
        <v>46221</v>
      </c>
      <c r="H216" s="36" t="n">
        <f aca="false">IF(A216="","",DATE(YEAR(A216),MONTH(A216),1))</f>
        <v>46204</v>
      </c>
      <c r="I216" s="37" t="str">
        <f aca="false">IF(B216="","",IFERROR(INDEX(st_ID,MATCH(B216,st_Name,0)),"Unknown"))</f>
        <v>QP-02</v>
      </c>
      <c r="J216" s="37" t="str">
        <f aca="false">IF(C216="","",IFERROR(INDEX(cl_Code,MATCH(C216,cl_Name,0)),"Unknown"))</f>
        <v>BSE</v>
      </c>
      <c r="K216" s="37" t="str">
        <f aca="false">IF(D216="","",IFERROR(INDEX(rt_Billable,MATCH(D216,rt_Code,0)),"Unknown"))</f>
        <v>Yes</v>
      </c>
      <c r="L216" s="38" t="n">
        <f aca="false">IF(K216&lt;&gt;"Yes","",IFERROR(INDEX(cr_Rate,MATCH(J216&amp;"|"&amp;D216,cr_Key,0)),INDEX(rt_Rate,MATCH(D216,rt_Code,0))))</f>
        <v>95</v>
      </c>
      <c r="M216" s="25" t="n">
        <f aca="false">IF(L216="","",ROUND(N(E216)*L216,2))</f>
        <v>166.25</v>
      </c>
      <c r="N216" s="39" t="n">
        <f aca="false">IF(OR(A216="",B216=""),"",SUMIFS(tl_Hours,tl_StaffID,I216,tl_Date,A216))</f>
        <v>8</v>
      </c>
      <c r="O216" s="40" t="str">
        <f aca="false">IF(A216&amp;B216&amp;D216="","",IF(OR(A216="",B216="",D216="",E216=""),"Incomplete",IF(K216="Unknown","Unknown code",IF(AND(K216="Yes",C216=""),"Billable, needs client",IF(N216&gt;MaxDayHours,"Over "&amp;MaxDayHours&amp;" hours that day","")))))</f>
        <v/>
      </c>
    </row>
    <row r="217" customFormat="false" ht="15" hidden="false" customHeight="false" outlineLevel="0" collapsed="false">
      <c r="A217" s="31" t="n">
        <v>46217</v>
      </c>
      <c r="B217" s="32" t="s">
        <v>97</v>
      </c>
      <c r="C217" s="32"/>
      <c r="D217" s="33" t="s">
        <v>96</v>
      </c>
      <c r="E217" s="34" t="n">
        <v>4</v>
      </c>
      <c r="F217" s="32"/>
      <c r="G217" s="35" t="n">
        <f aca="false">IF(A217="","",A217+7-WEEKDAY(A217))</f>
        <v>46221</v>
      </c>
      <c r="H217" s="36" t="n">
        <f aca="false">IF(A217="","",DATE(YEAR(A217),MONTH(A217),1))</f>
        <v>46204</v>
      </c>
      <c r="I217" s="37" t="str">
        <f aca="false">IF(B217="","",IFERROR(INDEX(st_ID,MATCH(B217,st_Name,0)),"Unknown"))</f>
        <v>QP-02</v>
      </c>
      <c r="J217" s="37" t="str">
        <f aca="false">IF(C217="","",IFERROR(INDEX(cl_Code,MATCH(C217,cl_Name,0)),"Unknown"))</f>
        <v/>
      </c>
      <c r="K217" s="37" t="str">
        <f aca="false">IF(D217="","",IFERROR(INDEX(rt_Billable,MATCH(D217,rt_Code,0)),"Unknown"))</f>
        <v>No</v>
      </c>
      <c r="L217" s="38" t="str">
        <f aca="false">IF(K217&lt;&gt;"Yes","",IFERROR(INDEX(cr_Rate,MATCH(J217&amp;"|"&amp;D217,cr_Key,0)),INDEX(rt_Rate,MATCH(D217,rt_Code,0))))</f>
        <v/>
      </c>
      <c r="M217" s="25" t="str">
        <f aca="false">IF(L217="","",ROUND(N(E217)*L217,2))</f>
        <v/>
      </c>
      <c r="N217" s="39" t="n">
        <f aca="false">IF(OR(A217="",B217=""),"",SUMIFS(tl_Hours,tl_StaffID,I217,tl_Date,A217))</f>
        <v>8</v>
      </c>
      <c r="O217" s="40" t="str">
        <f aca="false">IF(A217&amp;B217&amp;D217="","",IF(OR(A217="",B217="",D217="",E217=""),"Incomplete",IF(K217="Unknown","Unknown code",IF(AND(K217="Yes",C217=""),"Billable, needs client",IF(N217&gt;MaxDayHours,"Over "&amp;MaxDayHours&amp;" hours that day","")))))</f>
        <v/>
      </c>
    </row>
    <row r="218" customFormat="false" ht="15" hidden="false" customHeight="false" outlineLevel="0" collapsed="false">
      <c r="A218" s="31" t="n">
        <v>46217</v>
      </c>
      <c r="B218" s="32" t="s">
        <v>100</v>
      </c>
      <c r="C218" s="32" t="s">
        <v>90</v>
      </c>
      <c r="D218" s="33" t="s">
        <v>91</v>
      </c>
      <c r="E218" s="34" t="n">
        <v>3</v>
      </c>
      <c r="F218" s="32"/>
      <c r="G218" s="35" t="n">
        <f aca="false">IF(A218="","",A218+7-WEEKDAY(A218))</f>
        <v>46221</v>
      </c>
      <c r="H218" s="36" t="n">
        <f aca="false">IF(A218="","",DATE(YEAR(A218),MONTH(A218),1))</f>
        <v>46204</v>
      </c>
      <c r="I218" s="37" t="str">
        <f aca="false">IF(B218="","",IFERROR(INDEX(st_ID,MATCH(B218,st_Name,0)),"Unknown"))</f>
        <v>QP-03</v>
      </c>
      <c r="J218" s="37" t="str">
        <f aca="false">IF(C218="","",IFERROR(INDEX(cl_Code,MATCH(C218,cl_Name,0)),"Unknown"))</f>
        <v>BSE</v>
      </c>
      <c r="K218" s="37" t="str">
        <f aca="false">IF(D218="","",IFERROR(INDEX(rt_Billable,MATCH(D218,rt_Code,0)),"Unknown"))</f>
        <v>Yes</v>
      </c>
      <c r="L218" s="38" t="n">
        <f aca="false">IF(K218&lt;&gt;"Yes","",IFERROR(INDEX(cr_Rate,MATCH(J218&amp;"|"&amp;D218,cr_Key,0)),INDEX(rt_Rate,MATCH(D218,rt_Code,0))))</f>
        <v>100</v>
      </c>
      <c r="M218" s="25" t="n">
        <f aca="false">IF(L218="","",ROUND(N(E218)*L218,2))</f>
        <v>300</v>
      </c>
      <c r="N218" s="39" t="n">
        <f aca="false">IF(OR(A218="",B218=""),"",SUMIFS(tl_Hours,tl_StaffID,I218,tl_Date,A218))</f>
        <v>8</v>
      </c>
      <c r="O218" s="40" t="str">
        <f aca="false">IF(A218&amp;B218&amp;D218="","",IF(OR(A218="",B218="",D218="",E218=""),"Incomplete",IF(K218="Unknown","Unknown code",IF(AND(K218="Yes",C218=""),"Billable, needs client",IF(N218&gt;MaxDayHours,"Over "&amp;MaxDayHours&amp;" hours that day","")))))</f>
        <v/>
      </c>
    </row>
    <row r="219" customFormat="false" ht="15" hidden="false" customHeight="false" outlineLevel="0" collapsed="false">
      <c r="A219" s="31" t="n">
        <v>46217</v>
      </c>
      <c r="B219" s="32" t="s">
        <v>100</v>
      </c>
      <c r="C219" s="32" t="s">
        <v>90</v>
      </c>
      <c r="D219" s="33" t="s">
        <v>89</v>
      </c>
      <c r="E219" s="34" t="n">
        <v>0.75</v>
      </c>
      <c r="F219" s="32"/>
      <c r="G219" s="35" t="n">
        <f aca="false">IF(A219="","",A219+7-WEEKDAY(A219))</f>
        <v>46221</v>
      </c>
      <c r="H219" s="36" t="n">
        <f aca="false">IF(A219="","",DATE(YEAR(A219),MONTH(A219),1))</f>
        <v>46204</v>
      </c>
      <c r="I219" s="37" t="str">
        <f aca="false">IF(B219="","",IFERROR(INDEX(st_ID,MATCH(B219,st_Name,0)),"Unknown"))</f>
        <v>QP-03</v>
      </c>
      <c r="J219" s="37" t="str">
        <f aca="false">IF(C219="","",IFERROR(INDEX(cl_Code,MATCH(C219,cl_Name,0)),"Unknown"))</f>
        <v>BSE</v>
      </c>
      <c r="K219" s="37" t="str">
        <f aca="false">IF(D219="","",IFERROR(INDEX(rt_Billable,MATCH(D219,rt_Code,0)),"Unknown"))</f>
        <v>Yes</v>
      </c>
      <c r="L219" s="38" t="n">
        <f aca="false">IF(K219&lt;&gt;"Yes","",IFERROR(INDEX(cr_Rate,MATCH(J219&amp;"|"&amp;D219,cr_Key,0)),INDEX(rt_Rate,MATCH(D219,rt_Code,0))))</f>
        <v>95</v>
      </c>
      <c r="M219" s="25" t="n">
        <f aca="false">IF(L219="","",ROUND(N(E219)*L219,2))</f>
        <v>71.25</v>
      </c>
      <c r="N219" s="39" t="n">
        <f aca="false">IF(OR(A219="",B219=""),"",SUMIFS(tl_Hours,tl_StaffID,I219,tl_Date,A219))</f>
        <v>8</v>
      </c>
      <c r="O219" s="40" t="str">
        <f aca="false">IF(A219&amp;B219&amp;D219="","",IF(OR(A219="",B219="",D219="",E219=""),"Incomplete",IF(K219="Unknown","Unknown code",IF(AND(K219="Yes",C219=""),"Billable, needs client",IF(N219&gt;MaxDayHours,"Over "&amp;MaxDayHours&amp;" hours that day","")))))</f>
        <v/>
      </c>
    </row>
    <row r="220" customFormat="false" ht="15" hidden="false" customHeight="false" outlineLevel="0" collapsed="false">
      <c r="A220" s="31" t="n">
        <v>46217</v>
      </c>
      <c r="B220" s="32" t="s">
        <v>100</v>
      </c>
      <c r="C220" s="32"/>
      <c r="D220" s="33" t="s">
        <v>96</v>
      </c>
      <c r="E220" s="34" t="n">
        <v>4.25</v>
      </c>
      <c r="F220" s="32"/>
      <c r="G220" s="35" t="n">
        <f aca="false">IF(A220="","",A220+7-WEEKDAY(A220))</f>
        <v>46221</v>
      </c>
      <c r="H220" s="36" t="n">
        <f aca="false">IF(A220="","",DATE(YEAR(A220),MONTH(A220),1))</f>
        <v>46204</v>
      </c>
      <c r="I220" s="37" t="str">
        <f aca="false">IF(B220="","",IFERROR(INDEX(st_ID,MATCH(B220,st_Name,0)),"Unknown"))</f>
        <v>QP-03</v>
      </c>
      <c r="J220" s="37" t="str">
        <f aca="false">IF(C220="","",IFERROR(INDEX(cl_Code,MATCH(C220,cl_Name,0)),"Unknown"))</f>
        <v/>
      </c>
      <c r="K220" s="37" t="str">
        <f aca="false">IF(D220="","",IFERROR(INDEX(rt_Billable,MATCH(D220,rt_Code,0)),"Unknown"))</f>
        <v>No</v>
      </c>
      <c r="L220" s="38" t="str">
        <f aca="false">IF(K220&lt;&gt;"Yes","",IFERROR(INDEX(cr_Rate,MATCH(J220&amp;"|"&amp;D220,cr_Key,0)),INDEX(rt_Rate,MATCH(D220,rt_Code,0))))</f>
        <v/>
      </c>
      <c r="M220" s="25" t="str">
        <f aca="false">IF(L220="","",ROUND(N(E220)*L220,2))</f>
        <v/>
      </c>
      <c r="N220" s="39" t="n">
        <f aca="false">IF(OR(A220="",B220=""),"",SUMIFS(tl_Hours,tl_StaffID,I220,tl_Date,A220))</f>
        <v>8</v>
      </c>
      <c r="O220" s="40" t="str">
        <f aca="false">IF(A220&amp;B220&amp;D220="","",IF(OR(A220="",B220="",D220="",E220=""),"Incomplete",IF(K220="Unknown","Unknown code",IF(AND(K220="Yes",C220=""),"Billable, needs client",IF(N220&gt;MaxDayHours,"Over "&amp;MaxDayHours&amp;" hours that day","")))))</f>
        <v/>
      </c>
    </row>
    <row r="221" customFormat="false" ht="15" hidden="false" customHeight="false" outlineLevel="0" collapsed="false">
      <c r="A221" s="31" t="n">
        <v>46217</v>
      </c>
      <c r="B221" s="32" t="s">
        <v>101</v>
      </c>
      <c r="C221" s="32" t="s">
        <v>87</v>
      </c>
      <c r="D221" s="33" t="s">
        <v>88</v>
      </c>
      <c r="E221" s="34" t="n">
        <v>3.5</v>
      </c>
      <c r="F221" s="32"/>
      <c r="G221" s="35" t="n">
        <f aca="false">IF(A221="","",A221+7-WEEKDAY(A221))</f>
        <v>46221</v>
      </c>
      <c r="H221" s="36" t="n">
        <f aca="false">IF(A221="","",DATE(YEAR(A221),MONTH(A221),1))</f>
        <v>46204</v>
      </c>
      <c r="I221" s="37" t="str">
        <f aca="false">IF(B221="","",IFERROR(INDEX(st_ID,MATCH(B221,st_Name,0)),"Unknown"))</f>
        <v>QP-04</v>
      </c>
      <c r="J221" s="37" t="str">
        <f aca="false">IF(C221="","",IFERROR(INDEX(cl_Code,MATCH(C221,cl_Name,0)),"Unknown"))</f>
        <v>HCS</v>
      </c>
      <c r="K221" s="37" t="str">
        <f aca="false">IF(D221="","",IFERROR(INDEX(rt_Billable,MATCH(D221,rt_Code,0)),"Unknown"))</f>
        <v>Yes</v>
      </c>
      <c r="L221" s="38" t="n">
        <f aca="false">IF(K221&lt;&gt;"Yes","",IFERROR(INDEX(cr_Rate,MATCH(J221&amp;"|"&amp;D221,cr_Key,0)),INDEX(rt_Rate,MATCH(D221,rt_Code,0))))</f>
        <v>98</v>
      </c>
      <c r="M221" s="25" t="n">
        <f aca="false">IF(L221="","",ROUND(N(E221)*L221,2))</f>
        <v>343</v>
      </c>
      <c r="N221" s="39" t="n">
        <f aca="false">IF(OR(A221="",B221=""),"",SUMIFS(tl_Hours,tl_StaffID,I221,tl_Date,A221))</f>
        <v>8</v>
      </c>
      <c r="O221" s="40" t="str">
        <f aca="false">IF(A221&amp;B221&amp;D221="","",IF(OR(A221="",B221="",D221="",E221=""),"Incomplete",IF(K221="Unknown","Unknown code",IF(AND(K221="Yes",C221=""),"Billable, needs client",IF(N221&gt;MaxDayHours,"Over "&amp;MaxDayHours&amp;" hours that day","")))))</f>
        <v/>
      </c>
    </row>
    <row r="222" customFormat="false" ht="15" hidden="false" customHeight="false" outlineLevel="0" collapsed="false">
      <c r="A222" s="31" t="n">
        <v>46217</v>
      </c>
      <c r="B222" s="32" t="s">
        <v>101</v>
      </c>
      <c r="C222" s="32" t="s">
        <v>87</v>
      </c>
      <c r="D222" s="33" t="s">
        <v>104</v>
      </c>
      <c r="E222" s="34" t="n">
        <v>0.75</v>
      </c>
      <c r="F222" s="32"/>
      <c r="G222" s="35" t="n">
        <f aca="false">IF(A222="","",A222+7-WEEKDAY(A222))</f>
        <v>46221</v>
      </c>
      <c r="H222" s="36" t="n">
        <f aca="false">IF(A222="","",DATE(YEAR(A222),MONTH(A222),1))</f>
        <v>46204</v>
      </c>
      <c r="I222" s="37" t="str">
        <f aca="false">IF(B222="","",IFERROR(INDEX(st_ID,MATCH(B222,st_Name,0)),"Unknown"))</f>
        <v>QP-04</v>
      </c>
      <c r="J222" s="37" t="str">
        <f aca="false">IF(C222="","",IFERROR(INDEX(cl_Code,MATCH(C222,cl_Name,0)),"Unknown"))</f>
        <v>HCS</v>
      </c>
      <c r="K222" s="37" t="str">
        <f aca="false">IF(D222="","",IFERROR(INDEX(rt_Billable,MATCH(D222,rt_Code,0)),"Unknown"))</f>
        <v>Yes</v>
      </c>
      <c r="L222" s="38" t="n">
        <f aca="false">IF(K222&lt;&gt;"Yes","",IFERROR(INDEX(cr_Rate,MATCH(J222&amp;"|"&amp;D222,cr_Key,0)),INDEX(rt_Rate,MATCH(D222,rt_Code,0))))</f>
        <v>62</v>
      </c>
      <c r="M222" s="25" t="n">
        <f aca="false">IF(L222="","",ROUND(N(E222)*L222,2))</f>
        <v>46.5</v>
      </c>
      <c r="N222" s="39" t="n">
        <f aca="false">IF(OR(A222="",B222=""),"",SUMIFS(tl_Hours,tl_StaffID,I222,tl_Date,A222))</f>
        <v>8</v>
      </c>
      <c r="O222" s="40" t="str">
        <f aca="false">IF(A222&amp;B222&amp;D222="","",IF(OR(A222="",B222="",D222="",E222=""),"Incomplete",IF(K222="Unknown","Unknown code",IF(AND(K222="Yes",C222=""),"Billable, needs client",IF(N222&gt;MaxDayHours,"Over "&amp;MaxDayHours&amp;" hours that day","")))))</f>
        <v/>
      </c>
    </row>
    <row r="223" customFormat="false" ht="15" hidden="false" customHeight="false" outlineLevel="0" collapsed="false">
      <c r="A223" s="31" t="n">
        <v>46217</v>
      </c>
      <c r="B223" s="32" t="s">
        <v>101</v>
      </c>
      <c r="C223" s="32"/>
      <c r="D223" s="33" t="s">
        <v>96</v>
      </c>
      <c r="E223" s="34" t="n">
        <v>3.75</v>
      </c>
      <c r="F223" s="32"/>
      <c r="G223" s="35" t="n">
        <f aca="false">IF(A223="","",A223+7-WEEKDAY(A223))</f>
        <v>46221</v>
      </c>
      <c r="H223" s="36" t="n">
        <f aca="false">IF(A223="","",DATE(YEAR(A223),MONTH(A223),1))</f>
        <v>46204</v>
      </c>
      <c r="I223" s="37" t="str">
        <f aca="false">IF(B223="","",IFERROR(INDEX(st_ID,MATCH(B223,st_Name,0)),"Unknown"))</f>
        <v>QP-04</v>
      </c>
      <c r="J223" s="37" t="str">
        <f aca="false">IF(C223="","",IFERROR(INDEX(cl_Code,MATCH(C223,cl_Name,0)),"Unknown"))</f>
        <v/>
      </c>
      <c r="K223" s="37" t="str">
        <f aca="false">IF(D223="","",IFERROR(INDEX(rt_Billable,MATCH(D223,rt_Code,0)),"Unknown"))</f>
        <v>No</v>
      </c>
      <c r="L223" s="38" t="str">
        <f aca="false">IF(K223&lt;&gt;"Yes","",IFERROR(INDEX(cr_Rate,MATCH(J223&amp;"|"&amp;D223,cr_Key,0)),INDEX(rt_Rate,MATCH(D223,rt_Code,0))))</f>
        <v/>
      </c>
      <c r="M223" s="25" t="str">
        <f aca="false">IF(L223="","",ROUND(N(E223)*L223,2))</f>
        <v/>
      </c>
      <c r="N223" s="39" t="n">
        <f aca="false">IF(OR(A223="",B223=""),"",SUMIFS(tl_Hours,tl_StaffID,I223,tl_Date,A223))</f>
        <v>8</v>
      </c>
      <c r="O223" s="40" t="str">
        <f aca="false">IF(A223&amp;B223&amp;D223="","",IF(OR(A223="",B223="",D223="",E223=""),"Incomplete",IF(K223="Unknown","Unknown code",IF(AND(K223="Yes",C223=""),"Billable, needs client",IF(N223&gt;MaxDayHours,"Over "&amp;MaxDayHours&amp;" hours that day","")))))</f>
        <v/>
      </c>
    </row>
    <row r="224" customFormat="false" ht="15" hidden="false" customHeight="false" outlineLevel="0" collapsed="false">
      <c r="A224" s="31" t="n">
        <v>46217</v>
      </c>
      <c r="B224" s="32" t="s">
        <v>103</v>
      </c>
      <c r="C224" s="32" t="s">
        <v>90</v>
      </c>
      <c r="D224" s="33" t="s">
        <v>88</v>
      </c>
      <c r="E224" s="34" t="n">
        <v>2.5</v>
      </c>
      <c r="F224" s="32"/>
      <c r="G224" s="35" t="n">
        <f aca="false">IF(A224="","",A224+7-WEEKDAY(A224))</f>
        <v>46221</v>
      </c>
      <c r="H224" s="36" t="n">
        <f aca="false">IF(A224="","",DATE(YEAR(A224),MONTH(A224),1))</f>
        <v>46204</v>
      </c>
      <c r="I224" s="37" t="str">
        <f aca="false">IF(B224="","",IFERROR(INDEX(st_ID,MATCH(B224,st_Name,0)),"Unknown"))</f>
        <v>QP-05</v>
      </c>
      <c r="J224" s="37" t="str">
        <f aca="false">IF(C224="","",IFERROR(INDEX(cl_Code,MATCH(C224,cl_Name,0)),"Unknown"))</f>
        <v>BSE</v>
      </c>
      <c r="K224" s="37" t="str">
        <f aca="false">IF(D224="","",IFERROR(INDEX(rt_Billable,MATCH(D224,rt_Code,0)),"Unknown"))</f>
        <v>Yes</v>
      </c>
      <c r="L224" s="38" t="n">
        <f aca="false">IF(K224&lt;&gt;"Yes","",IFERROR(INDEX(cr_Rate,MATCH(J224&amp;"|"&amp;D224,cr_Key,0)),INDEX(rt_Rate,MATCH(D224,rt_Code,0))))</f>
        <v>104</v>
      </c>
      <c r="M224" s="25" t="n">
        <f aca="false">IF(L224="","",ROUND(N(E224)*L224,2))</f>
        <v>260</v>
      </c>
      <c r="N224" s="39" t="n">
        <f aca="false">IF(OR(A224="",B224=""),"",SUMIFS(tl_Hours,tl_StaffID,I224,tl_Date,A224))</f>
        <v>8</v>
      </c>
      <c r="O224" s="40" t="str">
        <f aca="false">IF(A224&amp;B224&amp;D224="","",IF(OR(A224="",B224="",D224="",E224=""),"Incomplete",IF(K224="Unknown","Unknown code",IF(AND(K224="Yes",C224=""),"Billable, needs client",IF(N224&gt;MaxDayHours,"Over "&amp;MaxDayHours&amp;" hours that day","")))))</f>
        <v/>
      </c>
    </row>
    <row r="225" customFormat="false" ht="15" hidden="false" customHeight="false" outlineLevel="0" collapsed="false">
      <c r="A225" s="31" t="n">
        <v>46217</v>
      </c>
      <c r="B225" s="32" t="s">
        <v>103</v>
      </c>
      <c r="C225" s="32" t="s">
        <v>90</v>
      </c>
      <c r="D225" s="33" t="s">
        <v>104</v>
      </c>
      <c r="E225" s="34" t="n">
        <v>1.5</v>
      </c>
      <c r="F225" s="32"/>
      <c r="G225" s="35" t="n">
        <f aca="false">IF(A225="","",A225+7-WEEKDAY(A225))</f>
        <v>46221</v>
      </c>
      <c r="H225" s="36" t="n">
        <f aca="false">IF(A225="","",DATE(YEAR(A225),MONTH(A225),1))</f>
        <v>46204</v>
      </c>
      <c r="I225" s="37" t="str">
        <f aca="false">IF(B225="","",IFERROR(INDEX(st_ID,MATCH(B225,st_Name,0)),"Unknown"))</f>
        <v>QP-05</v>
      </c>
      <c r="J225" s="37" t="str">
        <f aca="false">IF(C225="","",IFERROR(INDEX(cl_Code,MATCH(C225,cl_Name,0)),"Unknown"))</f>
        <v>BSE</v>
      </c>
      <c r="K225" s="37" t="str">
        <f aca="false">IF(D225="","",IFERROR(INDEX(rt_Billable,MATCH(D225,rt_Code,0)),"Unknown"))</f>
        <v>Yes</v>
      </c>
      <c r="L225" s="38" t="n">
        <f aca="false">IF(K225&lt;&gt;"Yes","",IFERROR(INDEX(cr_Rate,MATCH(J225&amp;"|"&amp;D225,cr_Key,0)),INDEX(rt_Rate,MATCH(D225,rt_Code,0))))</f>
        <v>70</v>
      </c>
      <c r="M225" s="25" t="n">
        <f aca="false">IF(L225="","",ROUND(N(E225)*L225,2))</f>
        <v>105</v>
      </c>
      <c r="N225" s="39" t="n">
        <f aca="false">IF(OR(A225="",B225=""),"",SUMIFS(tl_Hours,tl_StaffID,I225,tl_Date,A225))</f>
        <v>8</v>
      </c>
      <c r="O225" s="40" t="str">
        <f aca="false">IF(A225&amp;B225&amp;D225="","",IF(OR(A225="",B225="",D225="",E225=""),"Incomplete",IF(K225="Unknown","Unknown code",IF(AND(K225="Yes",C225=""),"Billable, needs client",IF(N225&gt;MaxDayHours,"Over "&amp;MaxDayHours&amp;" hours that day","")))))</f>
        <v/>
      </c>
    </row>
    <row r="226" customFormat="false" ht="15" hidden="false" customHeight="false" outlineLevel="0" collapsed="false">
      <c r="A226" s="31" t="n">
        <v>46217</v>
      </c>
      <c r="B226" s="32" t="s">
        <v>103</v>
      </c>
      <c r="C226" s="32"/>
      <c r="D226" s="33" t="s">
        <v>96</v>
      </c>
      <c r="E226" s="34" t="n">
        <v>4</v>
      </c>
      <c r="F226" s="32"/>
      <c r="G226" s="35" t="n">
        <f aca="false">IF(A226="","",A226+7-WEEKDAY(A226))</f>
        <v>46221</v>
      </c>
      <c r="H226" s="36" t="n">
        <f aca="false">IF(A226="","",DATE(YEAR(A226),MONTH(A226),1))</f>
        <v>46204</v>
      </c>
      <c r="I226" s="37" t="str">
        <f aca="false">IF(B226="","",IFERROR(INDEX(st_ID,MATCH(B226,st_Name,0)),"Unknown"))</f>
        <v>QP-05</v>
      </c>
      <c r="J226" s="37" t="str">
        <f aca="false">IF(C226="","",IFERROR(INDEX(cl_Code,MATCH(C226,cl_Name,0)),"Unknown"))</f>
        <v/>
      </c>
      <c r="K226" s="37" t="str">
        <f aca="false">IF(D226="","",IFERROR(INDEX(rt_Billable,MATCH(D226,rt_Code,0)),"Unknown"))</f>
        <v>No</v>
      </c>
      <c r="L226" s="38" t="str">
        <f aca="false">IF(K226&lt;&gt;"Yes","",IFERROR(INDEX(cr_Rate,MATCH(J226&amp;"|"&amp;D226,cr_Key,0)),INDEX(rt_Rate,MATCH(D226,rt_Code,0))))</f>
        <v/>
      </c>
      <c r="M226" s="25" t="str">
        <f aca="false">IF(L226="","",ROUND(N(E226)*L226,2))</f>
        <v/>
      </c>
      <c r="N226" s="39" t="n">
        <f aca="false">IF(OR(A226="",B226=""),"",SUMIFS(tl_Hours,tl_StaffID,I226,tl_Date,A226))</f>
        <v>8</v>
      </c>
      <c r="O226" s="40" t="str">
        <f aca="false">IF(A226&amp;B226&amp;D226="","",IF(OR(A226="",B226="",D226="",E226=""),"Incomplete",IF(K226="Unknown","Unknown code",IF(AND(K226="Yes",C226=""),"Billable, needs client",IF(N226&gt;MaxDayHours,"Over "&amp;MaxDayHours&amp;" hours that day","")))))</f>
        <v/>
      </c>
    </row>
    <row r="227" customFormat="false" ht="15" hidden="false" customHeight="false" outlineLevel="0" collapsed="false">
      <c r="A227" s="31" t="n">
        <v>46217</v>
      </c>
      <c r="B227" s="32" t="s">
        <v>105</v>
      </c>
      <c r="C227" s="32" t="s">
        <v>90</v>
      </c>
      <c r="D227" s="33" t="s">
        <v>88</v>
      </c>
      <c r="E227" s="34" t="n">
        <v>3.25</v>
      </c>
      <c r="F227" s="32"/>
      <c r="G227" s="35" t="n">
        <f aca="false">IF(A227="","",A227+7-WEEKDAY(A227))</f>
        <v>46221</v>
      </c>
      <c r="H227" s="36" t="n">
        <f aca="false">IF(A227="","",DATE(YEAR(A227),MONTH(A227),1))</f>
        <v>46204</v>
      </c>
      <c r="I227" s="37" t="str">
        <f aca="false">IF(B227="","",IFERROR(INDEX(st_ID,MATCH(B227,st_Name,0)),"Unknown"))</f>
        <v>QP-06</v>
      </c>
      <c r="J227" s="37" t="str">
        <f aca="false">IF(C227="","",IFERROR(INDEX(cl_Code,MATCH(C227,cl_Name,0)),"Unknown"))</f>
        <v>BSE</v>
      </c>
      <c r="K227" s="37" t="str">
        <f aca="false">IF(D227="","",IFERROR(INDEX(rt_Billable,MATCH(D227,rt_Code,0)),"Unknown"))</f>
        <v>Yes</v>
      </c>
      <c r="L227" s="38" t="n">
        <f aca="false">IF(K227&lt;&gt;"Yes","",IFERROR(INDEX(cr_Rate,MATCH(J227&amp;"|"&amp;D227,cr_Key,0)),INDEX(rt_Rate,MATCH(D227,rt_Code,0))))</f>
        <v>104</v>
      </c>
      <c r="M227" s="25" t="n">
        <f aca="false">IF(L227="","",ROUND(N(E227)*L227,2))</f>
        <v>338</v>
      </c>
      <c r="N227" s="39" t="n">
        <f aca="false">IF(OR(A227="",B227=""),"",SUMIFS(tl_Hours,tl_StaffID,I227,tl_Date,A227))</f>
        <v>8</v>
      </c>
      <c r="O227" s="40" t="str">
        <f aca="false">IF(A227&amp;B227&amp;D227="","",IF(OR(A227="",B227="",D227="",E227=""),"Incomplete",IF(K227="Unknown","Unknown code",IF(AND(K227="Yes",C227=""),"Billable, needs client",IF(N227&gt;MaxDayHours,"Over "&amp;MaxDayHours&amp;" hours that day","")))))</f>
        <v/>
      </c>
    </row>
    <row r="228" customFormat="false" ht="15" hidden="false" customHeight="false" outlineLevel="0" collapsed="false">
      <c r="A228" s="31" t="n">
        <v>46217</v>
      </c>
      <c r="B228" s="32" t="s">
        <v>105</v>
      </c>
      <c r="C228" s="32" t="s">
        <v>90</v>
      </c>
      <c r="D228" s="33" t="s">
        <v>104</v>
      </c>
      <c r="E228" s="34" t="n">
        <v>0.75</v>
      </c>
      <c r="F228" s="32"/>
      <c r="G228" s="35" t="n">
        <f aca="false">IF(A228="","",A228+7-WEEKDAY(A228))</f>
        <v>46221</v>
      </c>
      <c r="H228" s="36" t="n">
        <f aca="false">IF(A228="","",DATE(YEAR(A228),MONTH(A228),1))</f>
        <v>46204</v>
      </c>
      <c r="I228" s="37" t="str">
        <f aca="false">IF(B228="","",IFERROR(INDEX(st_ID,MATCH(B228,st_Name,0)),"Unknown"))</f>
        <v>QP-06</v>
      </c>
      <c r="J228" s="37" t="str">
        <f aca="false">IF(C228="","",IFERROR(INDEX(cl_Code,MATCH(C228,cl_Name,0)),"Unknown"))</f>
        <v>BSE</v>
      </c>
      <c r="K228" s="37" t="str">
        <f aca="false">IF(D228="","",IFERROR(INDEX(rt_Billable,MATCH(D228,rt_Code,0)),"Unknown"))</f>
        <v>Yes</v>
      </c>
      <c r="L228" s="38" t="n">
        <f aca="false">IF(K228&lt;&gt;"Yes","",IFERROR(INDEX(cr_Rate,MATCH(J228&amp;"|"&amp;D228,cr_Key,0)),INDEX(rt_Rate,MATCH(D228,rt_Code,0))))</f>
        <v>70</v>
      </c>
      <c r="M228" s="25" t="n">
        <f aca="false">IF(L228="","",ROUND(N(E228)*L228,2))</f>
        <v>52.5</v>
      </c>
      <c r="N228" s="39" t="n">
        <f aca="false">IF(OR(A228="",B228=""),"",SUMIFS(tl_Hours,tl_StaffID,I228,tl_Date,A228))</f>
        <v>8</v>
      </c>
      <c r="O228" s="40" t="str">
        <f aca="false">IF(A228&amp;B228&amp;D228="","",IF(OR(A228="",B228="",D228="",E228=""),"Incomplete",IF(K228="Unknown","Unknown code",IF(AND(K228="Yes",C228=""),"Billable, needs client",IF(N228&gt;MaxDayHours,"Over "&amp;MaxDayHours&amp;" hours that day","")))))</f>
        <v/>
      </c>
    </row>
    <row r="229" customFormat="false" ht="15" hidden="false" customHeight="false" outlineLevel="0" collapsed="false">
      <c r="A229" s="31" t="n">
        <v>46217</v>
      </c>
      <c r="B229" s="32" t="s">
        <v>105</v>
      </c>
      <c r="C229" s="32"/>
      <c r="D229" s="33" t="s">
        <v>96</v>
      </c>
      <c r="E229" s="34" t="n">
        <v>4</v>
      </c>
      <c r="F229" s="32"/>
      <c r="G229" s="35" t="n">
        <f aca="false">IF(A229="","",A229+7-WEEKDAY(A229))</f>
        <v>46221</v>
      </c>
      <c r="H229" s="36" t="n">
        <f aca="false">IF(A229="","",DATE(YEAR(A229),MONTH(A229),1))</f>
        <v>46204</v>
      </c>
      <c r="I229" s="37" t="str">
        <f aca="false">IF(B229="","",IFERROR(INDEX(st_ID,MATCH(B229,st_Name,0)),"Unknown"))</f>
        <v>QP-06</v>
      </c>
      <c r="J229" s="37" t="str">
        <f aca="false">IF(C229="","",IFERROR(INDEX(cl_Code,MATCH(C229,cl_Name,0)),"Unknown"))</f>
        <v/>
      </c>
      <c r="K229" s="37" t="str">
        <f aca="false">IF(D229="","",IFERROR(INDEX(rt_Billable,MATCH(D229,rt_Code,0)),"Unknown"))</f>
        <v>No</v>
      </c>
      <c r="L229" s="38" t="str">
        <f aca="false">IF(K229&lt;&gt;"Yes","",IFERROR(INDEX(cr_Rate,MATCH(J229&amp;"|"&amp;D229,cr_Key,0)),INDEX(rt_Rate,MATCH(D229,rt_Code,0))))</f>
        <v/>
      </c>
      <c r="M229" s="25" t="str">
        <f aca="false">IF(L229="","",ROUND(N(E229)*L229,2))</f>
        <v/>
      </c>
      <c r="N229" s="39" t="n">
        <f aca="false">IF(OR(A229="",B229=""),"",SUMIFS(tl_Hours,tl_StaffID,I229,tl_Date,A229))</f>
        <v>8</v>
      </c>
      <c r="O229" s="40" t="str">
        <f aca="false">IF(A229&amp;B229&amp;D229="","",IF(OR(A229="",B229="",D229="",E229=""),"Incomplete",IF(K229="Unknown","Unknown code",IF(AND(K229="Yes",C229=""),"Billable, needs client",IF(N229&gt;MaxDayHours,"Over "&amp;MaxDayHours&amp;" hours that day","")))))</f>
        <v/>
      </c>
    </row>
    <row r="230" customFormat="false" ht="15" hidden="false" customHeight="false" outlineLevel="0" collapsed="false">
      <c r="A230" s="31" t="n">
        <v>46217</v>
      </c>
      <c r="B230" s="32" t="s">
        <v>106</v>
      </c>
      <c r="C230" s="32" t="s">
        <v>102</v>
      </c>
      <c r="D230" s="33" t="s">
        <v>104</v>
      </c>
      <c r="E230" s="34" t="n">
        <v>3.5</v>
      </c>
      <c r="F230" s="32"/>
      <c r="G230" s="35" t="n">
        <f aca="false">IF(A230="","",A230+7-WEEKDAY(A230))</f>
        <v>46221</v>
      </c>
      <c r="H230" s="36" t="n">
        <f aca="false">IF(A230="","",DATE(YEAR(A230),MONTH(A230),1))</f>
        <v>46204</v>
      </c>
      <c r="I230" s="37" t="str">
        <f aca="false">IF(B230="","",IFERROR(INDEX(st_ID,MATCH(B230,st_Name,0)),"Unknown"))</f>
        <v>QP-07</v>
      </c>
      <c r="J230" s="37" t="str">
        <f aca="false">IF(C230="","",IFERROR(INDEX(cl_Code,MATCH(C230,cl_Name,0)),"Unknown"))</f>
        <v>CLH</v>
      </c>
      <c r="K230" s="37" t="str">
        <f aca="false">IF(D230="","",IFERROR(INDEX(rt_Billable,MATCH(D230,rt_Code,0)),"Unknown"))</f>
        <v>Yes</v>
      </c>
      <c r="L230" s="38" t="n">
        <f aca="false">IF(K230&lt;&gt;"Yes","",IFERROR(INDEX(cr_Rate,MATCH(J230&amp;"|"&amp;D230,cr_Key,0)),INDEX(rt_Rate,MATCH(D230,rt_Code,0))))</f>
        <v>65</v>
      </c>
      <c r="M230" s="25" t="n">
        <f aca="false">IF(L230="","",ROUND(N(E230)*L230,2))</f>
        <v>227.5</v>
      </c>
      <c r="N230" s="39" t="n">
        <f aca="false">IF(OR(A230="",B230=""),"",SUMIFS(tl_Hours,tl_StaffID,I230,tl_Date,A230))</f>
        <v>8</v>
      </c>
      <c r="O230" s="40" t="str">
        <f aca="false">IF(A230&amp;B230&amp;D230="","",IF(OR(A230="",B230="",D230="",E230=""),"Incomplete",IF(K230="Unknown","Unknown code",IF(AND(K230="Yes",C230=""),"Billable, needs client",IF(N230&gt;MaxDayHours,"Over "&amp;MaxDayHours&amp;" hours that day","")))))</f>
        <v/>
      </c>
    </row>
    <row r="231" customFormat="false" ht="15" hidden="false" customHeight="false" outlineLevel="0" collapsed="false">
      <c r="A231" s="31" t="n">
        <v>46217</v>
      </c>
      <c r="B231" s="32" t="s">
        <v>106</v>
      </c>
      <c r="C231" s="32" t="s">
        <v>102</v>
      </c>
      <c r="D231" s="33" t="s">
        <v>88</v>
      </c>
      <c r="E231" s="34" t="n">
        <v>1</v>
      </c>
      <c r="F231" s="32"/>
      <c r="G231" s="35" t="n">
        <f aca="false">IF(A231="","",A231+7-WEEKDAY(A231))</f>
        <v>46221</v>
      </c>
      <c r="H231" s="36" t="n">
        <f aca="false">IF(A231="","",DATE(YEAR(A231),MONTH(A231),1))</f>
        <v>46204</v>
      </c>
      <c r="I231" s="37" t="str">
        <f aca="false">IF(B231="","",IFERROR(INDEX(st_ID,MATCH(B231,st_Name,0)),"Unknown"))</f>
        <v>QP-07</v>
      </c>
      <c r="J231" s="37" t="str">
        <f aca="false">IF(C231="","",IFERROR(INDEX(cl_Code,MATCH(C231,cl_Name,0)),"Unknown"))</f>
        <v>CLH</v>
      </c>
      <c r="K231" s="37" t="str">
        <f aca="false">IF(D231="","",IFERROR(INDEX(rt_Billable,MATCH(D231,rt_Code,0)),"Unknown"))</f>
        <v>Yes</v>
      </c>
      <c r="L231" s="38" t="n">
        <f aca="false">IF(K231&lt;&gt;"Yes","",IFERROR(INDEX(cr_Rate,MATCH(J231&amp;"|"&amp;D231,cr_Key,0)),INDEX(rt_Rate,MATCH(D231,rt_Code,0))))</f>
        <v>110</v>
      </c>
      <c r="M231" s="25" t="n">
        <f aca="false">IF(L231="","",ROUND(N(E231)*L231,2))</f>
        <v>110</v>
      </c>
      <c r="N231" s="39" t="n">
        <f aca="false">IF(OR(A231="",B231=""),"",SUMIFS(tl_Hours,tl_StaffID,I231,tl_Date,A231))</f>
        <v>8</v>
      </c>
      <c r="O231" s="40" t="str">
        <f aca="false">IF(A231&amp;B231&amp;D231="","",IF(OR(A231="",B231="",D231="",E231=""),"Incomplete",IF(K231="Unknown","Unknown code",IF(AND(K231="Yes",C231=""),"Billable, needs client",IF(N231&gt;MaxDayHours,"Over "&amp;MaxDayHours&amp;" hours that day","")))))</f>
        <v/>
      </c>
    </row>
    <row r="232" customFormat="false" ht="15" hidden="false" customHeight="false" outlineLevel="0" collapsed="false">
      <c r="A232" s="31" t="n">
        <v>46217</v>
      </c>
      <c r="B232" s="32" t="s">
        <v>106</v>
      </c>
      <c r="C232" s="32"/>
      <c r="D232" s="33" t="s">
        <v>96</v>
      </c>
      <c r="E232" s="34" t="n">
        <v>3.5</v>
      </c>
      <c r="F232" s="32"/>
      <c r="G232" s="35" t="n">
        <f aca="false">IF(A232="","",A232+7-WEEKDAY(A232))</f>
        <v>46221</v>
      </c>
      <c r="H232" s="36" t="n">
        <f aca="false">IF(A232="","",DATE(YEAR(A232),MONTH(A232),1))</f>
        <v>46204</v>
      </c>
      <c r="I232" s="37" t="str">
        <f aca="false">IF(B232="","",IFERROR(INDEX(st_ID,MATCH(B232,st_Name,0)),"Unknown"))</f>
        <v>QP-07</v>
      </c>
      <c r="J232" s="37" t="str">
        <f aca="false">IF(C232="","",IFERROR(INDEX(cl_Code,MATCH(C232,cl_Name,0)),"Unknown"))</f>
        <v/>
      </c>
      <c r="K232" s="37" t="str">
        <f aca="false">IF(D232="","",IFERROR(INDEX(rt_Billable,MATCH(D232,rt_Code,0)),"Unknown"))</f>
        <v>No</v>
      </c>
      <c r="L232" s="38" t="str">
        <f aca="false">IF(K232&lt;&gt;"Yes","",IFERROR(INDEX(cr_Rate,MATCH(J232&amp;"|"&amp;D232,cr_Key,0)),INDEX(rt_Rate,MATCH(D232,rt_Code,0))))</f>
        <v/>
      </c>
      <c r="M232" s="25" t="str">
        <f aca="false">IF(L232="","",ROUND(N(E232)*L232,2))</f>
        <v/>
      </c>
      <c r="N232" s="39" t="n">
        <f aca="false">IF(OR(A232="",B232=""),"",SUMIFS(tl_Hours,tl_StaffID,I232,tl_Date,A232))</f>
        <v>8</v>
      </c>
      <c r="O232" s="40" t="str">
        <f aca="false">IF(A232&amp;B232&amp;D232="","",IF(OR(A232="",B232="",D232="",E232=""),"Incomplete",IF(K232="Unknown","Unknown code",IF(AND(K232="Yes",C232=""),"Billable, needs client",IF(N232&gt;MaxDayHours,"Over "&amp;MaxDayHours&amp;" hours that day","")))))</f>
        <v/>
      </c>
    </row>
    <row r="233" customFormat="false" ht="15" hidden="false" customHeight="false" outlineLevel="0" collapsed="false">
      <c r="A233" s="31" t="n">
        <v>46217</v>
      </c>
      <c r="B233" s="32" t="s">
        <v>107</v>
      </c>
      <c r="C233" s="32"/>
      <c r="D233" s="33" t="s">
        <v>108</v>
      </c>
      <c r="E233" s="34" t="n">
        <v>6</v>
      </c>
      <c r="F233" s="32"/>
      <c r="G233" s="35" t="n">
        <f aca="false">IF(A233="","",A233+7-WEEKDAY(A233))</f>
        <v>46221</v>
      </c>
      <c r="H233" s="36" t="n">
        <f aca="false">IF(A233="","",DATE(YEAR(A233),MONTH(A233),1))</f>
        <v>46204</v>
      </c>
      <c r="I233" s="37" t="str">
        <f aca="false">IF(B233="","",IFERROR(INDEX(st_ID,MATCH(B233,st_Name,0)),"Unknown"))</f>
        <v>QP-08</v>
      </c>
      <c r="J233" s="37" t="str">
        <f aca="false">IF(C233="","",IFERROR(INDEX(cl_Code,MATCH(C233,cl_Name,0)),"Unknown"))</f>
        <v/>
      </c>
      <c r="K233" s="37" t="str">
        <f aca="false">IF(D233="","",IFERROR(INDEX(rt_Billable,MATCH(D233,rt_Code,0)),"Unknown"))</f>
        <v>No</v>
      </c>
      <c r="L233" s="38" t="str">
        <f aca="false">IF(K233&lt;&gt;"Yes","",IFERROR(INDEX(cr_Rate,MATCH(J233&amp;"|"&amp;D233,cr_Key,0)),INDEX(rt_Rate,MATCH(D233,rt_Code,0))))</f>
        <v/>
      </c>
      <c r="M233" s="25" t="str">
        <f aca="false">IF(L233="","",ROUND(N(E233)*L233,2))</f>
        <v/>
      </c>
      <c r="N233" s="39" t="n">
        <f aca="false">IF(OR(A233="",B233=""),"",SUMIFS(tl_Hours,tl_StaffID,I233,tl_Date,A233))</f>
        <v>8</v>
      </c>
      <c r="O233" s="40" t="str">
        <f aca="false">IF(A233&amp;B233&amp;D233="","",IF(OR(A233="",B233="",D233="",E233=""),"Incomplete",IF(K233="Unknown","Unknown code",IF(AND(K233="Yes",C233=""),"Billable, needs client",IF(N233&gt;MaxDayHours,"Over "&amp;MaxDayHours&amp;" hours that day","")))))</f>
        <v/>
      </c>
    </row>
    <row r="234" customFormat="false" ht="15" hidden="false" customHeight="false" outlineLevel="0" collapsed="false">
      <c r="A234" s="31" t="n">
        <v>46217</v>
      </c>
      <c r="B234" s="32" t="s">
        <v>107</v>
      </c>
      <c r="C234" s="32"/>
      <c r="D234" s="33" t="s">
        <v>98</v>
      </c>
      <c r="E234" s="34" t="n">
        <v>2</v>
      </c>
      <c r="F234" s="32"/>
      <c r="G234" s="35" t="n">
        <f aca="false">IF(A234="","",A234+7-WEEKDAY(A234))</f>
        <v>46221</v>
      </c>
      <c r="H234" s="36" t="n">
        <f aca="false">IF(A234="","",DATE(YEAR(A234),MONTH(A234),1))</f>
        <v>46204</v>
      </c>
      <c r="I234" s="37" t="str">
        <f aca="false">IF(B234="","",IFERROR(INDEX(st_ID,MATCH(B234,st_Name,0)),"Unknown"))</f>
        <v>QP-08</v>
      </c>
      <c r="J234" s="37" t="str">
        <f aca="false">IF(C234="","",IFERROR(INDEX(cl_Code,MATCH(C234,cl_Name,0)),"Unknown"))</f>
        <v/>
      </c>
      <c r="K234" s="37" t="str">
        <f aca="false">IF(D234="","",IFERROR(INDEX(rt_Billable,MATCH(D234,rt_Code,0)),"Unknown"))</f>
        <v>No</v>
      </c>
      <c r="L234" s="38" t="str">
        <f aca="false">IF(K234&lt;&gt;"Yes","",IFERROR(INDEX(cr_Rate,MATCH(J234&amp;"|"&amp;D234,cr_Key,0)),INDEX(rt_Rate,MATCH(D234,rt_Code,0))))</f>
        <v/>
      </c>
      <c r="M234" s="25" t="str">
        <f aca="false">IF(L234="","",ROUND(N(E234)*L234,2))</f>
        <v/>
      </c>
      <c r="N234" s="39" t="n">
        <f aca="false">IF(OR(A234="",B234=""),"",SUMIFS(tl_Hours,tl_StaffID,I234,tl_Date,A234))</f>
        <v>8</v>
      </c>
      <c r="O234" s="40" t="str">
        <f aca="false">IF(A234&amp;B234&amp;D234="","",IF(OR(A234="",B234="",D234="",E234=""),"Incomplete",IF(K234="Unknown","Unknown code",IF(AND(K234="Yes",C234=""),"Billable, needs client",IF(N234&gt;MaxDayHours,"Over "&amp;MaxDayHours&amp;" hours that day","")))))</f>
        <v/>
      </c>
    </row>
    <row r="235" customFormat="false" ht="15" hidden="false" customHeight="false" outlineLevel="0" collapsed="false">
      <c r="A235" s="31" t="n">
        <v>46218</v>
      </c>
      <c r="B235" s="32" t="s">
        <v>86</v>
      </c>
      <c r="C235" s="32" t="s">
        <v>90</v>
      </c>
      <c r="D235" s="33" t="s">
        <v>88</v>
      </c>
      <c r="E235" s="34" t="n">
        <v>3</v>
      </c>
      <c r="F235" s="32"/>
      <c r="G235" s="35" t="n">
        <f aca="false">IF(A235="","",A235+7-WEEKDAY(A235))</f>
        <v>46221</v>
      </c>
      <c r="H235" s="36" t="n">
        <f aca="false">IF(A235="","",DATE(YEAR(A235),MONTH(A235),1))</f>
        <v>46204</v>
      </c>
      <c r="I235" s="37" t="str">
        <f aca="false">IF(B235="","",IFERROR(INDEX(st_ID,MATCH(B235,st_Name,0)),"Unknown"))</f>
        <v>QP-01</v>
      </c>
      <c r="J235" s="37" t="str">
        <f aca="false">IF(C235="","",IFERROR(INDEX(cl_Code,MATCH(C235,cl_Name,0)),"Unknown"))</f>
        <v>BSE</v>
      </c>
      <c r="K235" s="37" t="str">
        <f aca="false">IF(D235="","",IFERROR(INDEX(rt_Billable,MATCH(D235,rt_Code,0)),"Unknown"))</f>
        <v>Yes</v>
      </c>
      <c r="L235" s="38" t="n">
        <f aca="false">IF(K235&lt;&gt;"Yes","",IFERROR(INDEX(cr_Rate,MATCH(J235&amp;"|"&amp;D235,cr_Key,0)),INDEX(rt_Rate,MATCH(D235,rt_Code,0))))</f>
        <v>104</v>
      </c>
      <c r="M235" s="25" t="n">
        <f aca="false">IF(L235="","",ROUND(N(E235)*L235,2))</f>
        <v>312</v>
      </c>
      <c r="N235" s="39" t="n">
        <f aca="false">IF(OR(A235="",B235=""),"",SUMIFS(tl_Hours,tl_StaffID,I235,tl_Date,A235))</f>
        <v>8</v>
      </c>
      <c r="O235" s="40" t="str">
        <f aca="false">IF(A235&amp;B235&amp;D235="","",IF(OR(A235="",B235="",D235="",E235=""),"Incomplete",IF(K235="Unknown","Unknown code",IF(AND(K235="Yes",C235=""),"Billable, needs client",IF(N235&gt;MaxDayHours,"Over "&amp;MaxDayHours&amp;" hours that day","")))))</f>
        <v/>
      </c>
    </row>
    <row r="236" customFormat="false" ht="15" hidden="false" customHeight="false" outlineLevel="0" collapsed="false">
      <c r="A236" s="31" t="n">
        <v>46218</v>
      </c>
      <c r="B236" s="32" t="s">
        <v>86</v>
      </c>
      <c r="C236" s="32" t="s">
        <v>90</v>
      </c>
      <c r="D236" s="33" t="s">
        <v>104</v>
      </c>
      <c r="E236" s="34" t="n">
        <v>1.25</v>
      </c>
      <c r="F236" s="32"/>
      <c r="G236" s="35" t="n">
        <f aca="false">IF(A236="","",A236+7-WEEKDAY(A236))</f>
        <v>46221</v>
      </c>
      <c r="H236" s="36" t="n">
        <f aca="false">IF(A236="","",DATE(YEAR(A236),MONTH(A236),1))</f>
        <v>46204</v>
      </c>
      <c r="I236" s="37" t="str">
        <f aca="false">IF(B236="","",IFERROR(INDEX(st_ID,MATCH(B236,st_Name,0)),"Unknown"))</f>
        <v>QP-01</v>
      </c>
      <c r="J236" s="37" t="str">
        <f aca="false">IF(C236="","",IFERROR(INDEX(cl_Code,MATCH(C236,cl_Name,0)),"Unknown"))</f>
        <v>BSE</v>
      </c>
      <c r="K236" s="37" t="str">
        <f aca="false">IF(D236="","",IFERROR(INDEX(rt_Billable,MATCH(D236,rt_Code,0)),"Unknown"))</f>
        <v>Yes</v>
      </c>
      <c r="L236" s="38" t="n">
        <f aca="false">IF(K236&lt;&gt;"Yes","",IFERROR(INDEX(cr_Rate,MATCH(J236&amp;"|"&amp;D236,cr_Key,0)),INDEX(rt_Rate,MATCH(D236,rt_Code,0))))</f>
        <v>70</v>
      </c>
      <c r="M236" s="25" t="n">
        <f aca="false">IF(L236="","",ROUND(N(E236)*L236,2))</f>
        <v>87.5</v>
      </c>
      <c r="N236" s="39" t="n">
        <f aca="false">IF(OR(A236="",B236=""),"",SUMIFS(tl_Hours,tl_StaffID,I236,tl_Date,A236))</f>
        <v>8</v>
      </c>
      <c r="O236" s="40" t="str">
        <f aca="false">IF(A236&amp;B236&amp;D236="","",IF(OR(A236="",B236="",D236="",E236=""),"Incomplete",IF(K236="Unknown","Unknown code",IF(AND(K236="Yes",C236=""),"Billable, needs client",IF(N236&gt;MaxDayHours,"Over "&amp;MaxDayHours&amp;" hours that day","")))))</f>
        <v/>
      </c>
    </row>
    <row r="237" customFormat="false" ht="15" hidden="false" customHeight="false" outlineLevel="0" collapsed="false">
      <c r="A237" s="31" t="n">
        <v>46218</v>
      </c>
      <c r="B237" s="32" t="s">
        <v>86</v>
      </c>
      <c r="C237" s="32"/>
      <c r="D237" s="33" t="s">
        <v>98</v>
      </c>
      <c r="E237" s="34" t="n">
        <v>1</v>
      </c>
      <c r="F237" s="32" t="s">
        <v>99</v>
      </c>
      <c r="G237" s="35" t="n">
        <f aca="false">IF(A237="","",A237+7-WEEKDAY(A237))</f>
        <v>46221</v>
      </c>
      <c r="H237" s="36" t="n">
        <f aca="false">IF(A237="","",DATE(YEAR(A237),MONTH(A237),1))</f>
        <v>46204</v>
      </c>
      <c r="I237" s="37" t="str">
        <f aca="false">IF(B237="","",IFERROR(INDEX(st_ID,MATCH(B237,st_Name,0)),"Unknown"))</f>
        <v>QP-01</v>
      </c>
      <c r="J237" s="37" t="str">
        <f aca="false">IF(C237="","",IFERROR(INDEX(cl_Code,MATCH(C237,cl_Name,0)),"Unknown"))</f>
        <v/>
      </c>
      <c r="K237" s="37" t="str">
        <f aca="false">IF(D237="","",IFERROR(INDEX(rt_Billable,MATCH(D237,rt_Code,0)),"Unknown"))</f>
        <v>No</v>
      </c>
      <c r="L237" s="38" t="str">
        <f aca="false">IF(K237&lt;&gt;"Yes","",IFERROR(INDEX(cr_Rate,MATCH(J237&amp;"|"&amp;D237,cr_Key,0)),INDEX(rt_Rate,MATCH(D237,rt_Code,0))))</f>
        <v/>
      </c>
      <c r="M237" s="25" t="str">
        <f aca="false">IF(L237="","",ROUND(N(E237)*L237,2))</f>
        <v/>
      </c>
      <c r="N237" s="39" t="n">
        <f aca="false">IF(OR(A237="",B237=""),"",SUMIFS(tl_Hours,tl_StaffID,I237,tl_Date,A237))</f>
        <v>8</v>
      </c>
      <c r="O237" s="40" t="str">
        <f aca="false">IF(A237&amp;B237&amp;D237="","",IF(OR(A237="",B237="",D237="",E237=""),"Incomplete",IF(K237="Unknown","Unknown code",IF(AND(K237="Yes",C237=""),"Billable, needs client",IF(N237&gt;MaxDayHours,"Over "&amp;MaxDayHours&amp;" hours that day","")))))</f>
        <v/>
      </c>
    </row>
    <row r="238" customFormat="false" ht="15" hidden="false" customHeight="false" outlineLevel="0" collapsed="false">
      <c r="A238" s="31" t="n">
        <v>46218</v>
      </c>
      <c r="B238" s="32" t="s">
        <v>86</v>
      </c>
      <c r="C238" s="32"/>
      <c r="D238" s="33" t="s">
        <v>96</v>
      </c>
      <c r="E238" s="34" t="n">
        <v>2.75</v>
      </c>
      <c r="F238" s="32"/>
      <c r="G238" s="35" t="n">
        <f aca="false">IF(A238="","",A238+7-WEEKDAY(A238))</f>
        <v>46221</v>
      </c>
      <c r="H238" s="36" t="n">
        <f aca="false">IF(A238="","",DATE(YEAR(A238),MONTH(A238),1))</f>
        <v>46204</v>
      </c>
      <c r="I238" s="37" t="str">
        <f aca="false">IF(B238="","",IFERROR(INDEX(st_ID,MATCH(B238,st_Name,0)),"Unknown"))</f>
        <v>QP-01</v>
      </c>
      <c r="J238" s="37" t="str">
        <f aca="false">IF(C238="","",IFERROR(INDEX(cl_Code,MATCH(C238,cl_Name,0)),"Unknown"))</f>
        <v/>
      </c>
      <c r="K238" s="37" t="str">
        <f aca="false">IF(D238="","",IFERROR(INDEX(rt_Billable,MATCH(D238,rt_Code,0)),"Unknown"))</f>
        <v>No</v>
      </c>
      <c r="L238" s="38" t="str">
        <f aca="false">IF(K238&lt;&gt;"Yes","",IFERROR(INDEX(cr_Rate,MATCH(J238&amp;"|"&amp;D238,cr_Key,0)),INDEX(rt_Rate,MATCH(D238,rt_Code,0))))</f>
        <v/>
      </c>
      <c r="M238" s="25" t="str">
        <f aca="false">IF(L238="","",ROUND(N(E238)*L238,2))</f>
        <v/>
      </c>
      <c r="N238" s="39" t="n">
        <f aca="false">IF(OR(A238="",B238=""),"",SUMIFS(tl_Hours,tl_StaffID,I238,tl_Date,A238))</f>
        <v>8</v>
      </c>
      <c r="O238" s="40" t="str">
        <f aca="false">IF(A238&amp;B238&amp;D238="","",IF(OR(A238="",B238="",D238="",E238=""),"Incomplete",IF(K238="Unknown","Unknown code",IF(AND(K238="Yes",C238=""),"Billable, needs client",IF(N238&gt;MaxDayHours,"Over "&amp;MaxDayHours&amp;" hours that day","")))))</f>
        <v/>
      </c>
    </row>
    <row r="239" customFormat="false" ht="15" hidden="false" customHeight="false" outlineLevel="0" collapsed="false">
      <c r="A239" s="31" t="n">
        <v>46218</v>
      </c>
      <c r="B239" s="32" t="s">
        <v>97</v>
      </c>
      <c r="C239" s="32" t="s">
        <v>111</v>
      </c>
      <c r="D239" s="33" t="s">
        <v>104</v>
      </c>
      <c r="E239" s="34" t="n">
        <v>1.25</v>
      </c>
      <c r="F239" s="32"/>
      <c r="G239" s="35" t="n">
        <f aca="false">IF(A239="","",A239+7-WEEKDAY(A239))</f>
        <v>46221</v>
      </c>
      <c r="H239" s="36" t="n">
        <f aca="false">IF(A239="","",DATE(YEAR(A239),MONTH(A239),1))</f>
        <v>46204</v>
      </c>
      <c r="I239" s="37" t="str">
        <f aca="false">IF(B239="","",IFERROR(INDEX(st_ID,MATCH(B239,st_Name,0)),"Unknown"))</f>
        <v>QP-02</v>
      </c>
      <c r="J239" s="37" t="str">
        <f aca="false">IF(C239="","",IFERROR(INDEX(cl_Code,MATCH(C239,cl_Name,0)),"Unknown"))</f>
        <v>WMS</v>
      </c>
      <c r="K239" s="37" t="str">
        <f aca="false">IF(D239="","",IFERROR(INDEX(rt_Billable,MATCH(D239,rt_Code,0)),"Unknown"))</f>
        <v>Yes</v>
      </c>
      <c r="L239" s="38" t="n">
        <f aca="false">IF(K239&lt;&gt;"Yes","",IFERROR(INDEX(cr_Rate,MATCH(J239&amp;"|"&amp;D239,cr_Key,0)),INDEX(rt_Rate,MATCH(D239,rt_Code,0))))</f>
        <v>70</v>
      </c>
      <c r="M239" s="25" t="n">
        <f aca="false">IF(L239="","",ROUND(N(E239)*L239,2))</f>
        <v>87.5</v>
      </c>
      <c r="N239" s="39" t="n">
        <f aca="false">IF(OR(A239="",B239=""),"",SUMIFS(tl_Hours,tl_StaffID,I239,tl_Date,A239))</f>
        <v>8</v>
      </c>
      <c r="O239" s="40" t="str">
        <f aca="false">IF(A239&amp;B239&amp;D239="","",IF(OR(A239="",B239="",D239="",E239=""),"Incomplete",IF(K239="Unknown","Unknown code",IF(AND(K239="Yes",C239=""),"Billable, needs client",IF(N239&gt;MaxDayHours,"Over "&amp;MaxDayHours&amp;" hours that day","")))))</f>
        <v/>
      </c>
    </row>
    <row r="240" customFormat="false" ht="15" hidden="false" customHeight="false" outlineLevel="0" collapsed="false">
      <c r="A240" s="31" t="n">
        <v>46218</v>
      </c>
      <c r="B240" s="32" t="s">
        <v>97</v>
      </c>
      <c r="C240" s="32" t="s">
        <v>111</v>
      </c>
      <c r="D240" s="33" t="s">
        <v>113</v>
      </c>
      <c r="E240" s="34" t="n">
        <v>0.75</v>
      </c>
      <c r="F240" s="32"/>
      <c r="G240" s="35" t="n">
        <f aca="false">IF(A240="","",A240+7-WEEKDAY(A240))</f>
        <v>46221</v>
      </c>
      <c r="H240" s="36" t="n">
        <f aca="false">IF(A240="","",DATE(YEAR(A240),MONTH(A240),1))</f>
        <v>46204</v>
      </c>
      <c r="I240" s="37" t="str">
        <f aca="false">IF(B240="","",IFERROR(INDEX(st_ID,MATCH(B240,st_Name,0)),"Unknown"))</f>
        <v>QP-02</v>
      </c>
      <c r="J240" s="37" t="str">
        <f aca="false">IF(C240="","",IFERROR(INDEX(cl_Code,MATCH(C240,cl_Name,0)),"Unknown"))</f>
        <v>WMS</v>
      </c>
      <c r="K240" s="37" t="str">
        <f aca="false">IF(D240="","",IFERROR(INDEX(rt_Billable,MATCH(D240,rt_Code,0)),"Unknown"))</f>
        <v>Yes</v>
      </c>
      <c r="L240" s="38" t="n">
        <f aca="false">IF(K240&lt;&gt;"Yes","",IFERROR(INDEX(cr_Rate,MATCH(J240&amp;"|"&amp;D240,cr_Key,0)),INDEX(rt_Rate,MATCH(D240,rt_Code,0))))</f>
        <v>85</v>
      </c>
      <c r="M240" s="25" t="n">
        <f aca="false">IF(L240="","",ROUND(N(E240)*L240,2))</f>
        <v>63.75</v>
      </c>
      <c r="N240" s="39" t="n">
        <f aca="false">IF(OR(A240="",B240=""),"",SUMIFS(tl_Hours,tl_StaffID,I240,tl_Date,A240))</f>
        <v>8</v>
      </c>
      <c r="O240" s="40" t="str">
        <f aca="false">IF(A240&amp;B240&amp;D240="","",IF(OR(A240="",B240="",D240="",E240=""),"Incomplete",IF(K240="Unknown","Unknown code",IF(AND(K240="Yes",C240=""),"Billable, needs client",IF(N240&gt;MaxDayHours,"Over "&amp;MaxDayHours&amp;" hours that day","")))))</f>
        <v/>
      </c>
    </row>
    <row r="241" customFormat="false" ht="15" hidden="false" customHeight="false" outlineLevel="0" collapsed="false">
      <c r="A241" s="31" t="n">
        <v>46218</v>
      </c>
      <c r="B241" s="32" t="s">
        <v>97</v>
      </c>
      <c r="C241" s="32" t="s">
        <v>90</v>
      </c>
      <c r="D241" s="33" t="s">
        <v>91</v>
      </c>
      <c r="E241" s="34" t="n">
        <v>1.5</v>
      </c>
      <c r="F241" s="32"/>
      <c r="G241" s="35" t="n">
        <f aca="false">IF(A241="","",A241+7-WEEKDAY(A241))</f>
        <v>46221</v>
      </c>
      <c r="H241" s="36" t="n">
        <f aca="false">IF(A241="","",DATE(YEAR(A241),MONTH(A241),1))</f>
        <v>46204</v>
      </c>
      <c r="I241" s="37" t="str">
        <f aca="false">IF(B241="","",IFERROR(INDEX(st_ID,MATCH(B241,st_Name,0)),"Unknown"))</f>
        <v>QP-02</v>
      </c>
      <c r="J241" s="37" t="str">
        <f aca="false">IF(C241="","",IFERROR(INDEX(cl_Code,MATCH(C241,cl_Name,0)),"Unknown"))</f>
        <v>BSE</v>
      </c>
      <c r="K241" s="37" t="str">
        <f aca="false">IF(D241="","",IFERROR(INDEX(rt_Billable,MATCH(D241,rt_Code,0)),"Unknown"))</f>
        <v>Yes</v>
      </c>
      <c r="L241" s="38" t="n">
        <f aca="false">IF(K241&lt;&gt;"Yes","",IFERROR(INDEX(cr_Rate,MATCH(J241&amp;"|"&amp;D241,cr_Key,0)),INDEX(rt_Rate,MATCH(D241,rt_Code,0))))</f>
        <v>100</v>
      </c>
      <c r="M241" s="25" t="n">
        <f aca="false">IF(L241="","",ROUND(N(E241)*L241,2))</f>
        <v>150</v>
      </c>
      <c r="N241" s="39" t="n">
        <f aca="false">IF(OR(A241="",B241=""),"",SUMIFS(tl_Hours,tl_StaffID,I241,tl_Date,A241))</f>
        <v>8</v>
      </c>
      <c r="O241" s="40" t="str">
        <f aca="false">IF(A241&amp;B241&amp;D241="","",IF(OR(A241="",B241="",D241="",E241=""),"Incomplete",IF(K241="Unknown","Unknown code",IF(AND(K241="Yes",C241=""),"Billable, needs client",IF(N241&gt;MaxDayHours,"Over "&amp;MaxDayHours&amp;" hours that day","")))))</f>
        <v/>
      </c>
    </row>
    <row r="242" customFormat="false" ht="15" hidden="false" customHeight="false" outlineLevel="0" collapsed="false">
      <c r="A242" s="31" t="n">
        <v>46218</v>
      </c>
      <c r="B242" s="32" t="s">
        <v>97</v>
      </c>
      <c r="C242" s="32" t="s">
        <v>90</v>
      </c>
      <c r="D242" s="33" t="s">
        <v>89</v>
      </c>
      <c r="E242" s="34" t="n">
        <v>0.5</v>
      </c>
      <c r="F242" s="32"/>
      <c r="G242" s="35" t="n">
        <f aca="false">IF(A242="","",A242+7-WEEKDAY(A242))</f>
        <v>46221</v>
      </c>
      <c r="H242" s="36" t="n">
        <f aca="false">IF(A242="","",DATE(YEAR(A242),MONTH(A242),1))</f>
        <v>46204</v>
      </c>
      <c r="I242" s="37" t="str">
        <f aca="false">IF(B242="","",IFERROR(INDEX(st_ID,MATCH(B242,st_Name,0)),"Unknown"))</f>
        <v>QP-02</v>
      </c>
      <c r="J242" s="37" t="str">
        <f aca="false">IF(C242="","",IFERROR(INDEX(cl_Code,MATCH(C242,cl_Name,0)),"Unknown"))</f>
        <v>BSE</v>
      </c>
      <c r="K242" s="37" t="str">
        <f aca="false">IF(D242="","",IFERROR(INDEX(rt_Billable,MATCH(D242,rt_Code,0)),"Unknown"))</f>
        <v>Yes</v>
      </c>
      <c r="L242" s="38" t="n">
        <f aca="false">IF(K242&lt;&gt;"Yes","",IFERROR(INDEX(cr_Rate,MATCH(J242&amp;"|"&amp;D242,cr_Key,0)),INDEX(rt_Rate,MATCH(D242,rt_Code,0))))</f>
        <v>95</v>
      </c>
      <c r="M242" s="25" t="n">
        <f aca="false">IF(L242="","",ROUND(N(E242)*L242,2))</f>
        <v>47.5</v>
      </c>
      <c r="N242" s="39" t="n">
        <f aca="false">IF(OR(A242="",B242=""),"",SUMIFS(tl_Hours,tl_StaffID,I242,tl_Date,A242))</f>
        <v>8</v>
      </c>
      <c r="O242" s="40" t="str">
        <f aca="false">IF(A242&amp;B242&amp;D242="","",IF(OR(A242="",B242="",D242="",E242=""),"Incomplete",IF(K242="Unknown","Unknown code",IF(AND(K242="Yes",C242=""),"Billable, needs client",IF(N242&gt;MaxDayHours,"Over "&amp;MaxDayHours&amp;" hours that day","")))))</f>
        <v/>
      </c>
    </row>
    <row r="243" customFormat="false" ht="15" hidden="false" customHeight="false" outlineLevel="0" collapsed="false">
      <c r="A243" s="31" t="n">
        <v>46218</v>
      </c>
      <c r="B243" s="32" t="s">
        <v>97</v>
      </c>
      <c r="C243" s="32"/>
      <c r="D243" s="33" t="s">
        <v>93</v>
      </c>
      <c r="E243" s="34" t="n">
        <v>0.5</v>
      </c>
      <c r="F243" s="32"/>
      <c r="G243" s="35" t="n">
        <f aca="false">IF(A243="","",A243+7-WEEKDAY(A243))</f>
        <v>46221</v>
      </c>
      <c r="H243" s="36" t="n">
        <f aca="false">IF(A243="","",DATE(YEAR(A243),MONTH(A243),1))</f>
        <v>46204</v>
      </c>
      <c r="I243" s="37" t="str">
        <f aca="false">IF(B243="","",IFERROR(INDEX(st_ID,MATCH(B243,st_Name,0)),"Unknown"))</f>
        <v>QP-02</v>
      </c>
      <c r="J243" s="37" t="str">
        <f aca="false">IF(C243="","",IFERROR(INDEX(cl_Code,MATCH(C243,cl_Name,0)),"Unknown"))</f>
        <v/>
      </c>
      <c r="K243" s="37" t="str">
        <f aca="false">IF(D243="","",IFERROR(INDEX(rt_Billable,MATCH(D243,rt_Code,0)),"Unknown"))</f>
        <v>No</v>
      </c>
      <c r="L243" s="38" t="str">
        <f aca="false">IF(K243&lt;&gt;"Yes","",IFERROR(INDEX(cr_Rate,MATCH(J243&amp;"|"&amp;D243,cr_Key,0)),INDEX(rt_Rate,MATCH(D243,rt_Code,0))))</f>
        <v/>
      </c>
      <c r="M243" s="25" t="str">
        <f aca="false">IF(L243="","",ROUND(N(E243)*L243,2))</f>
        <v/>
      </c>
      <c r="N243" s="39" t="n">
        <f aca="false">IF(OR(A243="",B243=""),"",SUMIFS(tl_Hours,tl_StaffID,I243,tl_Date,A243))</f>
        <v>8</v>
      </c>
      <c r="O243" s="40" t="str">
        <f aca="false">IF(A243&amp;B243&amp;D243="","",IF(OR(A243="",B243="",D243="",E243=""),"Incomplete",IF(K243="Unknown","Unknown code",IF(AND(K243="Yes",C243=""),"Billable, needs client",IF(N243&gt;MaxDayHours,"Over "&amp;MaxDayHours&amp;" hours that day","")))))</f>
        <v/>
      </c>
    </row>
    <row r="244" customFormat="false" ht="15" hidden="false" customHeight="false" outlineLevel="0" collapsed="false">
      <c r="A244" s="31" t="n">
        <v>46218</v>
      </c>
      <c r="B244" s="32" t="s">
        <v>97</v>
      </c>
      <c r="C244" s="32"/>
      <c r="D244" s="33" t="s">
        <v>96</v>
      </c>
      <c r="E244" s="34" t="n">
        <v>3.5</v>
      </c>
      <c r="F244" s="32"/>
      <c r="G244" s="35" t="n">
        <f aca="false">IF(A244="","",A244+7-WEEKDAY(A244))</f>
        <v>46221</v>
      </c>
      <c r="H244" s="36" t="n">
        <f aca="false">IF(A244="","",DATE(YEAR(A244),MONTH(A244),1))</f>
        <v>46204</v>
      </c>
      <c r="I244" s="37" t="str">
        <f aca="false">IF(B244="","",IFERROR(INDEX(st_ID,MATCH(B244,st_Name,0)),"Unknown"))</f>
        <v>QP-02</v>
      </c>
      <c r="J244" s="37" t="str">
        <f aca="false">IF(C244="","",IFERROR(INDEX(cl_Code,MATCH(C244,cl_Name,0)),"Unknown"))</f>
        <v/>
      </c>
      <c r="K244" s="37" t="str">
        <f aca="false">IF(D244="","",IFERROR(INDEX(rt_Billable,MATCH(D244,rt_Code,0)),"Unknown"))</f>
        <v>No</v>
      </c>
      <c r="L244" s="38" t="str">
        <f aca="false">IF(K244&lt;&gt;"Yes","",IFERROR(INDEX(cr_Rate,MATCH(J244&amp;"|"&amp;D244,cr_Key,0)),INDEX(rt_Rate,MATCH(D244,rt_Code,0))))</f>
        <v/>
      </c>
      <c r="M244" s="25" t="str">
        <f aca="false">IF(L244="","",ROUND(N(E244)*L244,2))</f>
        <v/>
      </c>
      <c r="N244" s="39" t="n">
        <f aca="false">IF(OR(A244="",B244=""),"",SUMIFS(tl_Hours,tl_StaffID,I244,tl_Date,A244))</f>
        <v>8</v>
      </c>
      <c r="O244" s="40" t="str">
        <f aca="false">IF(A244&amp;B244&amp;D244="","",IF(OR(A244="",B244="",D244="",E244=""),"Incomplete",IF(K244="Unknown","Unknown code",IF(AND(K244="Yes",C244=""),"Billable, needs client",IF(N244&gt;MaxDayHours,"Over "&amp;MaxDayHours&amp;" hours that day","")))))</f>
        <v/>
      </c>
    </row>
    <row r="245" customFormat="false" ht="15" hidden="false" customHeight="false" outlineLevel="0" collapsed="false">
      <c r="A245" s="31" t="n">
        <v>46218</v>
      </c>
      <c r="B245" s="32" t="s">
        <v>100</v>
      </c>
      <c r="C245" s="32" t="s">
        <v>90</v>
      </c>
      <c r="D245" s="33" t="s">
        <v>91</v>
      </c>
      <c r="E245" s="34" t="n">
        <v>2.25</v>
      </c>
      <c r="F245" s="32"/>
      <c r="G245" s="35" t="n">
        <f aca="false">IF(A245="","",A245+7-WEEKDAY(A245))</f>
        <v>46221</v>
      </c>
      <c r="H245" s="36" t="n">
        <f aca="false">IF(A245="","",DATE(YEAR(A245),MONTH(A245),1))</f>
        <v>46204</v>
      </c>
      <c r="I245" s="37" t="str">
        <f aca="false">IF(B245="","",IFERROR(INDEX(st_ID,MATCH(B245,st_Name,0)),"Unknown"))</f>
        <v>QP-03</v>
      </c>
      <c r="J245" s="37" t="str">
        <f aca="false">IF(C245="","",IFERROR(INDEX(cl_Code,MATCH(C245,cl_Name,0)),"Unknown"))</f>
        <v>BSE</v>
      </c>
      <c r="K245" s="37" t="str">
        <f aca="false">IF(D245="","",IFERROR(INDEX(rt_Billable,MATCH(D245,rt_Code,0)),"Unknown"))</f>
        <v>Yes</v>
      </c>
      <c r="L245" s="38" t="n">
        <f aca="false">IF(K245&lt;&gt;"Yes","",IFERROR(INDEX(cr_Rate,MATCH(J245&amp;"|"&amp;D245,cr_Key,0)),INDEX(rt_Rate,MATCH(D245,rt_Code,0))))</f>
        <v>100</v>
      </c>
      <c r="M245" s="25" t="n">
        <f aca="false">IF(L245="","",ROUND(N(E245)*L245,2))</f>
        <v>225</v>
      </c>
      <c r="N245" s="39" t="n">
        <f aca="false">IF(OR(A245="",B245=""),"",SUMIFS(tl_Hours,tl_StaffID,I245,tl_Date,A245))</f>
        <v>8</v>
      </c>
      <c r="O245" s="40" t="str">
        <f aca="false">IF(A245&amp;B245&amp;D245="","",IF(OR(A245="",B245="",D245="",E245=""),"Incomplete",IF(K245="Unknown","Unknown code",IF(AND(K245="Yes",C245=""),"Billable, needs client",IF(N245&gt;MaxDayHours,"Over "&amp;MaxDayHours&amp;" hours that day","")))))</f>
        <v/>
      </c>
    </row>
    <row r="246" customFormat="false" ht="15" hidden="false" customHeight="false" outlineLevel="0" collapsed="false">
      <c r="A246" s="31" t="n">
        <v>46218</v>
      </c>
      <c r="B246" s="32" t="s">
        <v>100</v>
      </c>
      <c r="C246" s="32" t="s">
        <v>90</v>
      </c>
      <c r="D246" s="33" t="s">
        <v>92</v>
      </c>
      <c r="E246" s="34" t="n">
        <v>1.5</v>
      </c>
      <c r="F246" s="32"/>
      <c r="G246" s="35" t="n">
        <f aca="false">IF(A246="","",A246+7-WEEKDAY(A246))</f>
        <v>46221</v>
      </c>
      <c r="H246" s="36" t="n">
        <f aca="false">IF(A246="","",DATE(YEAR(A246),MONTH(A246),1))</f>
        <v>46204</v>
      </c>
      <c r="I246" s="37" t="str">
        <f aca="false">IF(B246="","",IFERROR(INDEX(st_ID,MATCH(B246,st_Name,0)),"Unknown"))</f>
        <v>QP-03</v>
      </c>
      <c r="J246" s="37" t="str">
        <f aca="false">IF(C246="","",IFERROR(INDEX(cl_Code,MATCH(C246,cl_Name,0)),"Unknown"))</f>
        <v>BSE</v>
      </c>
      <c r="K246" s="37" t="str">
        <f aca="false">IF(D246="","",IFERROR(INDEX(rt_Billable,MATCH(D246,rt_Code,0)),"Unknown"))</f>
        <v>Yes</v>
      </c>
      <c r="L246" s="38" t="n">
        <f aca="false">IF(K246&lt;&gt;"Yes","",IFERROR(INDEX(cr_Rate,MATCH(J246&amp;"|"&amp;D246,cr_Key,0)),INDEX(rt_Rate,MATCH(D246,rt_Code,0))))</f>
        <v>145</v>
      </c>
      <c r="M246" s="25" t="n">
        <f aca="false">IF(L246="","",ROUND(N(E246)*L246,2))</f>
        <v>217.5</v>
      </c>
      <c r="N246" s="39" t="n">
        <f aca="false">IF(OR(A246="",B246=""),"",SUMIFS(tl_Hours,tl_StaffID,I246,tl_Date,A246))</f>
        <v>8</v>
      </c>
      <c r="O246" s="40" t="str">
        <f aca="false">IF(A246&amp;B246&amp;D246="","",IF(OR(A246="",B246="",D246="",E246=""),"Incomplete",IF(K246="Unknown","Unknown code",IF(AND(K246="Yes",C246=""),"Billable, needs client",IF(N246&gt;MaxDayHours,"Over "&amp;MaxDayHours&amp;" hours that day","")))))</f>
        <v/>
      </c>
    </row>
    <row r="247" customFormat="false" ht="15" hidden="false" customHeight="false" outlineLevel="0" collapsed="false">
      <c r="A247" s="31" t="n">
        <v>46218</v>
      </c>
      <c r="B247" s="32" t="s">
        <v>100</v>
      </c>
      <c r="C247" s="32"/>
      <c r="D247" s="33" t="s">
        <v>98</v>
      </c>
      <c r="E247" s="34" t="n">
        <v>1</v>
      </c>
      <c r="F247" s="32" t="s">
        <v>99</v>
      </c>
      <c r="G247" s="35" t="n">
        <f aca="false">IF(A247="","",A247+7-WEEKDAY(A247))</f>
        <v>46221</v>
      </c>
      <c r="H247" s="36" t="n">
        <f aca="false">IF(A247="","",DATE(YEAR(A247),MONTH(A247),1))</f>
        <v>46204</v>
      </c>
      <c r="I247" s="37" t="str">
        <f aca="false">IF(B247="","",IFERROR(INDEX(st_ID,MATCH(B247,st_Name,0)),"Unknown"))</f>
        <v>QP-03</v>
      </c>
      <c r="J247" s="37" t="str">
        <f aca="false">IF(C247="","",IFERROR(INDEX(cl_Code,MATCH(C247,cl_Name,0)),"Unknown"))</f>
        <v/>
      </c>
      <c r="K247" s="37" t="str">
        <f aca="false">IF(D247="","",IFERROR(INDEX(rt_Billable,MATCH(D247,rt_Code,0)),"Unknown"))</f>
        <v>No</v>
      </c>
      <c r="L247" s="38" t="str">
        <f aca="false">IF(K247&lt;&gt;"Yes","",IFERROR(INDEX(cr_Rate,MATCH(J247&amp;"|"&amp;D247,cr_Key,0)),INDEX(rt_Rate,MATCH(D247,rt_Code,0))))</f>
        <v/>
      </c>
      <c r="M247" s="25" t="str">
        <f aca="false">IF(L247="","",ROUND(N(E247)*L247,2))</f>
        <v/>
      </c>
      <c r="N247" s="39" t="n">
        <f aca="false">IF(OR(A247="",B247=""),"",SUMIFS(tl_Hours,tl_StaffID,I247,tl_Date,A247))</f>
        <v>8</v>
      </c>
      <c r="O247" s="40" t="str">
        <f aca="false">IF(A247&amp;B247&amp;D247="","",IF(OR(A247="",B247="",D247="",E247=""),"Incomplete",IF(K247="Unknown","Unknown code",IF(AND(K247="Yes",C247=""),"Billable, needs client",IF(N247&gt;MaxDayHours,"Over "&amp;MaxDayHours&amp;" hours that day","")))))</f>
        <v/>
      </c>
    </row>
    <row r="248" customFormat="false" ht="15" hidden="false" customHeight="false" outlineLevel="0" collapsed="false">
      <c r="A248" s="31" t="n">
        <v>46218</v>
      </c>
      <c r="B248" s="32" t="s">
        <v>100</v>
      </c>
      <c r="C248" s="32"/>
      <c r="D248" s="33" t="s">
        <v>96</v>
      </c>
      <c r="E248" s="34" t="n">
        <v>3.25</v>
      </c>
      <c r="F248" s="32"/>
      <c r="G248" s="35" t="n">
        <f aca="false">IF(A248="","",A248+7-WEEKDAY(A248))</f>
        <v>46221</v>
      </c>
      <c r="H248" s="36" t="n">
        <f aca="false">IF(A248="","",DATE(YEAR(A248),MONTH(A248),1))</f>
        <v>46204</v>
      </c>
      <c r="I248" s="37" t="str">
        <f aca="false">IF(B248="","",IFERROR(INDEX(st_ID,MATCH(B248,st_Name,0)),"Unknown"))</f>
        <v>QP-03</v>
      </c>
      <c r="J248" s="37" t="str">
        <f aca="false">IF(C248="","",IFERROR(INDEX(cl_Code,MATCH(C248,cl_Name,0)),"Unknown"))</f>
        <v/>
      </c>
      <c r="K248" s="37" t="str">
        <f aca="false">IF(D248="","",IFERROR(INDEX(rt_Billable,MATCH(D248,rt_Code,0)),"Unknown"))</f>
        <v>No</v>
      </c>
      <c r="L248" s="38" t="str">
        <f aca="false">IF(K248&lt;&gt;"Yes","",IFERROR(INDEX(cr_Rate,MATCH(J248&amp;"|"&amp;D248,cr_Key,0)),INDEX(rt_Rate,MATCH(D248,rt_Code,0))))</f>
        <v/>
      </c>
      <c r="M248" s="25" t="str">
        <f aca="false">IF(L248="","",ROUND(N(E248)*L248,2))</f>
        <v/>
      </c>
      <c r="N248" s="39" t="n">
        <f aca="false">IF(OR(A248="",B248=""),"",SUMIFS(tl_Hours,tl_StaffID,I248,tl_Date,A248))</f>
        <v>8</v>
      </c>
      <c r="O248" s="40" t="str">
        <f aca="false">IF(A248&amp;B248&amp;D248="","",IF(OR(A248="",B248="",D248="",E248=""),"Incomplete",IF(K248="Unknown","Unknown code",IF(AND(K248="Yes",C248=""),"Billable, needs client",IF(N248&gt;MaxDayHours,"Over "&amp;MaxDayHours&amp;" hours that day","")))))</f>
        <v/>
      </c>
    </row>
    <row r="249" customFormat="false" ht="15" hidden="false" customHeight="false" outlineLevel="0" collapsed="false">
      <c r="A249" s="31" t="n">
        <v>46218</v>
      </c>
      <c r="B249" s="32" t="s">
        <v>101</v>
      </c>
      <c r="C249" s="32" t="s">
        <v>102</v>
      </c>
      <c r="D249" s="33" t="s">
        <v>104</v>
      </c>
      <c r="E249" s="34" t="n">
        <v>3.25</v>
      </c>
      <c r="F249" s="32"/>
      <c r="G249" s="35" t="n">
        <f aca="false">IF(A249="","",A249+7-WEEKDAY(A249))</f>
        <v>46221</v>
      </c>
      <c r="H249" s="36" t="n">
        <f aca="false">IF(A249="","",DATE(YEAR(A249),MONTH(A249),1))</f>
        <v>46204</v>
      </c>
      <c r="I249" s="37" t="str">
        <f aca="false">IF(B249="","",IFERROR(INDEX(st_ID,MATCH(B249,st_Name,0)),"Unknown"))</f>
        <v>QP-04</v>
      </c>
      <c r="J249" s="37" t="str">
        <f aca="false">IF(C249="","",IFERROR(INDEX(cl_Code,MATCH(C249,cl_Name,0)),"Unknown"))</f>
        <v>CLH</v>
      </c>
      <c r="K249" s="37" t="str">
        <f aca="false">IF(D249="","",IFERROR(INDEX(rt_Billable,MATCH(D249,rt_Code,0)),"Unknown"))</f>
        <v>Yes</v>
      </c>
      <c r="L249" s="38" t="n">
        <f aca="false">IF(K249&lt;&gt;"Yes","",IFERROR(INDEX(cr_Rate,MATCH(J249&amp;"|"&amp;D249,cr_Key,0)),INDEX(rt_Rate,MATCH(D249,rt_Code,0))))</f>
        <v>65</v>
      </c>
      <c r="M249" s="25" t="n">
        <f aca="false">IF(L249="","",ROUND(N(E249)*L249,2))</f>
        <v>211.25</v>
      </c>
      <c r="N249" s="39" t="n">
        <f aca="false">IF(OR(A249="",B249=""),"",SUMIFS(tl_Hours,tl_StaffID,I249,tl_Date,A249))</f>
        <v>8</v>
      </c>
      <c r="O249" s="40" t="str">
        <f aca="false">IF(A249&amp;B249&amp;D249="","",IF(OR(A249="",B249="",D249="",E249=""),"Incomplete",IF(K249="Unknown","Unknown code",IF(AND(K249="Yes",C249=""),"Billable, needs client",IF(N249&gt;MaxDayHours,"Over "&amp;MaxDayHours&amp;" hours that day","")))))</f>
        <v/>
      </c>
    </row>
    <row r="250" customFormat="false" ht="15" hidden="false" customHeight="false" outlineLevel="0" collapsed="false">
      <c r="A250" s="31" t="n">
        <v>46218</v>
      </c>
      <c r="B250" s="32" t="s">
        <v>101</v>
      </c>
      <c r="C250" s="32" t="s">
        <v>102</v>
      </c>
      <c r="D250" s="33" t="s">
        <v>89</v>
      </c>
      <c r="E250" s="34" t="n">
        <v>1.5</v>
      </c>
      <c r="F250" s="32"/>
      <c r="G250" s="35" t="n">
        <f aca="false">IF(A250="","",A250+7-WEEKDAY(A250))</f>
        <v>46221</v>
      </c>
      <c r="H250" s="36" t="n">
        <f aca="false">IF(A250="","",DATE(YEAR(A250),MONTH(A250),1))</f>
        <v>46204</v>
      </c>
      <c r="I250" s="37" t="str">
        <f aca="false">IF(B250="","",IFERROR(INDEX(st_ID,MATCH(B250,st_Name,0)),"Unknown"))</f>
        <v>QP-04</v>
      </c>
      <c r="J250" s="37" t="str">
        <f aca="false">IF(C250="","",IFERROR(INDEX(cl_Code,MATCH(C250,cl_Name,0)),"Unknown"))</f>
        <v>CLH</v>
      </c>
      <c r="K250" s="37" t="str">
        <f aca="false">IF(D250="","",IFERROR(INDEX(rt_Billable,MATCH(D250,rt_Code,0)),"Unknown"))</f>
        <v>Yes</v>
      </c>
      <c r="L250" s="38" t="n">
        <f aca="false">IF(K250&lt;&gt;"Yes","",IFERROR(INDEX(cr_Rate,MATCH(J250&amp;"|"&amp;D250,cr_Key,0)),INDEX(rt_Rate,MATCH(D250,rt_Code,0))))</f>
        <v>95</v>
      </c>
      <c r="M250" s="25" t="n">
        <f aca="false">IF(L250="","",ROUND(N(E250)*L250,2))</f>
        <v>142.5</v>
      </c>
      <c r="N250" s="39" t="n">
        <f aca="false">IF(OR(A250="",B250=""),"",SUMIFS(tl_Hours,tl_StaffID,I250,tl_Date,A250))</f>
        <v>8</v>
      </c>
      <c r="O250" s="40" t="str">
        <f aca="false">IF(A250&amp;B250&amp;D250="","",IF(OR(A250="",B250="",D250="",E250=""),"Incomplete",IF(K250="Unknown","Unknown code",IF(AND(K250="Yes",C250=""),"Billable, needs client",IF(N250&gt;MaxDayHours,"Over "&amp;MaxDayHours&amp;" hours that day","")))))</f>
        <v/>
      </c>
    </row>
    <row r="251" customFormat="false" ht="15" hidden="false" customHeight="false" outlineLevel="0" collapsed="false">
      <c r="A251" s="31" t="n">
        <v>46218</v>
      </c>
      <c r="B251" s="32" t="s">
        <v>101</v>
      </c>
      <c r="C251" s="32"/>
      <c r="D251" s="33" t="s">
        <v>96</v>
      </c>
      <c r="E251" s="34" t="n">
        <v>3.25</v>
      </c>
      <c r="F251" s="32"/>
      <c r="G251" s="35" t="n">
        <f aca="false">IF(A251="","",A251+7-WEEKDAY(A251))</f>
        <v>46221</v>
      </c>
      <c r="H251" s="36" t="n">
        <f aca="false">IF(A251="","",DATE(YEAR(A251),MONTH(A251),1))</f>
        <v>46204</v>
      </c>
      <c r="I251" s="37" t="str">
        <f aca="false">IF(B251="","",IFERROR(INDEX(st_ID,MATCH(B251,st_Name,0)),"Unknown"))</f>
        <v>QP-04</v>
      </c>
      <c r="J251" s="37" t="str">
        <f aca="false">IF(C251="","",IFERROR(INDEX(cl_Code,MATCH(C251,cl_Name,0)),"Unknown"))</f>
        <v/>
      </c>
      <c r="K251" s="37" t="str">
        <f aca="false">IF(D251="","",IFERROR(INDEX(rt_Billable,MATCH(D251,rt_Code,0)),"Unknown"))</f>
        <v>No</v>
      </c>
      <c r="L251" s="38" t="str">
        <f aca="false">IF(K251&lt;&gt;"Yes","",IFERROR(INDEX(cr_Rate,MATCH(J251&amp;"|"&amp;D251,cr_Key,0)),INDEX(rt_Rate,MATCH(D251,rt_Code,0))))</f>
        <v/>
      </c>
      <c r="M251" s="25" t="str">
        <f aca="false">IF(L251="","",ROUND(N(E251)*L251,2))</f>
        <v/>
      </c>
      <c r="N251" s="39" t="n">
        <f aca="false">IF(OR(A251="",B251=""),"",SUMIFS(tl_Hours,tl_StaffID,I251,tl_Date,A251))</f>
        <v>8</v>
      </c>
      <c r="O251" s="40" t="str">
        <f aca="false">IF(A251&amp;B251&amp;D251="","",IF(OR(A251="",B251="",D251="",E251=""),"Incomplete",IF(K251="Unknown","Unknown code",IF(AND(K251="Yes",C251=""),"Billable, needs client",IF(N251&gt;MaxDayHours,"Over "&amp;MaxDayHours&amp;" hours that day","")))))</f>
        <v/>
      </c>
    </row>
    <row r="252" customFormat="false" ht="15" hidden="false" customHeight="false" outlineLevel="0" collapsed="false">
      <c r="A252" s="31" t="n">
        <v>46218</v>
      </c>
      <c r="B252" s="32" t="s">
        <v>103</v>
      </c>
      <c r="C252" s="32" t="s">
        <v>90</v>
      </c>
      <c r="D252" s="33" t="s">
        <v>88</v>
      </c>
      <c r="E252" s="34" t="n">
        <v>2.75</v>
      </c>
      <c r="F252" s="32"/>
      <c r="G252" s="35" t="n">
        <f aca="false">IF(A252="","",A252+7-WEEKDAY(A252))</f>
        <v>46221</v>
      </c>
      <c r="H252" s="36" t="n">
        <f aca="false">IF(A252="","",DATE(YEAR(A252),MONTH(A252),1))</f>
        <v>46204</v>
      </c>
      <c r="I252" s="37" t="str">
        <f aca="false">IF(B252="","",IFERROR(INDEX(st_ID,MATCH(B252,st_Name,0)),"Unknown"))</f>
        <v>QP-05</v>
      </c>
      <c r="J252" s="37" t="str">
        <f aca="false">IF(C252="","",IFERROR(INDEX(cl_Code,MATCH(C252,cl_Name,0)),"Unknown"))</f>
        <v>BSE</v>
      </c>
      <c r="K252" s="37" t="str">
        <f aca="false">IF(D252="","",IFERROR(INDEX(rt_Billable,MATCH(D252,rt_Code,0)),"Unknown"))</f>
        <v>Yes</v>
      </c>
      <c r="L252" s="38" t="n">
        <f aca="false">IF(K252&lt;&gt;"Yes","",IFERROR(INDEX(cr_Rate,MATCH(J252&amp;"|"&amp;D252,cr_Key,0)),INDEX(rt_Rate,MATCH(D252,rt_Code,0))))</f>
        <v>104</v>
      </c>
      <c r="M252" s="25" t="n">
        <f aca="false">IF(L252="","",ROUND(N(E252)*L252,2))</f>
        <v>286</v>
      </c>
      <c r="N252" s="39" t="n">
        <f aca="false">IF(OR(A252="",B252=""),"",SUMIFS(tl_Hours,tl_StaffID,I252,tl_Date,A252))</f>
        <v>8</v>
      </c>
      <c r="O252" s="40" t="str">
        <f aca="false">IF(A252&amp;B252&amp;D252="","",IF(OR(A252="",B252="",D252="",E252=""),"Incomplete",IF(K252="Unknown","Unknown code",IF(AND(K252="Yes",C252=""),"Billable, needs client",IF(N252&gt;MaxDayHours,"Over "&amp;MaxDayHours&amp;" hours that day","")))))</f>
        <v/>
      </c>
    </row>
    <row r="253" customFormat="false" ht="15" hidden="false" customHeight="false" outlineLevel="0" collapsed="false">
      <c r="A253" s="31" t="n">
        <v>46218</v>
      </c>
      <c r="B253" s="32" t="s">
        <v>103</v>
      </c>
      <c r="C253" s="32" t="s">
        <v>90</v>
      </c>
      <c r="D253" s="33" t="s">
        <v>89</v>
      </c>
      <c r="E253" s="34" t="n">
        <v>1.25</v>
      </c>
      <c r="F253" s="32"/>
      <c r="G253" s="35" t="n">
        <f aca="false">IF(A253="","",A253+7-WEEKDAY(A253))</f>
        <v>46221</v>
      </c>
      <c r="H253" s="36" t="n">
        <f aca="false">IF(A253="","",DATE(YEAR(A253),MONTH(A253),1))</f>
        <v>46204</v>
      </c>
      <c r="I253" s="37" t="str">
        <f aca="false">IF(B253="","",IFERROR(INDEX(st_ID,MATCH(B253,st_Name,0)),"Unknown"))</f>
        <v>QP-05</v>
      </c>
      <c r="J253" s="37" t="str">
        <f aca="false">IF(C253="","",IFERROR(INDEX(cl_Code,MATCH(C253,cl_Name,0)),"Unknown"))</f>
        <v>BSE</v>
      </c>
      <c r="K253" s="37" t="str">
        <f aca="false">IF(D253="","",IFERROR(INDEX(rt_Billable,MATCH(D253,rt_Code,0)),"Unknown"))</f>
        <v>Yes</v>
      </c>
      <c r="L253" s="38" t="n">
        <f aca="false">IF(K253&lt;&gt;"Yes","",IFERROR(INDEX(cr_Rate,MATCH(J253&amp;"|"&amp;D253,cr_Key,0)),INDEX(rt_Rate,MATCH(D253,rt_Code,0))))</f>
        <v>95</v>
      </c>
      <c r="M253" s="25" t="n">
        <f aca="false">IF(L253="","",ROUND(N(E253)*L253,2))</f>
        <v>118.75</v>
      </c>
      <c r="N253" s="39" t="n">
        <f aca="false">IF(OR(A253="",B253=""),"",SUMIFS(tl_Hours,tl_StaffID,I253,tl_Date,A253))</f>
        <v>8</v>
      </c>
      <c r="O253" s="40" t="str">
        <f aca="false">IF(A253&amp;B253&amp;D253="","",IF(OR(A253="",B253="",D253="",E253=""),"Incomplete",IF(K253="Unknown","Unknown code",IF(AND(K253="Yes",C253=""),"Billable, needs client",IF(N253&gt;MaxDayHours,"Over "&amp;MaxDayHours&amp;" hours that day","")))))</f>
        <v/>
      </c>
    </row>
    <row r="254" customFormat="false" ht="15" hidden="false" customHeight="false" outlineLevel="0" collapsed="false">
      <c r="A254" s="31" t="n">
        <v>46218</v>
      </c>
      <c r="B254" s="32" t="s">
        <v>103</v>
      </c>
      <c r="C254" s="32"/>
      <c r="D254" s="33" t="s">
        <v>98</v>
      </c>
      <c r="E254" s="34" t="n">
        <v>1</v>
      </c>
      <c r="F254" s="32" t="s">
        <v>99</v>
      </c>
      <c r="G254" s="35" t="n">
        <f aca="false">IF(A254="","",A254+7-WEEKDAY(A254))</f>
        <v>46221</v>
      </c>
      <c r="H254" s="36" t="n">
        <f aca="false">IF(A254="","",DATE(YEAR(A254),MONTH(A254),1))</f>
        <v>46204</v>
      </c>
      <c r="I254" s="37" t="str">
        <f aca="false">IF(B254="","",IFERROR(INDEX(st_ID,MATCH(B254,st_Name,0)),"Unknown"))</f>
        <v>QP-05</v>
      </c>
      <c r="J254" s="37" t="str">
        <f aca="false">IF(C254="","",IFERROR(INDEX(cl_Code,MATCH(C254,cl_Name,0)),"Unknown"))</f>
        <v/>
      </c>
      <c r="K254" s="37" t="str">
        <f aca="false">IF(D254="","",IFERROR(INDEX(rt_Billable,MATCH(D254,rt_Code,0)),"Unknown"))</f>
        <v>No</v>
      </c>
      <c r="L254" s="38" t="str">
        <f aca="false">IF(K254&lt;&gt;"Yes","",IFERROR(INDEX(cr_Rate,MATCH(J254&amp;"|"&amp;D254,cr_Key,0)),INDEX(rt_Rate,MATCH(D254,rt_Code,0))))</f>
        <v/>
      </c>
      <c r="M254" s="25" t="str">
        <f aca="false">IF(L254="","",ROUND(N(E254)*L254,2))</f>
        <v/>
      </c>
      <c r="N254" s="39" t="n">
        <f aca="false">IF(OR(A254="",B254=""),"",SUMIFS(tl_Hours,tl_StaffID,I254,tl_Date,A254))</f>
        <v>8</v>
      </c>
      <c r="O254" s="40" t="str">
        <f aca="false">IF(A254&amp;B254&amp;D254="","",IF(OR(A254="",B254="",D254="",E254=""),"Incomplete",IF(K254="Unknown","Unknown code",IF(AND(K254="Yes",C254=""),"Billable, needs client",IF(N254&gt;MaxDayHours,"Over "&amp;MaxDayHours&amp;" hours that day","")))))</f>
        <v/>
      </c>
    </row>
    <row r="255" customFormat="false" ht="15" hidden="false" customHeight="false" outlineLevel="0" collapsed="false">
      <c r="A255" s="31" t="n">
        <v>46218</v>
      </c>
      <c r="B255" s="32" t="s">
        <v>103</v>
      </c>
      <c r="C255" s="32"/>
      <c r="D255" s="33" t="s">
        <v>94</v>
      </c>
      <c r="E255" s="34" t="n">
        <v>1.5</v>
      </c>
      <c r="F255" s="32" t="s">
        <v>95</v>
      </c>
      <c r="G255" s="35" t="n">
        <f aca="false">IF(A255="","",A255+7-WEEKDAY(A255))</f>
        <v>46221</v>
      </c>
      <c r="H255" s="36" t="n">
        <f aca="false">IF(A255="","",DATE(YEAR(A255),MONTH(A255),1))</f>
        <v>46204</v>
      </c>
      <c r="I255" s="37" t="str">
        <f aca="false">IF(B255="","",IFERROR(INDEX(st_ID,MATCH(B255,st_Name,0)),"Unknown"))</f>
        <v>QP-05</v>
      </c>
      <c r="J255" s="37" t="str">
        <f aca="false">IF(C255="","",IFERROR(INDEX(cl_Code,MATCH(C255,cl_Name,0)),"Unknown"))</f>
        <v/>
      </c>
      <c r="K255" s="37" t="str">
        <f aca="false">IF(D255="","",IFERROR(INDEX(rt_Billable,MATCH(D255,rt_Code,0)),"Unknown"))</f>
        <v>No</v>
      </c>
      <c r="L255" s="38" t="str">
        <f aca="false">IF(K255&lt;&gt;"Yes","",IFERROR(INDEX(cr_Rate,MATCH(J255&amp;"|"&amp;D255,cr_Key,0)),INDEX(rt_Rate,MATCH(D255,rt_Code,0))))</f>
        <v/>
      </c>
      <c r="M255" s="25" t="str">
        <f aca="false">IF(L255="","",ROUND(N(E255)*L255,2))</f>
        <v/>
      </c>
      <c r="N255" s="39" t="n">
        <f aca="false">IF(OR(A255="",B255=""),"",SUMIFS(tl_Hours,tl_StaffID,I255,tl_Date,A255))</f>
        <v>8</v>
      </c>
      <c r="O255" s="40" t="str">
        <f aca="false">IF(A255&amp;B255&amp;D255="","",IF(OR(A255="",B255="",D255="",E255=""),"Incomplete",IF(K255="Unknown","Unknown code",IF(AND(K255="Yes",C255=""),"Billable, needs client",IF(N255&gt;MaxDayHours,"Over "&amp;MaxDayHours&amp;" hours that day","")))))</f>
        <v/>
      </c>
    </row>
    <row r="256" customFormat="false" ht="15" hidden="false" customHeight="false" outlineLevel="0" collapsed="false">
      <c r="A256" s="31" t="n">
        <v>46218</v>
      </c>
      <c r="B256" s="32" t="s">
        <v>103</v>
      </c>
      <c r="C256" s="32"/>
      <c r="D256" s="33" t="s">
        <v>96</v>
      </c>
      <c r="E256" s="34" t="n">
        <v>1.5</v>
      </c>
      <c r="F256" s="32"/>
      <c r="G256" s="35" t="n">
        <f aca="false">IF(A256="","",A256+7-WEEKDAY(A256))</f>
        <v>46221</v>
      </c>
      <c r="H256" s="36" t="n">
        <f aca="false">IF(A256="","",DATE(YEAR(A256),MONTH(A256),1))</f>
        <v>46204</v>
      </c>
      <c r="I256" s="37" t="str">
        <f aca="false">IF(B256="","",IFERROR(INDEX(st_ID,MATCH(B256,st_Name,0)),"Unknown"))</f>
        <v>QP-05</v>
      </c>
      <c r="J256" s="37" t="str">
        <f aca="false">IF(C256="","",IFERROR(INDEX(cl_Code,MATCH(C256,cl_Name,0)),"Unknown"))</f>
        <v/>
      </c>
      <c r="K256" s="37" t="str">
        <f aca="false">IF(D256="","",IFERROR(INDEX(rt_Billable,MATCH(D256,rt_Code,0)),"Unknown"))</f>
        <v>No</v>
      </c>
      <c r="L256" s="38" t="str">
        <f aca="false">IF(K256&lt;&gt;"Yes","",IFERROR(INDEX(cr_Rate,MATCH(J256&amp;"|"&amp;D256,cr_Key,0)),INDEX(rt_Rate,MATCH(D256,rt_Code,0))))</f>
        <v/>
      </c>
      <c r="M256" s="25" t="str">
        <f aca="false">IF(L256="","",ROUND(N(E256)*L256,2))</f>
        <v/>
      </c>
      <c r="N256" s="39" t="n">
        <f aca="false">IF(OR(A256="",B256=""),"",SUMIFS(tl_Hours,tl_StaffID,I256,tl_Date,A256))</f>
        <v>8</v>
      </c>
      <c r="O256" s="40" t="str">
        <f aca="false">IF(A256&amp;B256&amp;D256="","",IF(OR(A256="",B256="",D256="",E256=""),"Incomplete",IF(K256="Unknown","Unknown code",IF(AND(K256="Yes",C256=""),"Billable, needs client",IF(N256&gt;MaxDayHours,"Over "&amp;MaxDayHours&amp;" hours that day","")))))</f>
        <v/>
      </c>
    </row>
    <row r="257" customFormat="false" ht="15" hidden="false" customHeight="false" outlineLevel="0" collapsed="false">
      <c r="A257" s="31" t="n">
        <v>46218</v>
      </c>
      <c r="B257" s="32" t="s">
        <v>105</v>
      </c>
      <c r="C257" s="32" t="s">
        <v>90</v>
      </c>
      <c r="D257" s="33" t="s">
        <v>88</v>
      </c>
      <c r="E257" s="34" t="n">
        <v>2.25</v>
      </c>
      <c r="F257" s="32"/>
      <c r="G257" s="35" t="n">
        <f aca="false">IF(A257="","",A257+7-WEEKDAY(A257))</f>
        <v>46221</v>
      </c>
      <c r="H257" s="36" t="n">
        <f aca="false">IF(A257="","",DATE(YEAR(A257),MONTH(A257),1))</f>
        <v>46204</v>
      </c>
      <c r="I257" s="37" t="str">
        <f aca="false">IF(B257="","",IFERROR(INDEX(st_ID,MATCH(B257,st_Name,0)),"Unknown"))</f>
        <v>QP-06</v>
      </c>
      <c r="J257" s="37" t="str">
        <f aca="false">IF(C257="","",IFERROR(INDEX(cl_Code,MATCH(C257,cl_Name,0)),"Unknown"))</f>
        <v>BSE</v>
      </c>
      <c r="K257" s="37" t="str">
        <f aca="false">IF(D257="","",IFERROR(INDEX(rt_Billable,MATCH(D257,rt_Code,0)),"Unknown"))</f>
        <v>Yes</v>
      </c>
      <c r="L257" s="38" t="n">
        <f aca="false">IF(K257&lt;&gt;"Yes","",IFERROR(INDEX(cr_Rate,MATCH(J257&amp;"|"&amp;D257,cr_Key,0)),INDEX(rt_Rate,MATCH(D257,rt_Code,0))))</f>
        <v>104</v>
      </c>
      <c r="M257" s="25" t="n">
        <f aca="false">IF(L257="","",ROUND(N(E257)*L257,2))</f>
        <v>234</v>
      </c>
      <c r="N257" s="39" t="n">
        <f aca="false">IF(OR(A257="",B257=""),"",SUMIFS(tl_Hours,tl_StaffID,I257,tl_Date,A257))</f>
        <v>8</v>
      </c>
      <c r="O257" s="40" t="str">
        <f aca="false">IF(A257&amp;B257&amp;D257="","",IF(OR(A257="",B257="",D257="",E257=""),"Incomplete",IF(K257="Unknown","Unknown code",IF(AND(K257="Yes",C257=""),"Billable, needs client",IF(N257&gt;MaxDayHours,"Over "&amp;MaxDayHours&amp;" hours that day","")))))</f>
        <v/>
      </c>
    </row>
    <row r="258" customFormat="false" ht="15" hidden="false" customHeight="false" outlineLevel="0" collapsed="false">
      <c r="A258" s="31" t="n">
        <v>46218</v>
      </c>
      <c r="B258" s="32" t="s">
        <v>105</v>
      </c>
      <c r="C258" s="32" t="s">
        <v>90</v>
      </c>
      <c r="D258" s="33" t="s">
        <v>89</v>
      </c>
      <c r="E258" s="34" t="n">
        <v>1.75</v>
      </c>
      <c r="F258" s="32"/>
      <c r="G258" s="35" t="n">
        <f aca="false">IF(A258="","",A258+7-WEEKDAY(A258))</f>
        <v>46221</v>
      </c>
      <c r="H258" s="36" t="n">
        <f aca="false">IF(A258="","",DATE(YEAR(A258),MONTH(A258),1))</f>
        <v>46204</v>
      </c>
      <c r="I258" s="37" t="str">
        <f aca="false">IF(B258="","",IFERROR(INDEX(st_ID,MATCH(B258,st_Name,0)),"Unknown"))</f>
        <v>QP-06</v>
      </c>
      <c r="J258" s="37" t="str">
        <f aca="false">IF(C258="","",IFERROR(INDEX(cl_Code,MATCH(C258,cl_Name,0)),"Unknown"))</f>
        <v>BSE</v>
      </c>
      <c r="K258" s="37" t="str">
        <f aca="false">IF(D258="","",IFERROR(INDEX(rt_Billable,MATCH(D258,rt_Code,0)),"Unknown"))</f>
        <v>Yes</v>
      </c>
      <c r="L258" s="38" t="n">
        <f aca="false">IF(K258&lt;&gt;"Yes","",IFERROR(INDEX(cr_Rate,MATCH(J258&amp;"|"&amp;D258,cr_Key,0)),INDEX(rt_Rate,MATCH(D258,rt_Code,0))))</f>
        <v>95</v>
      </c>
      <c r="M258" s="25" t="n">
        <f aca="false">IF(L258="","",ROUND(N(E258)*L258,2))</f>
        <v>166.25</v>
      </c>
      <c r="N258" s="39" t="n">
        <f aca="false">IF(OR(A258="",B258=""),"",SUMIFS(tl_Hours,tl_StaffID,I258,tl_Date,A258))</f>
        <v>8</v>
      </c>
      <c r="O258" s="40" t="str">
        <f aca="false">IF(A258&amp;B258&amp;D258="","",IF(OR(A258="",B258="",D258="",E258=""),"Incomplete",IF(K258="Unknown","Unknown code",IF(AND(K258="Yes",C258=""),"Billable, needs client",IF(N258&gt;MaxDayHours,"Over "&amp;MaxDayHours&amp;" hours that day","")))))</f>
        <v/>
      </c>
    </row>
    <row r="259" customFormat="false" ht="15" hidden="false" customHeight="false" outlineLevel="0" collapsed="false">
      <c r="A259" s="31" t="n">
        <v>46218</v>
      </c>
      <c r="B259" s="32" t="s">
        <v>105</v>
      </c>
      <c r="C259" s="32"/>
      <c r="D259" s="33" t="s">
        <v>98</v>
      </c>
      <c r="E259" s="34" t="n">
        <v>1</v>
      </c>
      <c r="F259" s="32" t="s">
        <v>99</v>
      </c>
      <c r="G259" s="35" t="n">
        <f aca="false">IF(A259="","",A259+7-WEEKDAY(A259))</f>
        <v>46221</v>
      </c>
      <c r="H259" s="36" t="n">
        <f aca="false">IF(A259="","",DATE(YEAR(A259),MONTH(A259),1))</f>
        <v>46204</v>
      </c>
      <c r="I259" s="37" t="str">
        <f aca="false">IF(B259="","",IFERROR(INDEX(st_ID,MATCH(B259,st_Name,0)),"Unknown"))</f>
        <v>QP-06</v>
      </c>
      <c r="J259" s="37" t="str">
        <f aca="false">IF(C259="","",IFERROR(INDEX(cl_Code,MATCH(C259,cl_Name,0)),"Unknown"))</f>
        <v/>
      </c>
      <c r="K259" s="37" t="str">
        <f aca="false">IF(D259="","",IFERROR(INDEX(rt_Billable,MATCH(D259,rt_Code,0)),"Unknown"))</f>
        <v>No</v>
      </c>
      <c r="L259" s="38" t="str">
        <f aca="false">IF(K259&lt;&gt;"Yes","",IFERROR(INDEX(cr_Rate,MATCH(J259&amp;"|"&amp;D259,cr_Key,0)),INDEX(rt_Rate,MATCH(D259,rt_Code,0))))</f>
        <v/>
      </c>
      <c r="M259" s="25" t="str">
        <f aca="false">IF(L259="","",ROUND(N(E259)*L259,2))</f>
        <v/>
      </c>
      <c r="N259" s="39" t="n">
        <f aca="false">IF(OR(A259="",B259=""),"",SUMIFS(tl_Hours,tl_StaffID,I259,tl_Date,A259))</f>
        <v>8</v>
      </c>
      <c r="O259" s="40" t="str">
        <f aca="false">IF(A259&amp;B259&amp;D259="","",IF(OR(A259="",B259="",D259="",E259=""),"Incomplete",IF(K259="Unknown","Unknown code",IF(AND(K259="Yes",C259=""),"Billable, needs client",IF(N259&gt;MaxDayHours,"Over "&amp;MaxDayHours&amp;" hours that day","")))))</f>
        <v/>
      </c>
    </row>
    <row r="260" customFormat="false" ht="15" hidden="false" customHeight="false" outlineLevel="0" collapsed="false">
      <c r="A260" s="31" t="n">
        <v>46218</v>
      </c>
      <c r="B260" s="32" t="s">
        <v>105</v>
      </c>
      <c r="C260" s="32"/>
      <c r="D260" s="33" t="s">
        <v>96</v>
      </c>
      <c r="E260" s="34" t="n">
        <v>3</v>
      </c>
      <c r="F260" s="32"/>
      <c r="G260" s="35" t="n">
        <f aca="false">IF(A260="","",A260+7-WEEKDAY(A260))</f>
        <v>46221</v>
      </c>
      <c r="H260" s="36" t="n">
        <f aca="false">IF(A260="","",DATE(YEAR(A260),MONTH(A260),1))</f>
        <v>46204</v>
      </c>
      <c r="I260" s="37" t="str">
        <f aca="false">IF(B260="","",IFERROR(INDEX(st_ID,MATCH(B260,st_Name,0)),"Unknown"))</f>
        <v>QP-06</v>
      </c>
      <c r="J260" s="37" t="str">
        <f aca="false">IF(C260="","",IFERROR(INDEX(cl_Code,MATCH(C260,cl_Name,0)),"Unknown"))</f>
        <v/>
      </c>
      <c r="K260" s="37" t="str">
        <f aca="false">IF(D260="","",IFERROR(INDEX(rt_Billable,MATCH(D260,rt_Code,0)),"Unknown"))</f>
        <v>No</v>
      </c>
      <c r="L260" s="38" t="str">
        <f aca="false">IF(K260&lt;&gt;"Yes","",IFERROR(INDEX(cr_Rate,MATCH(J260&amp;"|"&amp;D260,cr_Key,0)),INDEX(rt_Rate,MATCH(D260,rt_Code,0))))</f>
        <v/>
      </c>
      <c r="M260" s="25" t="str">
        <f aca="false">IF(L260="","",ROUND(N(E260)*L260,2))</f>
        <v/>
      </c>
      <c r="N260" s="39" t="n">
        <f aca="false">IF(OR(A260="",B260=""),"",SUMIFS(tl_Hours,tl_StaffID,I260,tl_Date,A260))</f>
        <v>8</v>
      </c>
      <c r="O260" s="40" t="str">
        <f aca="false">IF(A260&amp;B260&amp;D260="","",IF(OR(A260="",B260="",D260="",E260=""),"Incomplete",IF(K260="Unknown","Unknown code",IF(AND(K260="Yes",C260=""),"Billable, needs client",IF(N260&gt;MaxDayHours,"Over "&amp;MaxDayHours&amp;" hours that day","")))))</f>
        <v/>
      </c>
    </row>
    <row r="261" customFormat="false" ht="15" hidden="false" customHeight="false" outlineLevel="0" collapsed="false">
      <c r="A261" s="31" t="n">
        <v>46218</v>
      </c>
      <c r="B261" s="32" t="s">
        <v>106</v>
      </c>
      <c r="C261" s="32" t="s">
        <v>102</v>
      </c>
      <c r="D261" s="33" t="s">
        <v>104</v>
      </c>
      <c r="E261" s="34" t="n">
        <v>4.5</v>
      </c>
      <c r="F261" s="32"/>
      <c r="G261" s="35" t="n">
        <f aca="false">IF(A261="","",A261+7-WEEKDAY(A261))</f>
        <v>46221</v>
      </c>
      <c r="H261" s="36" t="n">
        <f aca="false">IF(A261="","",DATE(YEAR(A261),MONTH(A261),1))</f>
        <v>46204</v>
      </c>
      <c r="I261" s="37" t="str">
        <f aca="false">IF(B261="","",IFERROR(INDEX(st_ID,MATCH(B261,st_Name,0)),"Unknown"))</f>
        <v>QP-07</v>
      </c>
      <c r="J261" s="37" t="str">
        <f aca="false">IF(C261="","",IFERROR(INDEX(cl_Code,MATCH(C261,cl_Name,0)),"Unknown"))</f>
        <v>CLH</v>
      </c>
      <c r="K261" s="37" t="str">
        <f aca="false">IF(D261="","",IFERROR(INDEX(rt_Billable,MATCH(D261,rt_Code,0)),"Unknown"))</f>
        <v>Yes</v>
      </c>
      <c r="L261" s="38" t="n">
        <f aca="false">IF(K261&lt;&gt;"Yes","",IFERROR(INDEX(cr_Rate,MATCH(J261&amp;"|"&amp;D261,cr_Key,0)),INDEX(rt_Rate,MATCH(D261,rt_Code,0))))</f>
        <v>65</v>
      </c>
      <c r="M261" s="25" t="n">
        <f aca="false">IF(L261="","",ROUND(N(E261)*L261,2))</f>
        <v>292.5</v>
      </c>
      <c r="N261" s="39" t="n">
        <f aca="false">IF(OR(A261="",B261=""),"",SUMIFS(tl_Hours,tl_StaffID,I261,tl_Date,A261))</f>
        <v>8</v>
      </c>
      <c r="O261" s="40" t="str">
        <f aca="false">IF(A261&amp;B261&amp;D261="","",IF(OR(A261="",B261="",D261="",E261=""),"Incomplete",IF(K261="Unknown","Unknown code",IF(AND(K261="Yes",C261=""),"Billable, needs client",IF(N261&gt;MaxDayHours,"Over "&amp;MaxDayHours&amp;" hours that day","")))))</f>
        <v/>
      </c>
    </row>
    <row r="262" customFormat="false" ht="15" hidden="false" customHeight="false" outlineLevel="0" collapsed="false">
      <c r="A262" s="31" t="n">
        <v>46218</v>
      </c>
      <c r="B262" s="32" t="s">
        <v>106</v>
      </c>
      <c r="C262" s="32"/>
      <c r="D262" s="33" t="s">
        <v>98</v>
      </c>
      <c r="E262" s="34" t="n">
        <v>1</v>
      </c>
      <c r="F262" s="32" t="s">
        <v>99</v>
      </c>
      <c r="G262" s="35" t="n">
        <f aca="false">IF(A262="","",A262+7-WEEKDAY(A262))</f>
        <v>46221</v>
      </c>
      <c r="H262" s="36" t="n">
        <f aca="false">IF(A262="","",DATE(YEAR(A262),MONTH(A262),1))</f>
        <v>46204</v>
      </c>
      <c r="I262" s="37" t="str">
        <f aca="false">IF(B262="","",IFERROR(INDEX(st_ID,MATCH(B262,st_Name,0)),"Unknown"))</f>
        <v>QP-07</v>
      </c>
      <c r="J262" s="37" t="str">
        <f aca="false">IF(C262="","",IFERROR(INDEX(cl_Code,MATCH(C262,cl_Name,0)),"Unknown"))</f>
        <v/>
      </c>
      <c r="K262" s="37" t="str">
        <f aca="false">IF(D262="","",IFERROR(INDEX(rt_Billable,MATCH(D262,rt_Code,0)),"Unknown"))</f>
        <v>No</v>
      </c>
      <c r="L262" s="38" t="str">
        <f aca="false">IF(K262&lt;&gt;"Yes","",IFERROR(INDEX(cr_Rate,MATCH(J262&amp;"|"&amp;D262,cr_Key,0)),INDEX(rt_Rate,MATCH(D262,rt_Code,0))))</f>
        <v/>
      </c>
      <c r="M262" s="25" t="str">
        <f aca="false">IF(L262="","",ROUND(N(E262)*L262,2))</f>
        <v/>
      </c>
      <c r="N262" s="39" t="n">
        <f aca="false">IF(OR(A262="",B262=""),"",SUMIFS(tl_Hours,tl_StaffID,I262,tl_Date,A262))</f>
        <v>8</v>
      </c>
      <c r="O262" s="40" t="str">
        <f aca="false">IF(A262&amp;B262&amp;D262="","",IF(OR(A262="",B262="",D262="",E262=""),"Incomplete",IF(K262="Unknown","Unknown code",IF(AND(K262="Yes",C262=""),"Billable, needs client",IF(N262&gt;MaxDayHours,"Over "&amp;MaxDayHours&amp;" hours that day","")))))</f>
        <v/>
      </c>
    </row>
    <row r="263" customFormat="false" ht="15" hidden="false" customHeight="false" outlineLevel="0" collapsed="false">
      <c r="A263" s="31" t="n">
        <v>46218</v>
      </c>
      <c r="B263" s="32" t="s">
        <v>106</v>
      </c>
      <c r="C263" s="32"/>
      <c r="D263" s="33" t="s">
        <v>96</v>
      </c>
      <c r="E263" s="34" t="n">
        <v>2.5</v>
      </c>
      <c r="F263" s="32"/>
      <c r="G263" s="35" t="n">
        <f aca="false">IF(A263="","",A263+7-WEEKDAY(A263))</f>
        <v>46221</v>
      </c>
      <c r="H263" s="36" t="n">
        <f aca="false">IF(A263="","",DATE(YEAR(A263),MONTH(A263),1))</f>
        <v>46204</v>
      </c>
      <c r="I263" s="37" t="str">
        <f aca="false">IF(B263="","",IFERROR(INDEX(st_ID,MATCH(B263,st_Name,0)),"Unknown"))</f>
        <v>QP-07</v>
      </c>
      <c r="J263" s="37" t="str">
        <f aca="false">IF(C263="","",IFERROR(INDEX(cl_Code,MATCH(C263,cl_Name,0)),"Unknown"))</f>
        <v/>
      </c>
      <c r="K263" s="37" t="str">
        <f aca="false">IF(D263="","",IFERROR(INDEX(rt_Billable,MATCH(D263,rt_Code,0)),"Unknown"))</f>
        <v>No</v>
      </c>
      <c r="L263" s="38" t="str">
        <f aca="false">IF(K263&lt;&gt;"Yes","",IFERROR(INDEX(cr_Rate,MATCH(J263&amp;"|"&amp;D263,cr_Key,0)),INDEX(rt_Rate,MATCH(D263,rt_Code,0))))</f>
        <v/>
      </c>
      <c r="M263" s="25" t="str">
        <f aca="false">IF(L263="","",ROUND(N(E263)*L263,2))</f>
        <v/>
      </c>
      <c r="N263" s="39" t="n">
        <f aca="false">IF(OR(A263="",B263=""),"",SUMIFS(tl_Hours,tl_StaffID,I263,tl_Date,A263))</f>
        <v>8</v>
      </c>
      <c r="O263" s="40" t="str">
        <f aca="false">IF(A263&amp;B263&amp;D263="","",IF(OR(A263="",B263="",D263="",E263=""),"Incomplete",IF(K263="Unknown","Unknown code",IF(AND(K263="Yes",C263=""),"Billable, needs client",IF(N263&gt;MaxDayHours,"Over "&amp;MaxDayHours&amp;" hours that day","")))))</f>
        <v/>
      </c>
    </row>
    <row r="264" customFormat="false" ht="15" hidden="false" customHeight="false" outlineLevel="0" collapsed="false">
      <c r="A264" s="31" t="n">
        <v>46218</v>
      </c>
      <c r="B264" s="32" t="s">
        <v>107</v>
      </c>
      <c r="C264" s="32"/>
      <c r="D264" s="33" t="s">
        <v>108</v>
      </c>
      <c r="E264" s="34" t="n">
        <v>6.5</v>
      </c>
      <c r="F264" s="32"/>
      <c r="G264" s="35" t="n">
        <f aca="false">IF(A264="","",A264+7-WEEKDAY(A264))</f>
        <v>46221</v>
      </c>
      <c r="H264" s="36" t="n">
        <f aca="false">IF(A264="","",DATE(YEAR(A264),MONTH(A264),1))</f>
        <v>46204</v>
      </c>
      <c r="I264" s="37" t="str">
        <f aca="false">IF(B264="","",IFERROR(INDEX(st_ID,MATCH(B264,st_Name,0)),"Unknown"))</f>
        <v>QP-08</v>
      </c>
      <c r="J264" s="37" t="str">
        <f aca="false">IF(C264="","",IFERROR(INDEX(cl_Code,MATCH(C264,cl_Name,0)),"Unknown"))</f>
        <v/>
      </c>
      <c r="K264" s="37" t="str">
        <f aca="false">IF(D264="","",IFERROR(INDEX(rt_Billable,MATCH(D264,rt_Code,0)),"Unknown"))</f>
        <v>No</v>
      </c>
      <c r="L264" s="38" t="str">
        <f aca="false">IF(K264&lt;&gt;"Yes","",IFERROR(INDEX(cr_Rate,MATCH(J264&amp;"|"&amp;D264,cr_Key,0)),INDEX(rt_Rate,MATCH(D264,rt_Code,0))))</f>
        <v/>
      </c>
      <c r="M264" s="25" t="str">
        <f aca="false">IF(L264="","",ROUND(N(E264)*L264,2))</f>
        <v/>
      </c>
      <c r="N264" s="39" t="n">
        <f aca="false">IF(OR(A264="",B264=""),"",SUMIFS(tl_Hours,tl_StaffID,I264,tl_Date,A264))</f>
        <v>8</v>
      </c>
      <c r="O264" s="40" t="str">
        <f aca="false">IF(A264&amp;B264&amp;D264="","",IF(OR(A264="",B264="",D264="",E264=""),"Incomplete",IF(K264="Unknown","Unknown code",IF(AND(K264="Yes",C264=""),"Billable, needs client",IF(N264&gt;MaxDayHours,"Over "&amp;MaxDayHours&amp;" hours that day","")))))</f>
        <v/>
      </c>
    </row>
    <row r="265" customFormat="false" ht="15" hidden="false" customHeight="false" outlineLevel="0" collapsed="false">
      <c r="A265" s="31" t="n">
        <v>46218</v>
      </c>
      <c r="B265" s="32" t="s">
        <v>107</v>
      </c>
      <c r="C265" s="32"/>
      <c r="D265" s="33" t="s">
        <v>98</v>
      </c>
      <c r="E265" s="34" t="n">
        <v>1.5</v>
      </c>
      <c r="F265" s="32"/>
      <c r="G265" s="35" t="n">
        <f aca="false">IF(A265="","",A265+7-WEEKDAY(A265))</f>
        <v>46221</v>
      </c>
      <c r="H265" s="36" t="n">
        <f aca="false">IF(A265="","",DATE(YEAR(A265),MONTH(A265),1))</f>
        <v>46204</v>
      </c>
      <c r="I265" s="37" t="str">
        <f aca="false">IF(B265="","",IFERROR(INDEX(st_ID,MATCH(B265,st_Name,0)),"Unknown"))</f>
        <v>QP-08</v>
      </c>
      <c r="J265" s="37" t="str">
        <f aca="false">IF(C265="","",IFERROR(INDEX(cl_Code,MATCH(C265,cl_Name,0)),"Unknown"))</f>
        <v/>
      </c>
      <c r="K265" s="37" t="str">
        <f aca="false">IF(D265="","",IFERROR(INDEX(rt_Billable,MATCH(D265,rt_Code,0)),"Unknown"))</f>
        <v>No</v>
      </c>
      <c r="L265" s="38" t="str">
        <f aca="false">IF(K265&lt;&gt;"Yes","",IFERROR(INDEX(cr_Rate,MATCH(J265&amp;"|"&amp;D265,cr_Key,0)),INDEX(rt_Rate,MATCH(D265,rt_Code,0))))</f>
        <v/>
      </c>
      <c r="M265" s="25" t="str">
        <f aca="false">IF(L265="","",ROUND(N(E265)*L265,2))</f>
        <v/>
      </c>
      <c r="N265" s="39" t="n">
        <f aca="false">IF(OR(A265="",B265=""),"",SUMIFS(tl_Hours,tl_StaffID,I265,tl_Date,A265))</f>
        <v>8</v>
      </c>
      <c r="O265" s="40" t="str">
        <f aca="false">IF(A265&amp;B265&amp;D265="","",IF(OR(A265="",B265="",D265="",E265=""),"Incomplete",IF(K265="Unknown","Unknown code",IF(AND(K265="Yes",C265=""),"Billable, needs client",IF(N265&gt;MaxDayHours,"Over "&amp;MaxDayHours&amp;" hours that day","")))))</f>
        <v/>
      </c>
    </row>
    <row r="266" customFormat="false" ht="15" hidden="false" customHeight="false" outlineLevel="0" collapsed="false">
      <c r="A266" s="31" t="n">
        <v>46219</v>
      </c>
      <c r="B266" s="32" t="s">
        <v>86</v>
      </c>
      <c r="C266" s="32" t="s">
        <v>90</v>
      </c>
      <c r="D266" s="33" t="s">
        <v>91</v>
      </c>
      <c r="E266" s="34" t="n">
        <v>3.25</v>
      </c>
      <c r="F266" s="32"/>
      <c r="G266" s="35" t="n">
        <f aca="false">IF(A266="","",A266+7-WEEKDAY(A266))</f>
        <v>46221</v>
      </c>
      <c r="H266" s="36" t="n">
        <f aca="false">IF(A266="","",DATE(YEAR(A266),MONTH(A266),1))</f>
        <v>46204</v>
      </c>
      <c r="I266" s="37" t="str">
        <f aca="false">IF(B266="","",IFERROR(INDEX(st_ID,MATCH(B266,st_Name,0)),"Unknown"))</f>
        <v>QP-01</v>
      </c>
      <c r="J266" s="37" t="str">
        <f aca="false">IF(C266="","",IFERROR(INDEX(cl_Code,MATCH(C266,cl_Name,0)),"Unknown"))</f>
        <v>BSE</v>
      </c>
      <c r="K266" s="37" t="str">
        <f aca="false">IF(D266="","",IFERROR(INDEX(rt_Billable,MATCH(D266,rt_Code,0)),"Unknown"))</f>
        <v>Yes</v>
      </c>
      <c r="L266" s="38" t="n">
        <f aca="false">IF(K266&lt;&gt;"Yes","",IFERROR(INDEX(cr_Rate,MATCH(J266&amp;"|"&amp;D266,cr_Key,0)),INDEX(rt_Rate,MATCH(D266,rt_Code,0))))</f>
        <v>100</v>
      </c>
      <c r="M266" s="25" t="n">
        <f aca="false">IF(L266="","",ROUND(N(E266)*L266,2))</f>
        <v>325</v>
      </c>
      <c r="N266" s="39" t="n">
        <f aca="false">IF(OR(A266="",B266=""),"",SUMIFS(tl_Hours,tl_StaffID,I266,tl_Date,A266))</f>
        <v>8</v>
      </c>
      <c r="O266" s="40" t="str">
        <f aca="false">IF(A266&amp;B266&amp;D266="","",IF(OR(A266="",B266="",D266="",E266=""),"Incomplete",IF(K266="Unknown","Unknown code",IF(AND(K266="Yes",C266=""),"Billable, needs client",IF(N266&gt;MaxDayHours,"Over "&amp;MaxDayHours&amp;" hours that day","")))))</f>
        <v/>
      </c>
    </row>
    <row r="267" customFormat="false" ht="15" hidden="false" customHeight="false" outlineLevel="0" collapsed="false">
      <c r="A267" s="31" t="n">
        <v>46219</v>
      </c>
      <c r="B267" s="32" t="s">
        <v>86</v>
      </c>
      <c r="C267" s="32" t="s">
        <v>90</v>
      </c>
      <c r="D267" s="33" t="s">
        <v>89</v>
      </c>
      <c r="E267" s="34" t="n">
        <v>1</v>
      </c>
      <c r="F267" s="32"/>
      <c r="G267" s="35" t="n">
        <f aca="false">IF(A267="","",A267+7-WEEKDAY(A267))</f>
        <v>46221</v>
      </c>
      <c r="H267" s="36" t="n">
        <f aca="false">IF(A267="","",DATE(YEAR(A267),MONTH(A267),1))</f>
        <v>46204</v>
      </c>
      <c r="I267" s="37" t="str">
        <f aca="false">IF(B267="","",IFERROR(INDEX(st_ID,MATCH(B267,st_Name,0)),"Unknown"))</f>
        <v>QP-01</v>
      </c>
      <c r="J267" s="37" t="str">
        <f aca="false">IF(C267="","",IFERROR(INDEX(cl_Code,MATCH(C267,cl_Name,0)),"Unknown"))</f>
        <v>BSE</v>
      </c>
      <c r="K267" s="37" t="str">
        <f aca="false">IF(D267="","",IFERROR(INDEX(rt_Billable,MATCH(D267,rt_Code,0)),"Unknown"))</f>
        <v>Yes</v>
      </c>
      <c r="L267" s="38" t="n">
        <f aca="false">IF(K267&lt;&gt;"Yes","",IFERROR(INDEX(cr_Rate,MATCH(J267&amp;"|"&amp;D267,cr_Key,0)),INDEX(rt_Rate,MATCH(D267,rt_Code,0))))</f>
        <v>95</v>
      </c>
      <c r="M267" s="25" t="n">
        <f aca="false">IF(L267="","",ROUND(N(E267)*L267,2))</f>
        <v>95</v>
      </c>
      <c r="N267" s="39" t="n">
        <f aca="false">IF(OR(A267="",B267=""),"",SUMIFS(tl_Hours,tl_StaffID,I267,tl_Date,A267))</f>
        <v>8</v>
      </c>
      <c r="O267" s="40" t="str">
        <f aca="false">IF(A267&amp;B267&amp;D267="","",IF(OR(A267="",B267="",D267="",E267=""),"Incomplete",IF(K267="Unknown","Unknown code",IF(AND(K267="Yes",C267=""),"Billable, needs client",IF(N267&gt;MaxDayHours,"Over "&amp;MaxDayHours&amp;" hours that day","")))))</f>
        <v/>
      </c>
    </row>
    <row r="268" customFormat="false" ht="15" hidden="false" customHeight="false" outlineLevel="0" collapsed="false">
      <c r="A268" s="31" t="n">
        <v>46219</v>
      </c>
      <c r="B268" s="32" t="s">
        <v>86</v>
      </c>
      <c r="C268" s="32"/>
      <c r="D268" s="33" t="s">
        <v>96</v>
      </c>
      <c r="E268" s="34" t="n">
        <v>3.75</v>
      </c>
      <c r="F268" s="32"/>
      <c r="G268" s="35" t="n">
        <f aca="false">IF(A268="","",A268+7-WEEKDAY(A268))</f>
        <v>46221</v>
      </c>
      <c r="H268" s="36" t="n">
        <f aca="false">IF(A268="","",DATE(YEAR(A268),MONTH(A268),1))</f>
        <v>46204</v>
      </c>
      <c r="I268" s="37" t="str">
        <f aca="false">IF(B268="","",IFERROR(INDEX(st_ID,MATCH(B268,st_Name,0)),"Unknown"))</f>
        <v>QP-01</v>
      </c>
      <c r="J268" s="37" t="str">
        <f aca="false">IF(C268="","",IFERROR(INDEX(cl_Code,MATCH(C268,cl_Name,0)),"Unknown"))</f>
        <v/>
      </c>
      <c r="K268" s="37" t="str">
        <f aca="false">IF(D268="","",IFERROR(INDEX(rt_Billable,MATCH(D268,rt_Code,0)),"Unknown"))</f>
        <v>No</v>
      </c>
      <c r="L268" s="38" t="str">
        <f aca="false">IF(K268&lt;&gt;"Yes","",IFERROR(INDEX(cr_Rate,MATCH(J268&amp;"|"&amp;D268,cr_Key,0)),INDEX(rt_Rate,MATCH(D268,rt_Code,0))))</f>
        <v/>
      </c>
      <c r="M268" s="25" t="str">
        <f aca="false">IF(L268="","",ROUND(N(E268)*L268,2))</f>
        <v/>
      </c>
      <c r="N268" s="39" t="n">
        <f aca="false">IF(OR(A268="",B268=""),"",SUMIFS(tl_Hours,tl_StaffID,I268,tl_Date,A268))</f>
        <v>8</v>
      </c>
      <c r="O268" s="40" t="str">
        <f aca="false">IF(A268&amp;B268&amp;D268="","",IF(OR(A268="",B268="",D268="",E268=""),"Incomplete",IF(K268="Unknown","Unknown code",IF(AND(K268="Yes",C268=""),"Billable, needs client",IF(N268&gt;MaxDayHours,"Over "&amp;MaxDayHours&amp;" hours that day","")))))</f>
        <v/>
      </c>
    </row>
    <row r="269" customFormat="false" ht="15" hidden="false" customHeight="false" outlineLevel="0" collapsed="false">
      <c r="A269" s="31" t="n">
        <v>46219</v>
      </c>
      <c r="B269" s="32" t="s">
        <v>97</v>
      </c>
      <c r="C269" s="32" t="s">
        <v>87</v>
      </c>
      <c r="D269" s="33" t="s">
        <v>88</v>
      </c>
      <c r="E269" s="34" t="n">
        <v>1.75</v>
      </c>
      <c r="F269" s="32"/>
      <c r="G269" s="35" t="n">
        <f aca="false">IF(A269="","",A269+7-WEEKDAY(A269))</f>
        <v>46221</v>
      </c>
      <c r="H269" s="36" t="n">
        <f aca="false">IF(A269="","",DATE(YEAR(A269),MONTH(A269),1))</f>
        <v>46204</v>
      </c>
      <c r="I269" s="37" t="str">
        <f aca="false">IF(B269="","",IFERROR(INDEX(st_ID,MATCH(B269,st_Name,0)),"Unknown"))</f>
        <v>QP-02</v>
      </c>
      <c r="J269" s="37" t="str">
        <f aca="false">IF(C269="","",IFERROR(INDEX(cl_Code,MATCH(C269,cl_Name,0)),"Unknown"))</f>
        <v>HCS</v>
      </c>
      <c r="K269" s="37" t="str">
        <f aca="false">IF(D269="","",IFERROR(INDEX(rt_Billable,MATCH(D269,rt_Code,0)),"Unknown"))</f>
        <v>Yes</v>
      </c>
      <c r="L269" s="38" t="n">
        <f aca="false">IF(K269&lt;&gt;"Yes","",IFERROR(INDEX(cr_Rate,MATCH(J269&amp;"|"&amp;D269,cr_Key,0)),INDEX(rt_Rate,MATCH(D269,rt_Code,0))))</f>
        <v>98</v>
      </c>
      <c r="M269" s="25" t="n">
        <f aca="false">IF(L269="","",ROUND(N(E269)*L269,2))</f>
        <v>171.5</v>
      </c>
      <c r="N269" s="39" t="n">
        <f aca="false">IF(OR(A269="",B269=""),"",SUMIFS(tl_Hours,tl_StaffID,I269,tl_Date,A269))</f>
        <v>8</v>
      </c>
      <c r="O269" s="40" t="str">
        <f aca="false">IF(A269&amp;B269&amp;D269="","",IF(OR(A269="",B269="",D269="",E269=""),"Incomplete",IF(K269="Unknown","Unknown code",IF(AND(K269="Yes",C269=""),"Billable, needs client",IF(N269&gt;MaxDayHours,"Over "&amp;MaxDayHours&amp;" hours that day","")))))</f>
        <v/>
      </c>
    </row>
    <row r="270" customFormat="false" ht="15" hidden="false" customHeight="false" outlineLevel="0" collapsed="false">
      <c r="A270" s="31" t="n">
        <v>46219</v>
      </c>
      <c r="B270" s="32" t="s">
        <v>97</v>
      </c>
      <c r="C270" s="32" t="s">
        <v>87</v>
      </c>
      <c r="D270" s="33" t="s">
        <v>113</v>
      </c>
      <c r="E270" s="34" t="n">
        <v>0.25</v>
      </c>
      <c r="F270" s="32"/>
      <c r="G270" s="35" t="n">
        <f aca="false">IF(A270="","",A270+7-WEEKDAY(A270))</f>
        <v>46221</v>
      </c>
      <c r="H270" s="36" t="n">
        <f aca="false">IF(A270="","",DATE(YEAR(A270),MONTH(A270),1))</f>
        <v>46204</v>
      </c>
      <c r="I270" s="37" t="str">
        <f aca="false">IF(B270="","",IFERROR(INDEX(st_ID,MATCH(B270,st_Name,0)),"Unknown"))</f>
        <v>QP-02</v>
      </c>
      <c r="J270" s="37" t="str">
        <f aca="false">IF(C270="","",IFERROR(INDEX(cl_Code,MATCH(C270,cl_Name,0)),"Unknown"))</f>
        <v>HCS</v>
      </c>
      <c r="K270" s="37" t="str">
        <f aca="false">IF(D270="","",IFERROR(INDEX(rt_Billable,MATCH(D270,rt_Code,0)),"Unknown"))</f>
        <v>Yes</v>
      </c>
      <c r="L270" s="38" t="n">
        <f aca="false">IF(K270&lt;&gt;"Yes","",IFERROR(INDEX(cr_Rate,MATCH(J270&amp;"|"&amp;D270,cr_Key,0)),INDEX(rt_Rate,MATCH(D270,rt_Code,0))))</f>
        <v>85</v>
      </c>
      <c r="M270" s="25" t="n">
        <f aca="false">IF(L270="","",ROUND(N(E270)*L270,2))</f>
        <v>21.25</v>
      </c>
      <c r="N270" s="39" t="n">
        <f aca="false">IF(OR(A270="",B270=""),"",SUMIFS(tl_Hours,tl_StaffID,I270,tl_Date,A270))</f>
        <v>8</v>
      </c>
      <c r="O270" s="40" t="str">
        <f aca="false">IF(A270&amp;B270&amp;D270="","",IF(OR(A270="",B270="",D270="",E270=""),"Incomplete",IF(K270="Unknown","Unknown code",IF(AND(K270="Yes",C270=""),"Billable, needs client",IF(N270&gt;MaxDayHours,"Over "&amp;MaxDayHours&amp;" hours that day","")))))</f>
        <v/>
      </c>
    </row>
    <row r="271" customFormat="false" ht="15" hidden="false" customHeight="false" outlineLevel="0" collapsed="false">
      <c r="A271" s="31" t="n">
        <v>46219</v>
      </c>
      <c r="B271" s="32" t="s">
        <v>97</v>
      </c>
      <c r="C271" s="32" t="s">
        <v>90</v>
      </c>
      <c r="D271" s="33" t="s">
        <v>88</v>
      </c>
      <c r="E271" s="34" t="n">
        <v>1.5</v>
      </c>
      <c r="F271" s="32"/>
      <c r="G271" s="35" t="n">
        <f aca="false">IF(A271="","",A271+7-WEEKDAY(A271))</f>
        <v>46221</v>
      </c>
      <c r="H271" s="36" t="n">
        <f aca="false">IF(A271="","",DATE(YEAR(A271),MONTH(A271),1))</f>
        <v>46204</v>
      </c>
      <c r="I271" s="37" t="str">
        <f aca="false">IF(B271="","",IFERROR(INDEX(st_ID,MATCH(B271,st_Name,0)),"Unknown"))</f>
        <v>QP-02</v>
      </c>
      <c r="J271" s="37" t="str">
        <f aca="false">IF(C271="","",IFERROR(INDEX(cl_Code,MATCH(C271,cl_Name,0)),"Unknown"))</f>
        <v>BSE</v>
      </c>
      <c r="K271" s="37" t="str">
        <f aca="false">IF(D271="","",IFERROR(INDEX(rt_Billable,MATCH(D271,rt_Code,0)),"Unknown"))</f>
        <v>Yes</v>
      </c>
      <c r="L271" s="38" t="n">
        <f aca="false">IF(K271&lt;&gt;"Yes","",IFERROR(INDEX(cr_Rate,MATCH(J271&amp;"|"&amp;D271,cr_Key,0)),INDEX(rt_Rate,MATCH(D271,rt_Code,0))))</f>
        <v>104</v>
      </c>
      <c r="M271" s="25" t="n">
        <f aca="false">IF(L271="","",ROUND(N(E271)*L271,2))</f>
        <v>156</v>
      </c>
      <c r="N271" s="39" t="n">
        <f aca="false">IF(OR(A271="",B271=""),"",SUMIFS(tl_Hours,tl_StaffID,I271,tl_Date,A271))</f>
        <v>8</v>
      </c>
      <c r="O271" s="40" t="str">
        <f aca="false">IF(A271&amp;B271&amp;D271="","",IF(OR(A271="",B271="",D271="",E271=""),"Incomplete",IF(K271="Unknown","Unknown code",IF(AND(K271="Yes",C271=""),"Billable, needs client",IF(N271&gt;MaxDayHours,"Over "&amp;MaxDayHours&amp;" hours that day","")))))</f>
        <v/>
      </c>
    </row>
    <row r="272" customFormat="false" ht="15" hidden="false" customHeight="false" outlineLevel="0" collapsed="false">
      <c r="A272" s="31" t="n">
        <v>46219</v>
      </c>
      <c r="B272" s="32" t="s">
        <v>97</v>
      </c>
      <c r="C272" s="32" t="s">
        <v>90</v>
      </c>
      <c r="D272" s="33" t="s">
        <v>92</v>
      </c>
      <c r="E272" s="34" t="n">
        <v>0.5</v>
      </c>
      <c r="F272" s="32"/>
      <c r="G272" s="35" t="n">
        <f aca="false">IF(A272="","",A272+7-WEEKDAY(A272))</f>
        <v>46221</v>
      </c>
      <c r="H272" s="36" t="n">
        <f aca="false">IF(A272="","",DATE(YEAR(A272),MONTH(A272),1))</f>
        <v>46204</v>
      </c>
      <c r="I272" s="37" t="str">
        <f aca="false">IF(B272="","",IFERROR(INDEX(st_ID,MATCH(B272,st_Name,0)),"Unknown"))</f>
        <v>QP-02</v>
      </c>
      <c r="J272" s="37" t="str">
        <f aca="false">IF(C272="","",IFERROR(INDEX(cl_Code,MATCH(C272,cl_Name,0)),"Unknown"))</f>
        <v>BSE</v>
      </c>
      <c r="K272" s="37" t="str">
        <f aca="false">IF(D272="","",IFERROR(INDEX(rt_Billable,MATCH(D272,rt_Code,0)),"Unknown"))</f>
        <v>Yes</v>
      </c>
      <c r="L272" s="38" t="n">
        <f aca="false">IF(K272&lt;&gt;"Yes","",IFERROR(INDEX(cr_Rate,MATCH(J272&amp;"|"&amp;D272,cr_Key,0)),INDEX(rt_Rate,MATCH(D272,rt_Code,0))))</f>
        <v>145</v>
      </c>
      <c r="M272" s="25" t="n">
        <f aca="false">IF(L272="","",ROUND(N(E272)*L272,2))</f>
        <v>72.5</v>
      </c>
      <c r="N272" s="39" t="n">
        <f aca="false">IF(OR(A272="",B272=""),"",SUMIFS(tl_Hours,tl_StaffID,I272,tl_Date,A272))</f>
        <v>8</v>
      </c>
      <c r="O272" s="40" t="str">
        <f aca="false">IF(A272&amp;B272&amp;D272="","",IF(OR(A272="",B272="",D272="",E272=""),"Incomplete",IF(K272="Unknown","Unknown code",IF(AND(K272="Yes",C272=""),"Billable, needs client",IF(N272&gt;MaxDayHours,"Over "&amp;MaxDayHours&amp;" hours that day","")))))</f>
        <v/>
      </c>
    </row>
    <row r="273" customFormat="false" ht="15" hidden="false" customHeight="false" outlineLevel="0" collapsed="false">
      <c r="A273" s="31" t="n">
        <v>46219</v>
      </c>
      <c r="B273" s="32" t="s">
        <v>97</v>
      </c>
      <c r="C273" s="32"/>
      <c r="D273" s="33" t="s">
        <v>93</v>
      </c>
      <c r="E273" s="34" t="n">
        <v>0.5</v>
      </c>
      <c r="F273" s="32"/>
      <c r="G273" s="35" t="n">
        <f aca="false">IF(A273="","",A273+7-WEEKDAY(A273))</f>
        <v>46221</v>
      </c>
      <c r="H273" s="36" t="n">
        <f aca="false">IF(A273="","",DATE(YEAR(A273),MONTH(A273),1))</f>
        <v>46204</v>
      </c>
      <c r="I273" s="37" t="str">
        <f aca="false">IF(B273="","",IFERROR(INDEX(st_ID,MATCH(B273,st_Name,0)),"Unknown"))</f>
        <v>QP-02</v>
      </c>
      <c r="J273" s="37" t="str">
        <f aca="false">IF(C273="","",IFERROR(INDEX(cl_Code,MATCH(C273,cl_Name,0)),"Unknown"))</f>
        <v/>
      </c>
      <c r="K273" s="37" t="str">
        <f aca="false">IF(D273="","",IFERROR(INDEX(rt_Billable,MATCH(D273,rt_Code,0)),"Unknown"))</f>
        <v>No</v>
      </c>
      <c r="L273" s="38" t="str">
        <f aca="false">IF(K273&lt;&gt;"Yes","",IFERROR(INDEX(cr_Rate,MATCH(J273&amp;"|"&amp;D273,cr_Key,0)),INDEX(rt_Rate,MATCH(D273,rt_Code,0))))</f>
        <v/>
      </c>
      <c r="M273" s="25" t="str">
        <f aca="false">IF(L273="","",ROUND(N(E273)*L273,2))</f>
        <v/>
      </c>
      <c r="N273" s="39" t="n">
        <f aca="false">IF(OR(A273="",B273=""),"",SUMIFS(tl_Hours,tl_StaffID,I273,tl_Date,A273))</f>
        <v>8</v>
      </c>
      <c r="O273" s="40" t="str">
        <f aca="false">IF(A273&amp;B273&amp;D273="","",IF(OR(A273="",B273="",D273="",E273=""),"Incomplete",IF(K273="Unknown","Unknown code",IF(AND(K273="Yes",C273=""),"Billable, needs client",IF(N273&gt;MaxDayHours,"Over "&amp;MaxDayHours&amp;" hours that day","")))))</f>
        <v/>
      </c>
    </row>
    <row r="274" customFormat="false" ht="15" hidden="false" customHeight="false" outlineLevel="0" collapsed="false">
      <c r="A274" s="31" t="n">
        <v>46219</v>
      </c>
      <c r="B274" s="32" t="s">
        <v>97</v>
      </c>
      <c r="C274" s="32"/>
      <c r="D274" s="33" t="s">
        <v>96</v>
      </c>
      <c r="E274" s="34" t="n">
        <v>3.5</v>
      </c>
      <c r="F274" s="32"/>
      <c r="G274" s="35" t="n">
        <f aca="false">IF(A274="","",A274+7-WEEKDAY(A274))</f>
        <v>46221</v>
      </c>
      <c r="H274" s="36" t="n">
        <f aca="false">IF(A274="","",DATE(YEAR(A274),MONTH(A274),1))</f>
        <v>46204</v>
      </c>
      <c r="I274" s="37" t="str">
        <f aca="false">IF(B274="","",IFERROR(INDEX(st_ID,MATCH(B274,st_Name,0)),"Unknown"))</f>
        <v>QP-02</v>
      </c>
      <c r="J274" s="37" t="str">
        <f aca="false">IF(C274="","",IFERROR(INDEX(cl_Code,MATCH(C274,cl_Name,0)),"Unknown"))</f>
        <v/>
      </c>
      <c r="K274" s="37" t="str">
        <f aca="false">IF(D274="","",IFERROR(INDEX(rt_Billable,MATCH(D274,rt_Code,0)),"Unknown"))</f>
        <v>No</v>
      </c>
      <c r="L274" s="38" t="str">
        <f aca="false">IF(K274&lt;&gt;"Yes","",IFERROR(INDEX(cr_Rate,MATCH(J274&amp;"|"&amp;D274,cr_Key,0)),INDEX(rt_Rate,MATCH(D274,rt_Code,0))))</f>
        <v/>
      </c>
      <c r="M274" s="25" t="str">
        <f aca="false">IF(L274="","",ROUND(N(E274)*L274,2))</f>
        <v/>
      </c>
      <c r="N274" s="39" t="n">
        <f aca="false">IF(OR(A274="",B274=""),"",SUMIFS(tl_Hours,tl_StaffID,I274,tl_Date,A274))</f>
        <v>8</v>
      </c>
      <c r="O274" s="40" t="str">
        <f aca="false">IF(A274&amp;B274&amp;D274="","",IF(OR(A274="",B274="",D274="",E274=""),"Incomplete",IF(K274="Unknown","Unknown code",IF(AND(K274="Yes",C274=""),"Billable, needs client",IF(N274&gt;MaxDayHours,"Over "&amp;MaxDayHours&amp;" hours that day","")))))</f>
        <v/>
      </c>
    </row>
    <row r="275" customFormat="false" ht="15" hidden="false" customHeight="false" outlineLevel="0" collapsed="false">
      <c r="A275" s="31" t="n">
        <v>46219</v>
      </c>
      <c r="B275" s="32" t="s">
        <v>100</v>
      </c>
      <c r="C275" s="32" t="s">
        <v>90</v>
      </c>
      <c r="D275" s="33" t="s">
        <v>88</v>
      </c>
      <c r="E275" s="34" t="n">
        <v>3</v>
      </c>
      <c r="F275" s="32"/>
      <c r="G275" s="35" t="n">
        <f aca="false">IF(A275="","",A275+7-WEEKDAY(A275))</f>
        <v>46221</v>
      </c>
      <c r="H275" s="36" t="n">
        <f aca="false">IF(A275="","",DATE(YEAR(A275),MONTH(A275),1))</f>
        <v>46204</v>
      </c>
      <c r="I275" s="37" t="str">
        <f aca="false">IF(B275="","",IFERROR(INDEX(st_ID,MATCH(B275,st_Name,0)),"Unknown"))</f>
        <v>QP-03</v>
      </c>
      <c r="J275" s="37" t="str">
        <f aca="false">IF(C275="","",IFERROR(INDEX(cl_Code,MATCH(C275,cl_Name,0)),"Unknown"))</f>
        <v>BSE</v>
      </c>
      <c r="K275" s="37" t="str">
        <f aca="false">IF(D275="","",IFERROR(INDEX(rt_Billable,MATCH(D275,rt_Code,0)),"Unknown"))</f>
        <v>Yes</v>
      </c>
      <c r="L275" s="38" t="n">
        <f aca="false">IF(K275&lt;&gt;"Yes","",IFERROR(INDEX(cr_Rate,MATCH(J275&amp;"|"&amp;D275,cr_Key,0)),INDEX(rt_Rate,MATCH(D275,rt_Code,0))))</f>
        <v>104</v>
      </c>
      <c r="M275" s="25" t="n">
        <f aca="false">IF(L275="","",ROUND(N(E275)*L275,2))</f>
        <v>312</v>
      </c>
      <c r="N275" s="39" t="n">
        <f aca="false">IF(OR(A275="",B275=""),"",SUMIFS(tl_Hours,tl_StaffID,I275,tl_Date,A275))</f>
        <v>8</v>
      </c>
      <c r="O275" s="40" t="str">
        <f aca="false">IF(A275&amp;B275&amp;D275="","",IF(OR(A275="",B275="",D275="",E275=""),"Incomplete",IF(K275="Unknown","Unknown code",IF(AND(K275="Yes",C275=""),"Billable, needs client",IF(N275&gt;MaxDayHours,"Over "&amp;MaxDayHours&amp;" hours that day","")))))</f>
        <v/>
      </c>
    </row>
    <row r="276" customFormat="false" ht="15" hidden="false" customHeight="false" outlineLevel="0" collapsed="false">
      <c r="A276" s="31" t="n">
        <v>46219</v>
      </c>
      <c r="B276" s="32" t="s">
        <v>100</v>
      </c>
      <c r="C276" s="32" t="s">
        <v>90</v>
      </c>
      <c r="D276" s="33" t="s">
        <v>92</v>
      </c>
      <c r="E276" s="34" t="n">
        <v>0.5</v>
      </c>
      <c r="F276" s="32"/>
      <c r="G276" s="35" t="n">
        <f aca="false">IF(A276="","",A276+7-WEEKDAY(A276))</f>
        <v>46221</v>
      </c>
      <c r="H276" s="36" t="n">
        <f aca="false">IF(A276="","",DATE(YEAR(A276),MONTH(A276),1))</f>
        <v>46204</v>
      </c>
      <c r="I276" s="37" t="str">
        <f aca="false">IF(B276="","",IFERROR(INDEX(st_ID,MATCH(B276,st_Name,0)),"Unknown"))</f>
        <v>QP-03</v>
      </c>
      <c r="J276" s="37" t="str">
        <f aca="false">IF(C276="","",IFERROR(INDEX(cl_Code,MATCH(C276,cl_Name,0)),"Unknown"))</f>
        <v>BSE</v>
      </c>
      <c r="K276" s="37" t="str">
        <f aca="false">IF(D276="","",IFERROR(INDEX(rt_Billable,MATCH(D276,rt_Code,0)),"Unknown"))</f>
        <v>Yes</v>
      </c>
      <c r="L276" s="38" t="n">
        <f aca="false">IF(K276&lt;&gt;"Yes","",IFERROR(INDEX(cr_Rate,MATCH(J276&amp;"|"&amp;D276,cr_Key,0)),INDEX(rt_Rate,MATCH(D276,rt_Code,0))))</f>
        <v>145</v>
      </c>
      <c r="M276" s="25" t="n">
        <f aca="false">IF(L276="","",ROUND(N(E276)*L276,2))</f>
        <v>72.5</v>
      </c>
      <c r="N276" s="39" t="n">
        <f aca="false">IF(OR(A276="",B276=""),"",SUMIFS(tl_Hours,tl_StaffID,I276,tl_Date,A276))</f>
        <v>8</v>
      </c>
      <c r="O276" s="40" t="str">
        <f aca="false">IF(A276&amp;B276&amp;D276="","",IF(OR(A276="",B276="",D276="",E276=""),"Incomplete",IF(K276="Unknown","Unknown code",IF(AND(K276="Yes",C276=""),"Billable, needs client",IF(N276&gt;MaxDayHours,"Over "&amp;MaxDayHours&amp;" hours that day","")))))</f>
        <v/>
      </c>
    </row>
    <row r="277" customFormat="false" ht="15" hidden="false" customHeight="false" outlineLevel="0" collapsed="false">
      <c r="A277" s="31" t="n">
        <v>46219</v>
      </c>
      <c r="B277" s="32" t="s">
        <v>100</v>
      </c>
      <c r="C277" s="32"/>
      <c r="D277" s="33" t="s">
        <v>96</v>
      </c>
      <c r="E277" s="34" t="n">
        <v>4.5</v>
      </c>
      <c r="F277" s="32"/>
      <c r="G277" s="35" t="n">
        <f aca="false">IF(A277="","",A277+7-WEEKDAY(A277))</f>
        <v>46221</v>
      </c>
      <c r="H277" s="36" t="n">
        <f aca="false">IF(A277="","",DATE(YEAR(A277),MONTH(A277),1))</f>
        <v>46204</v>
      </c>
      <c r="I277" s="37" t="str">
        <f aca="false">IF(B277="","",IFERROR(INDEX(st_ID,MATCH(B277,st_Name,0)),"Unknown"))</f>
        <v>QP-03</v>
      </c>
      <c r="J277" s="37" t="str">
        <f aca="false">IF(C277="","",IFERROR(INDEX(cl_Code,MATCH(C277,cl_Name,0)),"Unknown"))</f>
        <v/>
      </c>
      <c r="K277" s="37" t="str">
        <f aca="false">IF(D277="","",IFERROR(INDEX(rt_Billable,MATCH(D277,rt_Code,0)),"Unknown"))</f>
        <v>No</v>
      </c>
      <c r="L277" s="38" t="str">
        <f aca="false">IF(K277&lt;&gt;"Yes","",IFERROR(INDEX(cr_Rate,MATCH(J277&amp;"|"&amp;D277,cr_Key,0)),INDEX(rt_Rate,MATCH(D277,rt_Code,0))))</f>
        <v/>
      </c>
      <c r="M277" s="25" t="str">
        <f aca="false">IF(L277="","",ROUND(N(E277)*L277,2))</f>
        <v/>
      </c>
      <c r="N277" s="39" t="n">
        <f aca="false">IF(OR(A277="",B277=""),"",SUMIFS(tl_Hours,tl_StaffID,I277,tl_Date,A277))</f>
        <v>8</v>
      </c>
      <c r="O277" s="40" t="str">
        <f aca="false">IF(A277&amp;B277&amp;D277="","",IF(OR(A277="",B277="",D277="",E277=""),"Incomplete",IF(K277="Unknown","Unknown code",IF(AND(K277="Yes",C277=""),"Billable, needs client",IF(N277&gt;MaxDayHours,"Over "&amp;MaxDayHours&amp;" hours that day","")))))</f>
        <v/>
      </c>
    </row>
    <row r="278" customFormat="false" ht="15" hidden="false" customHeight="false" outlineLevel="0" collapsed="false">
      <c r="A278" s="31" t="n">
        <v>46219</v>
      </c>
      <c r="B278" s="32" t="s">
        <v>101</v>
      </c>
      <c r="C278" s="32" t="s">
        <v>87</v>
      </c>
      <c r="D278" s="33" t="s">
        <v>88</v>
      </c>
      <c r="E278" s="34" t="n">
        <v>3.5</v>
      </c>
      <c r="F278" s="32"/>
      <c r="G278" s="35" t="n">
        <f aca="false">IF(A278="","",A278+7-WEEKDAY(A278))</f>
        <v>46221</v>
      </c>
      <c r="H278" s="36" t="n">
        <f aca="false">IF(A278="","",DATE(YEAR(A278),MONTH(A278),1))</f>
        <v>46204</v>
      </c>
      <c r="I278" s="37" t="str">
        <f aca="false">IF(B278="","",IFERROR(INDEX(st_ID,MATCH(B278,st_Name,0)),"Unknown"))</f>
        <v>QP-04</v>
      </c>
      <c r="J278" s="37" t="str">
        <f aca="false">IF(C278="","",IFERROR(INDEX(cl_Code,MATCH(C278,cl_Name,0)),"Unknown"))</f>
        <v>HCS</v>
      </c>
      <c r="K278" s="37" t="str">
        <f aca="false">IF(D278="","",IFERROR(INDEX(rt_Billable,MATCH(D278,rt_Code,0)),"Unknown"))</f>
        <v>Yes</v>
      </c>
      <c r="L278" s="38" t="n">
        <f aca="false">IF(K278&lt;&gt;"Yes","",IFERROR(INDEX(cr_Rate,MATCH(J278&amp;"|"&amp;D278,cr_Key,0)),INDEX(rt_Rate,MATCH(D278,rt_Code,0))))</f>
        <v>98</v>
      </c>
      <c r="M278" s="25" t="n">
        <f aca="false">IF(L278="","",ROUND(N(E278)*L278,2))</f>
        <v>343</v>
      </c>
      <c r="N278" s="39" t="n">
        <f aca="false">IF(OR(A278="",B278=""),"",SUMIFS(tl_Hours,tl_StaffID,I278,tl_Date,A278))</f>
        <v>8</v>
      </c>
      <c r="O278" s="40" t="str">
        <f aca="false">IF(A278&amp;B278&amp;D278="","",IF(OR(A278="",B278="",D278="",E278=""),"Incomplete",IF(K278="Unknown","Unknown code",IF(AND(K278="Yes",C278=""),"Billable, needs client",IF(N278&gt;MaxDayHours,"Over "&amp;MaxDayHours&amp;" hours that day","")))))</f>
        <v/>
      </c>
    </row>
    <row r="279" customFormat="false" ht="15" hidden="false" customHeight="false" outlineLevel="0" collapsed="false">
      <c r="A279" s="31" t="n">
        <v>46219</v>
      </c>
      <c r="B279" s="32" t="s">
        <v>101</v>
      </c>
      <c r="C279" s="32" t="s">
        <v>87</v>
      </c>
      <c r="D279" s="33" t="s">
        <v>104</v>
      </c>
      <c r="E279" s="34" t="n">
        <v>1.5</v>
      </c>
      <c r="F279" s="32"/>
      <c r="G279" s="35" t="n">
        <f aca="false">IF(A279="","",A279+7-WEEKDAY(A279))</f>
        <v>46221</v>
      </c>
      <c r="H279" s="36" t="n">
        <f aca="false">IF(A279="","",DATE(YEAR(A279),MONTH(A279),1))</f>
        <v>46204</v>
      </c>
      <c r="I279" s="37" t="str">
        <f aca="false">IF(B279="","",IFERROR(INDEX(st_ID,MATCH(B279,st_Name,0)),"Unknown"))</f>
        <v>QP-04</v>
      </c>
      <c r="J279" s="37" t="str">
        <f aca="false">IF(C279="","",IFERROR(INDEX(cl_Code,MATCH(C279,cl_Name,0)),"Unknown"))</f>
        <v>HCS</v>
      </c>
      <c r="K279" s="37" t="str">
        <f aca="false">IF(D279="","",IFERROR(INDEX(rt_Billable,MATCH(D279,rt_Code,0)),"Unknown"))</f>
        <v>Yes</v>
      </c>
      <c r="L279" s="38" t="n">
        <f aca="false">IF(K279&lt;&gt;"Yes","",IFERROR(INDEX(cr_Rate,MATCH(J279&amp;"|"&amp;D279,cr_Key,0)),INDEX(rt_Rate,MATCH(D279,rt_Code,0))))</f>
        <v>62</v>
      </c>
      <c r="M279" s="25" t="n">
        <f aca="false">IF(L279="","",ROUND(N(E279)*L279,2))</f>
        <v>93</v>
      </c>
      <c r="N279" s="39" t="n">
        <f aca="false">IF(OR(A279="",B279=""),"",SUMIFS(tl_Hours,tl_StaffID,I279,tl_Date,A279))</f>
        <v>8</v>
      </c>
      <c r="O279" s="40" t="str">
        <f aca="false">IF(A279&amp;B279&amp;D279="","",IF(OR(A279="",B279="",D279="",E279=""),"Incomplete",IF(K279="Unknown","Unknown code",IF(AND(K279="Yes",C279=""),"Billable, needs client",IF(N279&gt;MaxDayHours,"Over "&amp;MaxDayHours&amp;" hours that day","")))))</f>
        <v/>
      </c>
    </row>
    <row r="280" customFormat="false" ht="15" hidden="false" customHeight="false" outlineLevel="0" collapsed="false">
      <c r="A280" s="31" t="n">
        <v>46219</v>
      </c>
      <c r="B280" s="32" t="s">
        <v>101</v>
      </c>
      <c r="C280" s="32"/>
      <c r="D280" s="33" t="s">
        <v>96</v>
      </c>
      <c r="E280" s="34" t="n">
        <v>3</v>
      </c>
      <c r="F280" s="32"/>
      <c r="G280" s="35" t="n">
        <f aca="false">IF(A280="","",A280+7-WEEKDAY(A280))</f>
        <v>46221</v>
      </c>
      <c r="H280" s="36" t="n">
        <f aca="false">IF(A280="","",DATE(YEAR(A280),MONTH(A280),1))</f>
        <v>46204</v>
      </c>
      <c r="I280" s="37" t="str">
        <f aca="false">IF(B280="","",IFERROR(INDEX(st_ID,MATCH(B280,st_Name,0)),"Unknown"))</f>
        <v>QP-04</v>
      </c>
      <c r="J280" s="37" t="str">
        <f aca="false">IF(C280="","",IFERROR(INDEX(cl_Code,MATCH(C280,cl_Name,0)),"Unknown"))</f>
        <v/>
      </c>
      <c r="K280" s="37" t="str">
        <f aca="false">IF(D280="","",IFERROR(INDEX(rt_Billable,MATCH(D280,rt_Code,0)),"Unknown"))</f>
        <v>No</v>
      </c>
      <c r="L280" s="38" t="str">
        <f aca="false">IF(K280&lt;&gt;"Yes","",IFERROR(INDEX(cr_Rate,MATCH(J280&amp;"|"&amp;D280,cr_Key,0)),INDEX(rt_Rate,MATCH(D280,rt_Code,0))))</f>
        <v/>
      </c>
      <c r="M280" s="25" t="str">
        <f aca="false">IF(L280="","",ROUND(N(E280)*L280,2))</f>
        <v/>
      </c>
      <c r="N280" s="39" t="n">
        <f aca="false">IF(OR(A280="",B280=""),"",SUMIFS(tl_Hours,tl_StaffID,I280,tl_Date,A280))</f>
        <v>8</v>
      </c>
      <c r="O280" s="40" t="str">
        <f aca="false">IF(A280&amp;B280&amp;D280="","",IF(OR(A280="",B280="",D280="",E280=""),"Incomplete",IF(K280="Unknown","Unknown code",IF(AND(K280="Yes",C280=""),"Billable, needs client",IF(N280&gt;MaxDayHours,"Over "&amp;MaxDayHours&amp;" hours that day","")))))</f>
        <v/>
      </c>
    </row>
    <row r="281" customFormat="false" ht="15" hidden="false" customHeight="false" outlineLevel="0" collapsed="false">
      <c r="A281" s="31" t="n">
        <v>46219</v>
      </c>
      <c r="B281" s="32" t="s">
        <v>103</v>
      </c>
      <c r="C281" s="32" t="s">
        <v>90</v>
      </c>
      <c r="D281" s="33" t="s">
        <v>88</v>
      </c>
      <c r="E281" s="34" t="n">
        <v>2.5</v>
      </c>
      <c r="F281" s="32"/>
      <c r="G281" s="35" t="n">
        <f aca="false">IF(A281="","",A281+7-WEEKDAY(A281))</f>
        <v>46221</v>
      </c>
      <c r="H281" s="36" t="n">
        <f aca="false">IF(A281="","",DATE(YEAR(A281),MONTH(A281),1))</f>
        <v>46204</v>
      </c>
      <c r="I281" s="37" t="str">
        <f aca="false">IF(B281="","",IFERROR(INDEX(st_ID,MATCH(B281,st_Name,0)),"Unknown"))</f>
        <v>QP-05</v>
      </c>
      <c r="J281" s="37" t="str">
        <f aca="false">IF(C281="","",IFERROR(INDEX(cl_Code,MATCH(C281,cl_Name,0)),"Unknown"))</f>
        <v>BSE</v>
      </c>
      <c r="K281" s="37" t="str">
        <f aca="false">IF(D281="","",IFERROR(INDEX(rt_Billable,MATCH(D281,rt_Code,0)),"Unknown"))</f>
        <v>Yes</v>
      </c>
      <c r="L281" s="38" t="n">
        <f aca="false">IF(K281&lt;&gt;"Yes","",IFERROR(INDEX(cr_Rate,MATCH(J281&amp;"|"&amp;D281,cr_Key,0)),INDEX(rt_Rate,MATCH(D281,rt_Code,0))))</f>
        <v>104</v>
      </c>
      <c r="M281" s="25" t="n">
        <f aca="false">IF(L281="","",ROUND(N(E281)*L281,2))</f>
        <v>260</v>
      </c>
      <c r="N281" s="39" t="n">
        <f aca="false">IF(OR(A281="",B281=""),"",SUMIFS(tl_Hours,tl_StaffID,I281,tl_Date,A281))</f>
        <v>8</v>
      </c>
      <c r="O281" s="40" t="str">
        <f aca="false">IF(A281&amp;B281&amp;D281="","",IF(OR(A281="",B281="",D281="",E281=""),"Incomplete",IF(K281="Unknown","Unknown code",IF(AND(K281="Yes",C281=""),"Billable, needs client",IF(N281&gt;MaxDayHours,"Over "&amp;MaxDayHours&amp;" hours that day","")))))</f>
        <v/>
      </c>
    </row>
    <row r="282" customFormat="false" ht="15" hidden="false" customHeight="false" outlineLevel="0" collapsed="false">
      <c r="A282" s="31" t="n">
        <v>46219</v>
      </c>
      <c r="B282" s="32" t="s">
        <v>103</v>
      </c>
      <c r="C282" s="32" t="s">
        <v>90</v>
      </c>
      <c r="D282" s="33" t="s">
        <v>89</v>
      </c>
      <c r="E282" s="34" t="n">
        <v>1.5</v>
      </c>
      <c r="F282" s="32"/>
      <c r="G282" s="35" t="n">
        <f aca="false">IF(A282="","",A282+7-WEEKDAY(A282))</f>
        <v>46221</v>
      </c>
      <c r="H282" s="36" t="n">
        <f aca="false">IF(A282="","",DATE(YEAR(A282),MONTH(A282),1))</f>
        <v>46204</v>
      </c>
      <c r="I282" s="37" t="str">
        <f aca="false">IF(B282="","",IFERROR(INDEX(st_ID,MATCH(B282,st_Name,0)),"Unknown"))</f>
        <v>QP-05</v>
      </c>
      <c r="J282" s="37" t="str">
        <f aca="false">IF(C282="","",IFERROR(INDEX(cl_Code,MATCH(C282,cl_Name,0)),"Unknown"))</f>
        <v>BSE</v>
      </c>
      <c r="K282" s="37" t="str">
        <f aca="false">IF(D282="","",IFERROR(INDEX(rt_Billable,MATCH(D282,rt_Code,0)),"Unknown"))</f>
        <v>Yes</v>
      </c>
      <c r="L282" s="38" t="n">
        <f aca="false">IF(K282&lt;&gt;"Yes","",IFERROR(INDEX(cr_Rate,MATCH(J282&amp;"|"&amp;D282,cr_Key,0)),INDEX(rt_Rate,MATCH(D282,rt_Code,0))))</f>
        <v>95</v>
      </c>
      <c r="M282" s="25" t="n">
        <f aca="false">IF(L282="","",ROUND(N(E282)*L282,2))</f>
        <v>142.5</v>
      </c>
      <c r="N282" s="39" t="n">
        <f aca="false">IF(OR(A282="",B282=""),"",SUMIFS(tl_Hours,tl_StaffID,I282,tl_Date,A282))</f>
        <v>8</v>
      </c>
      <c r="O282" s="40" t="str">
        <f aca="false">IF(A282&amp;B282&amp;D282="","",IF(OR(A282="",B282="",D282="",E282=""),"Incomplete",IF(K282="Unknown","Unknown code",IF(AND(K282="Yes",C282=""),"Billable, needs client",IF(N282&gt;MaxDayHours,"Over "&amp;MaxDayHours&amp;" hours that day","")))))</f>
        <v/>
      </c>
    </row>
    <row r="283" customFormat="false" ht="15" hidden="false" customHeight="false" outlineLevel="0" collapsed="false">
      <c r="A283" s="31" t="n">
        <v>46219</v>
      </c>
      <c r="B283" s="32" t="s">
        <v>103</v>
      </c>
      <c r="C283" s="32"/>
      <c r="D283" s="33" t="s">
        <v>96</v>
      </c>
      <c r="E283" s="34" t="n">
        <v>4</v>
      </c>
      <c r="F283" s="32"/>
      <c r="G283" s="35" t="n">
        <f aca="false">IF(A283="","",A283+7-WEEKDAY(A283))</f>
        <v>46221</v>
      </c>
      <c r="H283" s="36" t="n">
        <f aca="false">IF(A283="","",DATE(YEAR(A283),MONTH(A283),1))</f>
        <v>46204</v>
      </c>
      <c r="I283" s="37" t="str">
        <f aca="false">IF(B283="","",IFERROR(INDEX(st_ID,MATCH(B283,st_Name,0)),"Unknown"))</f>
        <v>QP-05</v>
      </c>
      <c r="J283" s="37" t="str">
        <f aca="false">IF(C283="","",IFERROR(INDEX(cl_Code,MATCH(C283,cl_Name,0)),"Unknown"))</f>
        <v/>
      </c>
      <c r="K283" s="37" t="str">
        <f aca="false">IF(D283="","",IFERROR(INDEX(rt_Billable,MATCH(D283,rt_Code,0)),"Unknown"))</f>
        <v>No</v>
      </c>
      <c r="L283" s="38" t="str">
        <f aca="false">IF(K283&lt;&gt;"Yes","",IFERROR(INDEX(cr_Rate,MATCH(J283&amp;"|"&amp;D283,cr_Key,0)),INDEX(rt_Rate,MATCH(D283,rt_Code,0))))</f>
        <v/>
      </c>
      <c r="M283" s="25" t="str">
        <f aca="false">IF(L283="","",ROUND(N(E283)*L283,2))</f>
        <v/>
      </c>
      <c r="N283" s="39" t="n">
        <f aca="false">IF(OR(A283="",B283=""),"",SUMIFS(tl_Hours,tl_StaffID,I283,tl_Date,A283))</f>
        <v>8</v>
      </c>
      <c r="O283" s="40" t="str">
        <f aca="false">IF(A283&amp;B283&amp;D283="","",IF(OR(A283="",B283="",D283="",E283=""),"Incomplete",IF(K283="Unknown","Unknown code",IF(AND(K283="Yes",C283=""),"Billable, needs client",IF(N283&gt;MaxDayHours,"Over "&amp;MaxDayHours&amp;" hours that day","")))))</f>
        <v/>
      </c>
    </row>
    <row r="284" customFormat="false" ht="15" hidden="false" customHeight="false" outlineLevel="0" collapsed="false">
      <c r="A284" s="31" t="n">
        <v>46219</v>
      </c>
      <c r="B284" s="32" t="s">
        <v>105</v>
      </c>
      <c r="C284" s="32" t="s">
        <v>87</v>
      </c>
      <c r="D284" s="33" t="s">
        <v>88</v>
      </c>
      <c r="E284" s="34" t="n">
        <v>1.5</v>
      </c>
      <c r="F284" s="32"/>
      <c r="G284" s="35" t="n">
        <f aca="false">IF(A284="","",A284+7-WEEKDAY(A284))</f>
        <v>46221</v>
      </c>
      <c r="H284" s="36" t="n">
        <f aca="false">IF(A284="","",DATE(YEAR(A284),MONTH(A284),1))</f>
        <v>46204</v>
      </c>
      <c r="I284" s="37" t="str">
        <f aca="false">IF(B284="","",IFERROR(INDEX(st_ID,MATCH(B284,st_Name,0)),"Unknown"))</f>
        <v>QP-06</v>
      </c>
      <c r="J284" s="37" t="str">
        <f aca="false">IF(C284="","",IFERROR(INDEX(cl_Code,MATCH(C284,cl_Name,0)),"Unknown"))</f>
        <v>HCS</v>
      </c>
      <c r="K284" s="37" t="str">
        <f aca="false">IF(D284="","",IFERROR(INDEX(rt_Billable,MATCH(D284,rt_Code,0)),"Unknown"))</f>
        <v>Yes</v>
      </c>
      <c r="L284" s="38" t="n">
        <f aca="false">IF(K284&lt;&gt;"Yes","",IFERROR(INDEX(cr_Rate,MATCH(J284&amp;"|"&amp;D284,cr_Key,0)),INDEX(rt_Rate,MATCH(D284,rt_Code,0))))</f>
        <v>98</v>
      </c>
      <c r="M284" s="25" t="n">
        <f aca="false">IF(L284="","",ROUND(N(E284)*L284,2))</f>
        <v>147</v>
      </c>
      <c r="N284" s="39" t="n">
        <f aca="false">IF(OR(A284="",B284=""),"",SUMIFS(tl_Hours,tl_StaffID,I284,tl_Date,A284))</f>
        <v>8</v>
      </c>
      <c r="O284" s="40" t="str">
        <f aca="false">IF(A284&amp;B284&amp;D284="","",IF(OR(A284="",B284="",D284="",E284=""),"Incomplete",IF(K284="Unknown","Unknown code",IF(AND(K284="Yes",C284=""),"Billable, needs client",IF(N284&gt;MaxDayHours,"Over "&amp;MaxDayHours&amp;" hours that day","")))))</f>
        <v/>
      </c>
    </row>
    <row r="285" customFormat="false" ht="15" hidden="false" customHeight="false" outlineLevel="0" collapsed="false">
      <c r="A285" s="31" t="n">
        <v>46219</v>
      </c>
      <c r="B285" s="32" t="s">
        <v>105</v>
      </c>
      <c r="C285" s="32" t="s">
        <v>87</v>
      </c>
      <c r="D285" s="33" t="s">
        <v>113</v>
      </c>
      <c r="E285" s="34" t="n">
        <v>0.5</v>
      </c>
      <c r="F285" s="32"/>
      <c r="G285" s="35" t="n">
        <f aca="false">IF(A285="","",A285+7-WEEKDAY(A285))</f>
        <v>46221</v>
      </c>
      <c r="H285" s="36" t="n">
        <f aca="false">IF(A285="","",DATE(YEAR(A285),MONTH(A285),1))</f>
        <v>46204</v>
      </c>
      <c r="I285" s="37" t="str">
        <f aca="false">IF(B285="","",IFERROR(INDEX(st_ID,MATCH(B285,st_Name,0)),"Unknown"))</f>
        <v>QP-06</v>
      </c>
      <c r="J285" s="37" t="str">
        <f aca="false">IF(C285="","",IFERROR(INDEX(cl_Code,MATCH(C285,cl_Name,0)),"Unknown"))</f>
        <v>HCS</v>
      </c>
      <c r="K285" s="37" t="str">
        <f aca="false">IF(D285="","",IFERROR(INDEX(rt_Billable,MATCH(D285,rt_Code,0)),"Unknown"))</f>
        <v>Yes</v>
      </c>
      <c r="L285" s="38" t="n">
        <f aca="false">IF(K285&lt;&gt;"Yes","",IFERROR(INDEX(cr_Rate,MATCH(J285&amp;"|"&amp;D285,cr_Key,0)),INDEX(rt_Rate,MATCH(D285,rt_Code,0))))</f>
        <v>85</v>
      </c>
      <c r="M285" s="25" t="n">
        <f aca="false">IF(L285="","",ROUND(N(E285)*L285,2))</f>
        <v>42.5</v>
      </c>
      <c r="N285" s="39" t="n">
        <f aca="false">IF(OR(A285="",B285=""),"",SUMIFS(tl_Hours,tl_StaffID,I285,tl_Date,A285))</f>
        <v>8</v>
      </c>
      <c r="O285" s="40" t="str">
        <f aca="false">IF(A285&amp;B285&amp;D285="","",IF(OR(A285="",B285="",D285="",E285=""),"Incomplete",IF(K285="Unknown","Unknown code",IF(AND(K285="Yes",C285=""),"Billable, needs client",IF(N285&gt;MaxDayHours,"Over "&amp;MaxDayHours&amp;" hours that day","")))))</f>
        <v/>
      </c>
    </row>
    <row r="286" customFormat="false" ht="15" hidden="false" customHeight="false" outlineLevel="0" collapsed="false">
      <c r="A286" s="31" t="n">
        <v>46219</v>
      </c>
      <c r="B286" s="32" t="s">
        <v>105</v>
      </c>
      <c r="C286" s="32" t="s">
        <v>90</v>
      </c>
      <c r="D286" s="33" t="s">
        <v>91</v>
      </c>
      <c r="E286" s="34" t="n">
        <v>1.25</v>
      </c>
      <c r="F286" s="32"/>
      <c r="G286" s="35" t="n">
        <f aca="false">IF(A286="","",A286+7-WEEKDAY(A286))</f>
        <v>46221</v>
      </c>
      <c r="H286" s="36" t="n">
        <f aca="false">IF(A286="","",DATE(YEAR(A286),MONTH(A286),1))</f>
        <v>46204</v>
      </c>
      <c r="I286" s="37" t="str">
        <f aca="false">IF(B286="","",IFERROR(INDEX(st_ID,MATCH(B286,st_Name,0)),"Unknown"))</f>
        <v>QP-06</v>
      </c>
      <c r="J286" s="37" t="str">
        <f aca="false">IF(C286="","",IFERROR(INDEX(cl_Code,MATCH(C286,cl_Name,0)),"Unknown"))</f>
        <v>BSE</v>
      </c>
      <c r="K286" s="37" t="str">
        <f aca="false">IF(D286="","",IFERROR(INDEX(rt_Billable,MATCH(D286,rt_Code,0)),"Unknown"))</f>
        <v>Yes</v>
      </c>
      <c r="L286" s="38" t="n">
        <f aca="false">IF(K286&lt;&gt;"Yes","",IFERROR(INDEX(cr_Rate,MATCH(J286&amp;"|"&amp;D286,cr_Key,0)),INDEX(rt_Rate,MATCH(D286,rt_Code,0))))</f>
        <v>100</v>
      </c>
      <c r="M286" s="25" t="n">
        <f aca="false">IF(L286="","",ROUND(N(E286)*L286,2))</f>
        <v>125</v>
      </c>
      <c r="N286" s="39" t="n">
        <f aca="false">IF(OR(A286="",B286=""),"",SUMIFS(tl_Hours,tl_StaffID,I286,tl_Date,A286))</f>
        <v>8</v>
      </c>
      <c r="O286" s="40" t="str">
        <f aca="false">IF(A286&amp;B286&amp;D286="","",IF(OR(A286="",B286="",D286="",E286=""),"Incomplete",IF(K286="Unknown","Unknown code",IF(AND(K286="Yes",C286=""),"Billable, needs client",IF(N286&gt;MaxDayHours,"Over "&amp;MaxDayHours&amp;" hours that day","")))))</f>
        <v/>
      </c>
    </row>
    <row r="287" customFormat="false" ht="15" hidden="false" customHeight="false" outlineLevel="0" collapsed="false">
      <c r="A287" s="31" t="n">
        <v>46219</v>
      </c>
      <c r="B287" s="32" t="s">
        <v>105</v>
      </c>
      <c r="C287" s="32" t="s">
        <v>90</v>
      </c>
      <c r="D287" s="33" t="s">
        <v>104</v>
      </c>
      <c r="E287" s="34" t="n">
        <v>0.75</v>
      </c>
      <c r="F287" s="32"/>
      <c r="G287" s="35" t="n">
        <f aca="false">IF(A287="","",A287+7-WEEKDAY(A287))</f>
        <v>46221</v>
      </c>
      <c r="H287" s="36" t="n">
        <f aca="false">IF(A287="","",DATE(YEAR(A287),MONTH(A287),1))</f>
        <v>46204</v>
      </c>
      <c r="I287" s="37" t="str">
        <f aca="false">IF(B287="","",IFERROR(INDEX(st_ID,MATCH(B287,st_Name,0)),"Unknown"))</f>
        <v>QP-06</v>
      </c>
      <c r="J287" s="37" t="str">
        <f aca="false">IF(C287="","",IFERROR(INDEX(cl_Code,MATCH(C287,cl_Name,0)),"Unknown"))</f>
        <v>BSE</v>
      </c>
      <c r="K287" s="37" t="str">
        <f aca="false">IF(D287="","",IFERROR(INDEX(rt_Billable,MATCH(D287,rt_Code,0)),"Unknown"))</f>
        <v>Yes</v>
      </c>
      <c r="L287" s="38" t="n">
        <f aca="false">IF(K287&lt;&gt;"Yes","",IFERROR(INDEX(cr_Rate,MATCH(J287&amp;"|"&amp;D287,cr_Key,0)),INDEX(rt_Rate,MATCH(D287,rt_Code,0))))</f>
        <v>70</v>
      </c>
      <c r="M287" s="25" t="n">
        <f aca="false">IF(L287="","",ROUND(N(E287)*L287,2))</f>
        <v>52.5</v>
      </c>
      <c r="N287" s="39" t="n">
        <f aca="false">IF(OR(A287="",B287=""),"",SUMIFS(tl_Hours,tl_StaffID,I287,tl_Date,A287))</f>
        <v>8</v>
      </c>
      <c r="O287" s="40" t="str">
        <f aca="false">IF(A287&amp;B287&amp;D287="","",IF(OR(A287="",B287="",D287="",E287=""),"Incomplete",IF(K287="Unknown","Unknown code",IF(AND(K287="Yes",C287=""),"Billable, needs client",IF(N287&gt;MaxDayHours,"Over "&amp;MaxDayHours&amp;" hours that day","")))))</f>
        <v/>
      </c>
    </row>
    <row r="288" customFormat="false" ht="15" hidden="false" customHeight="false" outlineLevel="0" collapsed="false">
      <c r="A288" s="31" t="n">
        <v>46219</v>
      </c>
      <c r="B288" s="32" t="s">
        <v>105</v>
      </c>
      <c r="C288" s="32"/>
      <c r="D288" s="33" t="s">
        <v>93</v>
      </c>
      <c r="E288" s="34" t="n">
        <v>0.5</v>
      </c>
      <c r="F288" s="32"/>
      <c r="G288" s="35" t="n">
        <f aca="false">IF(A288="","",A288+7-WEEKDAY(A288))</f>
        <v>46221</v>
      </c>
      <c r="H288" s="36" t="n">
        <f aca="false">IF(A288="","",DATE(YEAR(A288),MONTH(A288),1))</f>
        <v>46204</v>
      </c>
      <c r="I288" s="37" t="str">
        <f aca="false">IF(B288="","",IFERROR(INDEX(st_ID,MATCH(B288,st_Name,0)),"Unknown"))</f>
        <v>QP-06</v>
      </c>
      <c r="J288" s="37" t="str">
        <f aca="false">IF(C288="","",IFERROR(INDEX(cl_Code,MATCH(C288,cl_Name,0)),"Unknown"))</f>
        <v/>
      </c>
      <c r="K288" s="37" t="str">
        <f aca="false">IF(D288="","",IFERROR(INDEX(rt_Billable,MATCH(D288,rt_Code,0)),"Unknown"))</f>
        <v>No</v>
      </c>
      <c r="L288" s="38" t="str">
        <f aca="false">IF(K288&lt;&gt;"Yes","",IFERROR(INDEX(cr_Rate,MATCH(J288&amp;"|"&amp;D288,cr_Key,0)),INDEX(rt_Rate,MATCH(D288,rt_Code,0))))</f>
        <v/>
      </c>
      <c r="M288" s="25" t="str">
        <f aca="false">IF(L288="","",ROUND(N(E288)*L288,2))</f>
        <v/>
      </c>
      <c r="N288" s="39" t="n">
        <f aca="false">IF(OR(A288="",B288=""),"",SUMIFS(tl_Hours,tl_StaffID,I288,tl_Date,A288))</f>
        <v>8</v>
      </c>
      <c r="O288" s="40" t="str">
        <f aca="false">IF(A288&amp;B288&amp;D288="","",IF(OR(A288="",B288="",D288="",E288=""),"Incomplete",IF(K288="Unknown","Unknown code",IF(AND(K288="Yes",C288=""),"Billable, needs client",IF(N288&gt;MaxDayHours,"Over "&amp;MaxDayHours&amp;" hours that day","")))))</f>
        <v/>
      </c>
    </row>
    <row r="289" customFormat="false" ht="15" hidden="false" customHeight="false" outlineLevel="0" collapsed="false">
      <c r="A289" s="31" t="n">
        <v>46219</v>
      </c>
      <c r="B289" s="32" t="s">
        <v>105</v>
      </c>
      <c r="C289" s="32"/>
      <c r="D289" s="33" t="s">
        <v>94</v>
      </c>
      <c r="E289" s="34" t="n">
        <v>1.5</v>
      </c>
      <c r="F289" s="32" t="s">
        <v>95</v>
      </c>
      <c r="G289" s="35" t="n">
        <f aca="false">IF(A289="","",A289+7-WEEKDAY(A289))</f>
        <v>46221</v>
      </c>
      <c r="H289" s="36" t="n">
        <f aca="false">IF(A289="","",DATE(YEAR(A289),MONTH(A289),1))</f>
        <v>46204</v>
      </c>
      <c r="I289" s="37" t="str">
        <f aca="false">IF(B289="","",IFERROR(INDEX(st_ID,MATCH(B289,st_Name,0)),"Unknown"))</f>
        <v>QP-06</v>
      </c>
      <c r="J289" s="37" t="str">
        <f aca="false">IF(C289="","",IFERROR(INDEX(cl_Code,MATCH(C289,cl_Name,0)),"Unknown"))</f>
        <v/>
      </c>
      <c r="K289" s="37" t="str">
        <f aca="false">IF(D289="","",IFERROR(INDEX(rt_Billable,MATCH(D289,rt_Code,0)),"Unknown"))</f>
        <v>No</v>
      </c>
      <c r="L289" s="38" t="str">
        <f aca="false">IF(K289&lt;&gt;"Yes","",IFERROR(INDEX(cr_Rate,MATCH(J289&amp;"|"&amp;D289,cr_Key,0)),INDEX(rt_Rate,MATCH(D289,rt_Code,0))))</f>
        <v/>
      </c>
      <c r="M289" s="25" t="str">
        <f aca="false">IF(L289="","",ROUND(N(E289)*L289,2))</f>
        <v/>
      </c>
      <c r="N289" s="39" t="n">
        <f aca="false">IF(OR(A289="",B289=""),"",SUMIFS(tl_Hours,tl_StaffID,I289,tl_Date,A289))</f>
        <v>8</v>
      </c>
      <c r="O289" s="40" t="str">
        <f aca="false">IF(A289&amp;B289&amp;D289="","",IF(OR(A289="",B289="",D289="",E289=""),"Incomplete",IF(K289="Unknown","Unknown code",IF(AND(K289="Yes",C289=""),"Billable, needs client",IF(N289&gt;MaxDayHours,"Over "&amp;MaxDayHours&amp;" hours that day","")))))</f>
        <v/>
      </c>
    </row>
    <row r="290" customFormat="false" ht="15" hidden="false" customHeight="false" outlineLevel="0" collapsed="false">
      <c r="A290" s="31" t="n">
        <v>46219</v>
      </c>
      <c r="B290" s="32" t="s">
        <v>105</v>
      </c>
      <c r="C290" s="32"/>
      <c r="D290" s="33" t="s">
        <v>96</v>
      </c>
      <c r="E290" s="34" t="n">
        <v>2</v>
      </c>
      <c r="F290" s="32"/>
      <c r="G290" s="35" t="n">
        <f aca="false">IF(A290="","",A290+7-WEEKDAY(A290))</f>
        <v>46221</v>
      </c>
      <c r="H290" s="36" t="n">
        <f aca="false">IF(A290="","",DATE(YEAR(A290),MONTH(A290),1))</f>
        <v>46204</v>
      </c>
      <c r="I290" s="37" t="str">
        <f aca="false">IF(B290="","",IFERROR(INDEX(st_ID,MATCH(B290,st_Name,0)),"Unknown"))</f>
        <v>QP-06</v>
      </c>
      <c r="J290" s="37" t="str">
        <f aca="false">IF(C290="","",IFERROR(INDEX(cl_Code,MATCH(C290,cl_Name,0)),"Unknown"))</f>
        <v/>
      </c>
      <c r="K290" s="37" t="str">
        <f aca="false">IF(D290="","",IFERROR(INDEX(rt_Billable,MATCH(D290,rt_Code,0)),"Unknown"))</f>
        <v>No</v>
      </c>
      <c r="L290" s="38" t="str">
        <f aca="false">IF(K290&lt;&gt;"Yes","",IFERROR(INDEX(cr_Rate,MATCH(J290&amp;"|"&amp;D290,cr_Key,0)),INDEX(rt_Rate,MATCH(D290,rt_Code,0))))</f>
        <v/>
      </c>
      <c r="M290" s="25" t="str">
        <f aca="false">IF(L290="","",ROUND(N(E290)*L290,2))</f>
        <v/>
      </c>
      <c r="N290" s="39" t="n">
        <f aca="false">IF(OR(A290="",B290=""),"",SUMIFS(tl_Hours,tl_StaffID,I290,tl_Date,A290))</f>
        <v>8</v>
      </c>
      <c r="O290" s="40" t="str">
        <f aca="false">IF(A290&amp;B290&amp;D290="","",IF(OR(A290="",B290="",D290="",E290=""),"Incomplete",IF(K290="Unknown","Unknown code",IF(AND(K290="Yes",C290=""),"Billable, needs client",IF(N290&gt;MaxDayHours,"Over "&amp;MaxDayHours&amp;" hours that day","")))))</f>
        <v/>
      </c>
    </row>
    <row r="291" customFormat="false" ht="15" hidden="false" customHeight="false" outlineLevel="0" collapsed="false">
      <c r="A291" s="31" t="n">
        <v>46219</v>
      </c>
      <c r="B291" s="32" t="s">
        <v>106</v>
      </c>
      <c r="C291" s="32" t="s">
        <v>102</v>
      </c>
      <c r="D291" s="33" t="s">
        <v>104</v>
      </c>
      <c r="E291" s="34" t="n">
        <v>2</v>
      </c>
      <c r="F291" s="32"/>
      <c r="G291" s="35" t="n">
        <f aca="false">IF(A291="","",A291+7-WEEKDAY(A291))</f>
        <v>46221</v>
      </c>
      <c r="H291" s="36" t="n">
        <f aca="false">IF(A291="","",DATE(YEAR(A291),MONTH(A291),1))</f>
        <v>46204</v>
      </c>
      <c r="I291" s="37" t="str">
        <f aca="false">IF(B291="","",IFERROR(INDEX(st_ID,MATCH(B291,st_Name,0)),"Unknown"))</f>
        <v>QP-07</v>
      </c>
      <c r="J291" s="37" t="str">
        <f aca="false">IF(C291="","",IFERROR(INDEX(cl_Code,MATCH(C291,cl_Name,0)),"Unknown"))</f>
        <v>CLH</v>
      </c>
      <c r="K291" s="37" t="str">
        <f aca="false">IF(D291="","",IFERROR(INDEX(rt_Billable,MATCH(D291,rt_Code,0)),"Unknown"))</f>
        <v>Yes</v>
      </c>
      <c r="L291" s="38" t="n">
        <f aca="false">IF(K291&lt;&gt;"Yes","",IFERROR(INDEX(cr_Rate,MATCH(J291&amp;"|"&amp;D291,cr_Key,0)),INDEX(rt_Rate,MATCH(D291,rt_Code,0))))</f>
        <v>65</v>
      </c>
      <c r="M291" s="25" t="n">
        <f aca="false">IF(L291="","",ROUND(N(E291)*L291,2))</f>
        <v>130</v>
      </c>
      <c r="N291" s="39" t="n">
        <f aca="false">IF(OR(A291="",B291=""),"",SUMIFS(tl_Hours,tl_StaffID,I291,tl_Date,A291))</f>
        <v>8</v>
      </c>
      <c r="O291" s="40" t="str">
        <f aca="false">IF(A291&amp;B291&amp;D291="","",IF(OR(A291="",B291="",D291="",E291=""),"Incomplete",IF(K291="Unknown","Unknown code",IF(AND(K291="Yes",C291=""),"Billable, needs client",IF(N291&gt;MaxDayHours,"Over "&amp;MaxDayHours&amp;" hours that day","")))))</f>
        <v/>
      </c>
    </row>
    <row r="292" customFormat="false" ht="15" hidden="false" customHeight="false" outlineLevel="0" collapsed="false">
      <c r="A292" s="31" t="n">
        <v>46219</v>
      </c>
      <c r="B292" s="32" t="s">
        <v>106</v>
      </c>
      <c r="C292" s="32" t="s">
        <v>112</v>
      </c>
      <c r="D292" s="33" t="s">
        <v>88</v>
      </c>
      <c r="E292" s="34" t="n">
        <v>1.25</v>
      </c>
      <c r="F292" s="32"/>
      <c r="G292" s="35" t="n">
        <f aca="false">IF(A292="","",A292+7-WEEKDAY(A292))</f>
        <v>46221</v>
      </c>
      <c r="H292" s="36" t="n">
        <f aca="false">IF(A292="","",DATE(YEAR(A292),MONTH(A292),1))</f>
        <v>46204</v>
      </c>
      <c r="I292" s="37" t="str">
        <f aca="false">IF(B292="","",IFERROR(INDEX(st_ID,MATCH(B292,st_Name,0)),"Unknown"))</f>
        <v>QP-07</v>
      </c>
      <c r="J292" s="37" t="str">
        <f aca="false">IF(C292="","",IFERROR(INDEX(cl_Code,MATCH(C292,cl_Name,0)),"Unknown"))</f>
        <v>PCA</v>
      </c>
      <c r="K292" s="37" t="str">
        <f aca="false">IF(D292="","",IFERROR(INDEX(rt_Billable,MATCH(D292,rt_Code,0)),"Unknown"))</f>
        <v>Yes</v>
      </c>
      <c r="L292" s="38" t="n">
        <f aca="false">IF(K292&lt;&gt;"Yes","",IFERROR(INDEX(cr_Rate,MATCH(J292&amp;"|"&amp;D292,cr_Key,0)),INDEX(rt_Rate,MATCH(D292,rt_Code,0))))</f>
        <v>110</v>
      </c>
      <c r="M292" s="25" t="n">
        <f aca="false">IF(L292="","",ROUND(N(E292)*L292,2))</f>
        <v>137.5</v>
      </c>
      <c r="N292" s="39" t="n">
        <f aca="false">IF(OR(A292="",B292=""),"",SUMIFS(tl_Hours,tl_StaffID,I292,tl_Date,A292))</f>
        <v>8</v>
      </c>
      <c r="O292" s="40" t="str">
        <f aca="false">IF(A292&amp;B292&amp;D292="","",IF(OR(A292="",B292="",D292="",E292=""),"Incomplete",IF(K292="Unknown","Unknown code",IF(AND(K292="Yes",C292=""),"Billable, needs client",IF(N292&gt;MaxDayHours,"Over "&amp;MaxDayHours&amp;" hours that day","")))))</f>
        <v/>
      </c>
    </row>
    <row r="293" customFormat="false" ht="15" hidden="false" customHeight="false" outlineLevel="0" collapsed="false">
      <c r="A293" s="31" t="n">
        <v>46219</v>
      </c>
      <c r="B293" s="32" t="s">
        <v>106</v>
      </c>
      <c r="C293" s="32" t="s">
        <v>112</v>
      </c>
      <c r="D293" s="33" t="s">
        <v>104</v>
      </c>
      <c r="E293" s="34" t="n">
        <v>0.75</v>
      </c>
      <c r="F293" s="32"/>
      <c r="G293" s="35" t="n">
        <f aca="false">IF(A293="","",A293+7-WEEKDAY(A293))</f>
        <v>46221</v>
      </c>
      <c r="H293" s="36" t="n">
        <f aca="false">IF(A293="","",DATE(YEAR(A293),MONTH(A293),1))</f>
        <v>46204</v>
      </c>
      <c r="I293" s="37" t="str">
        <f aca="false">IF(B293="","",IFERROR(INDEX(st_ID,MATCH(B293,st_Name,0)),"Unknown"))</f>
        <v>QP-07</v>
      </c>
      <c r="J293" s="37" t="str">
        <f aca="false">IF(C293="","",IFERROR(INDEX(cl_Code,MATCH(C293,cl_Name,0)),"Unknown"))</f>
        <v>PCA</v>
      </c>
      <c r="K293" s="37" t="str">
        <f aca="false">IF(D293="","",IFERROR(INDEX(rt_Billable,MATCH(D293,rt_Code,0)),"Unknown"))</f>
        <v>Yes</v>
      </c>
      <c r="L293" s="38" t="n">
        <f aca="false">IF(K293&lt;&gt;"Yes","",IFERROR(INDEX(cr_Rate,MATCH(J293&amp;"|"&amp;D293,cr_Key,0)),INDEX(rt_Rate,MATCH(D293,rt_Code,0))))</f>
        <v>70</v>
      </c>
      <c r="M293" s="25" t="n">
        <f aca="false">IF(L293="","",ROUND(N(E293)*L293,2))</f>
        <v>52.5</v>
      </c>
      <c r="N293" s="39" t="n">
        <f aca="false">IF(OR(A293="",B293=""),"",SUMIFS(tl_Hours,tl_StaffID,I293,tl_Date,A293))</f>
        <v>8</v>
      </c>
      <c r="O293" s="40" t="str">
        <f aca="false">IF(A293&amp;B293&amp;D293="","",IF(OR(A293="",B293="",D293="",E293=""),"Incomplete",IF(K293="Unknown","Unknown code",IF(AND(K293="Yes",C293=""),"Billable, needs client",IF(N293&gt;MaxDayHours,"Over "&amp;MaxDayHours&amp;" hours that day","")))))</f>
        <v/>
      </c>
    </row>
    <row r="294" customFormat="false" ht="15" hidden="false" customHeight="false" outlineLevel="0" collapsed="false">
      <c r="A294" s="31" t="n">
        <v>46219</v>
      </c>
      <c r="B294" s="32" t="s">
        <v>106</v>
      </c>
      <c r="C294" s="32"/>
      <c r="D294" s="33" t="s">
        <v>93</v>
      </c>
      <c r="E294" s="34" t="n">
        <v>0.5</v>
      </c>
      <c r="F294" s="32"/>
      <c r="G294" s="35" t="n">
        <f aca="false">IF(A294="","",A294+7-WEEKDAY(A294))</f>
        <v>46221</v>
      </c>
      <c r="H294" s="36" t="n">
        <f aca="false">IF(A294="","",DATE(YEAR(A294),MONTH(A294),1))</f>
        <v>46204</v>
      </c>
      <c r="I294" s="37" t="str">
        <f aca="false">IF(B294="","",IFERROR(INDEX(st_ID,MATCH(B294,st_Name,0)),"Unknown"))</f>
        <v>QP-07</v>
      </c>
      <c r="J294" s="37" t="str">
        <f aca="false">IF(C294="","",IFERROR(INDEX(cl_Code,MATCH(C294,cl_Name,0)),"Unknown"))</f>
        <v/>
      </c>
      <c r="K294" s="37" t="str">
        <f aca="false">IF(D294="","",IFERROR(INDEX(rt_Billable,MATCH(D294,rt_Code,0)),"Unknown"))</f>
        <v>No</v>
      </c>
      <c r="L294" s="38" t="str">
        <f aca="false">IF(K294&lt;&gt;"Yes","",IFERROR(INDEX(cr_Rate,MATCH(J294&amp;"|"&amp;D294,cr_Key,0)),INDEX(rt_Rate,MATCH(D294,rt_Code,0))))</f>
        <v/>
      </c>
      <c r="M294" s="25" t="str">
        <f aca="false">IF(L294="","",ROUND(N(E294)*L294,2))</f>
        <v/>
      </c>
      <c r="N294" s="39" t="n">
        <f aca="false">IF(OR(A294="",B294=""),"",SUMIFS(tl_Hours,tl_StaffID,I294,tl_Date,A294))</f>
        <v>8</v>
      </c>
      <c r="O294" s="40" t="str">
        <f aca="false">IF(A294&amp;B294&amp;D294="","",IF(OR(A294="",B294="",D294="",E294=""),"Incomplete",IF(K294="Unknown","Unknown code",IF(AND(K294="Yes",C294=""),"Billable, needs client",IF(N294&gt;MaxDayHours,"Over "&amp;MaxDayHours&amp;" hours that day","")))))</f>
        <v/>
      </c>
    </row>
    <row r="295" customFormat="false" ht="15" hidden="false" customHeight="false" outlineLevel="0" collapsed="false">
      <c r="A295" s="31" t="n">
        <v>46219</v>
      </c>
      <c r="B295" s="32" t="s">
        <v>106</v>
      </c>
      <c r="C295" s="32"/>
      <c r="D295" s="33" t="s">
        <v>96</v>
      </c>
      <c r="E295" s="34" t="n">
        <v>3.5</v>
      </c>
      <c r="F295" s="32"/>
      <c r="G295" s="35" t="n">
        <f aca="false">IF(A295="","",A295+7-WEEKDAY(A295))</f>
        <v>46221</v>
      </c>
      <c r="H295" s="36" t="n">
        <f aca="false">IF(A295="","",DATE(YEAR(A295),MONTH(A295),1))</f>
        <v>46204</v>
      </c>
      <c r="I295" s="37" t="str">
        <f aca="false">IF(B295="","",IFERROR(INDEX(st_ID,MATCH(B295,st_Name,0)),"Unknown"))</f>
        <v>QP-07</v>
      </c>
      <c r="J295" s="37" t="str">
        <f aca="false">IF(C295="","",IFERROR(INDEX(cl_Code,MATCH(C295,cl_Name,0)),"Unknown"))</f>
        <v/>
      </c>
      <c r="K295" s="37" t="str">
        <f aca="false">IF(D295="","",IFERROR(INDEX(rt_Billable,MATCH(D295,rt_Code,0)),"Unknown"))</f>
        <v>No</v>
      </c>
      <c r="L295" s="38" t="str">
        <f aca="false">IF(K295&lt;&gt;"Yes","",IFERROR(INDEX(cr_Rate,MATCH(J295&amp;"|"&amp;D295,cr_Key,0)),INDEX(rt_Rate,MATCH(D295,rt_Code,0))))</f>
        <v/>
      </c>
      <c r="M295" s="25" t="str">
        <f aca="false">IF(L295="","",ROUND(N(E295)*L295,2))</f>
        <v/>
      </c>
      <c r="N295" s="39" t="n">
        <f aca="false">IF(OR(A295="",B295=""),"",SUMIFS(tl_Hours,tl_StaffID,I295,tl_Date,A295))</f>
        <v>8</v>
      </c>
      <c r="O295" s="40" t="str">
        <f aca="false">IF(A295&amp;B295&amp;D295="","",IF(OR(A295="",B295="",D295="",E295=""),"Incomplete",IF(K295="Unknown","Unknown code",IF(AND(K295="Yes",C295=""),"Billable, needs client",IF(N295&gt;MaxDayHours,"Over "&amp;MaxDayHours&amp;" hours that day","")))))</f>
        <v/>
      </c>
    </row>
    <row r="296" customFormat="false" ht="15" hidden="false" customHeight="false" outlineLevel="0" collapsed="false">
      <c r="A296" s="31" t="n">
        <v>46219</v>
      </c>
      <c r="B296" s="32" t="s">
        <v>107</v>
      </c>
      <c r="C296" s="32"/>
      <c r="D296" s="33" t="s">
        <v>108</v>
      </c>
      <c r="E296" s="34" t="n">
        <v>6</v>
      </c>
      <c r="F296" s="32"/>
      <c r="G296" s="35" t="n">
        <f aca="false">IF(A296="","",A296+7-WEEKDAY(A296))</f>
        <v>46221</v>
      </c>
      <c r="H296" s="36" t="n">
        <f aca="false">IF(A296="","",DATE(YEAR(A296),MONTH(A296),1))</f>
        <v>46204</v>
      </c>
      <c r="I296" s="37" t="str">
        <f aca="false">IF(B296="","",IFERROR(INDEX(st_ID,MATCH(B296,st_Name,0)),"Unknown"))</f>
        <v>QP-08</v>
      </c>
      <c r="J296" s="37" t="str">
        <f aca="false">IF(C296="","",IFERROR(INDEX(cl_Code,MATCH(C296,cl_Name,0)),"Unknown"))</f>
        <v/>
      </c>
      <c r="K296" s="37" t="str">
        <f aca="false">IF(D296="","",IFERROR(INDEX(rt_Billable,MATCH(D296,rt_Code,0)),"Unknown"))</f>
        <v>No</v>
      </c>
      <c r="L296" s="38" t="str">
        <f aca="false">IF(K296&lt;&gt;"Yes","",IFERROR(INDEX(cr_Rate,MATCH(J296&amp;"|"&amp;D296,cr_Key,0)),INDEX(rt_Rate,MATCH(D296,rt_Code,0))))</f>
        <v/>
      </c>
      <c r="M296" s="25" t="str">
        <f aca="false">IF(L296="","",ROUND(N(E296)*L296,2))</f>
        <v/>
      </c>
      <c r="N296" s="39" t="n">
        <f aca="false">IF(OR(A296="",B296=""),"",SUMIFS(tl_Hours,tl_StaffID,I296,tl_Date,A296))</f>
        <v>8</v>
      </c>
      <c r="O296" s="40" t="str">
        <f aca="false">IF(A296&amp;B296&amp;D296="","",IF(OR(A296="",B296="",D296="",E296=""),"Incomplete",IF(K296="Unknown","Unknown code",IF(AND(K296="Yes",C296=""),"Billable, needs client",IF(N296&gt;MaxDayHours,"Over "&amp;MaxDayHours&amp;" hours that day","")))))</f>
        <v/>
      </c>
    </row>
    <row r="297" customFormat="false" ht="15" hidden="false" customHeight="false" outlineLevel="0" collapsed="false">
      <c r="A297" s="31" t="n">
        <v>46219</v>
      </c>
      <c r="B297" s="32" t="s">
        <v>107</v>
      </c>
      <c r="C297" s="32"/>
      <c r="D297" s="33" t="s">
        <v>98</v>
      </c>
      <c r="E297" s="34" t="n">
        <v>2</v>
      </c>
      <c r="F297" s="32"/>
      <c r="G297" s="35" t="n">
        <f aca="false">IF(A297="","",A297+7-WEEKDAY(A297))</f>
        <v>46221</v>
      </c>
      <c r="H297" s="36" t="n">
        <f aca="false">IF(A297="","",DATE(YEAR(A297),MONTH(A297),1))</f>
        <v>46204</v>
      </c>
      <c r="I297" s="37" t="str">
        <f aca="false">IF(B297="","",IFERROR(INDEX(st_ID,MATCH(B297,st_Name,0)),"Unknown"))</f>
        <v>QP-08</v>
      </c>
      <c r="J297" s="37" t="str">
        <f aca="false">IF(C297="","",IFERROR(INDEX(cl_Code,MATCH(C297,cl_Name,0)),"Unknown"))</f>
        <v/>
      </c>
      <c r="K297" s="37" t="str">
        <f aca="false">IF(D297="","",IFERROR(INDEX(rt_Billable,MATCH(D297,rt_Code,0)),"Unknown"))</f>
        <v>No</v>
      </c>
      <c r="L297" s="38" t="str">
        <f aca="false">IF(K297&lt;&gt;"Yes","",IFERROR(INDEX(cr_Rate,MATCH(J297&amp;"|"&amp;D297,cr_Key,0)),INDEX(rt_Rate,MATCH(D297,rt_Code,0))))</f>
        <v/>
      </c>
      <c r="M297" s="25" t="str">
        <f aca="false">IF(L297="","",ROUND(N(E297)*L297,2))</f>
        <v/>
      </c>
      <c r="N297" s="39" t="n">
        <f aca="false">IF(OR(A297="",B297=""),"",SUMIFS(tl_Hours,tl_StaffID,I297,tl_Date,A297))</f>
        <v>8</v>
      </c>
      <c r="O297" s="40" t="str">
        <f aca="false">IF(A297&amp;B297&amp;D297="","",IF(OR(A297="",B297="",D297="",E297=""),"Incomplete",IF(K297="Unknown","Unknown code",IF(AND(K297="Yes",C297=""),"Billable, needs client",IF(N297&gt;MaxDayHours,"Over "&amp;MaxDayHours&amp;" hours that day","")))))</f>
        <v/>
      </c>
    </row>
    <row r="298" customFormat="false" ht="15" hidden="false" customHeight="false" outlineLevel="0" collapsed="false">
      <c r="A298" s="31" t="n">
        <v>46220</v>
      </c>
      <c r="B298" s="32" t="s">
        <v>86</v>
      </c>
      <c r="C298" s="32" t="s">
        <v>90</v>
      </c>
      <c r="D298" s="33" t="s">
        <v>88</v>
      </c>
      <c r="E298" s="34" t="n">
        <v>1.25</v>
      </c>
      <c r="F298" s="32"/>
      <c r="G298" s="35" t="n">
        <f aca="false">IF(A298="","",A298+7-WEEKDAY(A298))</f>
        <v>46221</v>
      </c>
      <c r="H298" s="36" t="n">
        <f aca="false">IF(A298="","",DATE(YEAR(A298),MONTH(A298),1))</f>
        <v>46204</v>
      </c>
      <c r="I298" s="37" t="str">
        <f aca="false">IF(B298="","",IFERROR(INDEX(st_ID,MATCH(B298,st_Name,0)),"Unknown"))</f>
        <v>QP-01</v>
      </c>
      <c r="J298" s="37" t="str">
        <f aca="false">IF(C298="","",IFERROR(INDEX(cl_Code,MATCH(C298,cl_Name,0)),"Unknown"))</f>
        <v>BSE</v>
      </c>
      <c r="K298" s="37" t="str">
        <f aca="false">IF(D298="","",IFERROR(INDEX(rt_Billable,MATCH(D298,rt_Code,0)),"Unknown"))</f>
        <v>Yes</v>
      </c>
      <c r="L298" s="38" t="n">
        <f aca="false">IF(K298&lt;&gt;"Yes","",IFERROR(INDEX(cr_Rate,MATCH(J298&amp;"|"&amp;D298,cr_Key,0)),INDEX(rt_Rate,MATCH(D298,rt_Code,0))))</f>
        <v>104</v>
      </c>
      <c r="M298" s="25" t="n">
        <f aca="false">IF(L298="","",ROUND(N(E298)*L298,2))</f>
        <v>130</v>
      </c>
      <c r="N298" s="39" t="n">
        <f aca="false">IF(OR(A298="",B298=""),"",SUMIFS(tl_Hours,tl_StaffID,I298,tl_Date,A298))</f>
        <v>8</v>
      </c>
      <c r="O298" s="40" t="str">
        <f aca="false">IF(A298&amp;B298&amp;D298="","",IF(OR(A298="",B298="",D298="",E298=""),"Incomplete",IF(K298="Unknown","Unknown code",IF(AND(K298="Yes",C298=""),"Billable, needs client",IF(N298&gt;MaxDayHours,"Over "&amp;MaxDayHours&amp;" hours that day","")))))</f>
        <v/>
      </c>
    </row>
    <row r="299" customFormat="false" ht="15" hidden="false" customHeight="false" outlineLevel="0" collapsed="false">
      <c r="A299" s="31" t="n">
        <v>46220</v>
      </c>
      <c r="B299" s="32" t="s">
        <v>86</v>
      </c>
      <c r="C299" s="32" t="s">
        <v>90</v>
      </c>
      <c r="D299" s="33" t="s">
        <v>104</v>
      </c>
      <c r="E299" s="34" t="n">
        <v>0.75</v>
      </c>
      <c r="F299" s="32"/>
      <c r="G299" s="35" t="n">
        <f aca="false">IF(A299="","",A299+7-WEEKDAY(A299))</f>
        <v>46221</v>
      </c>
      <c r="H299" s="36" t="n">
        <f aca="false">IF(A299="","",DATE(YEAR(A299),MONTH(A299),1))</f>
        <v>46204</v>
      </c>
      <c r="I299" s="37" t="str">
        <f aca="false">IF(B299="","",IFERROR(INDEX(st_ID,MATCH(B299,st_Name,0)),"Unknown"))</f>
        <v>QP-01</v>
      </c>
      <c r="J299" s="37" t="str">
        <f aca="false">IF(C299="","",IFERROR(INDEX(cl_Code,MATCH(C299,cl_Name,0)),"Unknown"))</f>
        <v>BSE</v>
      </c>
      <c r="K299" s="37" t="str">
        <f aca="false">IF(D299="","",IFERROR(INDEX(rt_Billable,MATCH(D299,rt_Code,0)),"Unknown"))</f>
        <v>Yes</v>
      </c>
      <c r="L299" s="38" t="n">
        <f aca="false">IF(K299&lt;&gt;"Yes","",IFERROR(INDEX(cr_Rate,MATCH(J299&amp;"|"&amp;D299,cr_Key,0)),INDEX(rt_Rate,MATCH(D299,rt_Code,0))))</f>
        <v>70</v>
      </c>
      <c r="M299" s="25" t="n">
        <f aca="false">IF(L299="","",ROUND(N(E299)*L299,2))</f>
        <v>52.5</v>
      </c>
      <c r="N299" s="39" t="n">
        <f aca="false">IF(OR(A299="",B299=""),"",SUMIFS(tl_Hours,tl_StaffID,I299,tl_Date,A299))</f>
        <v>8</v>
      </c>
      <c r="O299" s="40" t="str">
        <f aca="false">IF(A299&amp;B299&amp;D299="","",IF(OR(A299="",B299="",D299="",E299=""),"Incomplete",IF(K299="Unknown","Unknown code",IF(AND(K299="Yes",C299=""),"Billable, needs client",IF(N299&gt;MaxDayHours,"Over "&amp;MaxDayHours&amp;" hours that day","")))))</f>
        <v/>
      </c>
    </row>
    <row r="300" customFormat="false" ht="15" hidden="false" customHeight="false" outlineLevel="0" collapsed="false">
      <c r="A300" s="31" t="n">
        <v>46220</v>
      </c>
      <c r="B300" s="32" t="s">
        <v>86</v>
      </c>
      <c r="C300" s="32" t="s">
        <v>87</v>
      </c>
      <c r="D300" s="33" t="s">
        <v>88</v>
      </c>
      <c r="E300" s="34" t="n">
        <v>1.25</v>
      </c>
      <c r="F300" s="32"/>
      <c r="G300" s="35" t="n">
        <f aca="false">IF(A300="","",A300+7-WEEKDAY(A300))</f>
        <v>46221</v>
      </c>
      <c r="H300" s="36" t="n">
        <f aca="false">IF(A300="","",DATE(YEAR(A300),MONTH(A300),1))</f>
        <v>46204</v>
      </c>
      <c r="I300" s="37" t="str">
        <f aca="false">IF(B300="","",IFERROR(INDEX(st_ID,MATCH(B300,st_Name,0)),"Unknown"))</f>
        <v>QP-01</v>
      </c>
      <c r="J300" s="37" t="str">
        <f aca="false">IF(C300="","",IFERROR(INDEX(cl_Code,MATCH(C300,cl_Name,0)),"Unknown"))</f>
        <v>HCS</v>
      </c>
      <c r="K300" s="37" t="str">
        <f aca="false">IF(D300="","",IFERROR(INDEX(rt_Billable,MATCH(D300,rt_Code,0)),"Unknown"))</f>
        <v>Yes</v>
      </c>
      <c r="L300" s="38" t="n">
        <f aca="false">IF(K300&lt;&gt;"Yes","",IFERROR(INDEX(cr_Rate,MATCH(J300&amp;"|"&amp;D300,cr_Key,0)),INDEX(rt_Rate,MATCH(D300,rt_Code,0))))</f>
        <v>98</v>
      </c>
      <c r="M300" s="25" t="n">
        <f aca="false">IF(L300="","",ROUND(N(E300)*L300,2))</f>
        <v>122.5</v>
      </c>
      <c r="N300" s="39" t="n">
        <f aca="false">IF(OR(A300="",B300=""),"",SUMIFS(tl_Hours,tl_StaffID,I300,tl_Date,A300))</f>
        <v>8</v>
      </c>
      <c r="O300" s="40" t="str">
        <f aca="false">IF(A300&amp;B300&amp;D300="","",IF(OR(A300="",B300="",D300="",E300=""),"Incomplete",IF(K300="Unknown","Unknown code",IF(AND(K300="Yes",C300=""),"Billable, needs client",IF(N300&gt;MaxDayHours,"Over "&amp;MaxDayHours&amp;" hours that day","")))))</f>
        <v/>
      </c>
    </row>
    <row r="301" customFormat="false" ht="15" hidden="false" customHeight="false" outlineLevel="0" collapsed="false">
      <c r="A301" s="31" t="n">
        <v>46220</v>
      </c>
      <c r="B301" s="32" t="s">
        <v>86</v>
      </c>
      <c r="C301" s="32" t="s">
        <v>87</v>
      </c>
      <c r="D301" s="33" t="s">
        <v>92</v>
      </c>
      <c r="E301" s="34" t="n">
        <v>0.75</v>
      </c>
      <c r="F301" s="32"/>
      <c r="G301" s="35" t="n">
        <f aca="false">IF(A301="","",A301+7-WEEKDAY(A301))</f>
        <v>46221</v>
      </c>
      <c r="H301" s="36" t="n">
        <f aca="false">IF(A301="","",DATE(YEAR(A301),MONTH(A301),1))</f>
        <v>46204</v>
      </c>
      <c r="I301" s="37" t="str">
        <f aca="false">IF(B301="","",IFERROR(INDEX(st_ID,MATCH(B301,st_Name,0)),"Unknown"))</f>
        <v>QP-01</v>
      </c>
      <c r="J301" s="37" t="str">
        <f aca="false">IF(C301="","",IFERROR(INDEX(cl_Code,MATCH(C301,cl_Name,0)),"Unknown"))</f>
        <v>HCS</v>
      </c>
      <c r="K301" s="37" t="str">
        <f aca="false">IF(D301="","",IFERROR(INDEX(rt_Billable,MATCH(D301,rt_Code,0)),"Unknown"))</f>
        <v>Yes</v>
      </c>
      <c r="L301" s="38" t="n">
        <f aca="false">IF(K301&lt;&gt;"Yes","",IFERROR(INDEX(cr_Rate,MATCH(J301&amp;"|"&amp;D301,cr_Key,0)),INDEX(rt_Rate,MATCH(D301,rt_Code,0))))</f>
        <v>140</v>
      </c>
      <c r="M301" s="25" t="n">
        <f aca="false">IF(L301="","",ROUND(N(E301)*L301,2))</f>
        <v>105</v>
      </c>
      <c r="N301" s="39" t="n">
        <f aca="false">IF(OR(A301="",B301=""),"",SUMIFS(tl_Hours,tl_StaffID,I301,tl_Date,A301))</f>
        <v>8</v>
      </c>
      <c r="O301" s="40" t="str">
        <f aca="false">IF(A301&amp;B301&amp;D301="","",IF(OR(A301="",B301="",D301="",E301=""),"Incomplete",IF(K301="Unknown","Unknown code",IF(AND(K301="Yes",C301=""),"Billable, needs client",IF(N301&gt;MaxDayHours,"Over "&amp;MaxDayHours&amp;" hours that day","")))))</f>
        <v/>
      </c>
    </row>
    <row r="302" customFormat="false" ht="15" hidden="false" customHeight="false" outlineLevel="0" collapsed="false">
      <c r="A302" s="31" t="n">
        <v>46220</v>
      </c>
      <c r="B302" s="32" t="s">
        <v>86</v>
      </c>
      <c r="C302" s="32"/>
      <c r="D302" s="33" t="s">
        <v>93</v>
      </c>
      <c r="E302" s="34" t="n">
        <v>0.5</v>
      </c>
      <c r="F302" s="32"/>
      <c r="G302" s="35" t="n">
        <f aca="false">IF(A302="","",A302+7-WEEKDAY(A302))</f>
        <v>46221</v>
      </c>
      <c r="H302" s="36" t="n">
        <f aca="false">IF(A302="","",DATE(YEAR(A302),MONTH(A302),1))</f>
        <v>46204</v>
      </c>
      <c r="I302" s="37" t="str">
        <f aca="false">IF(B302="","",IFERROR(INDEX(st_ID,MATCH(B302,st_Name,0)),"Unknown"))</f>
        <v>QP-01</v>
      </c>
      <c r="J302" s="37" t="str">
        <f aca="false">IF(C302="","",IFERROR(INDEX(cl_Code,MATCH(C302,cl_Name,0)),"Unknown"))</f>
        <v/>
      </c>
      <c r="K302" s="37" t="str">
        <f aca="false">IF(D302="","",IFERROR(INDEX(rt_Billable,MATCH(D302,rt_Code,0)),"Unknown"))</f>
        <v>No</v>
      </c>
      <c r="L302" s="38" t="str">
        <f aca="false">IF(K302&lt;&gt;"Yes","",IFERROR(INDEX(cr_Rate,MATCH(J302&amp;"|"&amp;D302,cr_Key,0)),INDEX(rt_Rate,MATCH(D302,rt_Code,0))))</f>
        <v/>
      </c>
      <c r="M302" s="25" t="str">
        <f aca="false">IF(L302="","",ROUND(N(E302)*L302,2))</f>
        <v/>
      </c>
      <c r="N302" s="39" t="n">
        <f aca="false">IF(OR(A302="",B302=""),"",SUMIFS(tl_Hours,tl_StaffID,I302,tl_Date,A302))</f>
        <v>8</v>
      </c>
      <c r="O302" s="40" t="str">
        <f aca="false">IF(A302&amp;B302&amp;D302="","",IF(OR(A302="",B302="",D302="",E302=""),"Incomplete",IF(K302="Unknown","Unknown code",IF(AND(K302="Yes",C302=""),"Billable, needs client",IF(N302&gt;MaxDayHours,"Over "&amp;MaxDayHours&amp;" hours that day","")))))</f>
        <v/>
      </c>
    </row>
    <row r="303" customFormat="false" ht="15" hidden="false" customHeight="false" outlineLevel="0" collapsed="false">
      <c r="A303" s="31" t="n">
        <v>46220</v>
      </c>
      <c r="B303" s="32" t="s">
        <v>86</v>
      </c>
      <c r="C303" s="32"/>
      <c r="D303" s="33" t="s">
        <v>96</v>
      </c>
      <c r="E303" s="34" t="n">
        <v>3.5</v>
      </c>
      <c r="F303" s="32"/>
      <c r="G303" s="35" t="n">
        <f aca="false">IF(A303="","",A303+7-WEEKDAY(A303))</f>
        <v>46221</v>
      </c>
      <c r="H303" s="36" t="n">
        <f aca="false">IF(A303="","",DATE(YEAR(A303),MONTH(A303),1))</f>
        <v>46204</v>
      </c>
      <c r="I303" s="37" t="str">
        <f aca="false">IF(B303="","",IFERROR(INDEX(st_ID,MATCH(B303,st_Name,0)),"Unknown"))</f>
        <v>QP-01</v>
      </c>
      <c r="J303" s="37" t="str">
        <f aca="false">IF(C303="","",IFERROR(INDEX(cl_Code,MATCH(C303,cl_Name,0)),"Unknown"))</f>
        <v/>
      </c>
      <c r="K303" s="37" t="str">
        <f aca="false">IF(D303="","",IFERROR(INDEX(rt_Billable,MATCH(D303,rt_Code,0)),"Unknown"))</f>
        <v>No</v>
      </c>
      <c r="L303" s="38" t="str">
        <f aca="false">IF(K303&lt;&gt;"Yes","",IFERROR(INDEX(cr_Rate,MATCH(J303&amp;"|"&amp;D303,cr_Key,0)),INDEX(rt_Rate,MATCH(D303,rt_Code,0))))</f>
        <v/>
      </c>
      <c r="M303" s="25" t="str">
        <f aca="false">IF(L303="","",ROUND(N(E303)*L303,2))</f>
        <v/>
      </c>
      <c r="N303" s="39" t="n">
        <f aca="false">IF(OR(A303="",B303=""),"",SUMIFS(tl_Hours,tl_StaffID,I303,tl_Date,A303))</f>
        <v>8</v>
      </c>
      <c r="O303" s="40" t="str">
        <f aca="false">IF(A303&amp;B303&amp;D303="","",IF(OR(A303="",B303="",D303="",E303=""),"Incomplete",IF(K303="Unknown","Unknown code",IF(AND(K303="Yes",C303=""),"Billable, needs client",IF(N303&gt;MaxDayHours,"Over "&amp;MaxDayHours&amp;" hours that day","")))))</f>
        <v/>
      </c>
    </row>
    <row r="304" customFormat="false" ht="15" hidden="false" customHeight="false" outlineLevel="0" collapsed="false">
      <c r="A304" s="31" t="n">
        <v>46220</v>
      </c>
      <c r="B304" s="32" t="s">
        <v>97</v>
      </c>
      <c r="C304" s="32" t="s">
        <v>87</v>
      </c>
      <c r="D304" s="33" t="s">
        <v>104</v>
      </c>
      <c r="E304" s="34" t="n">
        <v>1.5</v>
      </c>
      <c r="F304" s="32"/>
      <c r="G304" s="35" t="n">
        <f aca="false">IF(A304="","",A304+7-WEEKDAY(A304))</f>
        <v>46221</v>
      </c>
      <c r="H304" s="36" t="n">
        <f aca="false">IF(A304="","",DATE(YEAR(A304),MONTH(A304),1))</f>
        <v>46204</v>
      </c>
      <c r="I304" s="37" t="str">
        <f aca="false">IF(B304="","",IFERROR(INDEX(st_ID,MATCH(B304,st_Name,0)),"Unknown"))</f>
        <v>QP-02</v>
      </c>
      <c r="J304" s="37" t="str">
        <f aca="false">IF(C304="","",IFERROR(INDEX(cl_Code,MATCH(C304,cl_Name,0)),"Unknown"))</f>
        <v>HCS</v>
      </c>
      <c r="K304" s="37" t="str">
        <f aca="false">IF(D304="","",IFERROR(INDEX(rt_Billable,MATCH(D304,rt_Code,0)),"Unknown"))</f>
        <v>Yes</v>
      </c>
      <c r="L304" s="38" t="n">
        <f aca="false">IF(K304&lt;&gt;"Yes","",IFERROR(INDEX(cr_Rate,MATCH(J304&amp;"|"&amp;D304,cr_Key,0)),INDEX(rt_Rate,MATCH(D304,rt_Code,0))))</f>
        <v>62</v>
      </c>
      <c r="M304" s="25" t="n">
        <f aca="false">IF(L304="","",ROUND(N(E304)*L304,2))</f>
        <v>93</v>
      </c>
      <c r="N304" s="39" t="n">
        <f aca="false">IF(OR(A304="",B304=""),"",SUMIFS(tl_Hours,tl_StaffID,I304,tl_Date,A304))</f>
        <v>8</v>
      </c>
      <c r="O304" s="40" t="str">
        <f aca="false">IF(A304&amp;B304&amp;D304="","",IF(OR(A304="",B304="",D304="",E304=""),"Incomplete",IF(K304="Unknown","Unknown code",IF(AND(K304="Yes",C304=""),"Billable, needs client",IF(N304&gt;MaxDayHours,"Over "&amp;MaxDayHours&amp;" hours that day","")))))</f>
        <v/>
      </c>
    </row>
    <row r="305" customFormat="false" ht="15" hidden="false" customHeight="false" outlineLevel="0" collapsed="false">
      <c r="A305" s="31" t="n">
        <v>46220</v>
      </c>
      <c r="B305" s="32" t="s">
        <v>97</v>
      </c>
      <c r="C305" s="32" t="s">
        <v>87</v>
      </c>
      <c r="D305" s="33" t="s">
        <v>88</v>
      </c>
      <c r="E305" s="34" t="n">
        <v>0.75</v>
      </c>
      <c r="F305" s="32"/>
      <c r="G305" s="35" t="n">
        <f aca="false">IF(A305="","",A305+7-WEEKDAY(A305))</f>
        <v>46221</v>
      </c>
      <c r="H305" s="36" t="n">
        <f aca="false">IF(A305="","",DATE(YEAR(A305),MONTH(A305),1))</f>
        <v>46204</v>
      </c>
      <c r="I305" s="37" t="str">
        <f aca="false">IF(B305="","",IFERROR(INDEX(st_ID,MATCH(B305,st_Name,0)),"Unknown"))</f>
        <v>QP-02</v>
      </c>
      <c r="J305" s="37" t="str">
        <f aca="false">IF(C305="","",IFERROR(INDEX(cl_Code,MATCH(C305,cl_Name,0)),"Unknown"))</f>
        <v>HCS</v>
      </c>
      <c r="K305" s="37" t="str">
        <f aca="false">IF(D305="","",IFERROR(INDEX(rt_Billable,MATCH(D305,rt_Code,0)),"Unknown"))</f>
        <v>Yes</v>
      </c>
      <c r="L305" s="38" t="n">
        <f aca="false">IF(K305&lt;&gt;"Yes","",IFERROR(INDEX(cr_Rate,MATCH(J305&amp;"|"&amp;D305,cr_Key,0)),INDEX(rt_Rate,MATCH(D305,rt_Code,0))))</f>
        <v>98</v>
      </c>
      <c r="M305" s="25" t="n">
        <f aca="false">IF(L305="","",ROUND(N(E305)*L305,2))</f>
        <v>73.5</v>
      </c>
      <c r="N305" s="39" t="n">
        <f aca="false">IF(OR(A305="",B305=""),"",SUMIFS(tl_Hours,tl_StaffID,I305,tl_Date,A305))</f>
        <v>8</v>
      </c>
      <c r="O305" s="40" t="str">
        <f aca="false">IF(A305&amp;B305&amp;D305="","",IF(OR(A305="",B305="",D305="",E305=""),"Incomplete",IF(K305="Unknown","Unknown code",IF(AND(K305="Yes",C305=""),"Billable, needs client",IF(N305&gt;MaxDayHours,"Over "&amp;MaxDayHours&amp;" hours that day","")))))</f>
        <v/>
      </c>
    </row>
    <row r="306" customFormat="false" ht="15" hidden="false" customHeight="false" outlineLevel="0" collapsed="false">
      <c r="A306" s="31" t="n">
        <v>46220</v>
      </c>
      <c r="B306" s="32" t="s">
        <v>97</v>
      </c>
      <c r="C306" s="32" t="s">
        <v>90</v>
      </c>
      <c r="D306" s="33" t="s">
        <v>88</v>
      </c>
      <c r="E306" s="34" t="n">
        <v>1.25</v>
      </c>
      <c r="F306" s="32"/>
      <c r="G306" s="35" t="n">
        <f aca="false">IF(A306="","",A306+7-WEEKDAY(A306))</f>
        <v>46221</v>
      </c>
      <c r="H306" s="36" t="n">
        <f aca="false">IF(A306="","",DATE(YEAR(A306),MONTH(A306),1))</f>
        <v>46204</v>
      </c>
      <c r="I306" s="37" t="str">
        <f aca="false">IF(B306="","",IFERROR(INDEX(st_ID,MATCH(B306,st_Name,0)),"Unknown"))</f>
        <v>QP-02</v>
      </c>
      <c r="J306" s="37" t="str">
        <f aca="false">IF(C306="","",IFERROR(INDEX(cl_Code,MATCH(C306,cl_Name,0)),"Unknown"))</f>
        <v>BSE</v>
      </c>
      <c r="K306" s="37" t="str">
        <f aca="false">IF(D306="","",IFERROR(INDEX(rt_Billable,MATCH(D306,rt_Code,0)),"Unknown"))</f>
        <v>Yes</v>
      </c>
      <c r="L306" s="38" t="n">
        <f aca="false">IF(K306&lt;&gt;"Yes","",IFERROR(INDEX(cr_Rate,MATCH(J306&amp;"|"&amp;D306,cr_Key,0)),INDEX(rt_Rate,MATCH(D306,rt_Code,0))))</f>
        <v>104</v>
      </c>
      <c r="M306" s="25" t="n">
        <f aca="false">IF(L306="","",ROUND(N(E306)*L306,2))</f>
        <v>130</v>
      </c>
      <c r="N306" s="39" t="n">
        <f aca="false">IF(OR(A306="",B306=""),"",SUMIFS(tl_Hours,tl_StaffID,I306,tl_Date,A306))</f>
        <v>8</v>
      </c>
      <c r="O306" s="40" t="str">
        <f aca="false">IF(A306&amp;B306&amp;D306="","",IF(OR(A306="",B306="",D306="",E306=""),"Incomplete",IF(K306="Unknown","Unknown code",IF(AND(K306="Yes",C306=""),"Billable, needs client",IF(N306&gt;MaxDayHours,"Over "&amp;MaxDayHours&amp;" hours that day","")))))</f>
        <v/>
      </c>
    </row>
    <row r="307" customFormat="false" ht="15" hidden="false" customHeight="false" outlineLevel="0" collapsed="false">
      <c r="A307" s="31" t="n">
        <v>46220</v>
      </c>
      <c r="B307" s="32" t="s">
        <v>97</v>
      </c>
      <c r="C307" s="32" t="s">
        <v>90</v>
      </c>
      <c r="D307" s="33" t="s">
        <v>89</v>
      </c>
      <c r="E307" s="34" t="n">
        <v>1</v>
      </c>
      <c r="F307" s="32"/>
      <c r="G307" s="35" t="n">
        <f aca="false">IF(A307="","",A307+7-WEEKDAY(A307))</f>
        <v>46221</v>
      </c>
      <c r="H307" s="36" t="n">
        <f aca="false">IF(A307="","",DATE(YEAR(A307),MONTH(A307),1))</f>
        <v>46204</v>
      </c>
      <c r="I307" s="37" t="str">
        <f aca="false">IF(B307="","",IFERROR(INDEX(st_ID,MATCH(B307,st_Name,0)),"Unknown"))</f>
        <v>QP-02</v>
      </c>
      <c r="J307" s="37" t="str">
        <f aca="false">IF(C307="","",IFERROR(INDEX(cl_Code,MATCH(C307,cl_Name,0)),"Unknown"))</f>
        <v>BSE</v>
      </c>
      <c r="K307" s="37" t="str">
        <f aca="false">IF(D307="","",IFERROR(INDEX(rt_Billable,MATCH(D307,rt_Code,0)),"Unknown"))</f>
        <v>Yes</v>
      </c>
      <c r="L307" s="38" t="n">
        <f aca="false">IF(K307&lt;&gt;"Yes","",IFERROR(INDEX(cr_Rate,MATCH(J307&amp;"|"&amp;D307,cr_Key,0)),INDEX(rt_Rate,MATCH(D307,rt_Code,0))))</f>
        <v>95</v>
      </c>
      <c r="M307" s="25" t="n">
        <f aca="false">IF(L307="","",ROUND(N(E307)*L307,2))</f>
        <v>95</v>
      </c>
      <c r="N307" s="39" t="n">
        <f aca="false">IF(OR(A307="",B307=""),"",SUMIFS(tl_Hours,tl_StaffID,I307,tl_Date,A307))</f>
        <v>8</v>
      </c>
      <c r="O307" s="40" t="str">
        <f aca="false">IF(A307&amp;B307&amp;D307="","",IF(OR(A307="",B307="",D307="",E307=""),"Incomplete",IF(K307="Unknown","Unknown code",IF(AND(K307="Yes",C307=""),"Billable, needs client",IF(N307&gt;MaxDayHours,"Over "&amp;MaxDayHours&amp;" hours that day","")))))</f>
        <v/>
      </c>
    </row>
    <row r="308" customFormat="false" ht="15" hidden="false" customHeight="false" outlineLevel="0" collapsed="false">
      <c r="A308" s="31" t="n">
        <v>46220</v>
      </c>
      <c r="B308" s="32" t="s">
        <v>97</v>
      </c>
      <c r="C308" s="32"/>
      <c r="D308" s="33" t="s">
        <v>93</v>
      </c>
      <c r="E308" s="34" t="n">
        <v>0.5</v>
      </c>
      <c r="F308" s="32"/>
      <c r="G308" s="35" t="n">
        <f aca="false">IF(A308="","",A308+7-WEEKDAY(A308))</f>
        <v>46221</v>
      </c>
      <c r="H308" s="36" t="n">
        <f aca="false">IF(A308="","",DATE(YEAR(A308),MONTH(A308),1))</f>
        <v>46204</v>
      </c>
      <c r="I308" s="37" t="str">
        <f aca="false">IF(B308="","",IFERROR(INDEX(st_ID,MATCH(B308,st_Name,0)),"Unknown"))</f>
        <v>QP-02</v>
      </c>
      <c r="J308" s="37" t="str">
        <f aca="false">IF(C308="","",IFERROR(INDEX(cl_Code,MATCH(C308,cl_Name,0)),"Unknown"))</f>
        <v/>
      </c>
      <c r="K308" s="37" t="str">
        <f aca="false">IF(D308="","",IFERROR(INDEX(rt_Billable,MATCH(D308,rt_Code,0)),"Unknown"))</f>
        <v>No</v>
      </c>
      <c r="L308" s="38" t="str">
        <f aca="false">IF(K308&lt;&gt;"Yes","",IFERROR(INDEX(cr_Rate,MATCH(J308&amp;"|"&amp;D308,cr_Key,0)),INDEX(rt_Rate,MATCH(D308,rt_Code,0))))</f>
        <v/>
      </c>
      <c r="M308" s="25" t="str">
        <f aca="false">IF(L308="","",ROUND(N(E308)*L308,2))</f>
        <v/>
      </c>
      <c r="N308" s="39" t="n">
        <f aca="false">IF(OR(A308="",B308=""),"",SUMIFS(tl_Hours,tl_StaffID,I308,tl_Date,A308))</f>
        <v>8</v>
      </c>
      <c r="O308" s="40" t="str">
        <f aca="false">IF(A308&amp;B308&amp;D308="","",IF(OR(A308="",B308="",D308="",E308=""),"Incomplete",IF(K308="Unknown","Unknown code",IF(AND(K308="Yes",C308=""),"Billable, needs client",IF(N308&gt;MaxDayHours,"Over "&amp;MaxDayHours&amp;" hours that day","")))))</f>
        <v/>
      </c>
    </row>
    <row r="309" customFormat="false" ht="15" hidden="false" customHeight="false" outlineLevel="0" collapsed="false">
      <c r="A309" s="31" t="n">
        <v>46220</v>
      </c>
      <c r="B309" s="32" t="s">
        <v>97</v>
      </c>
      <c r="C309" s="32"/>
      <c r="D309" s="33" t="s">
        <v>96</v>
      </c>
      <c r="E309" s="34" t="n">
        <v>3</v>
      </c>
      <c r="F309" s="32"/>
      <c r="G309" s="35" t="n">
        <f aca="false">IF(A309="","",A309+7-WEEKDAY(A309))</f>
        <v>46221</v>
      </c>
      <c r="H309" s="36" t="n">
        <f aca="false">IF(A309="","",DATE(YEAR(A309),MONTH(A309),1))</f>
        <v>46204</v>
      </c>
      <c r="I309" s="37" t="str">
        <f aca="false">IF(B309="","",IFERROR(INDEX(st_ID,MATCH(B309,st_Name,0)),"Unknown"))</f>
        <v>QP-02</v>
      </c>
      <c r="J309" s="37" t="str">
        <f aca="false">IF(C309="","",IFERROR(INDEX(cl_Code,MATCH(C309,cl_Name,0)),"Unknown"))</f>
        <v/>
      </c>
      <c r="K309" s="37" t="str">
        <f aca="false">IF(D309="","",IFERROR(INDEX(rt_Billable,MATCH(D309,rt_Code,0)),"Unknown"))</f>
        <v>No</v>
      </c>
      <c r="L309" s="38" t="str">
        <f aca="false">IF(K309&lt;&gt;"Yes","",IFERROR(INDEX(cr_Rate,MATCH(J309&amp;"|"&amp;D309,cr_Key,0)),INDEX(rt_Rate,MATCH(D309,rt_Code,0))))</f>
        <v/>
      </c>
      <c r="M309" s="25" t="str">
        <f aca="false">IF(L309="","",ROUND(N(E309)*L309,2))</f>
        <v/>
      </c>
      <c r="N309" s="39" t="n">
        <f aca="false">IF(OR(A309="",B309=""),"",SUMIFS(tl_Hours,tl_StaffID,I309,tl_Date,A309))</f>
        <v>8</v>
      </c>
      <c r="O309" s="40" t="str">
        <f aca="false">IF(A309&amp;B309&amp;D309="","",IF(OR(A309="",B309="",D309="",E309=""),"Incomplete",IF(K309="Unknown","Unknown code",IF(AND(K309="Yes",C309=""),"Billable, needs client",IF(N309&gt;MaxDayHours,"Over "&amp;MaxDayHours&amp;" hours that day","")))))</f>
        <v/>
      </c>
    </row>
    <row r="310" customFormat="false" ht="15" hidden="false" customHeight="false" outlineLevel="0" collapsed="false">
      <c r="A310" s="31" t="n">
        <v>46220</v>
      </c>
      <c r="B310" s="32" t="s">
        <v>101</v>
      </c>
      <c r="C310" s="32" t="s">
        <v>102</v>
      </c>
      <c r="D310" s="33" t="s">
        <v>88</v>
      </c>
      <c r="E310" s="34" t="n">
        <v>3.5</v>
      </c>
      <c r="F310" s="32"/>
      <c r="G310" s="35" t="n">
        <f aca="false">IF(A310="","",A310+7-WEEKDAY(A310))</f>
        <v>46221</v>
      </c>
      <c r="H310" s="36" t="n">
        <f aca="false">IF(A310="","",DATE(YEAR(A310),MONTH(A310),1))</f>
        <v>46204</v>
      </c>
      <c r="I310" s="37" t="str">
        <f aca="false">IF(B310="","",IFERROR(INDEX(st_ID,MATCH(B310,st_Name,0)),"Unknown"))</f>
        <v>QP-04</v>
      </c>
      <c r="J310" s="37" t="str">
        <f aca="false">IF(C310="","",IFERROR(INDEX(cl_Code,MATCH(C310,cl_Name,0)),"Unknown"))</f>
        <v>CLH</v>
      </c>
      <c r="K310" s="37" t="str">
        <f aca="false">IF(D310="","",IFERROR(INDEX(rt_Billable,MATCH(D310,rt_Code,0)),"Unknown"))</f>
        <v>Yes</v>
      </c>
      <c r="L310" s="38" t="n">
        <f aca="false">IF(K310&lt;&gt;"Yes","",IFERROR(INDEX(cr_Rate,MATCH(J310&amp;"|"&amp;D310,cr_Key,0)),INDEX(rt_Rate,MATCH(D310,rt_Code,0))))</f>
        <v>110</v>
      </c>
      <c r="M310" s="25" t="n">
        <f aca="false">IF(L310="","",ROUND(N(E310)*L310,2))</f>
        <v>385</v>
      </c>
      <c r="N310" s="39" t="n">
        <f aca="false">IF(OR(A310="",B310=""),"",SUMIFS(tl_Hours,tl_StaffID,I310,tl_Date,A310))</f>
        <v>8</v>
      </c>
      <c r="O310" s="40" t="str">
        <f aca="false">IF(A310&amp;B310&amp;D310="","",IF(OR(A310="",B310="",D310="",E310=""),"Incomplete",IF(K310="Unknown","Unknown code",IF(AND(K310="Yes",C310=""),"Billable, needs client",IF(N310&gt;MaxDayHours,"Over "&amp;MaxDayHours&amp;" hours that day","")))))</f>
        <v/>
      </c>
    </row>
    <row r="311" customFormat="false" ht="15" hidden="false" customHeight="false" outlineLevel="0" collapsed="false">
      <c r="A311" s="31" t="n">
        <v>46220</v>
      </c>
      <c r="B311" s="32" t="s">
        <v>101</v>
      </c>
      <c r="C311" s="32" t="s">
        <v>102</v>
      </c>
      <c r="D311" s="33" t="s">
        <v>92</v>
      </c>
      <c r="E311" s="34" t="n">
        <v>1</v>
      </c>
      <c r="F311" s="32"/>
      <c r="G311" s="35" t="n">
        <f aca="false">IF(A311="","",A311+7-WEEKDAY(A311))</f>
        <v>46221</v>
      </c>
      <c r="H311" s="36" t="n">
        <f aca="false">IF(A311="","",DATE(YEAR(A311),MONTH(A311),1))</f>
        <v>46204</v>
      </c>
      <c r="I311" s="37" t="str">
        <f aca="false">IF(B311="","",IFERROR(INDEX(st_ID,MATCH(B311,st_Name,0)),"Unknown"))</f>
        <v>QP-04</v>
      </c>
      <c r="J311" s="37" t="str">
        <f aca="false">IF(C311="","",IFERROR(INDEX(cl_Code,MATCH(C311,cl_Name,0)),"Unknown"))</f>
        <v>CLH</v>
      </c>
      <c r="K311" s="37" t="str">
        <f aca="false">IF(D311="","",IFERROR(INDEX(rt_Billable,MATCH(D311,rt_Code,0)),"Unknown"))</f>
        <v>Yes</v>
      </c>
      <c r="L311" s="38" t="n">
        <f aca="false">IF(K311&lt;&gt;"Yes","",IFERROR(INDEX(cr_Rate,MATCH(J311&amp;"|"&amp;D311,cr_Key,0)),INDEX(rt_Rate,MATCH(D311,rt_Code,0))))</f>
        <v>150</v>
      </c>
      <c r="M311" s="25" t="n">
        <f aca="false">IF(L311="","",ROUND(N(E311)*L311,2))</f>
        <v>150</v>
      </c>
      <c r="N311" s="39" t="n">
        <f aca="false">IF(OR(A311="",B311=""),"",SUMIFS(tl_Hours,tl_StaffID,I311,tl_Date,A311))</f>
        <v>8</v>
      </c>
      <c r="O311" s="40" t="str">
        <f aca="false">IF(A311&amp;B311&amp;D311="","",IF(OR(A311="",B311="",D311="",E311=""),"Incomplete",IF(K311="Unknown","Unknown code",IF(AND(K311="Yes",C311=""),"Billable, needs client",IF(N311&gt;MaxDayHours,"Over "&amp;MaxDayHours&amp;" hours that day","")))))</f>
        <v/>
      </c>
    </row>
    <row r="312" customFormat="false" ht="15" hidden="false" customHeight="false" outlineLevel="0" collapsed="false">
      <c r="A312" s="31" t="n">
        <v>46220</v>
      </c>
      <c r="B312" s="32" t="s">
        <v>101</v>
      </c>
      <c r="C312" s="32"/>
      <c r="D312" s="33" t="s">
        <v>96</v>
      </c>
      <c r="E312" s="34" t="n">
        <v>3.5</v>
      </c>
      <c r="F312" s="32"/>
      <c r="G312" s="35" t="n">
        <f aca="false">IF(A312="","",A312+7-WEEKDAY(A312))</f>
        <v>46221</v>
      </c>
      <c r="H312" s="36" t="n">
        <f aca="false">IF(A312="","",DATE(YEAR(A312),MONTH(A312),1))</f>
        <v>46204</v>
      </c>
      <c r="I312" s="37" t="str">
        <f aca="false">IF(B312="","",IFERROR(INDEX(st_ID,MATCH(B312,st_Name,0)),"Unknown"))</f>
        <v>QP-04</v>
      </c>
      <c r="J312" s="37" t="str">
        <f aca="false">IF(C312="","",IFERROR(INDEX(cl_Code,MATCH(C312,cl_Name,0)),"Unknown"))</f>
        <v/>
      </c>
      <c r="K312" s="37" t="str">
        <f aca="false">IF(D312="","",IFERROR(INDEX(rt_Billable,MATCH(D312,rt_Code,0)),"Unknown"))</f>
        <v>No</v>
      </c>
      <c r="L312" s="38" t="str">
        <f aca="false">IF(K312&lt;&gt;"Yes","",IFERROR(INDEX(cr_Rate,MATCH(J312&amp;"|"&amp;D312,cr_Key,0)),INDEX(rt_Rate,MATCH(D312,rt_Code,0))))</f>
        <v/>
      </c>
      <c r="M312" s="25" t="str">
        <f aca="false">IF(L312="","",ROUND(N(E312)*L312,2))</f>
        <v/>
      </c>
      <c r="N312" s="39" t="n">
        <f aca="false">IF(OR(A312="",B312=""),"",SUMIFS(tl_Hours,tl_StaffID,I312,tl_Date,A312))</f>
        <v>8</v>
      </c>
      <c r="O312" s="40" t="str">
        <f aca="false">IF(A312&amp;B312&amp;D312="","",IF(OR(A312="",B312="",D312="",E312=""),"Incomplete",IF(K312="Unknown","Unknown code",IF(AND(K312="Yes",C312=""),"Billable, needs client",IF(N312&gt;MaxDayHours,"Over "&amp;MaxDayHours&amp;" hours that day","")))))</f>
        <v/>
      </c>
    </row>
    <row r="313" customFormat="false" ht="15" hidden="false" customHeight="false" outlineLevel="0" collapsed="false">
      <c r="A313" s="31" t="n">
        <v>46220</v>
      </c>
      <c r="B313" s="32" t="s">
        <v>103</v>
      </c>
      <c r="C313" s="32" t="s">
        <v>90</v>
      </c>
      <c r="D313" s="33" t="s">
        <v>88</v>
      </c>
      <c r="E313" s="34" t="n">
        <v>3.75</v>
      </c>
      <c r="F313" s="32"/>
      <c r="G313" s="35" t="n">
        <f aca="false">IF(A313="","",A313+7-WEEKDAY(A313))</f>
        <v>46221</v>
      </c>
      <c r="H313" s="36" t="n">
        <f aca="false">IF(A313="","",DATE(YEAR(A313),MONTH(A313),1))</f>
        <v>46204</v>
      </c>
      <c r="I313" s="37" t="str">
        <f aca="false">IF(B313="","",IFERROR(INDEX(st_ID,MATCH(B313,st_Name,0)),"Unknown"))</f>
        <v>QP-05</v>
      </c>
      <c r="J313" s="37" t="str">
        <f aca="false">IF(C313="","",IFERROR(INDEX(cl_Code,MATCH(C313,cl_Name,0)),"Unknown"))</f>
        <v>BSE</v>
      </c>
      <c r="K313" s="37" t="str">
        <f aca="false">IF(D313="","",IFERROR(INDEX(rt_Billable,MATCH(D313,rt_Code,0)),"Unknown"))</f>
        <v>Yes</v>
      </c>
      <c r="L313" s="38" t="n">
        <f aca="false">IF(K313&lt;&gt;"Yes","",IFERROR(INDEX(cr_Rate,MATCH(J313&amp;"|"&amp;D313,cr_Key,0)),INDEX(rt_Rate,MATCH(D313,rt_Code,0))))</f>
        <v>104</v>
      </c>
      <c r="M313" s="25" t="n">
        <f aca="false">IF(L313="","",ROUND(N(E313)*L313,2))</f>
        <v>390</v>
      </c>
      <c r="N313" s="39" t="n">
        <f aca="false">IF(OR(A313="",B313=""),"",SUMIFS(tl_Hours,tl_StaffID,I313,tl_Date,A313))</f>
        <v>8</v>
      </c>
      <c r="O313" s="40" t="str">
        <f aca="false">IF(A313&amp;B313&amp;D313="","",IF(OR(A313="",B313="",D313="",E313=""),"Incomplete",IF(K313="Unknown","Unknown code",IF(AND(K313="Yes",C313=""),"Billable, needs client",IF(N313&gt;MaxDayHours,"Over "&amp;MaxDayHours&amp;" hours that day","")))))</f>
        <v/>
      </c>
    </row>
    <row r="314" customFormat="false" ht="15" hidden="false" customHeight="false" outlineLevel="0" collapsed="false">
      <c r="A314" s="31" t="n">
        <v>46220</v>
      </c>
      <c r="B314" s="32" t="s">
        <v>103</v>
      </c>
      <c r="C314" s="32" t="s">
        <v>90</v>
      </c>
      <c r="D314" s="33" t="s">
        <v>89</v>
      </c>
      <c r="E314" s="34" t="n">
        <v>0.75</v>
      </c>
      <c r="F314" s="32"/>
      <c r="G314" s="35" t="n">
        <f aca="false">IF(A314="","",A314+7-WEEKDAY(A314))</f>
        <v>46221</v>
      </c>
      <c r="H314" s="36" t="n">
        <f aca="false">IF(A314="","",DATE(YEAR(A314),MONTH(A314),1))</f>
        <v>46204</v>
      </c>
      <c r="I314" s="37" t="str">
        <f aca="false">IF(B314="","",IFERROR(INDEX(st_ID,MATCH(B314,st_Name,0)),"Unknown"))</f>
        <v>QP-05</v>
      </c>
      <c r="J314" s="37" t="str">
        <f aca="false">IF(C314="","",IFERROR(INDEX(cl_Code,MATCH(C314,cl_Name,0)),"Unknown"))</f>
        <v>BSE</v>
      </c>
      <c r="K314" s="37" t="str">
        <f aca="false">IF(D314="","",IFERROR(INDEX(rt_Billable,MATCH(D314,rt_Code,0)),"Unknown"))</f>
        <v>Yes</v>
      </c>
      <c r="L314" s="38" t="n">
        <f aca="false">IF(K314&lt;&gt;"Yes","",IFERROR(INDEX(cr_Rate,MATCH(J314&amp;"|"&amp;D314,cr_Key,0)),INDEX(rt_Rate,MATCH(D314,rt_Code,0))))</f>
        <v>95</v>
      </c>
      <c r="M314" s="25" t="n">
        <f aca="false">IF(L314="","",ROUND(N(E314)*L314,2))</f>
        <v>71.25</v>
      </c>
      <c r="N314" s="39" t="n">
        <f aca="false">IF(OR(A314="",B314=""),"",SUMIFS(tl_Hours,tl_StaffID,I314,tl_Date,A314))</f>
        <v>8</v>
      </c>
      <c r="O314" s="40" t="str">
        <f aca="false">IF(A314&amp;B314&amp;D314="","",IF(OR(A314="",B314="",D314="",E314=""),"Incomplete",IF(K314="Unknown","Unknown code",IF(AND(K314="Yes",C314=""),"Billable, needs client",IF(N314&gt;MaxDayHours,"Over "&amp;MaxDayHours&amp;" hours that day","")))))</f>
        <v/>
      </c>
    </row>
    <row r="315" customFormat="false" ht="15" hidden="false" customHeight="false" outlineLevel="0" collapsed="false">
      <c r="A315" s="31" t="n">
        <v>46220</v>
      </c>
      <c r="B315" s="32" t="s">
        <v>103</v>
      </c>
      <c r="C315" s="32"/>
      <c r="D315" s="33" t="s">
        <v>96</v>
      </c>
      <c r="E315" s="34" t="n">
        <v>3.5</v>
      </c>
      <c r="F315" s="32"/>
      <c r="G315" s="35" t="n">
        <f aca="false">IF(A315="","",A315+7-WEEKDAY(A315))</f>
        <v>46221</v>
      </c>
      <c r="H315" s="36" t="n">
        <f aca="false">IF(A315="","",DATE(YEAR(A315),MONTH(A315),1))</f>
        <v>46204</v>
      </c>
      <c r="I315" s="37" t="str">
        <f aca="false">IF(B315="","",IFERROR(INDEX(st_ID,MATCH(B315,st_Name,0)),"Unknown"))</f>
        <v>QP-05</v>
      </c>
      <c r="J315" s="37" t="str">
        <f aca="false">IF(C315="","",IFERROR(INDEX(cl_Code,MATCH(C315,cl_Name,0)),"Unknown"))</f>
        <v/>
      </c>
      <c r="K315" s="37" t="str">
        <f aca="false">IF(D315="","",IFERROR(INDEX(rt_Billable,MATCH(D315,rt_Code,0)),"Unknown"))</f>
        <v>No</v>
      </c>
      <c r="L315" s="38" t="str">
        <f aca="false">IF(K315&lt;&gt;"Yes","",IFERROR(INDEX(cr_Rate,MATCH(J315&amp;"|"&amp;D315,cr_Key,0)),INDEX(rt_Rate,MATCH(D315,rt_Code,0))))</f>
        <v/>
      </c>
      <c r="M315" s="25" t="str">
        <f aca="false">IF(L315="","",ROUND(N(E315)*L315,2))</f>
        <v/>
      </c>
      <c r="N315" s="39" t="n">
        <f aca="false">IF(OR(A315="",B315=""),"",SUMIFS(tl_Hours,tl_StaffID,I315,tl_Date,A315))</f>
        <v>8</v>
      </c>
      <c r="O315" s="40" t="str">
        <f aca="false">IF(A315&amp;B315&amp;D315="","",IF(OR(A315="",B315="",D315="",E315=""),"Incomplete",IF(K315="Unknown","Unknown code",IF(AND(K315="Yes",C315=""),"Billable, needs client",IF(N315&gt;MaxDayHours,"Over "&amp;MaxDayHours&amp;" hours that day","")))))</f>
        <v/>
      </c>
    </row>
    <row r="316" customFormat="false" ht="15" hidden="false" customHeight="false" outlineLevel="0" collapsed="false">
      <c r="A316" s="31" t="n">
        <v>46220</v>
      </c>
      <c r="B316" s="32" t="s">
        <v>105</v>
      </c>
      <c r="C316" s="32" t="s">
        <v>87</v>
      </c>
      <c r="D316" s="33" t="s">
        <v>104</v>
      </c>
      <c r="E316" s="34" t="n">
        <v>2.5</v>
      </c>
      <c r="F316" s="32"/>
      <c r="G316" s="35" t="n">
        <f aca="false">IF(A316="","",A316+7-WEEKDAY(A316))</f>
        <v>46221</v>
      </c>
      <c r="H316" s="36" t="n">
        <f aca="false">IF(A316="","",DATE(YEAR(A316),MONTH(A316),1))</f>
        <v>46204</v>
      </c>
      <c r="I316" s="37" t="str">
        <f aca="false">IF(B316="","",IFERROR(INDEX(st_ID,MATCH(B316,st_Name,0)),"Unknown"))</f>
        <v>QP-06</v>
      </c>
      <c r="J316" s="37" t="str">
        <f aca="false">IF(C316="","",IFERROR(INDEX(cl_Code,MATCH(C316,cl_Name,0)),"Unknown"))</f>
        <v>HCS</v>
      </c>
      <c r="K316" s="37" t="str">
        <f aca="false">IF(D316="","",IFERROR(INDEX(rt_Billable,MATCH(D316,rt_Code,0)),"Unknown"))</f>
        <v>Yes</v>
      </c>
      <c r="L316" s="38" t="n">
        <f aca="false">IF(K316&lt;&gt;"Yes","",IFERROR(INDEX(cr_Rate,MATCH(J316&amp;"|"&amp;D316,cr_Key,0)),INDEX(rt_Rate,MATCH(D316,rt_Code,0))))</f>
        <v>62</v>
      </c>
      <c r="M316" s="25" t="n">
        <f aca="false">IF(L316="","",ROUND(N(E316)*L316,2))</f>
        <v>155</v>
      </c>
      <c r="N316" s="39" t="n">
        <f aca="false">IF(OR(A316="",B316=""),"",SUMIFS(tl_Hours,tl_StaffID,I316,tl_Date,A316))</f>
        <v>8</v>
      </c>
      <c r="O316" s="40" t="str">
        <f aca="false">IF(A316&amp;B316&amp;D316="","",IF(OR(A316="",B316="",D316="",E316=""),"Incomplete",IF(K316="Unknown","Unknown code",IF(AND(K316="Yes",C316=""),"Billable, needs client",IF(N316&gt;MaxDayHours,"Over "&amp;MaxDayHours&amp;" hours that day","")))))</f>
        <v/>
      </c>
    </row>
    <row r="317" customFormat="false" ht="15" hidden="false" customHeight="false" outlineLevel="0" collapsed="false">
      <c r="A317" s="31" t="n">
        <v>46220</v>
      </c>
      <c r="B317" s="32" t="s">
        <v>105</v>
      </c>
      <c r="C317" s="32" t="s">
        <v>87</v>
      </c>
      <c r="D317" s="33" t="s">
        <v>92</v>
      </c>
      <c r="E317" s="34" t="n">
        <v>1.5</v>
      </c>
      <c r="F317" s="32"/>
      <c r="G317" s="35" t="n">
        <f aca="false">IF(A317="","",A317+7-WEEKDAY(A317))</f>
        <v>46221</v>
      </c>
      <c r="H317" s="36" t="n">
        <f aca="false">IF(A317="","",DATE(YEAR(A317),MONTH(A317),1))</f>
        <v>46204</v>
      </c>
      <c r="I317" s="37" t="str">
        <f aca="false">IF(B317="","",IFERROR(INDEX(st_ID,MATCH(B317,st_Name,0)),"Unknown"))</f>
        <v>QP-06</v>
      </c>
      <c r="J317" s="37" t="str">
        <f aca="false">IF(C317="","",IFERROR(INDEX(cl_Code,MATCH(C317,cl_Name,0)),"Unknown"))</f>
        <v>HCS</v>
      </c>
      <c r="K317" s="37" t="str">
        <f aca="false">IF(D317="","",IFERROR(INDEX(rt_Billable,MATCH(D317,rt_Code,0)),"Unknown"))</f>
        <v>Yes</v>
      </c>
      <c r="L317" s="38" t="n">
        <f aca="false">IF(K317&lt;&gt;"Yes","",IFERROR(INDEX(cr_Rate,MATCH(J317&amp;"|"&amp;D317,cr_Key,0)),INDEX(rt_Rate,MATCH(D317,rt_Code,0))))</f>
        <v>140</v>
      </c>
      <c r="M317" s="25" t="n">
        <f aca="false">IF(L317="","",ROUND(N(E317)*L317,2))</f>
        <v>210</v>
      </c>
      <c r="N317" s="39" t="n">
        <f aca="false">IF(OR(A317="",B317=""),"",SUMIFS(tl_Hours,tl_StaffID,I317,tl_Date,A317))</f>
        <v>8</v>
      </c>
      <c r="O317" s="40" t="str">
        <f aca="false">IF(A317&amp;B317&amp;D317="","",IF(OR(A317="",B317="",D317="",E317=""),"Incomplete",IF(K317="Unknown","Unknown code",IF(AND(K317="Yes",C317=""),"Billable, needs client",IF(N317&gt;MaxDayHours,"Over "&amp;MaxDayHours&amp;" hours that day","")))))</f>
        <v/>
      </c>
    </row>
    <row r="318" customFormat="false" ht="15" hidden="false" customHeight="false" outlineLevel="0" collapsed="false">
      <c r="A318" s="31" t="n">
        <v>46220</v>
      </c>
      <c r="B318" s="32" t="s">
        <v>105</v>
      </c>
      <c r="C318" s="32"/>
      <c r="D318" s="33" t="s">
        <v>96</v>
      </c>
      <c r="E318" s="34" t="n">
        <v>4</v>
      </c>
      <c r="F318" s="32"/>
      <c r="G318" s="35" t="n">
        <f aca="false">IF(A318="","",A318+7-WEEKDAY(A318))</f>
        <v>46221</v>
      </c>
      <c r="H318" s="36" t="n">
        <f aca="false">IF(A318="","",DATE(YEAR(A318),MONTH(A318),1))</f>
        <v>46204</v>
      </c>
      <c r="I318" s="37" t="str">
        <f aca="false">IF(B318="","",IFERROR(INDEX(st_ID,MATCH(B318,st_Name,0)),"Unknown"))</f>
        <v>QP-06</v>
      </c>
      <c r="J318" s="37" t="str">
        <f aca="false">IF(C318="","",IFERROR(INDEX(cl_Code,MATCH(C318,cl_Name,0)),"Unknown"))</f>
        <v/>
      </c>
      <c r="K318" s="37" t="str">
        <f aca="false">IF(D318="","",IFERROR(INDEX(rt_Billable,MATCH(D318,rt_Code,0)),"Unknown"))</f>
        <v>No</v>
      </c>
      <c r="L318" s="38" t="str">
        <f aca="false">IF(K318&lt;&gt;"Yes","",IFERROR(INDEX(cr_Rate,MATCH(J318&amp;"|"&amp;D318,cr_Key,0)),INDEX(rt_Rate,MATCH(D318,rt_Code,0))))</f>
        <v/>
      </c>
      <c r="M318" s="25" t="str">
        <f aca="false">IF(L318="","",ROUND(N(E318)*L318,2))</f>
        <v/>
      </c>
      <c r="N318" s="39" t="n">
        <f aca="false">IF(OR(A318="",B318=""),"",SUMIFS(tl_Hours,tl_StaffID,I318,tl_Date,A318))</f>
        <v>8</v>
      </c>
      <c r="O318" s="40" t="str">
        <f aca="false">IF(A318&amp;B318&amp;D318="","",IF(OR(A318="",B318="",D318="",E318=""),"Incomplete",IF(K318="Unknown","Unknown code",IF(AND(K318="Yes",C318=""),"Billable, needs client",IF(N318&gt;MaxDayHours,"Over "&amp;MaxDayHours&amp;" hours that day","")))))</f>
        <v/>
      </c>
    </row>
    <row r="319" customFormat="false" ht="15" hidden="false" customHeight="false" outlineLevel="0" collapsed="false">
      <c r="A319" s="31" t="n">
        <v>46220</v>
      </c>
      <c r="B319" s="32" t="s">
        <v>106</v>
      </c>
      <c r="C319" s="32" t="s">
        <v>87</v>
      </c>
      <c r="D319" s="33" t="s">
        <v>88</v>
      </c>
      <c r="E319" s="34" t="n">
        <v>2.5</v>
      </c>
      <c r="F319" s="32"/>
      <c r="G319" s="35" t="n">
        <f aca="false">IF(A319="","",A319+7-WEEKDAY(A319))</f>
        <v>46221</v>
      </c>
      <c r="H319" s="36" t="n">
        <f aca="false">IF(A319="","",DATE(YEAR(A319),MONTH(A319),1))</f>
        <v>46204</v>
      </c>
      <c r="I319" s="37" t="str">
        <f aca="false">IF(B319="","",IFERROR(INDEX(st_ID,MATCH(B319,st_Name,0)),"Unknown"))</f>
        <v>QP-07</v>
      </c>
      <c r="J319" s="37" t="str">
        <f aca="false">IF(C319="","",IFERROR(INDEX(cl_Code,MATCH(C319,cl_Name,0)),"Unknown"))</f>
        <v>HCS</v>
      </c>
      <c r="K319" s="37" t="str">
        <f aca="false">IF(D319="","",IFERROR(INDEX(rt_Billable,MATCH(D319,rt_Code,0)),"Unknown"))</f>
        <v>Yes</v>
      </c>
      <c r="L319" s="38" t="n">
        <f aca="false">IF(K319&lt;&gt;"Yes","",IFERROR(INDEX(cr_Rate,MATCH(J319&amp;"|"&amp;D319,cr_Key,0)),INDEX(rt_Rate,MATCH(D319,rt_Code,0))))</f>
        <v>98</v>
      </c>
      <c r="M319" s="25" t="n">
        <f aca="false">IF(L319="","",ROUND(N(E319)*L319,2))</f>
        <v>245</v>
      </c>
      <c r="N319" s="39" t="n">
        <f aca="false">IF(OR(A319="",B319=""),"",SUMIFS(tl_Hours,tl_StaffID,I319,tl_Date,A319))</f>
        <v>8</v>
      </c>
      <c r="O319" s="40" t="str">
        <f aca="false">IF(A319&amp;B319&amp;D319="","",IF(OR(A319="",B319="",D319="",E319=""),"Incomplete",IF(K319="Unknown","Unknown code",IF(AND(K319="Yes",C319=""),"Billable, needs client",IF(N319&gt;MaxDayHours,"Over "&amp;MaxDayHours&amp;" hours that day","")))))</f>
        <v/>
      </c>
    </row>
    <row r="320" customFormat="false" ht="15" hidden="false" customHeight="false" outlineLevel="0" collapsed="false">
      <c r="A320" s="31" t="n">
        <v>46220</v>
      </c>
      <c r="B320" s="32" t="s">
        <v>106</v>
      </c>
      <c r="C320" s="32" t="s">
        <v>87</v>
      </c>
      <c r="D320" s="33" t="s">
        <v>104</v>
      </c>
      <c r="E320" s="34" t="n">
        <v>1.5</v>
      </c>
      <c r="F320" s="32"/>
      <c r="G320" s="35" t="n">
        <f aca="false">IF(A320="","",A320+7-WEEKDAY(A320))</f>
        <v>46221</v>
      </c>
      <c r="H320" s="36" t="n">
        <f aca="false">IF(A320="","",DATE(YEAR(A320),MONTH(A320),1))</f>
        <v>46204</v>
      </c>
      <c r="I320" s="37" t="str">
        <f aca="false">IF(B320="","",IFERROR(INDEX(st_ID,MATCH(B320,st_Name,0)),"Unknown"))</f>
        <v>QP-07</v>
      </c>
      <c r="J320" s="37" t="str">
        <f aca="false">IF(C320="","",IFERROR(INDEX(cl_Code,MATCH(C320,cl_Name,0)),"Unknown"))</f>
        <v>HCS</v>
      </c>
      <c r="K320" s="37" t="str">
        <f aca="false">IF(D320="","",IFERROR(INDEX(rt_Billable,MATCH(D320,rt_Code,0)),"Unknown"))</f>
        <v>Yes</v>
      </c>
      <c r="L320" s="38" t="n">
        <f aca="false">IF(K320&lt;&gt;"Yes","",IFERROR(INDEX(cr_Rate,MATCH(J320&amp;"|"&amp;D320,cr_Key,0)),INDEX(rt_Rate,MATCH(D320,rt_Code,0))))</f>
        <v>62</v>
      </c>
      <c r="M320" s="25" t="n">
        <f aca="false">IF(L320="","",ROUND(N(E320)*L320,2))</f>
        <v>93</v>
      </c>
      <c r="N320" s="39" t="n">
        <f aca="false">IF(OR(A320="",B320=""),"",SUMIFS(tl_Hours,tl_StaffID,I320,tl_Date,A320))</f>
        <v>8</v>
      </c>
      <c r="O320" s="40" t="str">
        <f aca="false">IF(A320&amp;B320&amp;D320="","",IF(OR(A320="",B320="",D320="",E320=""),"Incomplete",IF(K320="Unknown","Unknown code",IF(AND(K320="Yes",C320=""),"Billable, needs client",IF(N320&gt;MaxDayHours,"Over "&amp;MaxDayHours&amp;" hours that day","")))))</f>
        <v/>
      </c>
    </row>
    <row r="321" customFormat="false" ht="15" hidden="false" customHeight="false" outlineLevel="0" collapsed="false">
      <c r="A321" s="31" t="n">
        <v>46220</v>
      </c>
      <c r="B321" s="32" t="s">
        <v>106</v>
      </c>
      <c r="C321" s="32"/>
      <c r="D321" s="33" t="s">
        <v>96</v>
      </c>
      <c r="E321" s="34" t="n">
        <v>4</v>
      </c>
      <c r="F321" s="32"/>
      <c r="G321" s="35" t="n">
        <f aca="false">IF(A321="","",A321+7-WEEKDAY(A321))</f>
        <v>46221</v>
      </c>
      <c r="H321" s="36" t="n">
        <f aca="false">IF(A321="","",DATE(YEAR(A321),MONTH(A321),1))</f>
        <v>46204</v>
      </c>
      <c r="I321" s="37" t="str">
        <f aca="false">IF(B321="","",IFERROR(INDEX(st_ID,MATCH(B321,st_Name,0)),"Unknown"))</f>
        <v>QP-07</v>
      </c>
      <c r="J321" s="37" t="str">
        <f aca="false">IF(C321="","",IFERROR(INDEX(cl_Code,MATCH(C321,cl_Name,0)),"Unknown"))</f>
        <v/>
      </c>
      <c r="K321" s="37" t="str">
        <f aca="false">IF(D321="","",IFERROR(INDEX(rt_Billable,MATCH(D321,rt_Code,0)),"Unknown"))</f>
        <v>No</v>
      </c>
      <c r="L321" s="38" t="str">
        <f aca="false">IF(K321&lt;&gt;"Yes","",IFERROR(INDEX(cr_Rate,MATCH(J321&amp;"|"&amp;D321,cr_Key,0)),INDEX(rt_Rate,MATCH(D321,rt_Code,0))))</f>
        <v/>
      </c>
      <c r="M321" s="25" t="str">
        <f aca="false">IF(L321="","",ROUND(N(E321)*L321,2))</f>
        <v/>
      </c>
      <c r="N321" s="39" t="n">
        <f aca="false">IF(OR(A321="",B321=""),"",SUMIFS(tl_Hours,tl_StaffID,I321,tl_Date,A321))</f>
        <v>8</v>
      </c>
      <c r="O321" s="40" t="str">
        <f aca="false">IF(A321&amp;B321&amp;D321="","",IF(OR(A321="",B321="",D321="",E321=""),"Incomplete",IF(K321="Unknown","Unknown code",IF(AND(K321="Yes",C321=""),"Billable, needs client",IF(N321&gt;MaxDayHours,"Over "&amp;MaxDayHours&amp;" hours that day","")))))</f>
        <v/>
      </c>
    </row>
    <row r="322" customFormat="false" ht="15" hidden="false" customHeight="false" outlineLevel="0" collapsed="false">
      <c r="A322" s="31" t="n">
        <v>46220</v>
      </c>
      <c r="B322" s="32" t="s">
        <v>107</v>
      </c>
      <c r="C322" s="32"/>
      <c r="D322" s="33" t="s">
        <v>108</v>
      </c>
      <c r="E322" s="34" t="n">
        <v>6</v>
      </c>
      <c r="F322" s="32"/>
      <c r="G322" s="35" t="n">
        <f aca="false">IF(A322="","",A322+7-WEEKDAY(A322))</f>
        <v>46221</v>
      </c>
      <c r="H322" s="36" t="n">
        <f aca="false">IF(A322="","",DATE(YEAR(A322),MONTH(A322),1))</f>
        <v>46204</v>
      </c>
      <c r="I322" s="37" t="str">
        <f aca="false">IF(B322="","",IFERROR(INDEX(st_ID,MATCH(B322,st_Name,0)),"Unknown"))</f>
        <v>QP-08</v>
      </c>
      <c r="J322" s="37" t="str">
        <f aca="false">IF(C322="","",IFERROR(INDEX(cl_Code,MATCH(C322,cl_Name,0)),"Unknown"))</f>
        <v/>
      </c>
      <c r="K322" s="37" t="str">
        <f aca="false">IF(D322="","",IFERROR(INDEX(rt_Billable,MATCH(D322,rt_Code,0)),"Unknown"))</f>
        <v>No</v>
      </c>
      <c r="L322" s="38" t="str">
        <f aca="false">IF(K322&lt;&gt;"Yes","",IFERROR(INDEX(cr_Rate,MATCH(J322&amp;"|"&amp;D322,cr_Key,0)),INDEX(rt_Rate,MATCH(D322,rt_Code,0))))</f>
        <v/>
      </c>
      <c r="M322" s="25" t="str">
        <f aca="false">IF(L322="","",ROUND(N(E322)*L322,2))</f>
        <v/>
      </c>
      <c r="N322" s="39" t="n">
        <f aca="false">IF(OR(A322="",B322=""),"",SUMIFS(tl_Hours,tl_StaffID,I322,tl_Date,A322))</f>
        <v>8</v>
      </c>
      <c r="O322" s="40" t="str">
        <f aca="false">IF(A322&amp;B322&amp;D322="","",IF(OR(A322="",B322="",D322="",E322=""),"Incomplete",IF(K322="Unknown","Unknown code",IF(AND(K322="Yes",C322=""),"Billable, needs client",IF(N322&gt;MaxDayHours,"Over "&amp;MaxDayHours&amp;" hours that day","")))))</f>
        <v/>
      </c>
    </row>
    <row r="323" customFormat="false" ht="15" hidden="false" customHeight="false" outlineLevel="0" collapsed="false">
      <c r="A323" s="31" t="n">
        <v>46220</v>
      </c>
      <c r="B323" s="32" t="s">
        <v>107</v>
      </c>
      <c r="C323" s="32"/>
      <c r="D323" s="33" t="s">
        <v>98</v>
      </c>
      <c r="E323" s="34" t="n">
        <v>2</v>
      </c>
      <c r="F323" s="32"/>
      <c r="G323" s="35" t="n">
        <f aca="false">IF(A323="","",A323+7-WEEKDAY(A323))</f>
        <v>46221</v>
      </c>
      <c r="H323" s="36" t="n">
        <f aca="false">IF(A323="","",DATE(YEAR(A323),MONTH(A323),1))</f>
        <v>46204</v>
      </c>
      <c r="I323" s="37" t="str">
        <f aca="false">IF(B323="","",IFERROR(INDEX(st_ID,MATCH(B323,st_Name,0)),"Unknown"))</f>
        <v>QP-08</v>
      </c>
      <c r="J323" s="37" t="str">
        <f aca="false">IF(C323="","",IFERROR(INDEX(cl_Code,MATCH(C323,cl_Name,0)),"Unknown"))</f>
        <v/>
      </c>
      <c r="K323" s="37" t="str">
        <f aca="false">IF(D323="","",IFERROR(INDEX(rt_Billable,MATCH(D323,rt_Code,0)),"Unknown"))</f>
        <v>No</v>
      </c>
      <c r="L323" s="38" t="str">
        <f aca="false">IF(K323&lt;&gt;"Yes","",IFERROR(INDEX(cr_Rate,MATCH(J323&amp;"|"&amp;D323,cr_Key,0)),INDEX(rt_Rate,MATCH(D323,rt_Code,0))))</f>
        <v/>
      </c>
      <c r="M323" s="25" t="str">
        <f aca="false">IF(L323="","",ROUND(N(E323)*L323,2))</f>
        <v/>
      </c>
      <c r="N323" s="39" t="n">
        <f aca="false">IF(OR(A323="",B323=""),"",SUMIFS(tl_Hours,tl_StaffID,I323,tl_Date,A323))</f>
        <v>8</v>
      </c>
      <c r="O323" s="40" t="str">
        <f aca="false">IF(A323&amp;B323&amp;D323="","",IF(OR(A323="",B323="",D323="",E323=""),"Incomplete",IF(K323="Unknown","Unknown code",IF(AND(K323="Yes",C323=""),"Billable, needs client",IF(N323&gt;MaxDayHours,"Over "&amp;MaxDayHours&amp;" hours that day","")))))</f>
        <v/>
      </c>
    </row>
    <row r="324" customFormat="false" ht="15" hidden="false" customHeight="false" outlineLevel="0" collapsed="false">
      <c r="A324" s="31" t="n">
        <v>46223</v>
      </c>
      <c r="B324" s="32" t="s">
        <v>86</v>
      </c>
      <c r="C324" s="32" t="s">
        <v>90</v>
      </c>
      <c r="D324" s="33" t="s">
        <v>88</v>
      </c>
      <c r="E324" s="34" t="n">
        <v>2.5</v>
      </c>
      <c r="F324" s="32"/>
      <c r="G324" s="35" t="n">
        <f aca="false">IF(A324="","",A324+7-WEEKDAY(A324))</f>
        <v>46228</v>
      </c>
      <c r="H324" s="36" t="n">
        <f aca="false">IF(A324="","",DATE(YEAR(A324),MONTH(A324),1))</f>
        <v>46204</v>
      </c>
      <c r="I324" s="37" t="str">
        <f aca="false">IF(B324="","",IFERROR(INDEX(st_ID,MATCH(B324,st_Name,0)),"Unknown"))</f>
        <v>QP-01</v>
      </c>
      <c r="J324" s="37" t="str">
        <f aca="false">IF(C324="","",IFERROR(INDEX(cl_Code,MATCH(C324,cl_Name,0)),"Unknown"))</f>
        <v>BSE</v>
      </c>
      <c r="K324" s="37" t="str">
        <f aca="false">IF(D324="","",IFERROR(INDEX(rt_Billable,MATCH(D324,rt_Code,0)),"Unknown"))</f>
        <v>Yes</v>
      </c>
      <c r="L324" s="38" t="n">
        <f aca="false">IF(K324&lt;&gt;"Yes","",IFERROR(INDEX(cr_Rate,MATCH(J324&amp;"|"&amp;D324,cr_Key,0)),INDEX(rt_Rate,MATCH(D324,rt_Code,0))))</f>
        <v>104</v>
      </c>
      <c r="M324" s="25" t="n">
        <f aca="false">IF(L324="","",ROUND(N(E324)*L324,2))</f>
        <v>260</v>
      </c>
      <c r="N324" s="39" t="n">
        <f aca="false">IF(OR(A324="",B324=""),"",SUMIFS(tl_Hours,tl_StaffID,I324,tl_Date,A324))</f>
        <v>8</v>
      </c>
      <c r="O324" s="40" t="str">
        <f aca="false">IF(A324&amp;B324&amp;D324="","",IF(OR(A324="",B324="",D324="",E324=""),"Incomplete",IF(K324="Unknown","Unknown code",IF(AND(K324="Yes",C324=""),"Billable, needs client",IF(N324&gt;MaxDayHours,"Over "&amp;MaxDayHours&amp;" hours that day","")))))</f>
        <v/>
      </c>
    </row>
    <row r="325" customFormat="false" ht="15" hidden="false" customHeight="false" outlineLevel="0" collapsed="false">
      <c r="A325" s="31" t="n">
        <v>46223</v>
      </c>
      <c r="B325" s="32" t="s">
        <v>86</v>
      </c>
      <c r="C325" s="32" t="s">
        <v>90</v>
      </c>
      <c r="D325" s="33" t="s">
        <v>104</v>
      </c>
      <c r="E325" s="34" t="n">
        <v>1.75</v>
      </c>
      <c r="F325" s="32"/>
      <c r="G325" s="35" t="n">
        <f aca="false">IF(A325="","",A325+7-WEEKDAY(A325))</f>
        <v>46228</v>
      </c>
      <c r="H325" s="36" t="n">
        <f aca="false">IF(A325="","",DATE(YEAR(A325),MONTH(A325),1))</f>
        <v>46204</v>
      </c>
      <c r="I325" s="37" t="str">
        <f aca="false">IF(B325="","",IFERROR(INDEX(st_ID,MATCH(B325,st_Name,0)),"Unknown"))</f>
        <v>QP-01</v>
      </c>
      <c r="J325" s="37" t="str">
        <f aca="false">IF(C325="","",IFERROR(INDEX(cl_Code,MATCH(C325,cl_Name,0)),"Unknown"))</f>
        <v>BSE</v>
      </c>
      <c r="K325" s="37" t="str">
        <f aca="false">IF(D325="","",IFERROR(INDEX(rt_Billable,MATCH(D325,rt_Code,0)),"Unknown"))</f>
        <v>Yes</v>
      </c>
      <c r="L325" s="38" t="n">
        <f aca="false">IF(K325&lt;&gt;"Yes","",IFERROR(INDEX(cr_Rate,MATCH(J325&amp;"|"&amp;D325,cr_Key,0)),INDEX(rt_Rate,MATCH(D325,rt_Code,0))))</f>
        <v>70</v>
      </c>
      <c r="M325" s="25" t="n">
        <f aca="false">IF(L325="","",ROUND(N(E325)*L325,2))</f>
        <v>122.5</v>
      </c>
      <c r="N325" s="39" t="n">
        <f aca="false">IF(OR(A325="",B325=""),"",SUMIFS(tl_Hours,tl_StaffID,I325,tl_Date,A325))</f>
        <v>8</v>
      </c>
      <c r="O325" s="40" t="str">
        <f aca="false">IF(A325&amp;B325&amp;D325="","",IF(OR(A325="",B325="",D325="",E325=""),"Incomplete",IF(K325="Unknown","Unknown code",IF(AND(K325="Yes",C325=""),"Billable, needs client",IF(N325&gt;MaxDayHours,"Over "&amp;MaxDayHours&amp;" hours that day","")))))</f>
        <v/>
      </c>
    </row>
    <row r="326" customFormat="false" ht="15" hidden="false" customHeight="false" outlineLevel="0" collapsed="false">
      <c r="A326" s="31" t="n">
        <v>46223</v>
      </c>
      <c r="B326" s="32" t="s">
        <v>86</v>
      </c>
      <c r="C326" s="32"/>
      <c r="D326" s="33" t="s">
        <v>96</v>
      </c>
      <c r="E326" s="34" t="n">
        <v>3.75</v>
      </c>
      <c r="F326" s="32"/>
      <c r="G326" s="35" t="n">
        <f aca="false">IF(A326="","",A326+7-WEEKDAY(A326))</f>
        <v>46228</v>
      </c>
      <c r="H326" s="36" t="n">
        <f aca="false">IF(A326="","",DATE(YEAR(A326),MONTH(A326),1))</f>
        <v>46204</v>
      </c>
      <c r="I326" s="37" t="str">
        <f aca="false">IF(B326="","",IFERROR(INDEX(st_ID,MATCH(B326,st_Name,0)),"Unknown"))</f>
        <v>QP-01</v>
      </c>
      <c r="J326" s="37" t="str">
        <f aca="false">IF(C326="","",IFERROR(INDEX(cl_Code,MATCH(C326,cl_Name,0)),"Unknown"))</f>
        <v/>
      </c>
      <c r="K326" s="37" t="str">
        <f aca="false">IF(D326="","",IFERROR(INDEX(rt_Billable,MATCH(D326,rt_Code,0)),"Unknown"))</f>
        <v>No</v>
      </c>
      <c r="L326" s="38" t="str">
        <f aca="false">IF(K326&lt;&gt;"Yes","",IFERROR(INDEX(cr_Rate,MATCH(J326&amp;"|"&amp;D326,cr_Key,0)),INDEX(rt_Rate,MATCH(D326,rt_Code,0))))</f>
        <v/>
      </c>
      <c r="M326" s="25" t="str">
        <f aca="false">IF(L326="","",ROUND(N(E326)*L326,2))</f>
        <v/>
      </c>
      <c r="N326" s="39" t="n">
        <f aca="false">IF(OR(A326="",B326=""),"",SUMIFS(tl_Hours,tl_StaffID,I326,tl_Date,A326))</f>
        <v>8</v>
      </c>
      <c r="O326" s="40" t="str">
        <f aca="false">IF(A326&amp;B326&amp;D326="","",IF(OR(A326="",B326="",D326="",E326=""),"Incomplete",IF(K326="Unknown","Unknown code",IF(AND(K326="Yes",C326=""),"Billable, needs client",IF(N326&gt;MaxDayHours,"Over "&amp;MaxDayHours&amp;" hours that day","")))))</f>
        <v/>
      </c>
    </row>
    <row r="327" customFormat="false" ht="15" hidden="false" customHeight="false" outlineLevel="0" collapsed="false">
      <c r="A327" s="31" t="n">
        <v>46223</v>
      </c>
      <c r="B327" s="32" t="s">
        <v>97</v>
      </c>
      <c r="C327" s="32" t="s">
        <v>90</v>
      </c>
      <c r="D327" s="33" t="s">
        <v>91</v>
      </c>
      <c r="E327" s="34" t="n">
        <v>1.5</v>
      </c>
      <c r="F327" s="32"/>
      <c r="G327" s="35" t="n">
        <f aca="false">IF(A327="","",A327+7-WEEKDAY(A327))</f>
        <v>46228</v>
      </c>
      <c r="H327" s="36" t="n">
        <f aca="false">IF(A327="","",DATE(YEAR(A327),MONTH(A327),1))</f>
        <v>46204</v>
      </c>
      <c r="I327" s="37" t="str">
        <f aca="false">IF(B327="","",IFERROR(INDEX(st_ID,MATCH(B327,st_Name,0)),"Unknown"))</f>
        <v>QP-02</v>
      </c>
      <c r="J327" s="37" t="str">
        <f aca="false">IF(C327="","",IFERROR(INDEX(cl_Code,MATCH(C327,cl_Name,0)),"Unknown"))</f>
        <v>BSE</v>
      </c>
      <c r="K327" s="37" t="str">
        <f aca="false">IF(D327="","",IFERROR(INDEX(rt_Billable,MATCH(D327,rt_Code,0)),"Unknown"))</f>
        <v>Yes</v>
      </c>
      <c r="L327" s="38" t="n">
        <f aca="false">IF(K327&lt;&gt;"Yes","",IFERROR(INDEX(cr_Rate,MATCH(J327&amp;"|"&amp;D327,cr_Key,0)),INDEX(rt_Rate,MATCH(D327,rt_Code,0))))</f>
        <v>100</v>
      </c>
      <c r="M327" s="25" t="n">
        <f aca="false">IF(L327="","",ROUND(N(E327)*L327,2))</f>
        <v>150</v>
      </c>
      <c r="N327" s="39" t="n">
        <f aca="false">IF(OR(A327="",B327=""),"",SUMIFS(tl_Hours,tl_StaffID,I327,tl_Date,A327))</f>
        <v>8</v>
      </c>
      <c r="O327" s="40" t="str">
        <f aca="false">IF(A327&amp;B327&amp;D327="","",IF(OR(A327="",B327="",D327="",E327=""),"Incomplete",IF(K327="Unknown","Unknown code",IF(AND(K327="Yes",C327=""),"Billable, needs client",IF(N327&gt;MaxDayHours,"Over "&amp;MaxDayHours&amp;" hours that day","")))))</f>
        <v/>
      </c>
    </row>
    <row r="328" customFormat="false" ht="15" hidden="false" customHeight="false" outlineLevel="0" collapsed="false">
      <c r="A328" s="31" t="n">
        <v>46223</v>
      </c>
      <c r="B328" s="32" t="s">
        <v>97</v>
      </c>
      <c r="C328" s="32" t="s">
        <v>90</v>
      </c>
      <c r="D328" s="33" t="s">
        <v>104</v>
      </c>
      <c r="E328" s="34" t="n">
        <v>0.5</v>
      </c>
      <c r="F328" s="32"/>
      <c r="G328" s="35" t="n">
        <f aca="false">IF(A328="","",A328+7-WEEKDAY(A328))</f>
        <v>46228</v>
      </c>
      <c r="H328" s="36" t="n">
        <f aca="false">IF(A328="","",DATE(YEAR(A328),MONTH(A328),1))</f>
        <v>46204</v>
      </c>
      <c r="I328" s="37" t="str">
        <f aca="false">IF(B328="","",IFERROR(INDEX(st_ID,MATCH(B328,st_Name,0)),"Unknown"))</f>
        <v>QP-02</v>
      </c>
      <c r="J328" s="37" t="str">
        <f aca="false">IF(C328="","",IFERROR(INDEX(cl_Code,MATCH(C328,cl_Name,0)),"Unknown"))</f>
        <v>BSE</v>
      </c>
      <c r="K328" s="37" t="str">
        <f aca="false">IF(D328="","",IFERROR(INDEX(rt_Billable,MATCH(D328,rt_Code,0)),"Unknown"))</f>
        <v>Yes</v>
      </c>
      <c r="L328" s="38" t="n">
        <f aca="false">IF(K328&lt;&gt;"Yes","",IFERROR(INDEX(cr_Rate,MATCH(J328&amp;"|"&amp;D328,cr_Key,0)),INDEX(rt_Rate,MATCH(D328,rt_Code,0))))</f>
        <v>70</v>
      </c>
      <c r="M328" s="25" t="n">
        <f aca="false">IF(L328="","",ROUND(N(E328)*L328,2))</f>
        <v>35</v>
      </c>
      <c r="N328" s="39" t="n">
        <f aca="false">IF(OR(A328="",B328=""),"",SUMIFS(tl_Hours,tl_StaffID,I328,tl_Date,A328))</f>
        <v>8</v>
      </c>
      <c r="O328" s="40" t="str">
        <f aca="false">IF(A328&amp;B328&amp;D328="","",IF(OR(A328="",B328="",D328="",E328=""),"Incomplete",IF(K328="Unknown","Unknown code",IF(AND(K328="Yes",C328=""),"Billable, needs client",IF(N328&gt;MaxDayHours,"Over "&amp;MaxDayHours&amp;" hours that day","")))))</f>
        <v/>
      </c>
    </row>
    <row r="329" customFormat="false" ht="15" hidden="false" customHeight="false" outlineLevel="0" collapsed="false">
      <c r="A329" s="31" t="n">
        <v>46223</v>
      </c>
      <c r="B329" s="32" t="s">
        <v>97</v>
      </c>
      <c r="C329" s="32" t="s">
        <v>111</v>
      </c>
      <c r="D329" s="33" t="s">
        <v>88</v>
      </c>
      <c r="E329" s="34" t="n">
        <v>1.75</v>
      </c>
      <c r="F329" s="32"/>
      <c r="G329" s="35" t="n">
        <f aca="false">IF(A329="","",A329+7-WEEKDAY(A329))</f>
        <v>46228</v>
      </c>
      <c r="H329" s="36" t="n">
        <f aca="false">IF(A329="","",DATE(YEAR(A329),MONTH(A329),1))</f>
        <v>46204</v>
      </c>
      <c r="I329" s="37" t="str">
        <f aca="false">IF(B329="","",IFERROR(INDEX(st_ID,MATCH(B329,st_Name,0)),"Unknown"))</f>
        <v>QP-02</v>
      </c>
      <c r="J329" s="37" t="str">
        <f aca="false">IF(C329="","",IFERROR(INDEX(cl_Code,MATCH(C329,cl_Name,0)),"Unknown"))</f>
        <v>WMS</v>
      </c>
      <c r="K329" s="37" t="str">
        <f aca="false">IF(D329="","",IFERROR(INDEX(rt_Billable,MATCH(D329,rt_Code,0)),"Unknown"))</f>
        <v>Yes</v>
      </c>
      <c r="L329" s="38" t="n">
        <f aca="false">IF(K329&lt;&gt;"Yes","",IFERROR(INDEX(cr_Rate,MATCH(J329&amp;"|"&amp;D329,cr_Key,0)),INDEX(rt_Rate,MATCH(D329,rt_Code,0))))</f>
        <v>110</v>
      </c>
      <c r="M329" s="25" t="n">
        <f aca="false">IF(L329="","",ROUND(N(E329)*L329,2))</f>
        <v>192.5</v>
      </c>
      <c r="N329" s="39" t="n">
        <f aca="false">IF(OR(A329="",B329=""),"",SUMIFS(tl_Hours,tl_StaffID,I329,tl_Date,A329))</f>
        <v>8</v>
      </c>
      <c r="O329" s="40" t="str">
        <f aca="false">IF(A329&amp;B329&amp;D329="","",IF(OR(A329="",B329="",D329="",E329=""),"Incomplete",IF(K329="Unknown","Unknown code",IF(AND(K329="Yes",C329=""),"Billable, needs client",IF(N329&gt;MaxDayHours,"Over "&amp;MaxDayHours&amp;" hours that day","")))))</f>
        <v/>
      </c>
    </row>
    <row r="330" customFormat="false" ht="15" hidden="false" customHeight="false" outlineLevel="0" collapsed="false">
      <c r="A330" s="31" t="n">
        <v>46223</v>
      </c>
      <c r="B330" s="32" t="s">
        <v>97</v>
      </c>
      <c r="C330" s="32" t="s">
        <v>111</v>
      </c>
      <c r="D330" s="33" t="s">
        <v>92</v>
      </c>
      <c r="E330" s="34" t="n">
        <v>0.25</v>
      </c>
      <c r="F330" s="32"/>
      <c r="G330" s="35" t="n">
        <f aca="false">IF(A330="","",A330+7-WEEKDAY(A330))</f>
        <v>46228</v>
      </c>
      <c r="H330" s="36" t="n">
        <f aca="false">IF(A330="","",DATE(YEAR(A330),MONTH(A330),1))</f>
        <v>46204</v>
      </c>
      <c r="I330" s="37" t="str">
        <f aca="false">IF(B330="","",IFERROR(INDEX(st_ID,MATCH(B330,st_Name,0)),"Unknown"))</f>
        <v>QP-02</v>
      </c>
      <c r="J330" s="37" t="str">
        <f aca="false">IF(C330="","",IFERROR(INDEX(cl_Code,MATCH(C330,cl_Name,0)),"Unknown"))</f>
        <v>WMS</v>
      </c>
      <c r="K330" s="37" t="str">
        <f aca="false">IF(D330="","",IFERROR(INDEX(rt_Billable,MATCH(D330,rt_Code,0)),"Unknown"))</f>
        <v>Yes</v>
      </c>
      <c r="L330" s="38" t="n">
        <f aca="false">IF(K330&lt;&gt;"Yes","",IFERROR(INDEX(cr_Rate,MATCH(J330&amp;"|"&amp;D330,cr_Key,0)),INDEX(rt_Rate,MATCH(D330,rt_Code,0))))</f>
        <v>150</v>
      </c>
      <c r="M330" s="25" t="n">
        <f aca="false">IF(L330="","",ROUND(N(E330)*L330,2))</f>
        <v>37.5</v>
      </c>
      <c r="N330" s="39" t="n">
        <f aca="false">IF(OR(A330="",B330=""),"",SUMIFS(tl_Hours,tl_StaffID,I330,tl_Date,A330))</f>
        <v>8</v>
      </c>
      <c r="O330" s="40" t="str">
        <f aca="false">IF(A330&amp;B330&amp;D330="","",IF(OR(A330="",B330="",D330="",E330=""),"Incomplete",IF(K330="Unknown","Unknown code",IF(AND(K330="Yes",C330=""),"Billable, needs client",IF(N330&gt;MaxDayHours,"Over "&amp;MaxDayHours&amp;" hours that day","")))))</f>
        <v/>
      </c>
    </row>
    <row r="331" customFormat="false" ht="15" hidden="false" customHeight="false" outlineLevel="0" collapsed="false">
      <c r="A331" s="31" t="n">
        <v>46223</v>
      </c>
      <c r="B331" s="32" t="s">
        <v>97</v>
      </c>
      <c r="C331" s="32"/>
      <c r="D331" s="33" t="s">
        <v>93</v>
      </c>
      <c r="E331" s="34" t="n">
        <v>0.5</v>
      </c>
      <c r="F331" s="32"/>
      <c r="G331" s="35" t="n">
        <f aca="false">IF(A331="","",A331+7-WEEKDAY(A331))</f>
        <v>46228</v>
      </c>
      <c r="H331" s="36" t="n">
        <f aca="false">IF(A331="","",DATE(YEAR(A331),MONTH(A331),1))</f>
        <v>46204</v>
      </c>
      <c r="I331" s="37" t="str">
        <f aca="false">IF(B331="","",IFERROR(INDEX(st_ID,MATCH(B331,st_Name,0)),"Unknown"))</f>
        <v>QP-02</v>
      </c>
      <c r="J331" s="37" t="str">
        <f aca="false">IF(C331="","",IFERROR(INDEX(cl_Code,MATCH(C331,cl_Name,0)),"Unknown"))</f>
        <v/>
      </c>
      <c r="K331" s="37" t="str">
        <f aca="false">IF(D331="","",IFERROR(INDEX(rt_Billable,MATCH(D331,rt_Code,0)),"Unknown"))</f>
        <v>No</v>
      </c>
      <c r="L331" s="38" t="str">
        <f aca="false">IF(K331&lt;&gt;"Yes","",IFERROR(INDEX(cr_Rate,MATCH(J331&amp;"|"&amp;D331,cr_Key,0)),INDEX(rt_Rate,MATCH(D331,rt_Code,0))))</f>
        <v/>
      </c>
      <c r="M331" s="25" t="str">
        <f aca="false">IF(L331="","",ROUND(N(E331)*L331,2))</f>
        <v/>
      </c>
      <c r="N331" s="39" t="n">
        <f aca="false">IF(OR(A331="",B331=""),"",SUMIFS(tl_Hours,tl_StaffID,I331,tl_Date,A331))</f>
        <v>8</v>
      </c>
      <c r="O331" s="40" t="str">
        <f aca="false">IF(A331&amp;B331&amp;D331="","",IF(OR(A331="",B331="",D331="",E331=""),"Incomplete",IF(K331="Unknown","Unknown code",IF(AND(K331="Yes",C331=""),"Billable, needs client",IF(N331&gt;MaxDayHours,"Over "&amp;MaxDayHours&amp;" hours that day","")))))</f>
        <v/>
      </c>
    </row>
    <row r="332" customFormat="false" ht="15" hidden="false" customHeight="false" outlineLevel="0" collapsed="false">
      <c r="A332" s="31" t="n">
        <v>46223</v>
      </c>
      <c r="B332" s="32" t="s">
        <v>97</v>
      </c>
      <c r="C332" s="32"/>
      <c r="D332" s="33" t="s">
        <v>96</v>
      </c>
      <c r="E332" s="34" t="n">
        <v>3.5</v>
      </c>
      <c r="F332" s="32"/>
      <c r="G332" s="35" t="n">
        <f aca="false">IF(A332="","",A332+7-WEEKDAY(A332))</f>
        <v>46228</v>
      </c>
      <c r="H332" s="36" t="n">
        <f aca="false">IF(A332="","",DATE(YEAR(A332),MONTH(A332),1))</f>
        <v>46204</v>
      </c>
      <c r="I332" s="37" t="str">
        <f aca="false">IF(B332="","",IFERROR(INDEX(st_ID,MATCH(B332,st_Name,0)),"Unknown"))</f>
        <v>QP-02</v>
      </c>
      <c r="J332" s="37" t="str">
        <f aca="false">IF(C332="","",IFERROR(INDEX(cl_Code,MATCH(C332,cl_Name,0)),"Unknown"))</f>
        <v/>
      </c>
      <c r="K332" s="37" t="str">
        <f aca="false">IF(D332="","",IFERROR(INDEX(rt_Billable,MATCH(D332,rt_Code,0)),"Unknown"))</f>
        <v>No</v>
      </c>
      <c r="L332" s="38" t="str">
        <f aca="false">IF(K332&lt;&gt;"Yes","",IFERROR(INDEX(cr_Rate,MATCH(J332&amp;"|"&amp;D332,cr_Key,0)),INDEX(rt_Rate,MATCH(D332,rt_Code,0))))</f>
        <v/>
      </c>
      <c r="M332" s="25" t="str">
        <f aca="false">IF(L332="","",ROUND(N(E332)*L332,2))</f>
        <v/>
      </c>
      <c r="N332" s="39" t="n">
        <f aca="false">IF(OR(A332="",B332=""),"",SUMIFS(tl_Hours,tl_StaffID,I332,tl_Date,A332))</f>
        <v>8</v>
      </c>
      <c r="O332" s="40" t="str">
        <f aca="false">IF(A332&amp;B332&amp;D332="","",IF(OR(A332="",B332="",D332="",E332=""),"Incomplete",IF(K332="Unknown","Unknown code",IF(AND(K332="Yes",C332=""),"Billable, needs client",IF(N332&gt;MaxDayHours,"Over "&amp;MaxDayHours&amp;" hours that day","")))))</f>
        <v/>
      </c>
    </row>
    <row r="333" customFormat="false" ht="15" hidden="false" customHeight="false" outlineLevel="0" collapsed="false">
      <c r="A333" s="31" t="n">
        <v>46223</v>
      </c>
      <c r="B333" s="32" t="s">
        <v>101</v>
      </c>
      <c r="C333" s="32" t="s">
        <v>102</v>
      </c>
      <c r="D333" s="33" t="s">
        <v>88</v>
      </c>
      <c r="E333" s="34" t="n">
        <v>3.25</v>
      </c>
      <c r="F333" s="32"/>
      <c r="G333" s="35" t="n">
        <f aca="false">IF(A333="","",A333+7-WEEKDAY(A333))</f>
        <v>46228</v>
      </c>
      <c r="H333" s="36" t="n">
        <f aca="false">IF(A333="","",DATE(YEAR(A333),MONTH(A333),1))</f>
        <v>46204</v>
      </c>
      <c r="I333" s="37" t="str">
        <f aca="false">IF(B333="","",IFERROR(INDEX(st_ID,MATCH(B333,st_Name,0)),"Unknown"))</f>
        <v>QP-04</v>
      </c>
      <c r="J333" s="37" t="str">
        <f aca="false">IF(C333="","",IFERROR(INDEX(cl_Code,MATCH(C333,cl_Name,0)),"Unknown"))</f>
        <v>CLH</v>
      </c>
      <c r="K333" s="37" t="str">
        <f aca="false">IF(D333="","",IFERROR(INDEX(rt_Billable,MATCH(D333,rt_Code,0)),"Unknown"))</f>
        <v>Yes</v>
      </c>
      <c r="L333" s="38" t="n">
        <f aca="false">IF(K333&lt;&gt;"Yes","",IFERROR(INDEX(cr_Rate,MATCH(J333&amp;"|"&amp;D333,cr_Key,0)),INDEX(rt_Rate,MATCH(D333,rt_Code,0))))</f>
        <v>110</v>
      </c>
      <c r="M333" s="25" t="n">
        <f aca="false">IF(L333="","",ROUND(N(E333)*L333,2))</f>
        <v>357.5</v>
      </c>
      <c r="N333" s="39" t="n">
        <f aca="false">IF(OR(A333="",B333=""),"",SUMIFS(tl_Hours,tl_StaffID,I333,tl_Date,A333))</f>
        <v>8</v>
      </c>
      <c r="O333" s="40" t="str">
        <f aca="false">IF(A333&amp;B333&amp;D333="","",IF(OR(A333="",B333="",D333="",E333=""),"Incomplete",IF(K333="Unknown","Unknown code",IF(AND(K333="Yes",C333=""),"Billable, needs client",IF(N333&gt;MaxDayHours,"Over "&amp;MaxDayHours&amp;" hours that day","")))))</f>
        <v/>
      </c>
    </row>
    <row r="334" customFormat="false" ht="15" hidden="false" customHeight="false" outlineLevel="0" collapsed="false">
      <c r="A334" s="31" t="n">
        <v>46223</v>
      </c>
      <c r="B334" s="32" t="s">
        <v>101</v>
      </c>
      <c r="C334" s="32" t="s">
        <v>102</v>
      </c>
      <c r="D334" s="33" t="s">
        <v>89</v>
      </c>
      <c r="E334" s="34" t="n">
        <v>1.25</v>
      </c>
      <c r="F334" s="32"/>
      <c r="G334" s="35" t="n">
        <f aca="false">IF(A334="","",A334+7-WEEKDAY(A334))</f>
        <v>46228</v>
      </c>
      <c r="H334" s="36" t="n">
        <f aca="false">IF(A334="","",DATE(YEAR(A334),MONTH(A334),1))</f>
        <v>46204</v>
      </c>
      <c r="I334" s="37" t="str">
        <f aca="false">IF(B334="","",IFERROR(INDEX(st_ID,MATCH(B334,st_Name,0)),"Unknown"))</f>
        <v>QP-04</v>
      </c>
      <c r="J334" s="37" t="str">
        <f aca="false">IF(C334="","",IFERROR(INDEX(cl_Code,MATCH(C334,cl_Name,0)),"Unknown"))</f>
        <v>CLH</v>
      </c>
      <c r="K334" s="37" t="str">
        <f aca="false">IF(D334="","",IFERROR(INDEX(rt_Billable,MATCH(D334,rt_Code,0)),"Unknown"))</f>
        <v>Yes</v>
      </c>
      <c r="L334" s="38" t="n">
        <f aca="false">IF(K334&lt;&gt;"Yes","",IFERROR(INDEX(cr_Rate,MATCH(J334&amp;"|"&amp;D334,cr_Key,0)),INDEX(rt_Rate,MATCH(D334,rt_Code,0))))</f>
        <v>95</v>
      </c>
      <c r="M334" s="25" t="n">
        <f aca="false">IF(L334="","",ROUND(N(E334)*L334,2))</f>
        <v>118.75</v>
      </c>
      <c r="N334" s="39" t="n">
        <f aca="false">IF(OR(A334="",B334=""),"",SUMIFS(tl_Hours,tl_StaffID,I334,tl_Date,A334))</f>
        <v>8</v>
      </c>
      <c r="O334" s="40" t="str">
        <f aca="false">IF(A334&amp;B334&amp;D334="","",IF(OR(A334="",B334="",D334="",E334=""),"Incomplete",IF(K334="Unknown","Unknown code",IF(AND(K334="Yes",C334=""),"Billable, needs client",IF(N334&gt;MaxDayHours,"Over "&amp;MaxDayHours&amp;" hours that day","")))))</f>
        <v/>
      </c>
    </row>
    <row r="335" customFormat="false" ht="15" hidden="false" customHeight="false" outlineLevel="0" collapsed="false">
      <c r="A335" s="31" t="n">
        <v>46223</v>
      </c>
      <c r="B335" s="32" t="s">
        <v>101</v>
      </c>
      <c r="C335" s="32"/>
      <c r="D335" s="33" t="s">
        <v>96</v>
      </c>
      <c r="E335" s="34" t="n">
        <v>3.5</v>
      </c>
      <c r="F335" s="32"/>
      <c r="G335" s="35" t="n">
        <f aca="false">IF(A335="","",A335+7-WEEKDAY(A335))</f>
        <v>46228</v>
      </c>
      <c r="H335" s="36" t="n">
        <f aca="false">IF(A335="","",DATE(YEAR(A335),MONTH(A335),1))</f>
        <v>46204</v>
      </c>
      <c r="I335" s="37" t="str">
        <f aca="false">IF(B335="","",IFERROR(INDEX(st_ID,MATCH(B335,st_Name,0)),"Unknown"))</f>
        <v>QP-04</v>
      </c>
      <c r="J335" s="37" t="str">
        <f aca="false">IF(C335="","",IFERROR(INDEX(cl_Code,MATCH(C335,cl_Name,0)),"Unknown"))</f>
        <v/>
      </c>
      <c r="K335" s="37" t="str">
        <f aca="false">IF(D335="","",IFERROR(INDEX(rt_Billable,MATCH(D335,rt_Code,0)),"Unknown"))</f>
        <v>No</v>
      </c>
      <c r="L335" s="38" t="str">
        <f aca="false">IF(K335&lt;&gt;"Yes","",IFERROR(INDEX(cr_Rate,MATCH(J335&amp;"|"&amp;D335,cr_Key,0)),INDEX(rt_Rate,MATCH(D335,rt_Code,0))))</f>
        <v/>
      </c>
      <c r="M335" s="25" t="str">
        <f aca="false">IF(L335="","",ROUND(N(E335)*L335,2))</f>
        <v/>
      </c>
      <c r="N335" s="39" t="n">
        <f aca="false">IF(OR(A335="",B335=""),"",SUMIFS(tl_Hours,tl_StaffID,I335,tl_Date,A335))</f>
        <v>8</v>
      </c>
      <c r="O335" s="40" t="str">
        <f aca="false">IF(A335&amp;B335&amp;D335="","",IF(OR(A335="",B335="",D335="",E335=""),"Incomplete",IF(K335="Unknown","Unknown code",IF(AND(K335="Yes",C335=""),"Billable, needs client",IF(N335&gt;MaxDayHours,"Over "&amp;MaxDayHours&amp;" hours that day","")))))</f>
        <v/>
      </c>
    </row>
    <row r="336" customFormat="false" ht="15" hidden="false" customHeight="false" outlineLevel="0" collapsed="false">
      <c r="A336" s="31" t="n">
        <v>46223</v>
      </c>
      <c r="B336" s="32" t="s">
        <v>103</v>
      </c>
      <c r="C336" s="32"/>
      <c r="D336" s="33" t="s">
        <v>109</v>
      </c>
      <c r="E336" s="34" t="n">
        <v>8</v>
      </c>
      <c r="F336" s="32"/>
      <c r="G336" s="35" t="n">
        <f aca="false">IF(A336="","",A336+7-WEEKDAY(A336))</f>
        <v>46228</v>
      </c>
      <c r="H336" s="36" t="n">
        <f aca="false">IF(A336="","",DATE(YEAR(A336),MONTH(A336),1))</f>
        <v>46204</v>
      </c>
      <c r="I336" s="37" t="str">
        <f aca="false">IF(B336="","",IFERROR(INDEX(st_ID,MATCH(B336,st_Name,0)),"Unknown"))</f>
        <v>QP-05</v>
      </c>
      <c r="J336" s="37" t="str">
        <f aca="false">IF(C336="","",IFERROR(INDEX(cl_Code,MATCH(C336,cl_Name,0)),"Unknown"))</f>
        <v/>
      </c>
      <c r="K336" s="37" t="str">
        <f aca="false">IF(D336="","",IFERROR(INDEX(rt_Billable,MATCH(D336,rt_Code,0)),"Unknown"))</f>
        <v>No</v>
      </c>
      <c r="L336" s="38" t="str">
        <f aca="false">IF(K336&lt;&gt;"Yes","",IFERROR(INDEX(cr_Rate,MATCH(J336&amp;"|"&amp;D336,cr_Key,0)),INDEX(rt_Rate,MATCH(D336,rt_Code,0))))</f>
        <v/>
      </c>
      <c r="M336" s="25" t="str">
        <f aca="false">IF(L336="","",ROUND(N(E336)*L336,2))</f>
        <v/>
      </c>
      <c r="N336" s="39" t="n">
        <f aca="false">IF(OR(A336="",B336=""),"",SUMIFS(tl_Hours,tl_StaffID,I336,tl_Date,A336))</f>
        <v>8</v>
      </c>
      <c r="O336" s="40" t="str">
        <f aca="false">IF(A336&amp;B336&amp;D336="","",IF(OR(A336="",B336="",D336="",E336=""),"Incomplete",IF(K336="Unknown","Unknown code",IF(AND(K336="Yes",C336=""),"Billable, needs client",IF(N336&gt;MaxDayHours,"Over "&amp;MaxDayHours&amp;" hours that day","")))))</f>
        <v/>
      </c>
    </row>
    <row r="337" customFormat="false" ht="15" hidden="false" customHeight="false" outlineLevel="0" collapsed="false">
      <c r="A337" s="31" t="n">
        <v>46223</v>
      </c>
      <c r="B337" s="32" t="s">
        <v>105</v>
      </c>
      <c r="C337" s="32"/>
      <c r="D337" s="33" t="s">
        <v>109</v>
      </c>
      <c r="E337" s="34" t="n">
        <v>8</v>
      </c>
      <c r="F337" s="32"/>
      <c r="G337" s="35" t="n">
        <f aca="false">IF(A337="","",A337+7-WEEKDAY(A337))</f>
        <v>46228</v>
      </c>
      <c r="H337" s="36" t="n">
        <f aca="false">IF(A337="","",DATE(YEAR(A337),MONTH(A337),1))</f>
        <v>46204</v>
      </c>
      <c r="I337" s="37" t="str">
        <f aca="false">IF(B337="","",IFERROR(INDEX(st_ID,MATCH(B337,st_Name,0)),"Unknown"))</f>
        <v>QP-06</v>
      </c>
      <c r="J337" s="37" t="str">
        <f aca="false">IF(C337="","",IFERROR(INDEX(cl_Code,MATCH(C337,cl_Name,0)),"Unknown"))</f>
        <v/>
      </c>
      <c r="K337" s="37" t="str">
        <f aca="false">IF(D337="","",IFERROR(INDEX(rt_Billable,MATCH(D337,rt_Code,0)),"Unknown"))</f>
        <v>No</v>
      </c>
      <c r="L337" s="38" t="str">
        <f aca="false">IF(K337&lt;&gt;"Yes","",IFERROR(INDEX(cr_Rate,MATCH(J337&amp;"|"&amp;D337,cr_Key,0)),INDEX(rt_Rate,MATCH(D337,rt_Code,0))))</f>
        <v/>
      </c>
      <c r="M337" s="25" t="str">
        <f aca="false">IF(L337="","",ROUND(N(E337)*L337,2))</f>
        <v/>
      </c>
      <c r="N337" s="39" t="n">
        <f aca="false">IF(OR(A337="",B337=""),"",SUMIFS(tl_Hours,tl_StaffID,I337,tl_Date,A337))</f>
        <v>8</v>
      </c>
      <c r="O337" s="40" t="str">
        <f aca="false">IF(A337&amp;B337&amp;D337="","",IF(OR(A337="",B337="",D337="",E337=""),"Incomplete",IF(K337="Unknown","Unknown code",IF(AND(K337="Yes",C337=""),"Billable, needs client",IF(N337&gt;MaxDayHours,"Over "&amp;MaxDayHours&amp;" hours that day","")))))</f>
        <v/>
      </c>
    </row>
    <row r="338" customFormat="false" ht="15" hidden="false" customHeight="false" outlineLevel="0" collapsed="false">
      <c r="A338" s="31" t="n">
        <v>46223</v>
      </c>
      <c r="B338" s="32" t="s">
        <v>106</v>
      </c>
      <c r="C338" s="32" t="s">
        <v>102</v>
      </c>
      <c r="D338" s="33" t="s">
        <v>104</v>
      </c>
      <c r="E338" s="34" t="n">
        <v>3</v>
      </c>
      <c r="F338" s="32"/>
      <c r="G338" s="35" t="n">
        <f aca="false">IF(A338="","",A338+7-WEEKDAY(A338))</f>
        <v>46228</v>
      </c>
      <c r="H338" s="36" t="n">
        <f aca="false">IF(A338="","",DATE(YEAR(A338),MONTH(A338),1))</f>
        <v>46204</v>
      </c>
      <c r="I338" s="37" t="str">
        <f aca="false">IF(B338="","",IFERROR(INDEX(st_ID,MATCH(B338,st_Name,0)),"Unknown"))</f>
        <v>QP-07</v>
      </c>
      <c r="J338" s="37" t="str">
        <f aca="false">IF(C338="","",IFERROR(INDEX(cl_Code,MATCH(C338,cl_Name,0)),"Unknown"))</f>
        <v>CLH</v>
      </c>
      <c r="K338" s="37" t="str">
        <f aca="false">IF(D338="","",IFERROR(INDEX(rt_Billable,MATCH(D338,rt_Code,0)),"Unknown"))</f>
        <v>Yes</v>
      </c>
      <c r="L338" s="38" t="n">
        <f aca="false">IF(K338&lt;&gt;"Yes","",IFERROR(INDEX(cr_Rate,MATCH(J338&amp;"|"&amp;D338,cr_Key,0)),INDEX(rt_Rate,MATCH(D338,rt_Code,0))))</f>
        <v>65</v>
      </c>
      <c r="M338" s="25" t="n">
        <f aca="false">IF(L338="","",ROUND(N(E338)*L338,2))</f>
        <v>195</v>
      </c>
      <c r="N338" s="39" t="n">
        <f aca="false">IF(OR(A338="",B338=""),"",SUMIFS(tl_Hours,tl_StaffID,I338,tl_Date,A338))</f>
        <v>8</v>
      </c>
      <c r="O338" s="40" t="str">
        <f aca="false">IF(A338&amp;B338&amp;D338="","",IF(OR(A338="",B338="",D338="",E338=""),"Incomplete",IF(K338="Unknown","Unknown code",IF(AND(K338="Yes",C338=""),"Billable, needs client",IF(N338&gt;MaxDayHours,"Over "&amp;MaxDayHours&amp;" hours that day","")))))</f>
        <v/>
      </c>
    </row>
    <row r="339" customFormat="false" ht="15" hidden="false" customHeight="false" outlineLevel="0" collapsed="false">
      <c r="A339" s="31" t="n">
        <v>46223</v>
      </c>
      <c r="B339" s="32" t="s">
        <v>106</v>
      </c>
      <c r="C339" s="32" t="s">
        <v>102</v>
      </c>
      <c r="D339" s="33" t="s">
        <v>89</v>
      </c>
      <c r="E339" s="34" t="n">
        <v>1.75</v>
      </c>
      <c r="F339" s="32"/>
      <c r="G339" s="35" t="n">
        <f aca="false">IF(A339="","",A339+7-WEEKDAY(A339))</f>
        <v>46228</v>
      </c>
      <c r="H339" s="36" t="n">
        <f aca="false">IF(A339="","",DATE(YEAR(A339),MONTH(A339),1))</f>
        <v>46204</v>
      </c>
      <c r="I339" s="37" t="str">
        <f aca="false">IF(B339="","",IFERROR(INDEX(st_ID,MATCH(B339,st_Name,0)),"Unknown"))</f>
        <v>QP-07</v>
      </c>
      <c r="J339" s="37" t="str">
        <f aca="false">IF(C339="","",IFERROR(INDEX(cl_Code,MATCH(C339,cl_Name,0)),"Unknown"))</f>
        <v>CLH</v>
      </c>
      <c r="K339" s="37" t="str">
        <f aca="false">IF(D339="","",IFERROR(INDEX(rt_Billable,MATCH(D339,rt_Code,0)),"Unknown"))</f>
        <v>Yes</v>
      </c>
      <c r="L339" s="38" t="n">
        <f aca="false">IF(K339&lt;&gt;"Yes","",IFERROR(INDEX(cr_Rate,MATCH(J339&amp;"|"&amp;D339,cr_Key,0)),INDEX(rt_Rate,MATCH(D339,rt_Code,0))))</f>
        <v>95</v>
      </c>
      <c r="M339" s="25" t="n">
        <f aca="false">IF(L339="","",ROUND(N(E339)*L339,2))</f>
        <v>166.25</v>
      </c>
      <c r="N339" s="39" t="n">
        <f aca="false">IF(OR(A339="",B339=""),"",SUMIFS(tl_Hours,tl_StaffID,I339,tl_Date,A339))</f>
        <v>8</v>
      </c>
      <c r="O339" s="40" t="str">
        <f aca="false">IF(A339&amp;B339&amp;D339="","",IF(OR(A339="",B339="",D339="",E339=""),"Incomplete",IF(K339="Unknown","Unknown code",IF(AND(K339="Yes",C339=""),"Billable, needs client",IF(N339&gt;MaxDayHours,"Over "&amp;MaxDayHours&amp;" hours that day","")))))</f>
        <v/>
      </c>
    </row>
    <row r="340" customFormat="false" ht="15" hidden="false" customHeight="false" outlineLevel="0" collapsed="false">
      <c r="A340" s="31" t="n">
        <v>46223</v>
      </c>
      <c r="B340" s="32" t="s">
        <v>106</v>
      </c>
      <c r="C340" s="32"/>
      <c r="D340" s="33" t="s">
        <v>96</v>
      </c>
      <c r="E340" s="34" t="n">
        <v>3.25</v>
      </c>
      <c r="F340" s="32"/>
      <c r="G340" s="35" t="n">
        <f aca="false">IF(A340="","",A340+7-WEEKDAY(A340))</f>
        <v>46228</v>
      </c>
      <c r="H340" s="36" t="n">
        <f aca="false">IF(A340="","",DATE(YEAR(A340),MONTH(A340),1))</f>
        <v>46204</v>
      </c>
      <c r="I340" s="37" t="str">
        <f aca="false">IF(B340="","",IFERROR(INDEX(st_ID,MATCH(B340,st_Name,0)),"Unknown"))</f>
        <v>QP-07</v>
      </c>
      <c r="J340" s="37" t="str">
        <f aca="false">IF(C340="","",IFERROR(INDEX(cl_Code,MATCH(C340,cl_Name,0)),"Unknown"))</f>
        <v/>
      </c>
      <c r="K340" s="37" t="str">
        <f aca="false">IF(D340="","",IFERROR(INDEX(rt_Billable,MATCH(D340,rt_Code,0)),"Unknown"))</f>
        <v>No</v>
      </c>
      <c r="L340" s="38" t="str">
        <f aca="false">IF(K340&lt;&gt;"Yes","",IFERROR(INDEX(cr_Rate,MATCH(J340&amp;"|"&amp;D340,cr_Key,0)),INDEX(rt_Rate,MATCH(D340,rt_Code,0))))</f>
        <v/>
      </c>
      <c r="M340" s="25" t="str">
        <f aca="false">IF(L340="","",ROUND(N(E340)*L340,2))</f>
        <v/>
      </c>
      <c r="N340" s="39" t="n">
        <f aca="false">IF(OR(A340="",B340=""),"",SUMIFS(tl_Hours,tl_StaffID,I340,tl_Date,A340))</f>
        <v>8</v>
      </c>
      <c r="O340" s="40" t="str">
        <f aca="false">IF(A340&amp;B340&amp;D340="","",IF(OR(A340="",B340="",D340="",E340=""),"Incomplete",IF(K340="Unknown","Unknown code",IF(AND(K340="Yes",C340=""),"Billable, needs client",IF(N340&gt;MaxDayHours,"Over "&amp;MaxDayHours&amp;" hours that day","")))))</f>
        <v/>
      </c>
    </row>
    <row r="341" customFormat="false" ht="15" hidden="false" customHeight="false" outlineLevel="0" collapsed="false">
      <c r="A341" s="31" t="n">
        <v>46223</v>
      </c>
      <c r="B341" s="32" t="s">
        <v>107</v>
      </c>
      <c r="C341" s="32"/>
      <c r="D341" s="33" t="s">
        <v>108</v>
      </c>
      <c r="E341" s="34" t="n">
        <v>6.5</v>
      </c>
      <c r="F341" s="32"/>
      <c r="G341" s="35" t="n">
        <f aca="false">IF(A341="","",A341+7-WEEKDAY(A341))</f>
        <v>46228</v>
      </c>
      <c r="H341" s="36" t="n">
        <f aca="false">IF(A341="","",DATE(YEAR(A341),MONTH(A341),1))</f>
        <v>46204</v>
      </c>
      <c r="I341" s="37" t="str">
        <f aca="false">IF(B341="","",IFERROR(INDEX(st_ID,MATCH(B341,st_Name,0)),"Unknown"))</f>
        <v>QP-08</v>
      </c>
      <c r="J341" s="37" t="str">
        <f aca="false">IF(C341="","",IFERROR(INDEX(cl_Code,MATCH(C341,cl_Name,0)),"Unknown"))</f>
        <v/>
      </c>
      <c r="K341" s="37" t="str">
        <f aca="false">IF(D341="","",IFERROR(INDEX(rt_Billable,MATCH(D341,rt_Code,0)),"Unknown"))</f>
        <v>No</v>
      </c>
      <c r="L341" s="38" t="str">
        <f aca="false">IF(K341&lt;&gt;"Yes","",IFERROR(INDEX(cr_Rate,MATCH(J341&amp;"|"&amp;D341,cr_Key,0)),INDEX(rt_Rate,MATCH(D341,rt_Code,0))))</f>
        <v/>
      </c>
      <c r="M341" s="25" t="str">
        <f aca="false">IF(L341="","",ROUND(N(E341)*L341,2))</f>
        <v/>
      </c>
      <c r="N341" s="39" t="n">
        <f aca="false">IF(OR(A341="",B341=""),"",SUMIFS(tl_Hours,tl_StaffID,I341,tl_Date,A341))</f>
        <v>8</v>
      </c>
      <c r="O341" s="40" t="str">
        <f aca="false">IF(A341&amp;B341&amp;D341="","",IF(OR(A341="",B341="",D341="",E341=""),"Incomplete",IF(K341="Unknown","Unknown code",IF(AND(K341="Yes",C341=""),"Billable, needs client",IF(N341&gt;MaxDayHours,"Over "&amp;MaxDayHours&amp;" hours that day","")))))</f>
        <v/>
      </c>
    </row>
    <row r="342" customFormat="false" ht="15" hidden="false" customHeight="false" outlineLevel="0" collapsed="false">
      <c r="A342" s="31" t="n">
        <v>46223</v>
      </c>
      <c r="B342" s="32" t="s">
        <v>107</v>
      </c>
      <c r="C342" s="32"/>
      <c r="D342" s="33" t="s">
        <v>98</v>
      </c>
      <c r="E342" s="34" t="n">
        <v>1.5</v>
      </c>
      <c r="F342" s="32"/>
      <c r="G342" s="35" t="n">
        <f aca="false">IF(A342="","",A342+7-WEEKDAY(A342))</f>
        <v>46228</v>
      </c>
      <c r="H342" s="36" t="n">
        <f aca="false">IF(A342="","",DATE(YEAR(A342),MONTH(A342),1))</f>
        <v>46204</v>
      </c>
      <c r="I342" s="37" t="str">
        <f aca="false">IF(B342="","",IFERROR(INDEX(st_ID,MATCH(B342,st_Name,0)),"Unknown"))</f>
        <v>QP-08</v>
      </c>
      <c r="J342" s="37" t="str">
        <f aca="false">IF(C342="","",IFERROR(INDEX(cl_Code,MATCH(C342,cl_Name,0)),"Unknown"))</f>
        <v/>
      </c>
      <c r="K342" s="37" t="str">
        <f aca="false">IF(D342="","",IFERROR(INDEX(rt_Billable,MATCH(D342,rt_Code,0)),"Unknown"))</f>
        <v>No</v>
      </c>
      <c r="L342" s="38" t="str">
        <f aca="false">IF(K342&lt;&gt;"Yes","",IFERROR(INDEX(cr_Rate,MATCH(J342&amp;"|"&amp;D342,cr_Key,0)),INDEX(rt_Rate,MATCH(D342,rt_Code,0))))</f>
        <v/>
      </c>
      <c r="M342" s="25" t="str">
        <f aca="false">IF(L342="","",ROUND(N(E342)*L342,2))</f>
        <v/>
      </c>
      <c r="N342" s="39" t="n">
        <f aca="false">IF(OR(A342="",B342=""),"",SUMIFS(tl_Hours,tl_StaffID,I342,tl_Date,A342))</f>
        <v>8</v>
      </c>
      <c r="O342" s="40" t="str">
        <f aca="false">IF(A342&amp;B342&amp;D342="","",IF(OR(A342="",B342="",D342="",E342=""),"Incomplete",IF(K342="Unknown","Unknown code",IF(AND(K342="Yes",C342=""),"Billable, needs client",IF(N342&gt;MaxDayHours,"Over "&amp;MaxDayHours&amp;" hours that day","")))))</f>
        <v/>
      </c>
    </row>
    <row r="343" customFormat="false" ht="15" hidden="false" customHeight="false" outlineLevel="0" collapsed="false">
      <c r="A343" s="31" t="n">
        <v>46224</v>
      </c>
      <c r="B343" s="32" t="s">
        <v>86</v>
      </c>
      <c r="C343" s="32" t="s">
        <v>90</v>
      </c>
      <c r="D343" s="33" t="s">
        <v>91</v>
      </c>
      <c r="E343" s="34" t="n">
        <v>2.75</v>
      </c>
      <c r="F343" s="32"/>
      <c r="G343" s="35" t="n">
        <f aca="false">IF(A343="","",A343+7-WEEKDAY(A343))</f>
        <v>46228</v>
      </c>
      <c r="H343" s="36" t="n">
        <f aca="false">IF(A343="","",DATE(YEAR(A343),MONTH(A343),1))</f>
        <v>46204</v>
      </c>
      <c r="I343" s="37" t="str">
        <f aca="false">IF(B343="","",IFERROR(INDEX(st_ID,MATCH(B343,st_Name,0)),"Unknown"))</f>
        <v>QP-01</v>
      </c>
      <c r="J343" s="37" t="str">
        <f aca="false">IF(C343="","",IFERROR(INDEX(cl_Code,MATCH(C343,cl_Name,0)),"Unknown"))</f>
        <v>BSE</v>
      </c>
      <c r="K343" s="37" t="str">
        <f aca="false">IF(D343="","",IFERROR(INDEX(rt_Billable,MATCH(D343,rt_Code,0)),"Unknown"))</f>
        <v>Yes</v>
      </c>
      <c r="L343" s="38" t="n">
        <f aca="false">IF(K343&lt;&gt;"Yes","",IFERROR(INDEX(cr_Rate,MATCH(J343&amp;"|"&amp;D343,cr_Key,0)),INDEX(rt_Rate,MATCH(D343,rt_Code,0))))</f>
        <v>100</v>
      </c>
      <c r="M343" s="25" t="n">
        <f aca="false">IF(L343="","",ROUND(N(E343)*L343,2))</f>
        <v>275</v>
      </c>
      <c r="N343" s="39" t="n">
        <f aca="false">IF(OR(A343="",B343=""),"",SUMIFS(tl_Hours,tl_StaffID,I343,tl_Date,A343))</f>
        <v>8</v>
      </c>
      <c r="O343" s="40" t="str">
        <f aca="false">IF(A343&amp;B343&amp;D343="","",IF(OR(A343="",B343="",D343="",E343=""),"Incomplete",IF(K343="Unknown","Unknown code",IF(AND(K343="Yes",C343=""),"Billable, needs client",IF(N343&gt;MaxDayHours,"Over "&amp;MaxDayHours&amp;" hours that day","")))))</f>
        <v/>
      </c>
    </row>
    <row r="344" customFormat="false" ht="15" hidden="false" customHeight="false" outlineLevel="0" collapsed="false">
      <c r="A344" s="31" t="n">
        <v>46224</v>
      </c>
      <c r="B344" s="32" t="s">
        <v>86</v>
      </c>
      <c r="C344" s="32" t="s">
        <v>90</v>
      </c>
      <c r="D344" s="33" t="s">
        <v>104</v>
      </c>
      <c r="E344" s="34" t="n">
        <v>2</v>
      </c>
      <c r="F344" s="32"/>
      <c r="G344" s="35" t="n">
        <f aca="false">IF(A344="","",A344+7-WEEKDAY(A344))</f>
        <v>46228</v>
      </c>
      <c r="H344" s="36" t="n">
        <f aca="false">IF(A344="","",DATE(YEAR(A344),MONTH(A344),1))</f>
        <v>46204</v>
      </c>
      <c r="I344" s="37" t="str">
        <f aca="false">IF(B344="","",IFERROR(INDEX(st_ID,MATCH(B344,st_Name,0)),"Unknown"))</f>
        <v>QP-01</v>
      </c>
      <c r="J344" s="37" t="str">
        <f aca="false">IF(C344="","",IFERROR(INDEX(cl_Code,MATCH(C344,cl_Name,0)),"Unknown"))</f>
        <v>BSE</v>
      </c>
      <c r="K344" s="37" t="str">
        <f aca="false">IF(D344="","",IFERROR(INDEX(rt_Billable,MATCH(D344,rt_Code,0)),"Unknown"))</f>
        <v>Yes</v>
      </c>
      <c r="L344" s="38" t="n">
        <f aca="false">IF(K344&lt;&gt;"Yes","",IFERROR(INDEX(cr_Rate,MATCH(J344&amp;"|"&amp;D344,cr_Key,0)),INDEX(rt_Rate,MATCH(D344,rt_Code,0))))</f>
        <v>70</v>
      </c>
      <c r="M344" s="25" t="n">
        <f aca="false">IF(L344="","",ROUND(N(E344)*L344,2))</f>
        <v>140</v>
      </c>
      <c r="N344" s="39" t="n">
        <f aca="false">IF(OR(A344="",B344=""),"",SUMIFS(tl_Hours,tl_StaffID,I344,tl_Date,A344))</f>
        <v>8</v>
      </c>
      <c r="O344" s="40" t="str">
        <f aca="false">IF(A344&amp;B344&amp;D344="","",IF(OR(A344="",B344="",D344="",E344=""),"Incomplete",IF(K344="Unknown","Unknown code",IF(AND(K344="Yes",C344=""),"Billable, needs client",IF(N344&gt;MaxDayHours,"Over "&amp;MaxDayHours&amp;" hours that day","")))))</f>
        <v/>
      </c>
    </row>
    <row r="345" customFormat="false" ht="15" hidden="false" customHeight="false" outlineLevel="0" collapsed="false">
      <c r="A345" s="31" t="n">
        <v>46224</v>
      </c>
      <c r="B345" s="32" t="s">
        <v>86</v>
      </c>
      <c r="C345" s="32"/>
      <c r="D345" s="33" t="s">
        <v>96</v>
      </c>
      <c r="E345" s="34" t="n">
        <v>3.25</v>
      </c>
      <c r="F345" s="32"/>
      <c r="G345" s="35" t="n">
        <f aca="false">IF(A345="","",A345+7-WEEKDAY(A345))</f>
        <v>46228</v>
      </c>
      <c r="H345" s="36" t="n">
        <f aca="false">IF(A345="","",DATE(YEAR(A345),MONTH(A345),1))</f>
        <v>46204</v>
      </c>
      <c r="I345" s="37" t="str">
        <f aca="false">IF(B345="","",IFERROR(INDEX(st_ID,MATCH(B345,st_Name,0)),"Unknown"))</f>
        <v>QP-01</v>
      </c>
      <c r="J345" s="37" t="str">
        <f aca="false">IF(C345="","",IFERROR(INDEX(cl_Code,MATCH(C345,cl_Name,0)),"Unknown"))</f>
        <v/>
      </c>
      <c r="K345" s="37" t="str">
        <f aca="false">IF(D345="","",IFERROR(INDEX(rt_Billable,MATCH(D345,rt_Code,0)),"Unknown"))</f>
        <v>No</v>
      </c>
      <c r="L345" s="38" t="str">
        <f aca="false">IF(K345&lt;&gt;"Yes","",IFERROR(INDEX(cr_Rate,MATCH(J345&amp;"|"&amp;D345,cr_Key,0)),INDEX(rt_Rate,MATCH(D345,rt_Code,0))))</f>
        <v/>
      </c>
      <c r="M345" s="25" t="str">
        <f aca="false">IF(L345="","",ROUND(N(E345)*L345,2))</f>
        <v/>
      </c>
      <c r="N345" s="39" t="n">
        <f aca="false">IF(OR(A345="",B345=""),"",SUMIFS(tl_Hours,tl_StaffID,I345,tl_Date,A345))</f>
        <v>8</v>
      </c>
      <c r="O345" s="40" t="str">
        <f aca="false">IF(A345&amp;B345&amp;D345="","",IF(OR(A345="",B345="",D345="",E345=""),"Incomplete",IF(K345="Unknown","Unknown code",IF(AND(K345="Yes",C345=""),"Billable, needs client",IF(N345&gt;MaxDayHours,"Over "&amp;MaxDayHours&amp;" hours that day","")))))</f>
        <v/>
      </c>
    </row>
    <row r="346" customFormat="false" ht="15" hidden="false" customHeight="false" outlineLevel="0" collapsed="false">
      <c r="A346" s="31" t="n">
        <v>46224</v>
      </c>
      <c r="B346" s="32" t="s">
        <v>97</v>
      </c>
      <c r="C346" s="32" t="s">
        <v>87</v>
      </c>
      <c r="D346" s="33" t="s">
        <v>88</v>
      </c>
      <c r="E346" s="34" t="n">
        <v>2.75</v>
      </c>
      <c r="F346" s="32"/>
      <c r="G346" s="35" t="n">
        <f aca="false">IF(A346="","",A346+7-WEEKDAY(A346))</f>
        <v>46228</v>
      </c>
      <c r="H346" s="36" t="n">
        <f aca="false">IF(A346="","",DATE(YEAR(A346),MONTH(A346),1))</f>
        <v>46204</v>
      </c>
      <c r="I346" s="37" t="str">
        <f aca="false">IF(B346="","",IFERROR(INDEX(st_ID,MATCH(B346,st_Name,0)),"Unknown"))</f>
        <v>QP-02</v>
      </c>
      <c r="J346" s="37" t="str">
        <f aca="false">IF(C346="","",IFERROR(INDEX(cl_Code,MATCH(C346,cl_Name,0)),"Unknown"))</f>
        <v>HCS</v>
      </c>
      <c r="K346" s="37" t="str">
        <f aca="false">IF(D346="","",IFERROR(INDEX(rt_Billable,MATCH(D346,rt_Code,0)),"Unknown"))</f>
        <v>Yes</v>
      </c>
      <c r="L346" s="38" t="n">
        <f aca="false">IF(K346&lt;&gt;"Yes","",IFERROR(INDEX(cr_Rate,MATCH(J346&amp;"|"&amp;D346,cr_Key,0)),INDEX(rt_Rate,MATCH(D346,rt_Code,0))))</f>
        <v>98</v>
      </c>
      <c r="M346" s="25" t="n">
        <f aca="false">IF(L346="","",ROUND(N(E346)*L346,2))</f>
        <v>269.5</v>
      </c>
      <c r="N346" s="39" t="n">
        <f aca="false">IF(OR(A346="",B346=""),"",SUMIFS(tl_Hours,tl_StaffID,I346,tl_Date,A346))</f>
        <v>8</v>
      </c>
      <c r="O346" s="40" t="str">
        <f aca="false">IF(A346&amp;B346&amp;D346="","",IF(OR(A346="",B346="",D346="",E346=""),"Incomplete",IF(K346="Unknown","Unknown code",IF(AND(K346="Yes",C346=""),"Billable, needs client",IF(N346&gt;MaxDayHours,"Over "&amp;MaxDayHours&amp;" hours that day","")))))</f>
        <v/>
      </c>
    </row>
    <row r="347" customFormat="false" ht="15" hidden="false" customHeight="false" outlineLevel="0" collapsed="false">
      <c r="A347" s="31" t="n">
        <v>46224</v>
      </c>
      <c r="B347" s="32" t="s">
        <v>97</v>
      </c>
      <c r="C347" s="32" t="s">
        <v>87</v>
      </c>
      <c r="D347" s="33" t="s">
        <v>104</v>
      </c>
      <c r="E347" s="34" t="n">
        <v>1.25</v>
      </c>
      <c r="F347" s="32"/>
      <c r="G347" s="35" t="n">
        <f aca="false">IF(A347="","",A347+7-WEEKDAY(A347))</f>
        <v>46228</v>
      </c>
      <c r="H347" s="36" t="n">
        <f aca="false">IF(A347="","",DATE(YEAR(A347),MONTH(A347),1))</f>
        <v>46204</v>
      </c>
      <c r="I347" s="37" t="str">
        <f aca="false">IF(B347="","",IFERROR(INDEX(st_ID,MATCH(B347,st_Name,0)),"Unknown"))</f>
        <v>QP-02</v>
      </c>
      <c r="J347" s="37" t="str">
        <f aca="false">IF(C347="","",IFERROR(INDEX(cl_Code,MATCH(C347,cl_Name,0)),"Unknown"))</f>
        <v>HCS</v>
      </c>
      <c r="K347" s="37" t="str">
        <f aca="false">IF(D347="","",IFERROR(INDEX(rt_Billable,MATCH(D347,rt_Code,0)),"Unknown"))</f>
        <v>Yes</v>
      </c>
      <c r="L347" s="38" t="n">
        <f aca="false">IF(K347&lt;&gt;"Yes","",IFERROR(INDEX(cr_Rate,MATCH(J347&amp;"|"&amp;D347,cr_Key,0)),INDEX(rt_Rate,MATCH(D347,rt_Code,0))))</f>
        <v>62</v>
      </c>
      <c r="M347" s="25" t="n">
        <f aca="false">IF(L347="","",ROUND(N(E347)*L347,2))</f>
        <v>77.5</v>
      </c>
      <c r="N347" s="39" t="n">
        <f aca="false">IF(OR(A347="",B347=""),"",SUMIFS(tl_Hours,tl_StaffID,I347,tl_Date,A347))</f>
        <v>8</v>
      </c>
      <c r="O347" s="40" t="str">
        <f aca="false">IF(A347&amp;B347&amp;D347="","",IF(OR(A347="",B347="",D347="",E347=""),"Incomplete",IF(K347="Unknown","Unknown code",IF(AND(K347="Yes",C347=""),"Billable, needs client",IF(N347&gt;MaxDayHours,"Over "&amp;MaxDayHours&amp;" hours that day","")))))</f>
        <v/>
      </c>
    </row>
    <row r="348" customFormat="false" ht="15" hidden="false" customHeight="false" outlineLevel="0" collapsed="false">
      <c r="A348" s="31" t="n">
        <v>46224</v>
      </c>
      <c r="B348" s="32" t="s">
        <v>97</v>
      </c>
      <c r="C348" s="32"/>
      <c r="D348" s="33" t="s">
        <v>96</v>
      </c>
      <c r="E348" s="34" t="n">
        <v>4</v>
      </c>
      <c r="F348" s="32"/>
      <c r="G348" s="35" t="n">
        <f aca="false">IF(A348="","",A348+7-WEEKDAY(A348))</f>
        <v>46228</v>
      </c>
      <c r="H348" s="36" t="n">
        <f aca="false">IF(A348="","",DATE(YEAR(A348),MONTH(A348),1))</f>
        <v>46204</v>
      </c>
      <c r="I348" s="37" t="str">
        <f aca="false">IF(B348="","",IFERROR(INDEX(st_ID,MATCH(B348,st_Name,0)),"Unknown"))</f>
        <v>QP-02</v>
      </c>
      <c r="J348" s="37" t="str">
        <f aca="false">IF(C348="","",IFERROR(INDEX(cl_Code,MATCH(C348,cl_Name,0)),"Unknown"))</f>
        <v/>
      </c>
      <c r="K348" s="37" t="str">
        <f aca="false">IF(D348="","",IFERROR(INDEX(rt_Billable,MATCH(D348,rt_Code,0)),"Unknown"))</f>
        <v>No</v>
      </c>
      <c r="L348" s="38" t="str">
        <f aca="false">IF(K348&lt;&gt;"Yes","",IFERROR(INDEX(cr_Rate,MATCH(J348&amp;"|"&amp;D348,cr_Key,0)),INDEX(rt_Rate,MATCH(D348,rt_Code,0))))</f>
        <v/>
      </c>
      <c r="M348" s="25" t="str">
        <f aca="false">IF(L348="","",ROUND(N(E348)*L348,2))</f>
        <v/>
      </c>
      <c r="N348" s="39" t="n">
        <f aca="false">IF(OR(A348="",B348=""),"",SUMIFS(tl_Hours,tl_StaffID,I348,tl_Date,A348))</f>
        <v>8</v>
      </c>
      <c r="O348" s="40" t="str">
        <f aca="false">IF(A348&amp;B348&amp;D348="","",IF(OR(A348="",B348="",D348="",E348=""),"Incomplete",IF(K348="Unknown","Unknown code",IF(AND(K348="Yes",C348=""),"Billable, needs client",IF(N348&gt;MaxDayHours,"Over "&amp;MaxDayHours&amp;" hours that day","")))))</f>
        <v/>
      </c>
    </row>
    <row r="349" customFormat="false" ht="15" hidden="false" customHeight="false" outlineLevel="0" collapsed="false">
      <c r="A349" s="31" t="n">
        <v>46224</v>
      </c>
      <c r="B349" s="32" t="s">
        <v>100</v>
      </c>
      <c r="C349" s="32" t="s">
        <v>102</v>
      </c>
      <c r="D349" s="33" t="s">
        <v>104</v>
      </c>
      <c r="E349" s="34" t="n">
        <v>3</v>
      </c>
      <c r="F349" s="32"/>
      <c r="G349" s="35" t="n">
        <f aca="false">IF(A349="","",A349+7-WEEKDAY(A349))</f>
        <v>46228</v>
      </c>
      <c r="H349" s="36" t="n">
        <f aca="false">IF(A349="","",DATE(YEAR(A349),MONTH(A349),1))</f>
        <v>46204</v>
      </c>
      <c r="I349" s="37" t="str">
        <f aca="false">IF(B349="","",IFERROR(INDEX(st_ID,MATCH(B349,st_Name,0)),"Unknown"))</f>
        <v>QP-03</v>
      </c>
      <c r="J349" s="37" t="str">
        <f aca="false">IF(C349="","",IFERROR(INDEX(cl_Code,MATCH(C349,cl_Name,0)),"Unknown"))</f>
        <v>CLH</v>
      </c>
      <c r="K349" s="37" t="str">
        <f aca="false">IF(D349="","",IFERROR(INDEX(rt_Billable,MATCH(D349,rt_Code,0)),"Unknown"))</f>
        <v>Yes</v>
      </c>
      <c r="L349" s="38" t="n">
        <f aca="false">IF(K349&lt;&gt;"Yes","",IFERROR(INDEX(cr_Rate,MATCH(J349&amp;"|"&amp;D349,cr_Key,0)),INDEX(rt_Rate,MATCH(D349,rt_Code,0))))</f>
        <v>65</v>
      </c>
      <c r="M349" s="25" t="n">
        <f aca="false">IF(L349="","",ROUND(N(E349)*L349,2))</f>
        <v>195</v>
      </c>
      <c r="N349" s="39" t="n">
        <f aca="false">IF(OR(A349="",B349=""),"",SUMIFS(tl_Hours,tl_StaffID,I349,tl_Date,A349))</f>
        <v>8</v>
      </c>
      <c r="O349" s="40" t="str">
        <f aca="false">IF(A349&amp;B349&amp;D349="","",IF(OR(A349="",B349="",D349="",E349=""),"Incomplete",IF(K349="Unknown","Unknown code",IF(AND(K349="Yes",C349=""),"Billable, needs client",IF(N349&gt;MaxDayHours,"Over "&amp;MaxDayHours&amp;" hours that day","")))))</f>
        <v/>
      </c>
    </row>
    <row r="350" customFormat="false" ht="15" hidden="false" customHeight="false" outlineLevel="0" collapsed="false">
      <c r="A350" s="31" t="n">
        <v>46224</v>
      </c>
      <c r="B350" s="32" t="s">
        <v>100</v>
      </c>
      <c r="C350" s="32" t="s">
        <v>102</v>
      </c>
      <c r="D350" s="33" t="s">
        <v>88</v>
      </c>
      <c r="E350" s="34" t="n">
        <v>1.25</v>
      </c>
      <c r="F350" s="32"/>
      <c r="G350" s="35" t="n">
        <f aca="false">IF(A350="","",A350+7-WEEKDAY(A350))</f>
        <v>46228</v>
      </c>
      <c r="H350" s="36" t="n">
        <f aca="false">IF(A350="","",DATE(YEAR(A350),MONTH(A350),1))</f>
        <v>46204</v>
      </c>
      <c r="I350" s="37" t="str">
        <f aca="false">IF(B350="","",IFERROR(INDEX(st_ID,MATCH(B350,st_Name,0)),"Unknown"))</f>
        <v>QP-03</v>
      </c>
      <c r="J350" s="37" t="str">
        <f aca="false">IF(C350="","",IFERROR(INDEX(cl_Code,MATCH(C350,cl_Name,0)),"Unknown"))</f>
        <v>CLH</v>
      </c>
      <c r="K350" s="37" t="str">
        <f aca="false">IF(D350="","",IFERROR(INDEX(rt_Billable,MATCH(D350,rt_Code,0)),"Unknown"))</f>
        <v>Yes</v>
      </c>
      <c r="L350" s="38" t="n">
        <f aca="false">IF(K350&lt;&gt;"Yes","",IFERROR(INDEX(cr_Rate,MATCH(J350&amp;"|"&amp;D350,cr_Key,0)),INDEX(rt_Rate,MATCH(D350,rt_Code,0))))</f>
        <v>110</v>
      </c>
      <c r="M350" s="25" t="n">
        <f aca="false">IF(L350="","",ROUND(N(E350)*L350,2))</f>
        <v>137.5</v>
      </c>
      <c r="N350" s="39" t="n">
        <f aca="false">IF(OR(A350="",B350=""),"",SUMIFS(tl_Hours,tl_StaffID,I350,tl_Date,A350))</f>
        <v>8</v>
      </c>
      <c r="O350" s="40" t="str">
        <f aca="false">IF(A350&amp;B350&amp;D350="","",IF(OR(A350="",B350="",D350="",E350=""),"Incomplete",IF(K350="Unknown","Unknown code",IF(AND(K350="Yes",C350=""),"Billable, needs client",IF(N350&gt;MaxDayHours,"Over "&amp;MaxDayHours&amp;" hours that day","")))))</f>
        <v/>
      </c>
    </row>
    <row r="351" customFormat="false" ht="15" hidden="false" customHeight="false" outlineLevel="0" collapsed="false">
      <c r="A351" s="31" t="n">
        <v>46224</v>
      </c>
      <c r="B351" s="32" t="s">
        <v>100</v>
      </c>
      <c r="C351" s="32"/>
      <c r="D351" s="33" t="s">
        <v>96</v>
      </c>
      <c r="E351" s="34" t="n">
        <v>3.75</v>
      </c>
      <c r="F351" s="32"/>
      <c r="G351" s="35" t="n">
        <f aca="false">IF(A351="","",A351+7-WEEKDAY(A351))</f>
        <v>46228</v>
      </c>
      <c r="H351" s="36" t="n">
        <f aca="false">IF(A351="","",DATE(YEAR(A351),MONTH(A351),1))</f>
        <v>46204</v>
      </c>
      <c r="I351" s="37" t="str">
        <f aca="false">IF(B351="","",IFERROR(INDEX(st_ID,MATCH(B351,st_Name,0)),"Unknown"))</f>
        <v>QP-03</v>
      </c>
      <c r="J351" s="37" t="str">
        <f aca="false">IF(C351="","",IFERROR(INDEX(cl_Code,MATCH(C351,cl_Name,0)),"Unknown"))</f>
        <v/>
      </c>
      <c r="K351" s="37" t="str">
        <f aca="false">IF(D351="","",IFERROR(INDEX(rt_Billable,MATCH(D351,rt_Code,0)),"Unknown"))</f>
        <v>No</v>
      </c>
      <c r="L351" s="38" t="str">
        <f aca="false">IF(K351&lt;&gt;"Yes","",IFERROR(INDEX(cr_Rate,MATCH(J351&amp;"|"&amp;D351,cr_Key,0)),INDEX(rt_Rate,MATCH(D351,rt_Code,0))))</f>
        <v/>
      </c>
      <c r="M351" s="25" t="str">
        <f aca="false">IF(L351="","",ROUND(N(E351)*L351,2))</f>
        <v/>
      </c>
      <c r="N351" s="39" t="n">
        <f aca="false">IF(OR(A351="",B351=""),"",SUMIFS(tl_Hours,tl_StaffID,I351,tl_Date,A351))</f>
        <v>8</v>
      </c>
      <c r="O351" s="40" t="str">
        <f aca="false">IF(A351&amp;B351&amp;D351="","",IF(OR(A351="",B351="",D351="",E351=""),"Incomplete",IF(K351="Unknown","Unknown code",IF(AND(K351="Yes",C351=""),"Billable, needs client",IF(N351&gt;MaxDayHours,"Over "&amp;MaxDayHours&amp;" hours that day","")))))</f>
        <v/>
      </c>
    </row>
    <row r="352" customFormat="false" ht="15" hidden="false" customHeight="false" outlineLevel="0" collapsed="false">
      <c r="A352" s="31" t="n">
        <v>46224</v>
      </c>
      <c r="B352" s="32" t="s">
        <v>101</v>
      </c>
      <c r="C352" s="32" t="s">
        <v>102</v>
      </c>
      <c r="D352" s="33" t="s">
        <v>88</v>
      </c>
      <c r="E352" s="34" t="n">
        <v>3.5</v>
      </c>
      <c r="F352" s="32"/>
      <c r="G352" s="35" t="n">
        <f aca="false">IF(A352="","",A352+7-WEEKDAY(A352))</f>
        <v>46228</v>
      </c>
      <c r="H352" s="36" t="n">
        <f aca="false">IF(A352="","",DATE(YEAR(A352),MONTH(A352),1))</f>
        <v>46204</v>
      </c>
      <c r="I352" s="37" t="str">
        <f aca="false">IF(B352="","",IFERROR(INDEX(st_ID,MATCH(B352,st_Name,0)),"Unknown"))</f>
        <v>QP-04</v>
      </c>
      <c r="J352" s="37" t="str">
        <f aca="false">IF(C352="","",IFERROR(INDEX(cl_Code,MATCH(C352,cl_Name,0)),"Unknown"))</f>
        <v>CLH</v>
      </c>
      <c r="K352" s="37" t="str">
        <f aca="false">IF(D352="","",IFERROR(INDEX(rt_Billable,MATCH(D352,rt_Code,0)),"Unknown"))</f>
        <v>Yes</v>
      </c>
      <c r="L352" s="38" t="n">
        <f aca="false">IF(K352&lt;&gt;"Yes","",IFERROR(INDEX(cr_Rate,MATCH(J352&amp;"|"&amp;D352,cr_Key,0)),INDEX(rt_Rate,MATCH(D352,rt_Code,0))))</f>
        <v>110</v>
      </c>
      <c r="M352" s="25" t="n">
        <f aca="false">IF(L352="","",ROUND(N(E352)*L352,2))</f>
        <v>385</v>
      </c>
      <c r="N352" s="39" t="n">
        <f aca="false">IF(OR(A352="",B352=""),"",SUMIFS(tl_Hours,tl_StaffID,I352,tl_Date,A352))</f>
        <v>8</v>
      </c>
      <c r="O352" s="40" t="str">
        <f aca="false">IF(A352&amp;B352&amp;D352="","",IF(OR(A352="",B352="",D352="",E352=""),"Incomplete",IF(K352="Unknown","Unknown code",IF(AND(K352="Yes",C352=""),"Billable, needs client",IF(N352&gt;MaxDayHours,"Over "&amp;MaxDayHours&amp;" hours that day","")))))</f>
        <v/>
      </c>
    </row>
    <row r="353" customFormat="false" ht="15" hidden="false" customHeight="false" outlineLevel="0" collapsed="false">
      <c r="A353" s="31" t="n">
        <v>46224</v>
      </c>
      <c r="B353" s="32" t="s">
        <v>101</v>
      </c>
      <c r="C353" s="32" t="s">
        <v>102</v>
      </c>
      <c r="D353" s="33" t="s">
        <v>89</v>
      </c>
      <c r="E353" s="34" t="n">
        <v>0.75</v>
      </c>
      <c r="F353" s="32"/>
      <c r="G353" s="35" t="n">
        <f aca="false">IF(A353="","",A353+7-WEEKDAY(A353))</f>
        <v>46228</v>
      </c>
      <c r="H353" s="36" t="n">
        <f aca="false">IF(A353="","",DATE(YEAR(A353),MONTH(A353),1))</f>
        <v>46204</v>
      </c>
      <c r="I353" s="37" t="str">
        <f aca="false">IF(B353="","",IFERROR(INDEX(st_ID,MATCH(B353,st_Name,0)),"Unknown"))</f>
        <v>QP-04</v>
      </c>
      <c r="J353" s="37" t="str">
        <f aca="false">IF(C353="","",IFERROR(INDEX(cl_Code,MATCH(C353,cl_Name,0)),"Unknown"))</f>
        <v>CLH</v>
      </c>
      <c r="K353" s="37" t="str">
        <f aca="false">IF(D353="","",IFERROR(INDEX(rt_Billable,MATCH(D353,rt_Code,0)),"Unknown"))</f>
        <v>Yes</v>
      </c>
      <c r="L353" s="38" t="n">
        <f aca="false">IF(K353&lt;&gt;"Yes","",IFERROR(INDEX(cr_Rate,MATCH(J353&amp;"|"&amp;D353,cr_Key,0)),INDEX(rt_Rate,MATCH(D353,rt_Code,0))))</f>
        <v>95</v>
      </c>
      <c r="M353" s="25" t="n">
        <f aca="false">IF(L353="","",ROUND(N(E353)*L353,2))</f>
        <v>71.25</v>
      </c>
      <c r="N353" s="39" t="n">
        <f aca="false">IF(OR(A353="",B353=""),"",SUMIFS(tl_Hours,tl_StaffID,I353,tl_Date,A353))</f>
        <v>8</v>
      </c>
      <c r="O353" s="40" t="str">
        <f aca="false">IF(A353&amp;B353&amp;D353="","",IF(OR(A353="",B353="",D353="",E353=""),"Incomplete",IF(K353="Unknown","Unknown code",IF(AND(K353="Yes",C353=""),"Billable, needs client",IF(N353&gt;MaxDayHours,"Over "&amp;MaxDayHours&amp;" hours that day","")))))</f>
        <v/>
      </c>
    </row>
    <row r="354" customFormat="false" ht="15" hidden="false" customHeight="false" outlineLevel="0" collapsed="false">
      <c r="A354" s="31" t="n">
        <v>46224</v>
      </c>
      <c r="B354" s="32" t="s">
        <v>101</v>
      </c>
      <c r="C354" s="32"/>
      <c r="D354" s="33" t="s">
        <v>96</v>
      </c>
      <c r="E354" s="34" t="n">
        <v>3.75</v>
      </c>
      <c r="F354" s="32"/>
      <c r="G354" s="35" t="n">
        <f aca="false">IF(A354="","",A354+7-WEEKDAY(A354))</f>
        <v>46228</v>
      </c>
      <c r="H354" s="36" t="n">
        <f aca="false">IF(A354="","",DATE(YEAR(A354),MONTH(A354),1))</f>
        <v>46204</v>
      </c>
      <c r="I354" s="37" t="str">
        <f aca="false">IF(B354="","",IFERROR(INDEX(st_ID,MATCH(B354,st_Name,0)),"Unknown"))</f>
        <v>QP-04</v>
      </c>
      <c r="J354" s="37" t="str">
        <f aca="false">IF(C354="","",IFERROR(INDEX(cl_Code,MATCH(C354,cl_Name,0)),"Unknown"))</f>
        <v/>
      </c>
      <c r="K354" s="37" t="str">
        <f aca="false">IF(D354="","",IFERROR(INDEX(rt_Billable,MATCH(D354,rt_Code,0)),"Unknown"))</f>
        <v>No</v>
      </c>
      <c r="L354" s="38" t="str">
        <f aca="false">IF(K354&lt;&gt;"Yes","",IFERROR(INDEX(cr_Rate,MATCH(J354&amp;"|"&amp;D354,cr_Key,0)),INDEX(rt_Rate,MATCH(D354,rt_Code,0))))</f>
        <v/>
      </c>
      <c r="M354" s="25" t="str">
        <f aca="false">IF(L354="","",ROUND(N(E354)*L354,2))</f>
        <v/>
      </c>
      <c r="N354" s="39" t="n">
        <f aca="false">IF(OR(A354="",B354=""),"",SUMIFS(tl_Hours,tl_StaffID,I354,tl_Date,A354))</f>
        <v>8</v>
      </c>
      <c r="O354" s="40" t="str">
        <f aca="false">IF(A354&amp;B354&amp;D354="","",IF(OR(A354="",B354="",D354="",E354=""),"Incomplete",IF(K354="Unknown","Unknown code",IF(AND(K354="Yes",C354=""),"Billable, needs client",IF(N354&gt;MaxDayHours,"Over "&amp;MaxDayHours&amp;" hours that day","")))))</f>
        <v/>
      </c>
    </row>
    <row r="355" customFormat="false" ht="15" hidden="false" customHeight="false" outlineLevel="0" collapsed="false">
      <c r="A355" s="31" t="n">
        <v>46224</v>
      </c>
      <c r="B355" s="32" t="s">
        <v>103</v>
      </c>
      <c r="C355" s="32" t="s">
        <v>111</v>
      </c>
      <c r="D355" s="33" t="s">
        <v>88</v>
      </c>
      <c r="E355" s="34" t="n">
        <v>2.75</v>
      </c>
      <c r="F355" s="32"/>
      <c r="G355" s="35" t="n">
        <f aca="false">IF(A355="","",A355+7-WEEKDAY(A355))</f>
        <v>46228</v>
      </c>
      <c r="H355" s="36" t="n">
        <f aca="false">IF(A355="","",DATE(YEAR(A355),MONTH(A355),1))</f>
        <v>46204</v>
      </c>
      <c r="I355" s="37" t="str">
        <f aca="false">IF(B355="","",IFERROR(INDEX(st_ID,MATCH(B355,st_Name,0)),"Unknown"))</f>
        <v>QP-05</v>
      </c>
      <c r="J355" s="37" t="str">
        <f aca="false">IF(C355="","",IFERROR(INDEX(cl_Code,MATCH(C355,cl_Name,0)),"Unknown"))</f>
        <v>WMS</v>
      </c>
      <c r="K355" s="37" t="str">
        <f aca="false">IF(D355="","",IFERROR(INDEX(rt_Billable,MATCH(D355,rt_Code,0)),"Unknown"))</f>
        <v>Yes</v>
      </c>
      <c r="L355" s="38" t="n">
        <f aca="false">IF(K355&lt;&gt;"Yes","",IFERROR(INDEX(cr_Rate,MATCH(J355&amp;"|"&amp;D355,cr_Key,0)),INDEX(rt_Rate,MATCH(D355,rt_Code,0))))</f>
        <v>110</v>
      </c>
      <c r="M355" s="25" t="n">
        <f aca="false">IF(L355="","",ROUND(N(E355)*L355,2))</f>
        <v>302.5</v>
      </c>
      <c r="N355" s="39" t="n">
        <f aca="false">IF(OR(A355="",B355=""),"",SUMIFS(tl_Hours,tl_StaffID,I355,tl_Date,A355))</f>
        <v>8</v>
      </c>
      <c r="O355" s="40" t="str">
        <f aca="false">IF(A355&amp;B355&amp;D355="","",IF(OR(A355="",B355="",D355="",E355=""),"Incomplete",IF(K355="Unknown","Unknown code",IF(AND(K355="Yes",C355=""),"Billable, needs client",IF(N355&gt;MaxDayHours,"Over "&amp;MaxDayHours&amp;" hours that day","")))))</f>
        <v/>
      </c>
    </row>
    <row r="356" customFormat="false" ht="15" hidden="false" customHeight="false" outlineLevel="0" collapsed="false">
      <c r="A356" s="31" t="n">
        <v>46224</v>
      </c>
      <c r="B356" s="32" t="s">
        <v>103</v>
      </c>
      <c r="C356" s="32" t="s">
        <v>111</v>
      </c>
      <c r="D356" s="33" t="s">
        <v>92</v>
      </c>
      <c r="E356" s="34" t="n">
        <v>1.25</v>
      </c>
      <c r="F356" s="32"/>
      <c r="G356" s="35" t="n">
        <f aca="false">IF(A356="","",A356+7-WEEKDAY(A356))</f>
        <v>46228</v>
      </c>
      <c r="H356" s="36" t="n">
        <f aca="false">IF(A356="","",DATE(YEAR(A356),MONTH(A356),1))</f>
        <v>46204</v>
      </c>
      <c r="I356" s="37" t="str">
        <f aca="false">IF(B356="","",IFERROR(INDEX(st_ID,MATCH(B356,st_Name,0)),"Unknown"))</f>
        <v>QP-05</v>
      </c>
      <c r="J356" s="37" t="str">
        <f aca="false">IF(C356="","",IFERROR(INDEX(cl_Code,MATCH(C356,cl_Name,0)),"Unknown"))</f>
        <v>WMS</v>
      </c>
      <c r="K356" s="37" t="str">
        <f aca="false">IF(D356="","",IFERROR(INDEX(rt_Billable,MATCH(D356,rt_Code,0)),"Unknown"))</f>
        <v>Yes</v>
      </c>
      <c r="L356" s="38" t="n">
        <f aca="false">IF(K356&lt;&gt;"Yes","",IFERROR(INDEX(cr_Rate,MATCH(J356&amp;"|"&amp;D356,cr_Key,0)),INDEX(rt_Rate,MATCH(D356,rt_Code,0))))</f>
        <v>150</v>
      </c>
      <c r="M356" s="25" t="n">
        <f aca="false">IF(L356="","",ROUND(N(E356)*L356,2))</f>
        <v>187.5</v>
      </c>
      <c r="N356" s="39" t="n">
        <f aca="false">IF(OR(A356="",B356=""),"",SUMIFS(tl_Hours,tl_StaffID,I356,tl_Date,A356))</f>
        <v>8</v>
      </c>
      <c r="O356" s="40" t="str">
        <f aca="false">IF(A356&amp;B356&amp;D356="","",IF(OR(A356="",B356="",D356="",E356=""),"Incomplete",IF(K356="Unknown","Unknown code",IF(AND(K356="Yes",C356=""),"Billable, needs client",IF(N356&gt;MaxDayHours,"Over "&amp;MaxDayHours&amp;" hours that day","")))))</f>
        <v/>
      </c>
    </row>
    <row r="357" customFormat="false" ht="15" hidden="false" customHeight="false" outlineLevel="0" collapsed="false">
      <c r="A357" s="31" t="n">
        <v>46224</v>
      </c>
      <c r="B357" s="32" t="s">
        <v>103</v>
      </c>
      <c r="C357" s="32"/>
      <c r="D357" s="33" t="s">
        <v>96</v>
      </c>
      <c r="E357" s="34" t="n">
        <v>4</v>
      </c>
      <c r="F357" s="32"/>
      <c r="G357" s="35" t="n">
        <f aca="false">IF(A357="","",A357+7-WEEKDAY(A357))</f>
        <v>46228</v>
      </c>
      <c r="H357" s="36" t="n">
        <f aca="false">IF(A357="","",DATE(YEAR(A357),MONTH(A357),1))</f>
        <v>46204</v>
      </c>
      <c r="I357" s="37" t="str">
        <f aca="false">IF(B357="","",IFERROR(INDEX(st_ID,MATCH(B357,st_Name,0)),"Unknown"))</f>
        <v>QP-05</v>
      </c>
      <c r="J357" s="37" t="str">
        <f aca="false">IF(C357="","",IFERROR(INDEX(cl_Code,MATCH(C357,cl_Name,0)),"Unknown"))</f>
        <v/>
      </c>
      <c r="K357" s="37" t="str">
        <f aca="false">IF(D357="","",IFERROR(INDEX(rt_Billable,MATCH(D357,rt_Code,0)),"Unknown"))</f>
        <v>No</v>
      </c>
      <c r="L357" s="38" t="str">
        <f aca="false">IF(K357&lt;&gt;"Yes","",IFERROR(INDEX(cr_Rate,MATCH(J357&amp;"|"&amp;D357,cr_Key,0)),INDEX(rt_Rate,MATCH(D357,rt_Code,0))))</f>
        <v/>
      </c>
      <c r="M357" s="25" t="str">
        <f aca="false">IF(L357="","",ROUND(N(E357)*L357,2))</f>
        <v/>
      </c>
      <c r="N357" s="39" t="n">
        <f aca="false">IF(OR(A357="",B357=""),"",SUMIFS(tl_Hours,tl_StaffID,I357,tl_Date,A357))</f>
        <v>8</v>
      </c>
      <c r="O357" s="40" t="str">
        <f aca="false">IF(A357&amp;B357&amp;D357="","",IF(OR(A357="",B357="",D357="",E357=""),"Incomplete",IF(K357="Unknown","Unknown code",IF(AND(K357="Yes",C357=""),"Billable, needs client",IF(N357&gt;MaxDayHours,"Over "&amp;MaxDayHours&amp;" hours that day","")))))</f>
        <v/>
      </c>
    </row>
    <row r="358" customFormat="false" ht="15" hidden="false" customHeight="false" outlineLevel="0" collapsed="false">
      <c r="A358" s="31" t="n">
        <v>46224</v>
      </c>
      <c r="B358" s="32" t="s">
        <v>105</v>
      </c>
      <c r="C358" s="32" t="s">
        <v>90</v>
      </c>
      <c r="D358" s="33" t="s">
        <v>88</v>
      </c>
      <c r="E358" s="34" t="n">
        <v>2.75</v>
      </c>
      <c r="F358" s="32"/>
      <c r="G358" s="35" t="n">
        <f aca="false">IF(A358="","",A358+7-WEEKDAY(A358))</f>
        <v>46228</v>
      </c>
      <c r="H358" s="36" t="n">
        <f aca="false">IF(A358="","",DATE(YEAR(A358),MONTH(A358),1))</f>
        <v>46204</v>
      </c>
      <c r="I358" s="37" t="str">
        <f aca="false">IF(B358="","",IFERROR(INDEX(st_ID,MATCH(B358,st_Name,0)),"Unknown"))</f>
        <v>QP-06</v>
      </c>
      <c r="J358" s="37" t="str">
        <f aca="false">IF(C358="","",IFERROR(INDEX(cl_Code,MATCH(C358,cl_Name,0)),"Unknown"))</f>
        <v>BSE</v>
      </c>
      <c r="K358" s="37" t="str">
        <f aca="false">IF(D358="","",IFERROR(INDEX(rt_Billable,MATCH(D358,rt_Code,0)),"Unknown"))</f>
        <v>Yes</v>
      </c>
      <c r="L358" s="38" t="n">
        <f aca="false">IF(K358&lt;&gt;"Yes","",IFERROR(INDEX(cr_Rate,MATCH(J358&amp;"|"&amp;D358,cr_Key,0)),INDEX(rt_Rate,MATCH(D358,rt_Code,0))))</f>
        <v>104</v>
      </c>
      <c r="M358" s="25" t="n">
        <f aca="false">IF(L358="","",ROUND(N(E358)*L358,2))</f>
        <v>286</v>
      </c>
      <c r="N358" s="39" t="n">
        <f aca="false">IF(OR(A358="",B358=""),"",SUMIFS(tl_Hours,tl_StaffID,I358,tl_Date,A358))</f>
        <v>8</v>
      </c>
      <c r="O358" s="40" t="str">
        <f aca="false">IF(A358&amp;B358&amp;D358="","",IF(OR(A358="",B358="",D358="",E358=""),"Incomplete",IF(K358="Unknown","Unknown code",IF(AND(K358="Yes",C358=""),"Billable, needs client",IF(N358&gt;MaxDayHours,"Over "&amp;MaxDayHours&amp;" hours that day","")))))</f>
        <v/>
      </c>
    </row>
    <row r="359" customFormat="false" ht="15" hidden="false" customHeight="false" outlineLevel="0" collapsed="false">
      <c r="A359" s="31" t="n">
        <v>46224</v>
      </c>
      <c r="B359" s="32" t="s">
        <v>105</v>
      </c>
      <c r="C359" s="32" t="s">
        <v>90</v>
      </c>
      <c r="D359" s="33" t="s">
        <v>92</v>
      </c>
      <c r="E359" s="34" t="n">
        <v>1.75</v>
      </c>
      <c r="F359" s="32"/>
      <c r="G359" s="35" t="n">
        <f aca="false">IF(A359="","",A359+7-WEEKDAY(A359))</f>
        <v>46228</v>
      </c>
      <c r="H359" s="36" t="n">
        <f aca="false">IF(A359="","",DATE(YEAR(A359),MONTH(A359),1))</f>
        <v>46204</v>
      </c>
      <c r="I359" s="37" t="str">
        <f aca="false">IF(B359="","",IFERROR(INDEX(st_ID,MATCH(B359,st_Name,0)),"Unknown"))</f>
        <v>QP-06</v>
      </c>
      <c r="J359" s="37" t="str">
        <f aca="false">IF(C359="","",IFERROR(INDEX(cl_Code,MATCH(C359,cl_Name,0)),"Unknown"))</f>
        <v>BSE</v>
      </c>
      <c r="K359" s="37" t="str">
        <f aca="false">IF(D359="","",IFERROR(INDEX(rt_Billable,MATCH(D359,rt_Code,0)),"Unknown"))</f>
        <v>Yes</v>
      </c>
      <c r="L359" s="38" t="n">
        <f aca="false">IF(K359&lt;&gt;"Yes","",IFERROR(INDEX(cr_Rate,MATCH(J359&amp;"|"&amp;D359,cr_Key,0)),INDEX(rt_Rate,MATCH(D359,rt_Code,0))))</f>
        <v>145</v>
      </c>
      <c r="M359" s="25" t="n">
        <f aca="false">IF(L359="","",ROUND(N(E359)*L359,2))</f>
        <v>253.75</v>
      </c>
      <c r="N359" s="39" t="n">
        <f aca="false">IF(OR(A359="",B359=""),"",SUMIFS(tl_Hours,tl_StaffID,I359,tl_Date,A359))</f>
        <v>8</v>
      </c>
      <c r="O359" s="40" t="str">
        <f aca="false">IF(A359&amp;B359&amp;D359="","",IF(OR(A359="",B359="",D359="",E359=""),"Incomplete",IF(K359="Unknown","Unknown code",IF(AND(K359="Yes",C359=""),"Billable, needs client",IF(N359&gt;MaxDayHours,"Over "&amp;MaxDayHours&amp;" hours that day","")))))</f>
        <v/>
      </c>
    </row>
    <row r="360" customFormat="false" ht="15" hidden="false" customHeight="false" outlineLevel="0" collapsed="false">
      <c r="A360" s="31" t="n">
        <v>46224</v>
      </c>
      <c r="B360" s="32" t="s">
        <v>105</v>
      </c>
      <c r="C360" s="32"/>
      <c r="D360" s="33" t="s">
        <v>96</v>
      </c>
      <c r="E360" s="34" t="n">
        <v>3.5</v>
      </c>
      <c r="F360" s="32"/>
      <c r="G360" s="35" t="n">
        <f aca="false">IF(A360="","",A360+7-WEEKDAY(A360))</f>
        <v>46228</v>
      </c>
      <c r="H360" s="36" t="n">
        <f aca="false">IF(A360="","",DATE(YEAR(A360),MONTH(A360),1))</f>
        <v>46204</v>
      </c>
      <c r="I360" s="37" t="str">
        <f aca="false">IF(B360="","",IFERROR(INDEX(st_ID,MATCH(B360,st_Name,0)),"Unknown"))</f>
        <v>QP-06</v>
      </c>
      <c r="J360" s="37" t="str">
        <f aca="false">IF(C360="","",IFERROR(INDEX(cl_Code,MATCH(C360,cl_Name,0)),"Unknown"))</f>
        <v/>
      </c>
      <c r="K360" s="37" t="str">
        <f aca="false">IF(D360="","",IFERROR(INDEX(rt_Billable,MATCH(D360,rt_Code,0)),"Unknown"))</f>
        <v>No</v>
      </c>
      <c r="L360" s="38" t="str">
        <f aca="false">IF(K360&lt;&gt;"Yes","",IFERROR(INDEX(cr_Rate,MATCH(J360&amp;"|"&amp;D360,cr_Key,0)),INDEX(rt_Rate,MATCH(D360,rt_Code,0))))</f>
        <v/>
      </c>
      <c r="M360" s="25" t="str">
        <f aca="false">IF(L360="","",ROUND(N(E360)*L360,2))</f>
        <v/>
      </c>
      <c r="N360" s="39" t="n">
        <f aca="false">IF(OR(A360="",B360=""),"",SUMIFS(tl_Hours,tl_StaffID,I360,tl_Date,A360))</f>
        <v>8</v>
      </c>
      <c r="O360" s="40" t="str">
        <f aca="false">IF(A360&amp;B360&amp;D360="","",IF(OR(A360="",B360="",D360="",E360=""),"Incomplete",IF(K360="Unknown","Unknown code",IF(AND(K360="Yes",C360=""),"Billable, needs client",IF(N360&gt;MaxDayHours,"Over "&amp;MaxDayHours&amp;" hours that day","")))))</f>
        <v/>
      </c>
    </row>
    <row r="361" customFormat="false" ht="15" hidden="false" customHeight="false" outlineLevel="0" collapsed="false">
      <c r="A361" s="31" t="n">
        <v>46224</v>
      </c>
      <c r="B361" s="32" t="s">
        <v>106</v>
      </c>
      <c r="C361" s="32" t="s">
        <v>112</v>
      </c>
      <c r="D361" s="33" t="s">
        <v>88</v>
      </c>
      <c r="E361" s="34" t="n">
        <v>1.75</v>
      </c>
      <c r="F361" s="32"/>
      <c r="G361" s="35" t="n">
        <f aca="false">IF(A361="","",A361+7-WEEKDAY(A361))</f>
        <v>46228</v>
      </c>
      <c r="H361" s="36" t="n">
        <f aca="false">IF(A361="","",DATE(YEAR(A361),MONTH(A361),1))</f>
        <v>46204</v>
      </c>
      <c r="I361" s="37" t="str">
        <f aca="false">IF(B361="","",IFERROR(INDEX(st_ID,MATCH(B361,st_Name,0)),"Unknown"))</f>
        <v>QP-07</v>
      </c>
      <c r="J361" s="37" t="str">
        <f aca="false">IF(C361="","",IFERROR(INDEX(cl_Code,MATCH(C361,cl_Name,0)),"Unknown"))</f>
        <v>PCA</v>
      </c>
      <c r="K361" s="37" t="str">
        <f aca="false">IF(D361="","",IFERROR(INDEX(rt_Billable,MATCH(D361,rt_Code,0)),"Unknown"))</f>
        <v>Yes</v>
      </c>
      <c r="L361" s="38" t="n">
        <f aca="false">IF(K361&lt;&gt;"Yes","",IFERROR(INDEX(cr_Rate,MATCH(J361&amp;"|"&amp;D361,cr_Key,0)),INDEX(rt_Rate,MATCH(D361,rt_Code,0))))</f>
        <v>110</v>
      </c>
      <c r="M361" s="25" t="n">
        <f aca="false">IF(L361="","",ROUND(N(E361)*L361,2))</f>
        <v>192.5</v>
      </c>
      <c r="N361" s="39" t="n">
        <f aca="false">IF(OR(A361="",B361=""),"",SUMIFS(tl_Hours,tl_StaffID,I361,tl_Date,A361))</f>
        <v>8</v>
      </c>
      <c r="O361" s="40" t="str">
        <f aca="false">IF(A361&amp;B361&amp;D361="","",IF(OR(A361="",B361="",D361="",E361=""),"Incomplete",IF(K361="Unknown","Unknown code",IF(AND(K361="Yes",C361=""),"Billable, needs client",IF(N361&gt;MaxDayHours,"Over "&amp;MaxDayHours&amp;" hours that day","")))))</f>
        <v/>
      </c>
    </row>
    <row r="362" customFormat="false" ht="15" hidden="false" customHeight="false" outlineLevel="0" collapsed="false">
      <c r="A362" s="31" t="n">
        <v>46224</v>
      </c>
      <c r="B362" s="32" t="s">
        <v>106</v>
      </c>
      <c r="C362" s="32" t="s">
        <v>112</v>
      </c>
      <c r="D362" s="33" t="s">
        <v>89</v>
      </c>
      <c r="E362" s="34" t="n">
        <v>0.5</v>
      </c>
      <c r="F362" s="32"/>
      <c r="G362" s="35" t="n">
        <f aca="false">IF(A362="","",A362+7-WEEKDAY(A362))</f>
        <v>46228</v>
      </c>
      <c r="H362" s="36" t="n">
        <f aca="false">IF(A362="","",DATE(YEAR(A362),MONTH(A362),1))</f>
        <v>46204</v>
      </c>
      <c r="I362" s="37" t="str">
        <f aca="false">IF(B362="","",IFERROR(INDEX(st_ID,MATCH(B362,st_Name,0)),"Unknown"))</f>
        <v>QP-07</v>
      </c>
      <c r="J362" s="37" t="str">
        <f aca="false">IF(C362="","",IFERROR(INDEX(cl_Code,MATCH(C362,cl_Name,0)),"Unknown"))</f>
        <v>PCA</v>
      </c>
      <c r="K362" s="37" t="str">
        <f aca="false">IF(D362="","",IFERROR(INDEX(rt_Billable,MATCH(D362,rt_Code,0)),"Unknown"))</f>
        <v>Yes</v>
      </c>
      <c r="L362" s="38" t="n">
        <f aca="false">IF(K362&lt;&gt;"Yes","",IFERROR(INDEX(cr_Rate,MATCH(J362&amp;"|"&amp;D362,cr_Key,0)),INDEX(rt_Rate,MATCH(D362,rt_Code,0))))</f>
        <v>95</v>
      </c>
      <c r="M362" s="25" t="n">
        <f aca="false">IF(L362="","",ROUND(N(E362)*L362,2))</f>
        <v>47.5</v>
      </c>
      <c r="N362" s="39" t="n">
        <f aca="false">IF(OR(A362="",B362=""),"",SUMIFS(tl_Hours,tl_StaffID,I362,tl_Date,A362))</f>
        <v>8</v>
      </c>
      <c r="O362" s="40" t="str">
        <f aca="false">IF(A362&amp;B362&amp;D362="","",IF(OR(A362="",B362="",D362="",E362=""),"Incomplete",IF(K362="Unknown","Unknown code",IF(AND(K362="Yes",C362=""),"Billable, needs client",IF(N362&gt;MaxDayHours,"Over "&amp;MaxDayHours&amp;" hours that day","")))))</f>
        <v/>
      </c>
    </row>
    <row r="363" customFormat="false" ht="15" hidden="false" customHeight="false" outlineLevel="0" collapsed="false">
      <c r="A363" s="31" t="n">
        <v>46224</v>
      </c>
      <c r="B363" s="32" t="s">
        <v>106</v>
      </c>
      <c r="C363" s="32" t="s">
        <v>102</v>
      </c>
      <c r="D363" s="33" t="s">
        <v>88</v>
      </c>
      <c r="E363" s="34" t="n">
        <v>1.25</v>
      </c>
      <c r="F363" s="32"/>
      <c r="G363" s="35" t="n">
        <f aca="false">IF(A363="","",A363+7-WEEKDAY(A363))</f>
        <v>46228</v>
      </c>
      <c r="H363" s="36" t="n">
        <f aca="false">IF(A363="","",DATE(YEAR(A363),MONTH(A363),1))</f>
        <v>46204</v>
      </c>
      <c r="I363" s="37" t="str">
        <f aca="false">IF(B363="","",IFERROR(INDEX(st_ID,MATCH(B363,st_Name,0)),"Unknown"))</f>
        <v>QP-07</v>
      </c>
      <c r="J363" s="37" t="str">
        <f aca="false">IF(C363="","",IFERROR(INDEX(cl_Code,MATCH(C363,cl_Name,0)),"Unknown"))</f>
        <v>CLH</v>
      </c>
      <c r="K363" s="37" t="str">
        <f aca="false">IF(D363="","",IFERROR(INDEX(rt_Billable,MATCH(D363,rt_Code,0)),"Unknown"))</f>
        <v>Yes</v>
      </c>
      <c r="L363" s="38" t="n">
        <f aca="false">IF(K363&lt;&gt;"Yes","",IFERROR(INDEX(cr_Rate,MATCH(J363&amp;"|"&amp;D363,cr_Key,0)),INDEX(rt_Rate,MATCH(D363,rt_Code,0))))</f>
        <v>110</v>
      </c>
      <c r="M363" s="25" t="n">
        <f aca="false">IF(L363="","",ROUND(N(E363)*L363,2))</f>
        <v>137.5</v>
      </c>
      <c r="N363" s="39" t="n">
        <f aca="false">IF(OR(A363="",B363=""),"",SUMIFS(tl_Hours,tl_StaffID,I363,tl_Date,A363))</f>
        <v>8</v>
      </c>
      <c r="O363" s="40" t="str">
        <f aca="false">IF(A363&amp;B363&amp;D363="","",IF(OR(A363="",B363="",D363="",E363=""),"Incomplete",IF(K363="Unknown","Unknown code",IF(AND(K363="Yes",C363=""),"Billable, needs client",IF(N363&gt;MaxDayHours,"Over "&amp;MaxDayHours&amp;" hours that day","")))))</f>
        <v/>
      </c>
    </row>
    <row r="364" customFormat="false" ht="15" hidden="false" customHeight="false" outlineLevel="0" collapsed="false">
      <c r="A364" s="31" t="n">
        <v>46224</v>
      </c>
      <c r="B364" s="32" t="s">
        <v>106</v>
      </c>
      <c r="C364" s="32" t="s">
        <v>102</v>
      </c>
      <c r="D364" s="33" t="s">
        <v>113</v>
      </c>
      <c r="E364" s="34" t="n">
        <v>1</v>
      </c>
      <c r="F364" s="32"/>
      <c r="G364" s="35" t="n">
        <f aca="false">IF(A364="","",A364+7-WEEKDAY(A364))</f>
        <v>46228</v>
      </c>
      <c r="H364" s="36" t="n">
        <f aca="false">IF(A364="","",DATE(YEAR(A364),MONTH(A364),1))</f>
        <v>46204</v>
      </c>
      <c r="I364" s="37" t="str">
        <f aca="false">IF(B364="","",IFERROR(INDEX(st_ID,MATCH(B364,st_Name,0)),"Unknown"))</f>
        <v>QP-07</v>
      </c>
      <c r="J364" s="37" t="str">
        <f aca="false">IF(C364="","",IFERROR(INDEX(cl_Code,MATCH(C364,cl_Name,0)),"Unknown"))</f>
        <v>CLH</v>
      </c>
      <c r="K364" s="37" t="str">
        <f aca="false">IF(D364="","",IFERROR(INDEX(rt_Billable,MATCH(D364,rt_Code,0)),"Unknown"))</f>
        <v>Yes</v>
      </c>
      <c r="L364" s="38" t="n">
        <f aca="false">IF(K364&lt;&gt;"Yes","",IFERROR(INDEX(cr_Rate,MATCH(J364&amp;"|"&amp;D364,cr_Key,0)),INDEX(rt_Rate,MATCH(D364,rt_Code,0))))</f>
        <v>75</v>
      </c>
      <c r="M364" s="25" t="n">
        <f aca="false">IF(L364="","",ROUND(N(E364)*L364,2))</f>
        <v>75</v>
      </c>
      <c r="N364" s="39" t="n">
        <f aca="false">IF(OR(A364="",B364=""),"",SUMIFS(tl_Hours,tl_StaffID,I364,tl_Date,A364))</f>
        <v>8</v>
      </c>
      <c r="O364" s="40" t="str">
        <f aca="false">IF(A364&amp;B364&amp;D364="","",IF(OR(A364="",B364="",D364="",E364=""),"Incomplete",IF(K364="Unknown","Unknown code",IF(AND(K364="Yes",C364=""),"Billable, needs client",IF(N364&gt;MaxDayHours,"Over "&amp;MaxDayHours&amp;" hours that day","")))))</f>
        <v/>
      </c>
    </row>
    <row r="365" customFormat="false" ht="15" hidden="false" customHeight="false" outlineLevel="0" collapsed="false">
      <c r="A365" s="31" t="n">
        <v>46224</v>
      </c>
      <c r="B365" s="32" t="s">
        <v>106</v>
      </c>
      <c r="C365" s="32"/>
      <c r="D365" s="33" t="s">
        <v>93</v>
      </c>
      <c r="E365" s="34" t="n">
        <v>0.5</v>
      </c>
      <c r="F365" s="32"/>
      <c r="G365" s="35" t="n">
        <f aca="false">IF(A365="","",A365+7-WEEKDAY(A365))</f>
        <v>46228</v>
      </c>
      <c r="H365" s="36" t="n">
        <f aca="false">IF(A365="","",DATE(YEAR(A365),MONTH(A365),1))</f>
        <v>46204</v>
      </c>
      <c r="I365" s="37" t="str">
        <f aca="false">IF(B365="","",IFERROR(INDEX(st_ID,MATCH(B365,st_Name,0)),"Unknown"))</f>
        <v>QP-07</v>
      </c>
      <c r="J365" s="37" t="str">
        <f aca="false">IF(C365="","",IFERROR(INDEX(cl_Code,MATCH(C365,cl_Name,0)),"Unknown"))</f>
        <v/>
      </c>
      <c r="K365" s="37" t="str">
        <f aca="false">IF(D365="","",IFERROR(INDEX(rt_Billable,MATCH(D365,rt_Code,0)),"Unknown"))</f>
        <v>No</v>
      </c>
      <c r="L365" s="38" t="str">
        <f aca="false">IF(K365&lt;&gt;"Yes","",IFERROR(INDEX(cr_Rate,MATCH(J365&amp;"|"&amp;D365,cr_Key,0)),INDEX(rt_Rate,MATCH(D365,rt_Code,0))))</f>
        <v/>
      </c>
      <c r="M365" s="25" t="str">
        <f aca="false">IF(L365="","",ROUND(N(E365)*L365,2))</f>
        <v/>
      </c>
      <c r="N365" s="39" t="n">
        <f aca="false">IF(OR(A365="",B365=""),"",SUMIFS(tl_Hours,tl_StaffID,I365,tl_Date,A365))</f>
        <v>8</v>
      </c>
      <c r="O365" s="40" t="str">
        <f aca="false">IF(A365&amp;B365&amp;D365="","",IF(OR(A365="",B365="",D365="",E365=""),"Incomplete",IF(K365="Unknown","Unknown code",IF(AND(K365="Yes",C365=""),"Billable, needs client",IF(N365&gt;MaxDayHours,"Over "&amp;MaxDayHours&amp;" hours that day","")))))</f>
        <v/>
      </c>
    </row>
    <row r="366" customFormat="false" ht="15" hidden="false" customHeight="false" outlineLevel="0" collapsed="false">
      <c r="A366" s="31" t="n">
        <v>46224</v>
      </c>
      <c r="B366" s="32" t="s">
        <v>106</v>
      </c>
      <c r="C366" s="32"/>
      <c r="D366" s="33" t="s">
        <v>96</v>
      </c>
      <c r="E366" s="34" t="n">
        <v>3</v>
      </c>
      <c r="F366" s="32"/>
      <c r="G366" s="35" t="n">
        <f aca="false">IF(A366="","",A366+7-WEEKDAY(A366))</f>
        <v>46228</v>
      </c>
      <c r="H366" s="36" t="n">
        <f aca="false">IF(A366="","",DATE(YEAR(A366),MONTH(A366),1))</f>
        <v>46204</v>
      </c>
      <c r="I366" s="37" t="str">
        <f aca="false">IF(B366="","",IFERROR(INDEX(st_ID,MATCH(B366,st_Name,0)),"Unknown"))</f>
        <v>QP-07</v>
      </c>
      <c r="J366" s="37" t="str">
        <f aca="false">IF(C366="","",IFERROR(INDEX(cl_Code,MATCH(C366,cl_Name,0)),"Unknown"))</f>
        <v/>
      </c>
      <c r="K366" s="37" t="str">
        <f aca="false">IF(D366="","",IFERROR(INDEX(rt_Billable,MATCH(D366,rt_Code,0)),"Unknown"))</f>
        <v>No</v>
      </c>
      <c r="L366" s="38" t="str">
        <f aca="false">IF(K366&lt;&gt;"Yes","",IFERROR(INDEX(cr_Rate,MATCH(J366&amp;"|"&amp;D366,cr_Key,0)),INDEX(rt_Rate,MATCH(D366,rt_Code,0))))</f>
        <v/>
      </c>
      <c r="M366" s="25" t="str">
        <f aca="false">IF(L366="","",ROUND(N(E366)*L366,2))</f>
        <v/>
      </c>
      <c r="N366" s="39" t="n">
        <f aca="false">IF(OR(A366="",B366=""),"",SUMIFS(tl_Hours,tl_StaffID,I366,tl_Date,A366))</f>
        <v>8</v>
      </c>
      <c r="O366" s="40" t="str">
        <f aca="false">IF(A366&amp;B366&amp;D366="","",IF(OR(A366="",B366="",D366="",E366=""),"Incomplete",IF(K366="Unknown","Unknown code",IF(AND(K366="Yes",C366=""),"Billable, needs client",IF(N366&gt;MaxDayHours,"Over "&amp;MaxDayHours&amp;" hours that day","")))))</f>
        <v/>
      </c>
    </row>
    <row r="367" customFormat="false" ht="15" hidden="false" customHeight="false" outlineLevel="0" collapsed="false">
      <c r="A367" s="31" t="n">
        <v>46224</v>
      </c>
      <c r="B367" s="32" t="s">
        <v>107</v>
      </c>
      <c r="C367" s="32"/>
      <c r="D367" s="33" t="s">
        <v>108</v>
      </c>
      <c r="E367" s="34" t="n">
        <v>6</v>
      </c>
      <c r="F367" s="32"/>
      <c r="G367" s="35" t="n">
        <f aca="false">IF(A367="","",A367+7-WEEKDAY(A367))</f>
        <v>46228</v>
      </c>
      <c r="H367" s="36" t="n">
        <f aca="false">IF(A367="","",DATE(YEAR(A367),MONTH(A367),1))</f>
        <v>46204</v>
      </c>
      <c r="I367" s="37" t="str">
        <f aca="false">IF(B367="","",IFERROR(INDEX(st_ID,MATCH(B367,st_Name,0)),"Unknown"))</f>
        <v>QP-08</v>
      </c>
      <c r="J367" s="37" t="str">
        <f aca="false">IF(C367="","",IFERROR(INDEX(cl_Code,MATCH(C367,cl_Name,0)),"Unknown"))</f>
        <v/>
      </c>
      <c r="K367" s="37" t="str">
        <f aca="false">IF(D367="","",IFERROR(INDEX(rt_Billable,MATCH(D367,rt_Code,0)),"Unknown"))</f>
        <v>No</v>
      </c>
      <c r="L367" s="38" t="str">
        <f aca="false">IF(K367&lt;&gt;"Yes","",IFERROR(INDEX(cr_Rate,MATCH(J367&amp;"|"&amp;D367,cr_Key,0)),INDEX(rt_Rate,MATCH(D367,rt_Code,0))))</f>
        <v/>
      </c>
      <c r="M367" s="25" t="str">
        <f aca="false">IF(L367="","",ROUND(N(E367)*L367,2))</f>
        <v/>
      </c>
      <c r="N367" s="39" t="n">
        <f aca="false">IF(OR(A367="",B367=""),"",SUMIFS(tl_Hours,tl_StaffID,I367,tl_Date,A367))</f>
        <v>8</v>
      </c>
      <c r="O367" s="40" t="str">
        <f aca="false">IF(A367&amp;B367&amp;D367="","",IF(OR(A367="",B367="",D367="",E367=""),"Incomplete",IF(K367="Unknown","Unknown code",IF(AND(K367="Yes",C367=""),"Billable, needs client",IF(N367&gt;MaxDayHours,"Over "&amp;MaxDayHours&amp;" hours that day","")))))</f>
        <v/>
      </c>
    </row>
    <row r="368" customFormat="false" ht="15" hidden="false" customHeight="false" outlineLevel="0" collapsed="false">
      <c r="A368" s="31" t="n">
        <v>46224</v>
      </c>
      <c r="B368" s="32" t="s">
        <v>107</v>
      </c>
      <c r="C368" s="32"/>
      <c r="D368" s="33" t="s">
        <v>98</v>
      </c>
      <c r="E368" s="34" t="n">
        <v>2</v>
      </c>
      <c r="F368" s="32"/>
      <c r="G368" s="35" t="n">
        <f aca="false">IF(A368="","",A368+7-WEEKDAY(A368))</f>
        <v>46228</v>
      </c>
      <c r="H368" s="36" t="n">
        <f aca="false">IF(A368="","",DATE(YEAR(A368),MONTH(A368),1))</f>
        <v>46204</v>
      </c>
      <c r="I368" s="37" t="str">
        <f aca="false">IF(B368="","",IFERROR(INDEX(st_ID,MATCH(B368,st_Name,0)),"Unknown"))</f>
        <v>QP-08</v>
      </c>
      <c r="J368" s="37" t="str">
        <f aca="false">IF(C368="","",IFERROR(INDEX(cl_Code,MATCH(C368,cl_Name,0)),"Unknown"))</f>
        <v/>
      </c>
      <c r="K368" s="37" t="str">
        <f aca="false">IF(D368="","",IFERROR(INDEX(rt_Billable,MATCH(D368,rt_Code,0)),"Unknown"))</f>
        <v>No</v>
      </c>
      <c r="L368" s="38" t="str">
        <f aca="false">IF(K368&lt;&gt;"Yes","",IFERROR(INDEX(cr_Rate,MATCH(J368&amp;"|"&amp;D368,cr_Key,0)),INDEX(rt_Rate,MATCH(D368,rt_Code,0))))</f>
        <v/>
      </c>
      <c r="M368" s="25" t="str">
        <f aca="false">IF(L368="","",ROUND(N(E368)*L368,2))</f>
        <v/>
      </c>
      <c r="N368" s="39" t="n">
        <f aca="false">IF(OR(A368="",B368=""),"",SUMIFS(tl_Hours,tl_StaffID,I368,tl_Date,A368))</f>
        <v>8</v>
      </c>
      <c r="O368" s="40" t="str">
        <f aca="false">IF(A368&amp;B368&amp;D368="","",IF(OR(A368="",B368="",D368="",E368=""),"Incomplete",IF(K368="Unknown","Unknown code",IF(AND(K368="Yes",C368=""),"Billable, needs client",IF(N368&gt;MaxDayHours,"Over "&amp;MaxDayHours&amp;" hours that day","")))))</f>
        <v/>
      </c>
    </row>
    <row r="369" customFormat="false" ht="15" hidden="false" customHeight="false" outlineLevel="0" collapsed="false">
      <c r="A369" s="31" t="n">
        <v>46225</v>
      </c>
      <c r="B369" s="32" t="s">
        <v>86</v>
      </c>
      <c r="C369" s="32" t="s">
        <v>90</v>
      </c>
      <c r="D369" s="33" t="s">
        <v>91</v>
      </c>
      <c r="E369" s="34" t="n">
        <v>1.5</v>
      </c>
      <c r="F369" s="32"/>
      <c r="G369" s="35" t="n">
        <f aca="false">IF(A369="","",A369+7-WEEKDAY(A369))</f>
        <v>46228</v>
      </c>
      <c r="H369" s="36" t="n">
        <f aca="false">IF(A369="","",DATE(YEAR(A369),MONTH(A369),1))</f>
        <v>46204</v>
      </c>
      <c r="I369" s="37" t="str">
        <f aca="false">IF(B369="","",IFERROR(INDEX(st_ID,MATCH(B369,st_Name,0)),"Unknown"))</f>
        <v>QP-01</v>
      </c>
      <c r="J369" s="37" t="str">
        <f aca="false">IF(C369="","",IFERROR(INDEX(cl_Code,MATCH(C369,cl_Name,0)),"Unknown"))</f>
        <v>BSE</v>
      </c>
      <c r="K369" s="37" t="str">
        <f aca="false">IF(D369="","",IFERROR(INDEX(rt_Billable,MATCH(D369,rt_Code,0)),"Unknown"))</f>
        <v>Yes</v>
      </c>
      <c r="L369" s="38" t="n">
        <f aca="false">IF(K369&lt;&gt;"Yes","",IFERROR(INDEX(cr_Rate,MATCH(J369&amp;"|"&amp;D369,cr_Key,0)),INDEX(rt_Rate,MATCH(D369,rt_Code,0))))</f>
        <v>100</v>
      </c>
      <c r="M369" s="25" t="n">
        <f aca="false">IF(L369="","",ROUND(N(E369)*L369,2))</f>
        <v>150</v>
      </c>
      <c r="N369" s="39" t="n">
        <f aca="false">IF(OR(A369="",B369=""),"",SUMIFS(tl_Hours,tl_StaffID,I369,tl_Date,A369))</f>
        <v>8</v>
      </c>
      <c r="O369" s="40" t="str">
        <f aca="false">IF(A369&amp;B369&amp;D369="","",IF(OR(A369="",B369="",D369="",E369=""),"Incomplete",IF(K369="Unknown","Unknown code",IF(AND(K369="Yes",C369=""),"Billable, needs client",IF(N369&gt;MaxDayHours,"Over "&amp;MaxDayHours&amp;" hours that day","")))))</f>
        <v/>
      </c>
    </row>
    <row r="370" customFormat="false" ht="15" hidden="false" customHeight="false" outlineLevel="0" collapsed="false">
      <c r="A370" s="31" t="n">
        <v>46225</v>
      </c>
      <c r="B370" s="32" t="s">
        <v>86</v>
      </c>
      <c r="C370" s="32" t="s">
        <v>90</v>
      </c>
      <c r="D370" s="33" t="s">
        <v>104</v>
      </c>
      <c r="E370" s="34" t="n">
        <v>0.75</v>
      </c>
      <c r="F370" s="32"/>
      <c r="G370" s="35" t="n">
        <f aca="false">IF(A370="","",A370+7-WEEKDAY(A370))</f>
        <v>46228</v>
      </c>
      <c r="H370" s="36" t="n">
        <f aca="false">IF(A370="","",DATE(YEAR(A370),MONTH(A370),1))</f>
        <v>46204</v>
      </c>
      <c r="I370" s="37" t="str">
        <f aca="false">IF(B370="","",IFERROR(INDEX(st_ID,MATCH(B370,st_Name,0)),"Unknown"))</f>
        <v>QP-01</v>
      </c>
      <c r="J370" s="37" t="str">
        <f aca="false">IF(C370="","",IFERROR(INDEX(cl_Code,MATCH(C370,cl_Name,0)),"Unknown"))</f>
        <v>BSE</v>
      </c>
      <c r="K370" s="37" t="str">
        <f aca="false">IF(D370="","",IFERROR(INDEX(rt_Billable,MATCH(D370,rt_Code,0)),"Unknown"))</f>
        <v>Yes</v>
      </c>
      <c r="L370" s="38" t="n">
        <f aca="false">IF(K370&lt;&gt;"Yes","",IFERROR(INDEX(cr_Rate,MATCH(J370&amp;"|"&amp;D370,cr_Key,0)),INDEX(rt_Rate,MATCH(D370,rt_Code,0))))</f>
        <v>70</v>
      </c>
      <c r="M370" s="25" t="n">
        <f aca="false">IF(L370="","",ROUND(N(E370)*L370,2))</f>
        <v>52.5</v>
      </c>
      <c r="N370" s="39" t="n">
        <f aca="false">IF(OR(A370="",B370=""),"",SUMIFS(tl_Hours,tl_StaffID,I370,tl_Date,A370))</f>
        <v>8</v>
      </c>
      <c r="O370" s="40" t="str">
        <f aca="false">IF(A370&amp;B370&amp;D370="","",IF(OR(A370="",B370="",D370="",E370=""),"Incomplete",IF(K370="Unknown","Unknown code",IF(AND(K370="Yes",C370=""),"Billable, needs client",IF(N370&gt;MaxDayHours,"Over "&amp;MaxDayHours&amp;" hours that day","")))))</f>
        <v/>
      </c>
    </row>
    <row r="371" customFormat="false" ht="15" hidden="false" customHeight="false" outlineLevel="0" collapsed="false">
      <c r="A371" s="31" t="n">
        <v>46225</v>
      </c>
      <c r="B371" s="32" t="s">
        <v>86</v>
      </c>
      <c r="C371" s="32" t="s">
        <v>112</v>
      </c>
      <c r="D371" s="33" t="s">
        <v>104</v>
      </c>
      <c r="E371" s="34" t="n">
        <v>1.75</v>
      </c>
      <c r="F371" s="32"/>
      <c r="G371" s="35" t="n">
        <f aca="false">IF(A371="","",A371+7-WEEKDAY(A371))</f>
        <v>46228</v>
      </c>
      <c r="H371" s="36" t="n">
        <f aca="false">IF(A371="","",DATE(YEAR(A371),MONTH(A371),1))</f>
        <v>46204</v>
      </c>
      <c r="I371" s="37" t="str">
        <f aca="false">IF(B371="","",IFERROR(INDEX(st_ID,MATCH(B371,st_Name,0)),"Unknown"))</f>
        <v>QP-01</v>
      </c>
      <c r="J371" s="37" t="str">
        <f aca="false">IF(C371="","",IFERROR(INDEX(cl_Code,MATCH(C371,cl_Name,0)),"Unknown"))</f>
        <v>PCA</v>
      </c>
      <c r="K371" s="37" t="str">
        <f aca="false">IF(D371="","",IFERROR(INDEX(rt_Billable,MATCH(D371,rt_Code,0)),"Unknown"))</f>
        <v>Yes</v>
      </c>
      <c r="L371" s="38" t="n">
        <f aca="false">IF(K371&lt;&gt;"Yes","",IFERROR(INDEX(cr_Rate,MATCH(J371&amp;"|"&amp;D371,cr_Key,0)),INDEX(rt_Rate,MATCH(D371,rt_Code,0))))</f>
        <v>70</v>
      </c>
      <c r="M371" s="25" t="n">
        <f aca="false">IF(L371="","",ROUND(N(E371)*L371,2))</f>
        <v>122.5</v>
      </c>
      <c r="N371" s="39" t="n">
        <f aca="false">IF(OR(A371="",B371=""),"",SUMIFS(tl_Hours,tl_StaffID,I371,tl_Date,A371))</f>
        <v>8</v>
      </c>
      <c r="O371" s="40" t="str">
        <f aca="false">IF(A371&amp;B371&amp;D371="","",IF(OR(A371="",B371="",D371="",E371=""),"Incomplete",IF(K371="Unknown","Unknown code",IF(AND(K371="Yes",C371=""),"Billable, needs client",IF(N371&gt;MaxDayHours,"Over "&amp;MaxDayHours&amp;" hours that day","")))))</f>
        <v/>
      </c>
    </row>
    <row r="372" customFormat="false" ht="15" hidden="false" customHeight="false" outlineLevel="0" collapsed="false">
      <c r="A372" s="31" t="n">
        <v>46225</v>
      </c>
      <c r="B372" s="32" t="s">
        <v>86</v>
      </c>
      <c r="C372" s="32" t="s">
        <v>112</v>
      </c>
      <c r="D372" s="33" t="s">
        <v>92</v>
      </c>
      <c r="E372" s="34" t="n">
        <v>0.5</v>
      </c>
      <c r="F372" s="32"/>
      <c r="G372" s="35" t="n">
        <f aca="false">IF(A372="","",A372+7-WEEKDAY(A372))</f>
        <v>46228</v>
      </c>
      <c r="H372" s="36" t="n">
        <f aca="false">IF(A372="","",DATE(YEAR(A372),MONTH(A372),1))</f>
        <v>46204</v>
      </c>
      <c r="I372" s="37" t="str">
        <f aca="false">IF(B372="","",IFERROR(INDEX(st_ID,MATCH(B372,st_Name,0)),"Unknown"))</f>
        <v>QP-01</v>
      </c>
      <c r="J372" s="37" t="str">
        <f aca="false">IF(C372="","",IFERROR(INDEX(cl_Code,MATCH(C372,cl_Name,0)),"Unknown"))</f>
        <v>PCA</v>
      </c>
      <c r="K372" s="37" t="str">
        <f aca="false">IF(D372="","",IFERROR(INDEX(rt_Billable,MATCH(D372,rt_Code,0)),"Unknown"))</f>
        <v>Yes</v>
      </c>
      <c r="L372" s="38" t="n">
        <f aca="false">IF(K372&lt;&gt;"Yes","",IFERROR(INDEX(cr_Rate,MATCH(J372&amp;"|"&amp;D372,cr_Key,0)),INDEX(rt_Rate,MATCH(D372,rt_Code,0))))</f>
        <v>150</v>
      </c>
      <c r="M372" s="25" t="n">
        <f aca="false">IF(L372="","",ROUND(N(E372)*L372,2))</f>
        <v>75</v>
      </c>
      <c r="N372" s="39" t="n">
        <f aca="false">IF(OR(A372="",B372=""),"",SUMIFS(tl_Hours,tl_StaffID,I372,tl_Date,A372))</f>
        <v>8</v>
      </c>
      <c r="O372" s="40" t="str">
        <f aca="false">IF(A372&amp;B372&amp;D372="","",IF(OR(A372="",B372="",D372="",E372=""),"Incomplete",IF(K372="Unknown","Unknown code",IF(AND(K372="Yes",C372=""),"Billable, needs client",IF(N372&gt;MaxDayHours,"Over "&amp;MaxDayHours&amp;" hours that day","")))))</f>
        <v/>
      </c>
    </row>
    <row r="373" customFormat="false" ht="15" hidden="false" customHeight="false" outlineLevel="0" collapsed="false">
      <c r="A373" s="31" t="n">
        <v>46225</v>
      </c>
      <c r="B373" s="32" t="s">
        <v>86</v>
      </c>
      <c r="C373" s="32"/>
      <c r="D373" s="33" t="s">
        <v>93</v>
      </c>
      <c r="E373" s="34" t="n">
        <v>0.5</v>
      </c>
      <c r="F373" s="32"/>
      <c r="G373" s="35" t="n">
        <f aca="false">IF(A373="","",A373+7-WEEKDAY(A373))</f>
        <v>46228</v>
      </c>
      <c r="H373" s="36" t="n">
        <f aca="false">IF(A373="","",DATE(YEAR(A373),MONTH(A373),1))</f>
        <v>46204</v>
      </c>
      <c r="I373" s="37" t="str">
        <f aca="false">IF(B373="","",IFERROR(INDEX(st_ID,MATCH(B373,st_Name,0)),"Unknown"))</f>
        <v>QP-01</v>
      </c>
      <c r="J373" s="37" t="str">
        <f aca="false">IF(C373="","",IFERROR(INDEX(cl_Code,MATCH(C373,cl_Name,0)),"Unknown"))</f>
        <v/>
      </c>
      <c r="K373" s="37" t="str">
        <f aca="false">IF(D373="","",IFERROR(INDEX(rt_Billable,MATCH(D373,rt_Code,0)),"Unknown"))</f>
        <v>No</v>
      </c>
      <c r="L373" s="38" t="str">
        <f aca="false">IF(K373&lt;&gt;"Yes","",IFERROR(INDEX(cr_Rate,MATCH(J373&amp;"|"&amp;D373,cr_Key,0)),INDEX(rt_Rate,MATCH(D373,rt_Code,0))))</f>
        <v/>
      </c>
      <c r="M373" s="25" t="str">
        <f aca="false">IF(L373="","",ROUND(N(E373)*L373,2))</f>
        <v/>
      </c>
      <c r="N373" s="39" t="n">
        <f aca="false">IF(OR(A373="",B373=""),"",SUMIFS(tl_Hours,tl_StaffID,I373,tl_Date,A373))</f>
        <v>8</v>
      </c>
      <c r="O373" s="40" t="str">
        <f aca="false">IF(A373&amp;B373&amp;D373="","",IF(OR(A373="",B373="",D373="",E373=""),"Incomplete",IF(K373="Unknown","Unknown code",IF(AND(K373="Yes",C373=""),"Billable, needs client",IF(N373&gt;MaxDayHours,"Over "&amp;MaxDayHours&amp;" hours that day","")))))</f>
        <v/>
      </c>
    </row>
    <row r="374" customFormat="false" ht="15" hidden="false" customHeight="false" outlineLevel="0" collapsed="false">
      <c r="A374" s="31" t="n">
        <v>46225</v>
      </c>
      <c r="B374" s="32" t="s">
        <v>86</v>
      </c>
      <c r="C374" s="32"/>
      <c r="D374" s="33" t="s">
        <v>96</v>
      </c>
      <c r="E374" s="34" t="n">
        <v>3</v>
      </c>
      <c r="F374" s="32"/>
      <c r="G374" s="35" t="n">
        <f aca="false">IF(A374="","",A374+7-WEEKDAY(A374))</f>
        <v>46228</v>
      </c>
      <c r="H374" s="36" t="n">
        <f aca="false">IF(A374="","",DATE(YEAR(A374),MONTH(A374),1))</f>
        <v>46204</v>
      </c>
      <c r="I374" s="37" t="str">
        <f aca="false">IF(B374="","",IFERROR(INDEX(st_ID,MATCH(B374,st_Name,0)),"Unknown"))</f>
        <v>QP-01</v>
      </c>
      <c r="J374" s="37" t="str">
        <f aca="false">IF(C374="","",IFERROR(INDEX(cl_Code,MATCH(C374,cl_Name,0)),"Unknown"))</f>
        <v/>
      </c>
      <c r="K374" s="37" t="str">
        <f aca="false">IF(D374="","",IFERROR(INDEX(rt_Billable,MATCH(D374,rt_Code,0)),"Unknown"))</f>
        <v>No</v>
      </c>
      <c r="L374" s="38" t="str">
        <f aca="false">IF(K374&lt;&gt;"Yes","",IFERROR(INDEX(cr_Rate,MATCH(J374&amp;"|"&amp;D374,cr_Key,0)),INDEX(rt_Rate,MATCH(D374,rt_Code,0))))</f>
        <v/>
      </c>
      <c r="M374" s="25" t="str">
        <f aca="false">IF(L374="","",ROUND(N(E374)*L374,2))</f>
        <v/>
      </c>
      <c r="N374" s="39" t="n">
        <f aca="false">IF(OR(A374="",B374=""),"",SUMIFS(tl_Hours,tl_StaffID,I374,tl_Date,A374))</f>
        <v>8</v>
      </c>
      <c r="O374" s="40" t="str">
        <f aca="false">IF(A374&amp;B374&amp;D374="","",IF(OR(A374="",B374="",D374="",E374=""),"Incomplete",IF(K374="Unknown","Unknown code",IF(AND(K374="Yes",C374=""),"Billable, needs client",IF(N374&gt;MaxDayHours,"Over "&amp;MaxDayHours&amp;" hours that day","")))))</f>
        <v/>
      </c>
    </row>
    <row r="375" customFormat="false" ht="15" hidden="false" customHeight="false" outlineLevel="0" collapsed="false">
      <c r="A375" s="31" t="n">
        <v>46225</v>
      </c>
      <c r="B375" s="32" t="s">
        <v>97</v>
      </c>
      <c r="C375" s="32" t="s">
        <v>90</v>
      </c>
      <c r="D375" s="33" t="s">
        <v>91</v>
      </c>
      <c r="E375" s="34" t="n">
        <v>3.25</v>
      </c>
      <c r="F375" s="32"/>
      <c r="G375" s="35" t="n">
        <f aca="false">IF(A375="","",A375+7-WEEKDAY(A375))</f>
        <v>46228</v>
      </c>
      <c r="H375" s="36" t="n">
        <f aca="false">IF(A375="","",DATE(YEAR(A375),MONTH(A375),1))</f>
        <v>46204</v>
      </c>
      <c r="I375" s="37" t="str">
        <f aca="false">IF(B375="","",IFERROR(INDEX(st_ID,MATCH(B375,st_Name,0)),"Unknown"))</f>
        <v>QP-02</v>
      </c>
      <c r="J375" s="37" t="str">
        <f aca="false">IF(C375="","",IFERROR(INDEX(cl_Code,MATCH(C375,cl_Name,0)),"Unknown"))</f>
        <v>BSE</v>
      </c>
      <c r="K375" s="37" t="str">
        <f aca="false">IF(D375="","",IFERROR(INDEX(rt_Billable,MATCH(D375,rt_Code,0)),"Unknown"))</f>
        <v>Yes</v>
      </c>
      <c r="L375" s="38" t="n">
        <f aca="false">IF(K375&lt;&gt;"Yes","",IFERROR(INDEX(cr_Rate,MATCH(J375&amp;"|"&amp;D375,cr_Key,0)),INDEX(rt_Rate,MATCH(D375,rt_Code,0))))</f>
        <v>100</v>
      </c>
      <c r="M375" s="25" t="n">
        <f aca="false">IF(L375="","",ROUND(N(E375)*L375,2))</f>
        <v>325</v>
      </c>
      <c r="N375" s="39" t="n">
        <f aca="false">IF(OR(A375="",B375=""),"",SUMIFS(tl_Hours,tl_StaffID,I375,tl_Date,A375))</f>
        <v>8</v>
      </c>
      <c r="O375" s="40" t="str">
        <f aca="false">IF(A375&amp;B375&amp;D375="","",IF(OR(A375="",B375="",D375="",E375=""),"Incomplete",IF(K375="Unknown","Unknown code",IF(AND(K375="Yes",C375=""),"Billable, needs client",IF(N375&gt;MaxDayHours,"Over "&amp;MaxDayHours&amp;" hours that day","")))))</f>
        <v/>
      </c>
    </row>
    <row r="376" customFormat="false" ht="15" hidden="false" customHeight="false" outlineLevel="0" collapsed="false">
      <c r="A376" s="31" t="n">
        <v>46225</v>
      </c>
      <c r="B376" s="32" t="s">
        <v>97</v>
      </c>
      <c r="C376" s="32" t="s">
        <v>90</v>
      </c>
      <c r="D376" s="33" t="s">
        <v>92</v>
      </c>
      <c r="E376" s="34" t="n">
        <v>1</v>
      </c>
      <c r="F376" s="32"/>
      <c r="G376" s="35" t="n">
        <f aca="false">IF(A376="","",A376+7-WEEKDAY(A376))</f>
        <v>46228</v>
      </c>
      <c r="H376" s="36" t="n">
        <f aca="false">IF(A376="","",DATE(YEAR(A376),MONTH(A376),1))</f>
        <v>46204</v>
      </c>
      <c r="I376" s="37" t="str">
        <f aca="false">IF(B376="","",IFERROR(INDEX(st_ID,MATCH(B376,st_Name,0)),"Unknown"))</f>
        <v>QP-02</v>
      </c>
      <c r="J376" s="37" t="str">
        <f aca="false">IF(C376="","",IFERROR(INDEX(cl_Code,MATCH(C376,cl_Name,0)),"Unknown"))</f>
        <v>BSE</v>
      </c>
      <c r="K376" s="37" t="str">
        <f aca="false">IF(D376="","",IFERROR(INDEX(rt_Billable,MATCH(D376,rt_Code,0)),"Unknown"))</f>
        <v>Yes</v>
      </c>
      <c r="L376" s="38" t="n">
        <f aca="false">IF(K376&lt;&gt;"Yes","",IFERROR(INDEX(cr_Rate,MATCH(J376&amp;"|"&amp;D376,cr_Key,0)),INDEX(rt_Rate,MATCH(D376,rt_Code,0))))</f>
        <v>145</v>
      </c>
      <c r="M376" s="25" t="n">
        <f aca="false">IF(L376="","",ROUND(N(E376)*L376,2))</f>
        <v>145</v>
      </c>
      <c r="N376" s="39" t="n">
        <f aca="false">IF(OR(A376="",B376=""),"",SUMIFS(tl_Hours,tl_StaffID,I376,tl_Date,A376))</f>
        <v>8</v>
      </c>
      <c r="O376" s="40" t="str">
        <f aca="false">IF(A376&amp;B376&amp;D376="","",IF(OR(A376="",B376="",D376="",E376=""),"Incomplete",IF(K376="Unknown","Unknown code",IF(AND(K376="Yes",C376=""),"Billable, needs client",IF(N376&gt;MaxDayHours,"Over "&amp;MaxDayHours&amp;" hours that day","")))))</f>
        <v/>
      </c>
    </row>
    <row r="377" customFormat="false" ht="15" hidden="false" customHeight="false" outlineLevel="0" collapsed="false">
      <c r="A377" s="31" t="n">
        <v>46225</v>
      </c>
      <c r="B377" s="32" t="s">
        <v>97</v>
      </c>
      <c r="C377" s="32"/>
      <c r="D377" s="33" t="s">
        <v>98</v>
      </c>
      <c r="E377" s="34" t="n">
        <v>1</v>
      </c>
      <c r="F377" s="32" t="s">
        <v>99</v>
      </c>
      <c r="G377" s="35" t="n">
        <f aca="false">IF(A377="","",A377+7-WEEKDAY(A377))</f>
        <v>46228</v>
      </c>
      <c r="H377" s="36" t="n">
        <f aca="false">IF(A377="","",DATE(YEAR(A377),MONTH(A377),1))</f>
        <v>46204</v>
      </c>
      <c r="I377" s="37" t="str">
        <f aca="false">IF(B377="","",IFERROR(INDEX(st_ID,MATCH(B377,st_Name,0)),"Unknown"))</f>
        <v>QP-02</v>
      </c>
      <c r="J377" s="37" t="str">
        <f aca="false">IF(C377="","",IFERROR(INDEX(cl_Code,MATCH(C377,cl_Name,0)),"Unknown"))</f>
        <v/>
      </c>
      <c r="K377" s="37" t="str">
        <f aca="false">IF(D377="","",IFERROR(INDEX(rt_Billable,MATCH(D377,rt_Code,0)),"Unknown"))</f>
        <v>No</v>
      </c>
      <c r="L377" s="38" t="str">
        <f aca="false">IF(K377&lt;&gt;"Yes","",IFERROR(INDEX(cr_Rate,MATCH(J377&amp;"|"&amp;D377,cr_Key,0)),INDEX(rt_Rate,MATCH(D377,rt_Code,0))))</f>
        <v/>
      </c>
      <c r="M377" s="25" t="str">
        <f aca="false">IF(L377="","",ROUND(N(E377)*L377,2))</f>
        <v/>
      </c>
      <c r="N377" s="39" t="n">
        <f aca="false">IF(OR(A377="",B377=""),"",SUMIFS(tl_Hours,tl_StaffID,I377,tl_Date,A377))</f>
        <v>8</v>
      </c>
      <c r="O377" s="40" t="str">
        <f aca="false">IF(A377&amp;B377&amp;D377="","",IF(OR(A377="",B377="",D377="",E377=""),"Incomplete",IF(K377="Unknown","Unknown code",IF(AND(K377="Yes",C377=""),"Billable, needs client",IF(N377&gt;MaxDayHours,"Over "&amp;MaxDayHours&amp;" hours that day","")))))</f>
        <v/>
      </c>
    </row>
    <row r="378" customFormat="false" ht="15" hidden="false" customHeight="false" outlineLevel="0" collapsed="false">
      <c r="A378" s="31" t="n">
        <v>46225</v>
      </c>
      <c r="B378" s="32" t="s">
        <v>97</v>
      </c>
      <c r="C378" s="32"/>
      <c r="D378" s="33" t="s">
        <v>96</v>
      </c>
      <c r="E378" s="34" t="n">
        <v>2.75</v>
      </c>
      <c r="F378" s="32"/>
      <c r="G378" s="35" t="n">
        <f aca="false">IF(A378="","",A378+7-WEEKDAY(A378))</f>
        <v>46228</v>
      </c>
      <c r="H378" s="36" t="n">
        <f aca="false">IF(A378="","",DATE(YEAR(A378),MONTH(A378),1))</f>
        <v>46204</v>
      </c>
      <c r="I378" s="37" t="str">
        <f aca="false">IF(B378="","",IFERROR(INDEX(st_ID,MATCH(B378,st_Name,0)),"Unknown"))</f>
        <v>QP-02</v>
      </c>
      <c r="J378" s="37" t="str">
        <f aca="false">IF(C378="","",IFERROR(INDEX(cl_Code,MATCH(C378,cl_Name,0)),"Unknown"))</f>
        <v/>
      </c>
      <c r="K378" s="37" t="str">
        <f aca="false">IF(D378="","",IFERROR(INDEX(rt_Billable,MATCH(D378,rt_Code,0)),"Unknown"))</f>
        <v>No</v>
      </c>
      <c r="L378" s="38" t="str">
        <f aca="false">IF(K378&lt;&gt;"Yes","",IFERROR(INDEX(cr_Rate,MATCH(J378&amp;"|"&amp;D378,cr_Key,0)),INDEX(rt_Rate,MATCH(D378,rt_Code,0))))</f>
        <v/>
      </c>
      <c r="M378" s="25" t="str">
        <f aca="false">IF(L378="","",ROUND(N(E378)*L378,2))</f>
        <v/>
      </c>
      <c r="N378" s="39" t="n">
        <f aca="false">IF(OR(A378="",B378=""),"",SUMIFS(tl_Hours,tl_StaffID,I378,tl_Date,A378))</f>
        <v>8</v>
      </c>
      <c r="O378" s="40" t="str">
        <f aca="false">IF(A378&amp;B378&amp;D378="","",IF(OR(A378="",B378="",D378="",E378=""),"Incomplete",IF(K378="Unknown","Unknown code",IF(AND(K378="Yes",C378=""),"Billable, needs client",IF(N378&gt;MaxDayHours,"Over "&amp;MaxDayHours&amp;" hours that day","")))))</f>
        <v/>
      </c>
    </row>
    <row r="379" customFormat="false" ht="15" hidden="false" customHeight="false" outlineLevel="0" collapsed="false">
      <c r="A379" s="31" t="n">
        <v>46225</v>
      </c>
      <c r="B379" s="32" t="s">
        <v>100</v>
      </c>
      <c r="C379" s="32" t="s">
        <v>90</v>
      </c>
      <c r="D379" s="33" t="s">
        <v>91</v>
      </c>
      <c r="E379" s="34" t="n">
        <v>2.75</v>
      </c>
      <c r="F379" s="32"/>
      <c r="G379" s="35" t="n">
        <f aca="false">IF(A379="","",A379+7-WEEKDAY(A379))</f>
        <v>46228</v>
      </c>
      <c r="H379" s="36" t="n">
        <f aca="false">IF(A379="","",DATE(YEAR(A379),MONTH(A379),1))</f>
        <v>46204</v>
      </c>
      <c r="I379" s="37" t="str">
        <f aca="false">IF(B379="","",IFERROR(INDEX(st_ID,MATCH(B379,st_Name,0)),"Unknown"))</f>
        <v>QP-03</v>
      </c>
      <c r="J379" s="37" t="str">
        <f aca="false">IF(C379="","",IFERROR(INDEX(cl_Code,MATCH(C379,cl_Name,0)),"Unknown"))</f>
        <v>BSE</v>
      </c>
      <c r="K379" s="37" t="str">
        <f aca="false">IF(D379="","",IFERROR(INDEX(rt_Billable,MATCH(D379,rt_Code,0)),"Unknown"))</f>
        <v>Yes</v>
      </c>
      <c r="L379" s="38" t="n">
        <f aca="false">IF(K379&lt;&gt;"Yes","",IFERROR(INDEX(cr_Rate,MATCH(J379&amp;"|"&amp;D379,cr_Key,0)),INDEX(rt_Rate,MATCH(D379,rt_Code,0))))</f>
        <v>100</v>
      </c>
      <c r="M379" s="25" t="n">
        <f aca="false">IF(L379="","",ROUND(N(E379)*L379,2))</f>
        <v>275</v>
      </c>
      <c r="N379" s="39" t="n">
        <f aca="false">IF(OR(A379="",B379=""),"",SUMIFS(tl_Hours,tl_StaffID,I379,tl_Date,A379))</f>
        <v>8</v>
      </c>
      <c r="O379" s="40" t="str">
        <f aca="false">IF(A379&amp;B379&amp;D379="","",IF(OR(A379="",B379="",D379="",E379=""),"Incomplete",IF(K379="Unknown","Unknown code",IF(AND(K379="Yes",C379=""),"Billable, needs client",IF(N379&gt;MaxDayHours,"Over "&amp;MaxDayHours&amp;" hours that day","")))))</f>
        <v/>
      </c>
    </row>
    <row r="380" customFormat="false" ht="15" hidden="false" customHeight="false" outlineLevel="0" collapsed="false">
      <c r="A380" s="31" t="n">
        <v>46225</v>
      </c>
      <c r="B380" s="32" t="s">
        <v>100</v>
      </c>
      <c r="C380" s="32" t="s">
        <v>90</v>
      </c>
      <c r="D380" s="33" t="s">
        <v>88</v>
      </c>
      <c r="E380" s="34" t="n">
        <v>1</v>
      </c>
      <c r="F380" s="32"/>
      <c r="G380" s="35" t="n">
        <f aca="false">IF(A380="","",A380+7-WEEKDAY(A380))</f>
        <v>46228</v>
      </c>
      <c r="H380" s="36" t="n">
        <f aca="false">IF(A380="","",DATE(YEAR(A380),MONTH(A380),1))</f>
        <v>46204</v>
      </c>
      <c r="I380" s="37" t="str">
        <f aca="false">IF(B380="","",IFERROR(INDEX(st_ID,MATCH(B380,st_Name,0)),"Unknown"))</f>
        <v>QP-03</v>
      </c>
      <c r="J380" s="37" t="str">
        <f aca="false">IF(C380="","",IFERROR(INDEX(cl_Code,MATCH(C380,cl_Name,0)),"Unknown"))</f>
        <v>BSE</v>
      </c>
      <c r="K380" s="37" t="str">
        <f aca="false">IF(D380="","",IFERROR(INDEX(rt_Billable,MATCH(D380,rt_Code,0)),"Unknown"))</f>
        <v>Yes</v>
      </c>
      <c r="L380" s="38" t="n">
        <f aca="false">IF(K380&lt;&gt;"Yes","",IFERROR(INDEX(cr_Rate,MATCH(J380&amp;"|"&amp;D380,cr_Key,0)),INDEX(rt_Rate,MATCH(D380,rt_Code,0))))</f>
        <v>104</v>
      </c>
      <c r="M380" s="25" t="n">
        <f aca="false">IF(L380="","",ROUND(N(E380)*L380,2))</f>
        <v>104</v>
      </c>
      <c r="N380" s="39" t="n">
        <f aca="false">IF(OR(A380="",B380=""),"",SUMIFS(tl_Hours,tl_StaffID,I380,tl_Date,A380))</f>
        <v>8</v>
      </c>
      <c r="O380" s="40" t="str">
        <f aca="false">IF(A380&amp;B380&amp;D380="","",IF(OR(A380="",B380="",D380="",E380=""),"Incomplete",IF(K380="Unknown","Unknown code",IF(AND(K380="Yes",C380=""),"Billable, needs client",IF(N380&gt;MaxDayHours,"Over "&amp;MaxDayHours&amp;" hours that day","")))))</f>
        <v/>
      </c>
    </row>
    <row r="381" customFormat="false" ht="15" hidden="false" customHeight="false" outlineLevel="0" collapsed="false">
      <c r="A381" s="31" t="n">
        <v>46225</v>
      </c>
      <c r="B381" s="32" t="s">
        <v>100</v>
      </c>
      <c r="C381" s="32"/>
      <c r="D381" s="33" t="s">
        <v>96</v>
      </c>
      <c r="E381" s="34" t="n">
        <v>4.25</v>
      </c>
      <c r="F381" s="32"/>
      <c r="G381" s="35" t="n">
        <f aca="false">IF(A381="","",A381+7-WEEKDAY(A381))</f>
        <v>46228</v>
      </c>
      <c r="H381" s="36" t="n">
        <f aca="false">IF(A381="","",DATE(YEAR(A381),MONTH(A381),1))</f>
        <v>46204</v>
      </c>
      <c r="I381" s="37" t="str">
        <f aca="false">IF(B381="","",IFERROR(INDEX(st_ID,MATCH(B381,st_Name,0)),"Unknown"))</f>
        <v>QP-03</v>
      </c>
      <c r="J381" s="37" t="str">
        <f aca="false">IF(C381="","",IFERROR(INDEX(cl_Code,MATCH(C381,cl_Name,0)),"Unknown"))</f>
        <v/>
      </c>
      <c r="K381" s="37" t="str">
        <f aca="false">IF(D381="","",IFERROR(INDEX(rt_Billable,MATCH(D381,rt_Code,0)),"Unknown"))</f>
        <v>No</v>
      </c>
      <c r="L381" s="38" t="str">
        <f aca="false">IF(K381&lt;&gt;"Yes","",IFERROR(INDEX(cr_Rate,MATCH(J381&amp;"|"&amp;D381,cr_Key,0)),INDEX(rt_Rate,MATCH(D381,rt_Code,0))))</f>
        <v/>
      </c>
      <c r="M381" s="25" t="str">
        <f aca="false">IF(L381="","",ROUND(N(E381)*L381,2))</f>
        <v/>
      </c>
      <c r="N381" s="39" t="n">
        <f aca="false">IF(OR(A381="",B381=""),"",SUMIFS(tl_Hours,tl_StaffID,I381,tl_Date,A381))</f>
        <v>8</v>
      </c>
      <c r="O381" s="40" t="str">
        <f aca="false">IF(A381&amp;B381&amp;D381="","",IF(OR(A381="",B381="",D381="",E381=""),"Incomplete",IF(K381="Unknown","Unknown code",IF(AND(K381="Yes",C381=""),"Billable, needs client",IF(N381&gt;MaxDayHours,"Over "&amp;MaxDayHours&amp;" hours that day","")))))</f>
        <v/>
      </c>
    </row>
    <row r="382" customFormat="false" ht="15" hidden="false" customHeight="false" outlineLevel="0" collapsed="false">
      <c r="A382" s="31" t="n">
        <v>46225</v>
      </c>
      <c r="B382" s="32" t="s">
        <v>101</v>
      </c>
      <c r="C382" s="32" t="s">
        <v>87</v>
      </c>
      <c r="D382" s="33" t="s">
        <v>104</v>
      </c>
      <c r="E382" s="34" t="n">
        <v>2.75</v>
      </c>
      <c r="F382" s="32"/>
      <c r="G382" s="35" t="n">
        <f aca="false">IF(A382="","",A382+7-WEEKDAY(A382))</f>
        <v>46228</v>
      </c>
      <c r="H382" s="36" t="n">
        <f aca="false">IF(A382="","",DATE(YEAR(A382),MONTH(A382),1))</f>
        <v>46204</v>
      </c>
      <c r="I382" s="37" t="str">
        <f aca="false">IF(B382="","",IFERROR(INDEX(st_ID,MATCH(B382,st_Name,0)),"Unknown"))</f>
        <v>QP-04</v>
      </c>
      <c r="J382" s="37" t="str">
        <f aca="false">IF(C382="","",IFERROR(INDEX(cl_Code,MATCH(C382,cl_Name,0)),"Unknown"))</f>
        <v>HCS</v>
      </c>
      <c r="K382" s="37" t="str">
        <f aca="false">IF(D382="","",IFERROR(INDEX(rt_Billable,MATCH(D382,rt_Code,0)),"Unknown"))</f>
        <v>Yes</v>
      </c>
      <c r="L382" s="38" t="n">
        <f aca="false">IF(K382&lt;&gt;"Yes","",IFERROR(INDEX(cr_Rate,MATCH(J382&amp;"|"&amp;D382,cr_Key,0)),INDEX(rt_Rate,MATCH(D382,rt_Code,0))))</f>
        <v>62</v>
      </c>
      <c r="M382" s="25" t="n">
        <f aca="false">IF(L382="","",ROUND(N(E382)*L382,2))</f>
        <v>170.5</v>
      </c>
      <c r="N382" s="39" t="n">
        <f aca="false">IF(OR(A382="",B382=""),"",SUMIFS(tl_Hours,tl_StaffID,I382,tl_Date,A382))</f>
        <v>8</v>
      </c>
      <c r="O382" s="40" t="str">
        <f aca="false">IF(A382&amp;B382&amp;D382="","",IF(OR(A382="",B382="",D382="",E382=""),"Incomplete",IF(K382="Unknown","Unknown code",IF(AND(K382="Yes",C382=""),"Billable, needs client",IF(N382&gt;MaxDayHours,"Over "&amp;MaxDayHours&amp;" hours that day","")))))</f>
        <v/>
      </c>
    </row>
    <row r="383" customFormat="false" ht="15" hidden="false" customHeight="false" outlineLevel="0" collapsed="false">
      <c r="A383" s="31" t="n">
        <v>46225</v>
      </c>
      <c r="B383" s="32" t="s">
        <v>101</v>
      </c>
      <c r="C383" s="32" t="s">
        <v>87</v>
      </c>
      <c r="D383" s="33" t="s">
        <v>89</v>
      </c>
      <c r="E383" s="34" t="n">
        <v>1.75</v>
      </c>
      <c r="F383" s="32"/>
      <c r="G383" s="35" t="n">
        <f aca="false">IF(A383="","",A383+7-WEEKDAY(A383))</f>
        <v>46228</v>
      </c>
      <c r="H383" s="36" t="n">
        <f aca="false">IF(A383="","",DATE(YEAR(A383),MONTH(A383),1))</f>
        <v>46204</v>
      </c>
      <c r="I383" s="37" t="str">
        <f aca="false">IF(B383="","",IFERROR(INDEX(st_ID,MATCH(B383,st_Name,0)),"Unknown"))</f>
        <v>QP-04</v>
      </c>
      <c r="J383" s="37" t="str">
        <f aca="false">IF(C383="","",IFERROR(INDEX(cl_Code,MATCH(C383,cl_Name,0)),"Unknown"))</f>
        <v>HCS</v>
      </c>
      <c r="K383" s="37" t="str">
        <f aca="false">IF(D383="","",IFERROR(INDEX(rt_Billable,MATCH(D383,rt_Code,0)),"Unknown"))</f>
        <v>Yes</v>
      </c>
      <c r="L383" s="38" t="n">
        <f aca="false">IF(K383&lt;&gt;"Yes","",IFERROR(INDEX(cr_Rate,MATCH(J383&amp;"|"&amp;D383,cr_Key,0)),INDEX(rt_Rate,MATCH(D383,rt_Code,0))))</f>
        <v>88</v>
      </c>
      <c r="M383" s="25" t="n">
        <f aca="false">IF(L383="","",ROUND(N(E383)*L383,2))</f>
        <v>154</v>
      </c>
      <c r="N383" s="39" t="n">
        <f aca="false">IF(OR(A383="",B383=""),"",SUMIFS(tl_Hours,tl_StaffID,I383,tl_Date,A383))</f>
        <v>8</v>
      </c>
      <c r="O383" s="40" t="str">
        <f aca="false">IF(A383&amp;B383&amp;D383="","",IF(OR(A383="",B383="",D383="",E383=""),"Incomplete",IF(K383="Unknown","Unknown code",IF(AND(K383="Yes",C383=""),"Billable, needs client",IF(N383&gt;MaxDayHours,"Over "&amp;MaxDayHours&amp;" hours that day","")))))</f>
        <v/>
      </c>
    </row>
    <row r="384" customFormat="false" ht="15" hidden="false" customHeight="false" outlineLevel="0" collapsed="false">
      <c r="A384" s="31" t="n">
        <v>46225</v>
      </c>
      <c r="B384" s="32" t="s">
        <v>101</v>
      </c>
      <c r="C384" s="32"/>
      <c r="D384" s="33" t="s">
        <v>98</v>
      </c>
      <c r="E384" s="34" t="n">
        <v>1</v>
      </c>
      <c r="F384" s="32" t="s">
        <v>99</v>
      </c>
      <c r="G384" s="35" t="n">
        <f aca="false">IF(A384="","",A384+7-WEEKDAY(A384))</f>
        <v>46228</v>
      </c>
      <c r="H384" s="36" t="n">
        <f aca="false">IF(A384="","",DATE(YEAR(A384),MONTH(A384),1))</f>
        <v>46204</v>
      </c>
      <c r="I384" s="37" t="str">
        <f aca="false">IF(B384="","",IFERROR(INDEX(st_ID,MATCH(B384,st_Name,0)),"Unknown"))</f>
        <v>QP-04</v>
      </c>
      <c r="J384" s="37" t="str">
        <f aca="false">IF(C384="","",IFERROR(INDEX(cl_Code,MATCH(C384,cl_Name,0)),"Unknown"))</f>
        <v/>
      </c>
      <c r="K384" s="37" t="str">
        <f aca="false">IF(D384="","",IFERROR(INDEX(rt_Billable,MATCH(D384,rt_Code,0)),"Unknown"))</f>
        <v>No</v>
      </c>
      <c r="L384" s="38" t="str">
        <f aca="false">IF(K384&lt;&gt;"Yes","",IFERROR(INDEX(cr_Rate,MATCH(J384&amp;"|"&amp;D384,cr_Key,0)),INDEX(rt_Rate,MATCH(D384,rt_Code,0))))</f>
        <v/>
      </c>
      <c r="M384" s="25" t="str">
        <f aca="false">IF(L384="","",ROUND(N(E384)*L384,2))</f>
        <v/>
      </c>
      <c r="N384" s="39" t="n">
        <f aca="false">IF(OR(A384="",B384=""),"",SUMIFS(tl_Hours,tl_StaffID,I384,tl_Date,A384))</f>
        <v>8</v>
      </c>
      <c r="O384" s="40" t="str">
        <f aca="false">IF(A384&amp;B384&amp;D384="","",IF(OR(A384="",B384="",D384="",E384=""),"Incomplete",IF(K384="Unknown","Unknown code",IF(AND(K384="Yes",C384=""),"Billable, needs client",IF(N384&gt;MaxDayHours,"Over "&amp;MaxDayHours&amp;" hours that day","")))))</f>
        <v/>
      </c>
    </row>
    <row r="385" customFormat="false" ht="15" hidden="false" customHeight="false" outlineLevel="0" collapsed="false">
      <c r="A385" s="31" t="n">
        <v>46225</v>
      </c>
      <c r="B385" s="32" t="s">
        <v>101</v>
      </c>
      <c r="C385" s="32"/>
      <c r="D385" s="33" t="s">
        <v>96</v>
      </c>
      <c r="E385" s="34" t="n">
        <v>2.5</v>
      </c>
      <c r="F385" s="32"/>
      <c r="G385" s="35" t="n">
        <f aca="false">IF(A385="","",A385+7-WEEKDAY(A385))</f>
        <v>46228</v>
      </c>
      <c r="H385" s="36" t="n">
        <f aca="false">IF(A385="","",DATE(YEAR(A385),MONTH(A385),1))</f>
        <v>46204</v>
      </c>
      <c r="I385" s="37" t="str">
        <f aca="false">IF(B385="","",IFERROR(INDEX(st_ID,MATCH(B385,st_Name,0)),"Unknown"))</f>
        <v>QP-04</v>
      </c>
      <c r="J385" s="37" t="str">
        <f aca="false">IF(C385="","",IFERROR(INDEX(cl_Code,MATCH(C385,cl_Name,0)),"Unknown"))</f>
        <v/>
      </c>
      <c r="K385" s="37" t="str">
        <f aca="false">IF(D385="","",IFERROR(INDEX(rt_Billable,MATCH(D385,rt_Code,0)),"Unknown"))</f>
        <v>No</v>
      </c>
      <c r="L385" s="38" t="str">
        <f aca="false">IF(K385&lt;&gt;"Yes","",IFERROR(INDEX(cr_Rate,MATCH(J385&amp;"|"&amp;D385,cr_Key,0)),INDEX(rt_Rate,MATCH(D385,rt_Code,0))))</f>
        <v/>
      </c>
      <c r="M385" s="25" t="str">
        <f aca="false">IF(L385="","",ROUND(N(E385)*L385,2))</f>
        <v/>
      </c>
      <c r="N385" s="39" t="n">
        <f aca="false">IF(OR(A385="",B385=""),"",SUMIFS(tl_Hours,tl_StaffID,I385,tl_Date,A385))</f>
        <v>8</v>
      </c>
      <c r="O385" s="40" t="str">
        <f aca="false">IF(A385&amp;B385&amp;D385="","",IF(OR(A385="",B385="",D385="",E385=""),"Incomplete",IF(K385="Unknown","Unknown code",IF(AND(K385="Yes",C385=""),"Billable, needs client",IF(N385&gt;MaxDayHours,"Over "&amp;MaxDayHours&amp;" hours that day","")))))</f>
        <v/>
      </c>
    </row>
    <row r="386" customFormat="false" ht="15" hidden="false" customHeight="false" outlineLevel="0" collapsed="false">
      <c r="A386" s="31" t="n">
        <v>46225</v>
      </c>
      <c r="B386" s="32" t="s">
        <v>103</v>
      </c>
      <c r="C386" s="32" t="s">
        <v>90</v>
      </c>
      <c r="D386" s="33" t="s">
        <v>88</v>
      </c>
      <c r="E386" s="34" t="n">
        <v>2.75</v>
      </c>
      <c r="F386" s="32"/>
      <c r="G386" s="35" t="n">
        <f aca="false">IF(A386="","",A386+7-WEEKDAY(A386))</f>
        <v>46228</v>
      </c>
      <c r="H386" s="36" t="n">
        <f aca="false">IF(A386="","",DATE(YEAR(A386),MONTH(A386),1))</f>
        <v>46204</v>
      </c>
      <c r="I386" s="37" t="str">
        <f aca="false">IF(B386="","",IFERROR(INDEX(st_ID,MATCH(B386,st_Name,0)),"Unknown"))</f>
        <v>QP-05</v>
      </c>
      <c r="J386" s="37" t="str">
        <f aca="false">IF(C386="","",IFERROR(INDEX(cl_Code,MATCH(C386,cl_Name,0)),"Unknown"))</f>
        <v>BSE</v>
      </c>
      <c r="K386" s="37" t="str">
        <f aca="false">IF(D386="","",IFERROR(INDEX(rt_Billable,MATCH(D386,rt_Code,0)),"Unknown"))</f>
        <v>Yes</v>
      </c>
      <c r="L386" s="38" t="n">
        <f aca="false">IF(K386&lt;&gt;"Yes","",IFERROR(INDEX(cr_Rate,MATCH(J386&amp;"|"&amp;D386,cr_Key,0)),INDEX(rt_Rate,MATCH(D386,rt_Code,0))))</f>
        <v>104</v>
      </c>
      <c r="M386" s="25" t="n">
        <f aca="false">IF(L386="","",ROUND(N(E386)*L386,2))</f>
        <v>286</v>
      </c>
      <c r="N386" s="39" t="n">
        <f aca="false">IF(OR(A386="",B386=""),"",SUMIFS(tl_Hours,tl_StaffID,I386,tl_Date,A386))</f>
        <v>8</v>
      </c>
      <c r="O386" s="40" t="str">
        <f aca="false">IF(A386&amp;B386&amp;D386="","",IF(OR(A386="",B386="",D386="",E386=""),"Incomplete",IF(K386="Unknown","Unknown code",IF(AND(K386="Yes",C386=""),"Billable, needs client",IF(N386&gt;MaxDayHours,"Over "&amp;MaxDayHours&amp;" hours that day","")))))</f>
        <v/>
      </c>
    </row>
    <row r="387" customFormat="false" ht="15" hidden="false" customHeight="false" outlineLevel="0" collapsed="false">
      <c r="A387" s="31" t="n">
        <v>46225</v>
      </c>
      <c r="B387" s="32" t="s">
        <v>103</v>
      </c>
      <c r="C387" s="32" t="s">
        <v>90</v>
      </c>
      <c r="D387" s="33" t="s">
        <v>104</v>
      </c>
      <c r="E387" s="34" t="n">
        <v>1</v>
      </c>
      <c r="F387" s="32"/>
      <c r="G387" s="35" t="n">
        <f aca="false">IF(A387="","",A387+7-WEEKDAY(A387))</f>
        <v>46228</v>
      </c>
      <c r="H387" s="36" t="n">
        <f aca="false">IF(A387="","",DATE(YEAR(A387),MONTH(A387),1))</f>
        <v>46204</v>
      </c>
      <c r="I387" s="37" t="str">
        <f aca="false">IF(B387="","",IFERROR(INDEX(st_ID,MATCH(B387,st_Name,0)),"Unknown"))</f>
        <v>QP-05</v>
      </c>
      <c r="J387" s="37" t="str">
        <f aca="false">IF(C387="","",IFERROR(INDEX(cl_Code,MATCH(C387,cl_Name,0)),"Unknown"))</f>
        <v>BSE</v>
      </c>
      <c r="K387" s="37" t="str">
        <f aca="false">IF(D387="","",IFERROR(INDEX(rt_Billable,MATCH(D387,rt_Code,0)),"Unknown"))</f>
        <v>Yes</v>
      </c>
      <c r="L387" s="38" t="n">
        <f aca="false">IF(K387&lt;&gt;"Yes","",IFERROR(INDEX(cr_Rate,MATCH(J387&amp;"|"&amp;D387,cr_Key,0)),INDEX(rt_Rate,MATCH(D387,rt_Code,0))))</f>
        <v>70</v>
      </c>
      <c r="M387" s="25" t="n">
        <f aca="false">IF(L387="","",ROUND(N(E387)*L387,2))</f>
        <v>70</v>
      </c>
      <c r="N387" s="39" t="n">
        <f aca="false">IF(OR(A387="",B387=""),"",SUMIFS(tl_Hours,tl_StaffID,I387,tl_Date,A387))</f>
        <v>8</v>
      </c>
      <c r="O387" s="40" t="str">
        <f aca="false">IF(A387&amp;B387&amp;D387="","",IF(OR(A387="",B387="",D387="",E387=""),"Incomplete",IF(K387="Unknown","Unknown code",IF(AND(K387="Yes",C387=""),"Billable, needs client",IF(N387&gt;MaxDayHours,"Over "&amp;MaxDayHours&amp;" hours that day","")))))</f>
        <v/>
      </c>
    </row>
    <row r="388" customFormat="false" ht="15" hidden="false" customHeight="false" outlineLevel="0" collapsed="false">
      <c r="A388" s="31" t="n">
        <v>46225</v>
      </c>
      <c r="B388" s="32" t="s">
        <v>103</v>
      </c>
      <c r="C388" s="32"/>
      <c r="D388" s="33" t="s">
        <v>98</v>
      </c>
      <c r="E388" s="34" t="n">
        <v>1</v>
      </c>
      <c r="F388" s="32" t="s">
        <v>99</v>
      </c>
      <c r="G388" s="35" t="n">
        <f aca="false">IF(A388="","",A388+7-WEEKDAY(A388))</f>
        <v>46228</v>
      </c>
      <c r="H388" s="36" t="n">
        <f aca="false">IF(A388="","",DATE(YEAR(A388),MONTH(A388),1))</f>
        <v>46204</v>
      </c>
      <c r="I388" s="37" t="str">
        <f aca="false">IF(B388="","",IFERROR(INDEX(st_ID,MATCH(B388,st_Name,0)),"Unknown"))</f>
        <v>QP-05</v>
      </c>
      <c r="J388" s="37" t="str">
        <f aca="false">IF(C388="","",IFERROR(INDEX(cl_Code,MATCH(C388,cl_Name,0)),"Unknown"))</f>
        <v/>
      </c>
      <c r="K388" s="37" t="str">
        <f aca="false">IF(D388="","",IFERROR(INDEX(rt_Billable,MATCH(D388,rt_Code,0)),"Unknown"))</f>
        <v>No</v>
      </c>
      <c r="L388" s="38" t="str">
        <f aca="false">IF(K388&lt;&gt;"Yes","",IFERROR(INDEX(cr_Rate,MATCH(J388&amp;"|"&amp;D388,cr_Key,0)),INDEX(rt_Rate,MATCH(D388,rt_Code,0))))</f>
        <v/>
      </c>
      <c r="M388" s="25" t="str">
        <f aca="false">IF(L388="","",ROUND(N(E388)*L388,2))</f>
        <v/>
      </c>
      <c r="N388" s="39" t="n">
        <f aca="false">IF(OR(A388="",B388=""),"",SUMIFS(tl_Hours,tl_StaffID,I388,tl_Date,A388))</f>
        <v>8</v>
      </c>
      <c r="O388" s="40" t="str">
        <f aca="false">IF(A388&amp;B388&amp;D388="","",IF(OR(A388="",B388="",D388="",E388=""),"Incomplete",IF(K388="Unknown","Unknown code",IF(AND(K388="Yes",C388=""),"Billable, needs client",IF(N388&gt;MaxDayHours,"Over "&amp;MaxDayHours&amp;" hours that day","")))))</f>
        <v/>
      </c>
    </row>
    <row r="389" customFormat="false" ht="15" hidden="false" customHeight="false" outlineLevel="0" collapsed="false">
      <c r="A389" s="31" t="n">
        <v>46225</v>
      </c>
      <c r="B389" s="32" t="s">
        <v>103</v>
      </c>
      <c r="C389" s="32"/>
      <c r="D389" s="33" t="s">
        <v>96</v>
      </c>
      <c r="E389" s="34" t="n">
        <v>3.25</v>
      </c>
      <c r="F389" s="32"/>
      <c r="G389" s="35" t="n">
        <f aca="false">IF(A389="","",A389+7-WEEKDAY(A389))</f>
        <v>46228</v>
      </c>
      <c r="H389" s="36" t="n">
        <f aca="false">IF(A389="","",DATE(YEAR(A389),MONTH(A389),1))</f>
        <v>46204</v>
      </c>
      <c r="I389" s="37" t="str">
        <f aca="false">IF(B389="","",IFERROR(INDEX(st_ID,MATCH(B389,st_Name,0)),"Unknown"))</f>
        <v>QP-05</v>
      </c>
      <c r="J389" s="37" t="str">
        <f aca="false">IF(C389="","",IFERROR(INDEX(cl_Code,MATCH(C389,cl_Name,0)),"Unknown"))</f>
        <v/>
      </c>
      <c r="K389" s="37" t="str">
        <f aca="false">IF(D389="","",IFERROR(INDEX(rt_Billable,MATCH(D389,rt_Code,0)),"Unknown"))</f>
        <v>No</v>
      </c>
      <c r="L389" s="38" t="str">
        <f aca="false">IF(K389&lt;&gt;"Yes","",IFERROR(INDEX(cr_Rate,MATCH(J389&amp;"|"&amp;D389,cr_Key,0)),INDEX(rt_Rate,MATCH(D389,rt_Code,0))))</f>
        <v/>
      </c>
      <c r="M389" s="25" t="str">
        <f aca="false">IF(L389="","",ROUND(N(E389)*L389,2))</f>
        <v/>
      </c>
      <c r="N389" s="39" t="n">
        <f aca="false">IF(OR(A389="",B389=""),"",SUMIFS(tl_Hours,tl_StaffID,I389,tl_Date,A389))</f>
        <v>8</v>
      </c>
      <c r="O389" s="40" t="str">
        <f aca="false">IF(A389&amp;B389&amp;D389="","",IF(OR(A389="",B389="",D389="",E389=""),"Incomplete",IF(K389="Unknown","Unknown code",IF(AND(K389="Yes",C389=""),"Billable, needs client",IF(N389&gt;MaxDayHours,"Over "&amp;MaxDayHours&amp;" hours that day","")))))</f>
        <v/>
      </c>
    </row>
    <row r="390" customFormat="false" ht="15" hidden="false" customHeight="false" outlineLevel="0" collapsed="false">
      <c r="A390" s="31" t="n">
        <v>46225</v>
      </c>
      <c r="B390" s="32" t="s">
        <v>105</v>
      </c>
      <c r="C390" s="32" t="s">
        <v>90</v>
      </c>
      <c r="D390" s="33" t="s">
        <v>91</v>
      </c>
      <c r="E390" s="34" t="n">
        <v>3</v>
      </c>
      <c r="F390" s="32"/>
      <c r="G390" s="35" t="n">
        <f aca="false">IF(A390="","",A390+7-WEEKDAY(A390))</f>
        <v>46228</v>
      </c>
      <c r="H390" s="36" t="n">
        <f aca="false">IF(A390="","",DATE(YEAR(A390),MONTH(A390),1))</f>
        <v>46204</v>
      </c>
      <c r="I390" s="37" t="str">
        <f aca="false">IF(B390="","",IFERROR(INDEX(st_ID,MATCH(B390,st_Name,0)),"Unknown"))</f>
        <v>QP-06</v>
      </c>
      <c r="J390" s="37" t="str">
        <f aca="false">IF(C390="","",IFERROR(INDEX(cl_Code,MATCH(C390,cl_Name,0)),"Unknown"))</f>
        <v>BSE</v>
      </c>
      <c r="K390" s="37" t="str">
        <f aca="false">IF(D390="","",IFERROR(INDEX(rt_Billable,MATCH(D390,rt_Code,0)),"Unknown"))</f>
        <v>Yes</v>
      </c>
      <c r="L390" s="38" t="n">
        <f aca="false">IF(K390&lt;&gt;"Yes","",IFERROR(INDEX(cr_Rate,MATCH(J390&amp;"|"&amp;D390,cr_Key,0)),INDEX(rt_Rate,MATCH(D390,rt_Code,0))))</f>
        <v>100</v>
      </c>
      <c r="M390" s="25" t="n">
        <f aca="false">IF(L390="","",ROUND(N(E390)*L390,2))</f>
        <v>300</v>
      </c>
      <c r="N390" s="39" t="n">
        <f aca="false">IF(OR(A390="",B390=""),"",SUMIFS(tl_Hours,tl_StaffID,I390,tl_Date,A390))</f>
        <v>8</v>
      </c>
      <c r="O390" s="40" t="str">
        <f aca="false">IF(A390&amp;B390&amp;D390="","",IF(OR(A390="",B390="",D390="",E390=""),"Incomplete",IF(K390="Unknown","Unknown code",IF(AND(K390="Yes",C390=""),"Billable, needs client",IF(N390&gt;MaxDayHours,"Over "&amp;MaxDayHours&amp;" hours that day","")))))</f>
        <v/>
      </c>
    </row>
    <row r="391" customFormat="false" ht="15" hidden="false" customHeight="false" outlineLevel="0" collapsed="false">
      <c r="A391" s="31" t="n">
        <v>46225</v>
      </c>
      <c r="B391" s="32" t="s">
        <v>105</v>
      </c>
      <c r="C391" s="32" t="s">
        <v>90</v>
      </c>
      <c r="D391" s="33" t="s">
        <v>104</v>
      </c>
      <c r="E391" s="34" t="n">
        <v>1.25</v>
      </c>
      <c r="F391" s="32"/>
      <c r="G391" s="35" t="n">
        <f aca="false">IF(A391="","",A391+7-WEEKDAY(A391))</f>
        <v>46228</v>
      </c>
      <c r="H391" s="36" t="n">
        <f aca="false">IF(A391="","",DATE(YEAR(A391),MONTH(A391),1))</f>
        <v>46204</v>
      </c>
      <c r="I391" s="37" t="str">
        <f aca="false">IF(B391="","",IFERROR(INDEX(st_ID,MATCH(B391,st_Name,0)),"Unknown"))</f>
        <v>QP-06</v>
      </c>
      <c r="J391" s="37" t="str">
        <f aca="false">IF(C391="","",IFERROR(INDEX(cl_Code,MATCH(C391,cl_Name,0)),"Unknown"))</f>
        <v>BSE</v>
      </c>
      <c r="K391" s="37" t="str">
        <f aca="false">IF(D391="","",IFERROR(INDEX(rt_Billable,MATCH(D391,rt_Code,0)),"Unknown"))</f>
        <v>Yes</v>
      </c>
      <c r="L391" s="38" t="n">
        <f aca="false">IF(K391&lt;&gt;"Yes","",IFERROR(INDEX(cr_Rate,MATCH(J391&amp;"|"&amp;D391,cr_Key,0)),INDEX(rt_Rate,MATCH(D391,rt_Code,0))))</f>
        <v>70</v>
      </c>
      <c r="M391" s="25" t="n">
        <f aca="false">IF(L391="","",ROUND(N(E391)*L391,2))</f>
        <v>87.5</v>
      </c>
      <c r="N391" s="39" t="n">
        <f aca="false">IF(OR(A391="",B391=""),"",SUMIFS(tl_Hours,tl_StaffID,I391,tl_Date,A391))</f>
        <v>8</v>
      </c>
      <c r="O391" s="40" t="str">
        <f aca="false">IF(A391&amp;B391&amp;D391="","",IF(OR(A391="",B391="",D391="",E391=""),"Incomplete",IF(K391="Unknown","Unknown code",IF(AND(K391="Yes",C391=""),"Billable, needs client",IF(N391&gt;MaxDayHours,"Over "&amp;MaxDayHours&amp;" hours that day","")))))</f>
        <v/>
      </c>
    </row>
    <row r="392" customFormat="false" ht="15" hidden="false" customHeight="false" outlineLevel="0" collapsed="false">
      <c r="A392" s="31" t="n">
        <v>46225</v>
      </c>
      <c r="B392" s="32" t="s">
        <v>105</v>
      </c>
      <c r="C392" s="32"/>
      <c r="D392" s="33" t="s">
        <v>98</v>
      </c>
      <c r="E392" s="34" t="n">
        <v>1</v>
      </c>
      <c r="F392" s="32" t="s">
        <v>99</v>
      </c>
      <c r="G392" s="35" t="n">
        <f aca="false">IF(A392="","",A392+7-WEEKDAY(A392))</f>
        <v>46228</v>
      </c>
      <c r="H392" s="36" t="n">
        <f aca="false">IF(A392="","",DATE(YEAR(A392),MONTH(A392),1))</f>
        <v>46204</v>
      </c>
      <c r="I392" s="37" t="str">
        <f aca="false">IF(B392="","",IFERROR(INDEX(st_ID,MATCH(B392,st_Name,0)),"Unknown"))</f>
        <v>QP-06</v>
      </c>
      <c r="J392" s="37" t="str">
        <f aca="false">IF(C392="","",IFERROR(INDEX(cl_Code,MATCH(C392,cl_Name,0)),"Unknown"))</f>
        <v/>
      </c>
      <c r="K392" s="37" t="str">
        <f aca="false">IF(D392="","",IFERROR(INDEX(rt_Billable,MATCH(D392,rt_Code,0)),"Unknown"))</f>
        <v>No</v>
      </c>
      <c r="L392" s="38" t="str">
        <f aca="false">IF(K392&lt;&gt;"Yes","",IFERROR(INDEX(cr_Rate,MATCH(J392&amp;"|"&amp;D392,cr_Key,0)),INDEX(rt_Rate,MATCH(D392,rt_Code,0))))</f>
        <v/>
      </c>
      <c r="M392" s="25" t="str">
        <f aca="false">IF(L392="","",ROUND(N(E392)*L392,2))</f>
        <v/>
      </c>
      <c r="N392" s="39" t="n">
        <f aca="false">IF(OR(A392="",B392=""),"",SUMIFS(tl_Hours,tl_StaffID,I392,tl_Date,A392))</f>
        <v>8</v>
      </c>
      <c r="O392" s="40" t="str">
        <f aca="false">IF(A392&amp;B392&amp;D392="","",IF(OR(A392="",B392="",D392="",E392=""),"Incomplete",IF(K392="Unknown","Unknown code",IF(AND(K392="Yes",C392=""),"Billable, needs client",IF(N392&gt;MaxDayHours,"Over "&amp;MaxDayHours&amp;" hours that day","")))))</f>
        <v/>
      </c>
    </row>
    <row r="393" customFormat="false" ht="15" hidden="false" customHeight="false" outlineLevel="0" collapsed="false">
      <c r="A393" s="31" t="n">
        <v>46225</v>
      </c>
      <c r="B393" s="32" t="s">
        <v>105</v>
      </c>
      <c r="C393" s="32"/>
      <c r="D393" s="33" t="s">
        <v>96</v>
      </c>
      <c r="E393" s="34" t="n">
        <v>2.75</v>
      </c>
      <c r="F393" s="32"/>
      <c r="G393" s="35" t="n">
        <f aca="false">IF(A393="","",A393+7-WEEKDAY(A393))</f>
        <v>46228</v>
      </c>
      <c r="H393" s="36" t="n">
        <f aca="false">IF(A393="","",DATE(YEAR(A393),MONTH(A393),1))</f>
        <v>46204</v>
      </c>
      <c r="I393" s="37" t="str">
        <f aca="false">IF(B393="","",IFERROR(INDEX(st_ID,MATCH(B393,st_Name,0)),"Unknown"))</f>
        <v>QP-06</v>
      </c>
      <c r="J393" s="37" t="str">
        <f aca="false">IF(C393="","",IFERROR(INDEX(cl_Code,MATCH(C393,cl_Name,0)),"Unknown"))</f>
        <v/>
      </c>
      <c r="K393" s="37" t="str">
        <f aca="false">IF(D393="","",IFERROR(INDEX(rt_Billable,MATCH(D393,rt_Code,0)),"Unknown"))</f>
        <v>No</v>
      </c>
      <c r="L393" s="38" t="str">
        <f aca="false">IF(K393&lt;&gt;"Yes","",IFERROR(INDEX(cr_Rate,MATCH(J393&amp;"|"&amp;D393,cr_Key,0)),INDEX(rt_Rate,MATCH(D393,rt_Code,0))))</f>
        <v/>
      </c>
      <c r="M393" s="25" t="str">
        <f aca="false">IF(L393="","",ROUND(N(E393)*L393,2))</f>
        <v/>
      </c>
      <c r="N393" s="39" t="n">
        <f aca="false">IF(OR(A393="",B393=""),"",SUMIFS(tl_Hours,tl_StaffID,I393,tl_Date,A393))</f>
        <v>8</v>
      </c>
      <c r="O393" s="40" t="str">
        <f aca="false">IF(A393&amp;B393&amp;D393="","",IF(OR(A393="",B393="",D393="",E393=""),"Incomplete",IF(K393="Unknown","Unknown code",IF(AND(K393="Yes",C393=""),"Billable, needs client",IF(N393&gt;MaxDayHours,"Over "&amp;MaxDayHours&amp;" hours that day","")))))</f>
        <v/>
      </c>
    </row>
    <row r="394" customFormat="false" ht="15" hidden="false" customHeight="false" outlineLevel="0" collapsed="false">
      <c r="A394" s="31" t="n">
        <v>46225</v>
      </c>
      <c r="B394" s="32" t="s">
        <v>106</v>
      </c>
      <c r="C394" s="32" t="s">
        <v>102</v>
      </c>
      <c r="D394" s="33" t="s">
        <v>104</v>
      </c>
      <c r="E394" s="34" t="n">
        <v>4</v>
      </c>
      <c r="F394" s="32"/>
      <c r="G394" s="35" t="n">
        <f aca="false">IF(A394="","",A394+7-WEEKDAY(A394))</f>
        <v>46228</v>
      </c>
      <c r="H394" s="36" t="n">
        <f aca="false">IF(A394="","",DATE(YEAR(A394),MONTH(A394),1))</f>
        <v>46204</v>
      </c>
      <c r="I394" s="37" t="str">
        <f aca="false">IF(B394="","",IFERROR(INDEX(st_ID,MATCH(B394,st_Name,0)),"Unknown"))</f>
        <v>QP-07</v>
      </c>
      <c r="J394" s="37" t="str">
        <f aca="false">IF(C394="","",IFERROR(INDEX(cl_Code,MATCH(C394,cl_Name,0)),"Unknown"))</f>
        <v>CLH</v>
      </c>
      <c r="K394" s="37" t="str">
        <f aca="false">IF(D394="","",IFERROR(INDEX(rt_Billable,MATCH(D394,rt_Code,0)),"Unknown"))</f>
        <v>Yes</v>
      </c>
      <c r="L394" s="38" t="n">
        <f aca="false">IF(K394&lt;&gt;"Yes","",IFERROR(INDEX(cr_Rate,MATCH(J394&amp;"|"&amp;D394,cr_Key,0)),INDEX(rt_Rate,MATCH(D394,rt_Code,0))))</f>
        <v>65</v>
      </c>
      <c r="M394" s="25" t="n">
        <f aca="false">IF(L394="","",ROUND(N(E394)*L394,2))</f>
        <v>260</v>
      </c>
      <c r="N394" s="39" t="n">
        <f aca="false">IF(OR(A394="",B394=""),"",SUMIFS(tl_Hours,tl_StaffID,I394,tl_Date,A394))</f>
        <v>8</v>
      </c>
      <c r="O394" s="40" t="str">
        <f aca="false">IF(A394&amp;B394&amp;D394="","",IF(OR(A394="",B394="",D394="",E394=""),"Incomplete",IF(K394="Unknown","Unknown code",IF(AND(K394="Yes",C394=""),"Billable, needs client",IF(N394&gt;MaxDayHours,"Over "&amp;MaxDayHours&amp;" hours that day","")))))</f>
        <v/>
      </c>
    </row>
    <row r="395" customFormat="false" ht="15" hidden="false" customHeight="false" outlineLevel="0" collapsed="false">
      <c r="A395" s="31" t="n">
        <v>46225</v>
      </c>
      <c r="B395" s="32" t="s">
        <v>106</v>
      </c>
      <c r="C395" s="32" t="s">
        <v>102</v>
      </c>
      <c r="D395" s="33" t="s">
        <v>88</v>
      </c>
      <c r="E395" s="34" t="n">
        <v>1</v>
      </c>
      <c r="F395" s="32"/>
      <c r="G395" s="35" t="n">
        <f aca="false">IF(A395="","",A395+7-WEEKDAY(A395))</f>
        <v>46228</v>
      </c>
      <c r="H395" s="36" t="n">
        <f aca="false">IF(A395="","",DATE(YEAR(A395),MONTH(A395),1))</f>
        <v>46204</v>
      </c>
      <c r="I395" s="37" t="str">
        <f aca="false">IF(B395="","",IFERROR(INDEX(st_ID,MATCH(B395,st_Name,0)),"Unknown"))</f>
        <v>QP-07</v>
      </c>
      <c r="J395" s="37" t="str">
        <f aca="false">IF(C395="","",IFERROR(INDEX(cl_Code,MATCH(C395,cl_Name,0)),"Unknown"))</f>
        <v>CLH</v>
      </c>
      <c r="K395" s="37" t="str">
        <f aca="false">IF(D395="","",IFERROR(INDEX(rt_Billable,MATCH(D395,rt_Code,0)),"Unknown"))</f>
        <v>Yes</v>
      </c>
      <c r="L395" s="38" t="n">
        <f aca="false">IF(K395&lt;&gt;"Yes","",IFERROR(INDEX(cr_Rate,MATCH(J395&amp;"|"&amp;D395,cr_Key,0)),INDEX(rt_Rate,MATCH(D395,rt_Code,0))))</f>
        <v>110</v>
      </c>
      <c r="M395" s="25" t="n">
        <f aca="false">IF(L395="","",ROUND(N(E395)*L395,2))</f>
        <v>110</v>
      </c>
      <c r="N395" s="39" t="n">
        <f aca="false">IF(OR(A395="",B395=""),"",SUMIFS(tl_Hours,tl_StaffID,I395,tl_Date,A395))</f>
        <v>8</v>
      </c>
      <c r="O395" s="40" t="str">
        <f aca="false">IF(A395&amp;B395&amp;D395="","",IF(OR(A395="",B395="",D395="",E395=""),"Incomplete",IF(K395="Unknown","Unknown code",IF(AND(K395="Yes",C395=""),"Billable, needs client",IF(N395&gt;MaxDayHours,"Over "&amp;MaxDayHours&amp;" hours that day","")))))</f>
        <v/>
      </c>
    </row>
    <row r="396" customFormat="false" ht="15" hidden="false" customHeight="false" outlineLevel="0" collapsed="false">
      <c r="A396" s="31" t="n">
        <v>46225</v>
      </c>
      <c r="B396" s="32" t="s">
        <v>106</v>
      </c>
      <c r="C396" s="32"/>
      <c r="D396" s="33" t="s">
        <v>98</v>
      </c>
      <c r="E396" s="34" t="n">
        <v>1</v>
      </c>
      <c r="F396" s="32" t="s">
        <v>99</v>
      </c>
      <c r="G396" s="35" t="n">
        <f aca="false">IF(A396="","",A396+7-WEEKDAY(A396))</f>
        <v>46228</v>
      </c>
      <c r="H396" s="36" t="n">
        <f aca="false">IF(A396="","",DATE(YEAR(A396),MONTH(A396),1))</f>
        <v>46204</v>
      </c>
      <c r="I396" s="37" t="str">
        <f aca="false">IF(B396="","",IFERROR(INDEX(st_ID,MATCH(B396,st_Name,0)),"Unknown"))</f>
        <v>QP-07</v>
      </c>
      <c r="J396" s="37" t="str">
        <f aca="false">IF(C396="","",IFERROR(INDEX(cl_Code,MATCH(C396,cl_Name,0)),"Unknown"))</f>
        <v/>
      </c>
      <c r="K396" s="37" t="str">
        <f aca="false">IF(D396="","",IFERROR(INDEX(rt_Billable,MATCH(D396,rt_Code,0)),"Unknown"))</f>
        <v>No</v>
      </c>
      <c r="L396" s="38" t="str">
        <f aca="false">IF(K396&lt;&gt;"Yes","",IFERROR(INDEX(cr_Rate,MATCH(J396&amp;"|"&amp;D396,cr_Key,0)),INDEX(rt_Rate,MATCH(D396,rt_Code,0))))</f>
        <v/>
      </c>
      <c r="M396" s="25" t="str">
        <f aca="false">IF(L396="","",ROUND(N(E396)*L396,2))</f>
        <v/>
      </c>
      <c r="N396" s="39" t="n">
        <f aca="false">IF(OR(A396="",B396=""),"",SUMIFS(tl_Hours,tl_StaffID,I396,tl_Date,A396))</f>
        <v>8</v>
      </c>
      <c r="O396" s="40" t="str">
        <f aca="false">IF(A396&amp;B396&amp;D396="","",IF(OR(A396="",B396="",D396="",E396=""),"Incomplete",IF(K396="Unknown","Unknown code",IF(AND(K396="Yes",C396=""),"Billable, needs client",IF(N396&gt;MaxDayHours,"Over "&amp;MaxDayHours&amp;" hours that day","")))))</f>
        <v/>
      </c>
    </row>
    <row r="397" customFormat="false" ht="15" hidden="false" customHeight="false" outlineLevel="0" collapsed="false">
      <c r="A397" s="31" t="n">
        <v>46225</v>
      </c>
      <c r="B397" s="32" t="s">
        <v>106</v>
      </c>
      <c r="C397" s="32"/>
      <c r="D397" s="33" t="s">
        <v>96</v>
      </c>
      <c r="E397" s="34" t="n">
        <v>2</v>
      </c>
      <c r="F397" s="32"/>
      <c r="G397" s="35" t="n">
        <f aca="false">IF(A397="","",A397+7-WEEKDAY(A397))</f>
        <v>46228</v>
      </c>
      <c r="H397" s="36" t="n">
        <f aca="false">IF(A397="","",DATE(YEAR(A397),MONTH(A397),1))</f>
        <v>46204</v>
      </c>
      <c r="I397" s="37" t="str">
        <f aca="false">IF(B397="","",IFERROR(INDEX(st_ID,MATCH(B397,st_Name,0)),"Unknown"))</f>
        <v>QP-07</v>
      </c>
      <c r="J397" s="37" t="str">
        <f aca="false">IF(C397="","",IFERROR(INDEX(cl_Code,MATCH(C397,cl_Name,0)),"Unknown"))</f>
        <v/>
      </c>
      <c r="K397" s="37" t="str">
        <f aca="false">IF(D397="","",IFERROR(INDEX(rt_Billable,MATCH(D397,rt_Code,0)),"Unknown"))</f>
        <v>No</v>
      </c>
      <c r="L397" s="38" t="str">
        <f aca="false">IF(K397&lt;&gt;"Yes","",IFERROR(INDEX(cr_Rate,MATCH(J397&amp;"|"&amp;D397,cr_Key,0)),INDEX(rt_Rate,MATCH(D397,rt_Code,0))))</f>
        <v/>
      </c>
      <c r="M397" s="25" t="str">
        <f aca="false">IF(L397="","",ROUND(N(E397)*L397,2))</f>
        <v/>
      </c>
      <c r="N397" s="39" t="n">
        <f aca="false">IF(OR(A397="",B397=""),"",SUMIFS(tl_Hours,tl_StaffID,I397,tl_Date,A397))</f>
        <v>8</v>
      </c>
      <c r="O397" s="40" t="str">
        <f aca="false">IF(A397&amp;B397&amp;D397="","",IF(OR(A397="",B397="",D397="",E397=""),"Incomplete",IF(K397="Unknown","Unknown code",IF(AND(K397="Yes",C397=""),"Billable, needs client",IF(N397&gt;MaxDayHours,"Over "&amp;MaxDayHours&amp;" hours that day","")))))</f>
        <v/>
      </c>
    </row>
    <row r="398" customFormat="false" ht="15" hidden="false" customHeight="false" outlineLevel="0" collapsed="false">
      <c r="A398" s="31" t="n">
        <v>46225</v>
      </c>
      <c r="B398" s="32" t="s">
        <v>107</v>
      </c>
      <c r="C398" s="32"/>
      <c r="D398" s="33" t="s">
        <v>108</v>
      </c>
      <c r="E398" s="34" t="n">
        <v>7</v>
      </c>
      <c r="F398" s="32"/>
      <c r="G398" s="35" t="n">
        <f aca="false">IF(A398="","",A398+7-WEEKDAY(A398))</f>
        <v>46228</v>
      </c>
      <c r="H398" s="36" t="n">
        <f aca="false">IF(A398="","",DATE(YEAR(A398),MONTH(A398),1))</f>
        <v>46204</v>
      </c>
      <c r="I398" s="37" t="str">
        <f aca="false">IF(B398="","",IFERROR(INDEX(st_ID,MATCH(B398,st_Name,0)),"Unknown"))</f>
        <v>QP-08</v>
      </c>
      <c r="J398" s="37" t="str">
        <f aca="false">IF(C398="","",IFERROR(INDEX(cl_Code,MATCH(C398,cl_Name,0)),"Unknown"))</f>
        <v/>
      </c>
      <c r="K398" s="37" t="str">
        <f aca="false">IF(D398="","",IFERROR(INDEX(rt_Billable,MATCH(D398,rt_Code,0)),"Unknown"))</f>
        <v>No</v>
      </c>
      <c r="L398" s="38" t="str">
        <f aca="false">IF(K398&lt;&gt;"Yes","",IFERROR(INDEX(cr_Rate,MATCH(J398&amp;"|"&amp;D398,cr_Key,0)),INDEX(rt_Rate,MATCH(D398,rt_Code,0))))</f>
        <v/>
      </c>
      <c r="M398" s="25" t="str">
        <f aca="false">IF(L398="","",ROUND(N(E398)*L398,2))</f>
        <v/>
      </c>
      <c r="N398" s="39" t="n">
        <f aca="false">IF(OR(A398="",B398=""),"",SUMIFS(tl_Hours,tl_StaffID,I398,tl_Date,A398))</f>
        <v>8</v>
      </c>
      <c r="O398" s="40" t="str">
        <f aca="false">IF(A398&amp;B398&amp;D398="","",IF(OR(A398="",B398="",D398="",E398=""),"Incomplete",IF(K398="Unknown","Unknown code",IF(AND(K398="Yes",C398=""),"Billable, needs client",IF(N398&gt;MaxDayHours,"Over "&amp;MaxDayHours&amp;" hours that day","")))))</f>
        <v/>
      </c>
    </row>
    <row r="399" customFormat="false" ht="15" hidden="false" customHeight="false" outlineLevel="0" collapsed="false">
      <c r="A399" s="31" t="n">
        <v>46225</v>
      </c>
      <c r="B399" s="32" t="s">
        <v>107</v>
      </c>
      <c r="C399" s="32"/>
      <c r="D399" s="33" t="s">
        <v>98</v>
      </c>
      <c r="E399" s="34" t="n">
        <v>1</v>
      </c>
      <c r="F399" s="32"/>
      <c r="G399" s="35" t="n">
        <f aca="false">IF(A399="","",A399+7-WEEKDAY(A399))</f>
        <v>46228</v>
      </c>
      <c r="H399" s="36" t="n">
        <f aca="false">IF(A399="","",DATE(YEAR(A399),MONTH(A399),1))</f>
        <v>46204</v>
      </c>
      <c r="I399" s="37" t="str">
        <f aca="false">IF(B399="","",IFERROR(INDEX(st_ID,MATCH(B399,st_Name,0)),"Unknown"))</f>
        <v>QP-08</v>
      </c>
      <c r="J399" s="37" t="str">
        <f aca="false">IF(C399="","",IFERROR(INDEX(cl_Code,MATCH(C399,cl_Name,0)),"Unknown"))</f>
        <v/>
      </c>
      <c r="K399" s="37" t="str">
        <f aca="false">IF(D399="","",IFERROR(INDEX(rt_Billable,MATCH(D399,rt_Code,0)),"Unknown"))</f>
        <v>No</v>
      </c>
      <c r="L399" s="38" t="str">
        <f aca="false">IF(K399&lt;&gt;"Yes","",IFERROR(INDEX(cr_Rate,MATCH(J399&amp;"|"&amp;D399,cr_Key,0)),INDEX(rt_Rate,MATCH(D399,rt_Code,0))))</f>
        <v/>
      </c>
      <c r="M399" s="25" t="str">
        <f aca="false">IF(L399="","",ROUND(N(E399)*L399,2))</f>
        <v/>
      </c>
      <c r="N399" s="39" t="n">
        <f aca="false">IF(OR(A399="",B399=""),"",SUMIFS(tl_Hours,tl_StaffID,I399,tl_Date,A399))</f>
        <v>8</v>
      </c>
      <c r="O399" s="40" t="str">
        <f aca="false">IF(A399&amp;B399&amp;D399="","",IF(OR(A399="",B399="",D399="",E399=""),"Incomplete",IF(K399="Unknown","Unknown code",IF(AND(K399="Yes",C399=""),"Billable, needs client",IF(N399&gt;MaxDayHours,"Over "&amp;MaxDayHours&amp;" hours that day","")))))</f>
        <v/>
      </c>
    </row>
    <row r="400" customFormat="false" ht="15" hidden="false" customHeight="false" outlineLevel="0" collapsed="false">
      <c r="A400" s="31" t="n">
        <v>46226</v>
      </c>
      <c r="B400" s="32" t="s">
        <v>86</v>
      </c>
      <c r="C400" s="32" t="s">
        <v>90</v>
      </c>
      <c r="D400" s="33" t="s">
        <v>88</v>
      </c>
      <c r="E400" s="34" t="n">
        <v>3.25</v>
      </c>
      <c r="F400" s="32"/>
      <c r="G400" s="35" t="n">
        <f aca="false">IF(A400="","",A400+7-WEEKDAY(A400))</f>
        <v>46228</v>
      </c>
      <c r="H400" s="36" t="n">
        <f aca="false">IF(A400="","",DATE(YEAR(A400),MONTH(A400),1))</f>
        <v>46204</v>
      </c>
      <c r="I400" s="37" t="str">
        <f aca="false">IF(B400="","",IFERROR(INDEX(st_ID,MATCH(B400,st_Name,0)),"Unknown"))</f>
        <v>QP-01</v>
      </c>
      <c r="J400" s="37" t="str">
        <f aca="false">IF(C400="","",IFERROR(INDEX(cl_Code,MATCH(C400,cl_Name,0)),"Unknown"))</f>
        <v>BSE</v>
      </c>
      <c r="K400" s="37" t="str">
        <f aca="false">IF(D400="","",IFERROR(INDEX(rt_Billable,MATCH(D400,rt_Code,0)),"Unknown"))</f>
        <v>Yes</v>
      </c>
      <c r="L400" s="38" t="n">
        <f aca="false">IF(K400&lt;&gt;"Yes","",IFERROR(INDEX(cr_Rate,MATCH(J400&amp;"|"&amp;D400,cr_Key,0)),INDEX(rt_Rate,MATCH(D400,rt_Code,0))))</f>
        <v>104</v>
      </c>
      <c r="M400" s="25" t="n">
        <f aca="false">IF(L400="","",ROUND(N(E400)*L400,2))</f>
        <v>338</v>
      </c>
      <c r="N400" s="39" t="n">
        <f aca="false">IF(OR(A400="",B400=""),"",SUMIFS(tl_Hours,tl_StaffID,I400,tl_Date,A400))</f>
        <v>8</v>
      </c>
      <c r="O400" s="40" t="str">
        <f aca="false">IF(A400&amp;B400&amp;D400="","",IF(OR(A400="",B400="",D400="",E400=""),"Incomplete",IF(K400="Unknown","Unknown code",IF(AND(K400="Yes",C400=""),"Billable, needs client",IF(N400&gt;MaxDayHours,"Over "&amp;MaxDayHours&amp;" hours that day","")))))</f>
        <v/>
      </c>
    </row>
    <row r="401" customFormat="false" ht="15" hidden="false" customHeight="false" outlineLevel="0" collapsed="false">
      <c r="A401" s="31" t="n">
        <v>46226</v>
      </c>
      <c r="B401" s="32" t="s">
        <v>86</v>
      </c>
      <c r="C401" s="32" t="s">
        <v>90</v>
      </c>
      <c r="D401" s="33" t="s">
        <v>104</v>
      </c>
      <c r="E401" s="34" t="n">
        <v>1</v>
      </c>
      <c r="F401" s="32"/>
      <c r="G401" s="35" t="n">
        <f aca="false">IF(A401="","",A401+7-WEEKDAY(A401))</f>
        <v>46228</v>
      </c>
      <c r="H401" s="36" t="n">
        <f aca="false">IF(A401="","",DATE(YEAR(A401),MONTH(A401),1))</f>
        <v>46204</v>
      </c>
      <c r="I401" s="37" t="str">
        <f aca="false">IF(B401="","",IFERROR(INDEX(st_ID,MATCH(B401,st_Name,0)),"Unknown"))</f>
        <v>QP-01</v>
      </c>
      <c r="J401" s="37" t="str">
        <f aca="false">IF(C401="","",IFERROR(INDEX(cl_Code,MATCH(C401,cl_Name,0)),"Unknown"))</f>
        <v>BSE</v>
      </c>
      <c r="K401" s="37" t="str">
        <f aca="false">IF(D401="","",IFERROR(INDEX(rt_Billable,MATCH(D401,rt_Code,0)),"Unknown"))</f>
        <v>Yes</v>
      </c>
      <c r="L401" s="38" t="n">
        <f aca="false">IF(K401&lt;&gt;"Yes","",IFERROR(INDEX(cr_Rate,MATCH(J401&amp;"|"&amp;D401,cr_Key,0)),INDEX(rt_Rate,MATCH(D401,rt_Code,0))))</f>
        <v>70</v>
      </c>
      <c r="M401" s="25" t="n">
        <f aca="false">IF(L401="","",ROUND(N(E401)*L401,2))</f>
        <v>70</v>
      </c>
      <c r="N401" s="39" t="n">
        <f aca="false">IF(OR(A401="",B401=""),"",SUMIFS(tl_Hours,tl_StaffID,I401,tl_Date,A401))</f>
        <v>8</v>
      </c>
      <c r="O401" s="40" t="str">
        <f aca="false">IF(A401&amp;B401&amp;D401="","",IF(OR(A401="",B401="",D401="",E401=""),"Incomplete",IF(K401="Unknown","Unknown code",IF(AND(K401="Yes",C401=""),"Billable, needs client",IF(N401&gt;MaxDayHours,"Over "&amp;MaxDayHours&amp;" hours that day","")))))</f>
        <v/>
      </c>
    </row>
    <row r="402" customFormat="false" ht="15" hidden="false" customHeight="false" outlineLevel="0" collapsed="false">
      <c r="A402" s="31" t="n">
        <v>46226</v>
      </c>
      <c r="B402" s="32" t="s">
        <v>86</v>
      </c>
      <c r="C402" s="32"/>
      <c r="D402" s="33" t="s">
        <v>96</v>
      </c>
      <c r="E402" s="34" t="n">
        <v>3.75</v>
      </c>
      <c r="F402" s="32"/>
      <c r="G402" s="35" t="n">
        <f aca="false">IF(A402="","",A402+7-WEEKDAY(A402))</f>
        <v>46228</v>
      </c>
      <c r="H402" s="36" t="n">
        <f aca="false">IF(A402="","",DATE(YEAR(A402),MONTH(A402),1))</f>
        <v>46204</v>
      </c>
      <c r="I402" s="37" t="str">
        <f aca="false">IF(B402="","",IFERROR(INDEX(st_ID,MATCH(B402,st_Name,0)),"Unknown"))</f>
        <v>QP-01</v>
      </c>
      <c r="J402" s="37" t="str">
        <f aca="false">IF(C402="","",IFERROR(INDEX(cl_Code,MATCH(C402,cl_Name,0)),"Unknown"))</f>
        <v/>
      </c>
      <c r="K402" s="37" t="str">
        <f aca="false">IF(D402="","",IFERROR(INDEX(rt_Billable,MATCH(D402,rt_Code,0)),"Unknown"))</f>
        <v>No</v>
      </c>
      <c r="L402" s="38" t="str">
        <f aca="false">IF(K402&lt;&gt;"Yes","",IFERROR(INDEX(cr_Rate,MATCH(J402&amp;"|"&amp;D402,cr_Key,0)),INDEX(rt_Rate,MATCH(D402,rt_Code,0))))</f>
        <v/>
      </c>
      <c r="M402" s="25" t="str">
        <f aca="false">IF(L402="","",ROUND(N(E402)*L402,2))</f>
        <v/>
      </c>
      <c r="N402" s="39" t="n">
        <f aca="false">IF(OR(A402="",B402=""),"",SUMIFS(tl_Hours,tl_StaffID,I402,tl_Date,A402))</f>
        <v>8</v>
      </c>
      <c r="O402" s="40" t="str">
        <f aca="false">IF(A402&amp;B402&amp;D402="","",IF(OR(A402="",B402="",D402="",E402=""),"Incomplete",IF(K402="Unknown","Unknown code",IF(AND(K402="Yes",C402=""),"Billable, needs client",IF(N402&gt;MaxDayHours,"Over "&amp;MaxDayHours&amp;" hours that day","")))))</f>
        <v/>
      </c>
    </row>
    <row r="403" customFormat="false" ht="15" hidden="false" customHeight="false" outlineLevel="0" collapsed="false">
      <c r="A403" s="31" t="n">
        <v>46226</v>
      </c>
      <c r="B403" s="32" t="s">
        <v>97</v>
      </c>
      <c r="C403" s="32" t="s">
        <v>90</v>
      </c>
      <c r="D403" s="33" t="s">
        <v>88</v>
      </c>
      <c r="E403" s="34" t="n">
        <v>2.75</v>
      </c>
      <c r="F403" s="32"/>
      <c r="G403" s="35" t="n">
        <f aca="false">IF(A403="","",A403+7-WEEKDAY(A403))</f>
        <v>46228</v>
      </c>
      <c r="H403" s="36" t="n">
        <f aca="false">IF(A403="","",DATE(YEAR(A403),MONTH(A403),1))</f>
        <v>46204</v>
      </c>
      <c r="I403" s="37" t="str">
        <f aca="false">IF(B403="","",IFERROR(INDEX(st_ID,MATCH(B403,st_Name,0)),"Unknown"))</f>
        <v>QP-02</v>
      </c>
      <c r="J403" s="37" t="str">
        <f aca="false">IF(C403="","",IFERROR(INDEX(cl_Code,MATCH(C403,cl_Name,0)),"Unknown"))</f>
        <v>BSE</v>
      </c>
      <c r="K403" s="37" t="str">
        <f aca="false">IF(D403="","",IFERROR(INDEX(rt_Billable,MATCH(D403,rt_Code,0)),"Unknown"))</f>
        <v>Yes</v>
      </c>
      <c r="L403" s="38" t="n">
        <f aca="false">IF(K403&lt;&gt;"Yes","",IFERROR(INDEX(cr_Rate,MATCH(J403&amp;"|"&amp;D403,cr_Key,0)),INDEX(rt_Rate,MATCH(D403,rt_Code,0))))</f>
        <v>104</v>
      </c>
      <c r="M403" s="25" t="n">
        <f aca="false">IF(L403="","",ROUND(N(E403)*L403,2))</f>
        <v>286</v>
      </c>
      <c r="N403" s="39" t="n">
        <f aca="false">IF(OR(A403="",B403=""),"",SUMIFS(tl_Hours,tl_StaffID,I403,tl_Date,A403))</f>
        <v>8</v>
      </c>
      <c r="O403" s="40" t="str">
        <f aca="false">IF(A403&amp;B403&amp;D403="","",IF(OR(A403="",B403="",D403="",E403=""),"Incomplete",IF(K403="Unknown","Unknown code",IF(AND(K403="Yes",C403=""),"Billable, needs client",IF(N403&gt;MaxDayHours,"Over "&amp;MaxDayHours&amp;" hours that day","")))))</f>
        <v/>
      </c>
    </row>
    <row r="404" customFormat="false" ht="15" hidden="false" customHeight="false" outlineLevel="0" collapsed="false">
      <c r="A404" s="31" t="n">
        <v>46226</v>
      </c>
      <c r="B404" s="32" t="s">
        <v>97</v>
      </c>
      <c r="C404" s="32" t="s">
        <v>90</v>
      </c>
      <c r="D404" s="33" t="s">
        <v>89</v>
      </c>
      <c r="E404" s="34" t="n">
        <v>1.25</v>
      </c>
      <c r="F404" s="32"/>
      <c r="G404" s="35" t="n">
        <f aca="false">IF(A404="","",A404+7-WEEKDAY(A404))</f>
        <v>46228</v>
      </c>
      <c r="H404" s="36" t="n">
        <f aca="false">IF(A404="","",DATE(YEAR(A404),MONTH(A404),1))</f>
        <v>46204</v>
      </c>
      <c r="I404" s="37" t="str">
        <f aca="false">IF(B404="","",IFERROR(INDEX(st_ID,MATCH(B404,st_Name,0)),"Unknown"))</f>
        <v>QP-02</v>
      </c>
      <c r="J404" s="37" t="str">
        <f aca="false">IF(C404="","",IFERROR(INDEX(cl_Code,MATCH(C404,cl_Name,0)),"Unknown"))</f>
        <v>BSE</v>
      </c>
      <c r="K404" s="37" t="str">
        <f aca="false">IF(D404="","",IFERROR(INDEX(rt_Billable,MATCH(D404,rt_Code,0)),"Unknown"))</f>
        <v>Yes</v>
      </c>
      <c r="L404" s="38" t="n">
        <f aca="false">IF(K404&lt;&gt;"Yes","",IFERROR(INDEX(cr_Rate,MATCH(J404&amp;"|"&amp;D404,cr_Key,0)),INDEX(rt_Rate,MATCH(D404,rt_Code,0))))</f>
        <v>95</v>
      </c>
      <c r="M404" s="25" t="n">
        <f aca="false">IF(L404="","",ROUND(N(E404)*L404,2))</f>
        <v>118.75</v>
      </c>
      <c r="N404" s="39" t="n">
        <f aca="false">IF(OR(A404="",B404=""),"",SUMIFS(tl_Hours,tl_StaffID,I404,tl_Date,A404))</f>
        <v>8</v>
      </c>
      <c r="O404" s="40" t="str">
        <f aca="false">IF(A404&amp;B404&amp;D404="","",IF(OR(A404="",B404="",D404="",E404=""),"Incomplete",IF(K404="Unknown","Unknown code",IF(AND(K404="Yes",C404=""),"Billable, needs client",IF(N404&gt;MaxDayHours,"Over "&amp;MaxDayHours&amp;" hours that day","")))))</f>
        <v/>
      </c>
    </row>
    <row r="405" customFormat="false" ht="15" hidden="false" customHeight="false" outlineLevel="0" collapsed="false">
      <c r="A405" s="31" t="n">
        <v>46226</v>
      </c>
      <c r="B405" s="32" t="s">
        <v>97</v>
      </c>
      <c r="C405" s="32"/>
      <c r="D405" s="33" t="s">
        <v>96</v>
      </c>
      <c r="E405" s="34" t="n">
        <v>4</v>
      </c>
      <c r="F405" s="32"/>
      <c r="G405" s="35" t="n">
        <f aca="false">IF(A405="","",A405+7-WEEKDAY(A405))</f>
        <v>46228</v>
      </c>
      <c r="H405" s="36" t="n">
        <f aca="false">IF(A405="","",DATE(YEAR(A405),MONTH(A405),1))</f>
        <v>46204</v>
      </c>
      <c r="I405" s="37" t="str">
        <f aca="false">IF(B405="","",IFERROR(INDEX(st_ID,MATCH(B405,st_Name,0)),"Unknown"))</f>
        <v>QP-02</v>
      </c>
      <c r="J405" s="37" t="str">
        <f aca="false">IF(C405="","",IFERROR(INDEX(cl_Code,MATCH(C405,cl_Name,0)),"Unknown"))</f>
        <v/>
      </c>
      <c r="K405" s="37" t="str">
        <f aca="false">IF(D405="","",IFERROR(INDEX(rt_Billable,MATCH(D405,rt_Code,0)),"Unknown"))</f>
        <v>No</v>
      </c>
      <c r="L405" s="38" t="str">
        <f aca="false">IF(K405&lt;&gt;"Yes","",IFERROR(INDEX(cr_Rate,MATCH(J405&amp;"|"&amp;D405,cr_Key,0)),INDEX(rt_Rate,MATCH(D405,rt_Code,0))))</f>
        <v/>
      </c>
      <c r="M405" s="25" t="str">
        <f aca="false">IF(L405="","",ROUND(N(E405)*L405,2))</f>
        <v/>
      </c>
      <c r="N405" s="39" t="n">
        <f aca="false">IF(OR(A405="",B405=""),"",SUMIFS(tl_Hours,tl_StaffID,I405,tl_Date,A405))</f>
        <v>8</v>
      </c>
      <c r="O405" s="40" t="str">
        <f aca="false">IF(A405&amp;B405&amp;D405="","",IF(OR(A405="",B405="",D405="",E405=""),"Incomplete",IF(K405="Unknown","Unknown code",IF(AND(K405="Yes",C405=""),"Billable, needs client",IF(N405&gt;MaxDayHours,"Over "&amp;MaxDayHours&amp;" hours that day","")))))</f>
        <v/>
      </c>
    </row>
    <row r="406" customFormat="false" ht="15" hidden="false" customHeight="false" outlineLevel="0" collapsed="false">
      <c r="A406" s="31" t="n">
        <v>46226</v>
      </c>
      <c r="B406" s="32" t="s">
        <v>100</v>
      </c>
      <c r="C406" s="32" t="s">
        <v>90</v>
      </c>
      <c r="D406" s="33" t="s">
        <v>91</v>
      </c>
      <c r="E406" s="34" t="n">
        <v>2.5</v>
      </c>
      <c r="F406" s="32"/>
      <c r="G406" s="35" t="n">
        <f aca="false">IF(A406="","",A406+7-WEEKDAY(A406))</f>
        <v>46228</v>
      </c>
      <c r="H406" s="36" t="n">
        <f aca="false">IF(A406="","",DATE(YEAR(A406),MONTH(A406),1))</f>
        <v>46204</v>
      </c>
      <c r="I406" s="37" t="str">
        <f aca="false">IF(B406="","",IFERROR(INDEX(st_ID,MATCH(B406,st_Name,0)),"Unknown"))</f>
        <v>QP-03</v>
      </c>
      <c r="J406" s="37" t="str">
        <f aca="false">IF(C406="","",IFERROR(INDEX(cl_Code,MATCH(C406,cl_Name,0)),"Unknown"))</f>
        <v>BSE</v>
      </c>
      <c r="K406" s="37" t="str">
        <f aca="false">IF(D406="","",IFERROR(INDEX(rt_Billable,MATCH(D406,rt_Code,0)),"Unknown"))</f>
        <v>Yes</v>
      </c>
      <c r="L406" s="38" t="n">
        <f aca="false">IF(K406&lt;&gt;"Yes","",IFERROR(INDEX(cr_Rate,MATCH(J406&amp;"|"&amp;D406,cr_Key,0)),INDEX(rt_Rate,MATCH(D406,rt_Code,0))))</f>
        <v>100</v>
      </c>
      <c r="M406" s="25" t="n">
        <f aca="false">IF(L406="","",ROUND(N(E406)*L406,2))</f>
        <v>250</v>
      </c>
      <c r="N406" s="39" t="n">
        <f aca="false">IF(OR(A406="",B406=""),"",SUMIFS(tl_Hours,tl_StaffID,I406,tl_Date,A406))</f>
        <v>8</v>
      </c>
      <c r="O406" s="40" t="str">
        <f aca="false">IF(A406&amp;B406&amp;D406="","",IF(OR(A406="",B406="",D406="",E406=""),"Incomplete",IF(K406="Unknown","Unknown code",IF(AND(K406="Yes",C406=""),"Billable, needs client",IF(N406&gt;MaxDayHours,"Over "&amp;MaxDayHours&amp;" hours that day","")))))</f>
        <v/>
      </c>
    </row>
    <row r="407" customFormat="false" ht="15" hidden="false" customHeight="false" outlineLevel="0" collapsed="false">
      <c r="A407" s="31" t="n">
        <v>46226</v>
      </c>
      <c r="B407" s="32" t="s">
        <v>100</v>
      </c>
      <c r="C407" s="32" t="s">
        <v>90</v>
      </c>
      <c r="D407" s="33" t="s">
        <v>88</v>
      </c>
      <c r="E407" s="34" t="n">
        <v>1</v>
      </c>
      <c r="F407" s="32"/>
      <c r="G407" s="35" t="n">
        <f aca="false">IF(A407="","",A407+7-WEEKDAY(A407))</f>
        <v>46228</v>
      </c>
      <c r="H407" s="36" t="n">
        <f aca="false">IF(A407="","",DATE(YEAR(A407),MONTH(A407),1))</f>
        <v>46204</v>
      </c>
      <c r="I407" s="37" t="str">
        <f aca="false">IF(B407="","",IFERROR(INDEX(st_ID,MATCH(B407,st_Name,0)),"Unknown"))</f>
        <v>QP-03</v>
      </c>
      <c r="J407" s="37" t="str">
        <f aca="false">IF(C407="","",IFERROR(INDEX(cl_Code,MATCH(C407,cl_Name,0)),"Unknown"))</f>
        <v>BSE</v>
      </c>
      <c r="K407" s="37" t="str">
        <f aca="false">IF(D407="","",IFERROR(INDEX(rt_Billable,MATCH(D407,rt_Code,0)),"Unknown"))</f>
        <v>Yes</v>
      </c>
      <c r="L407" s="38" t="n">
        <f aca="false">IF(K407&lt;&gt;"Yes","",IFERROR(INDEX(cr_Rate,MATCH(J407&amp;"|"&amp;D407,cr_Key,0)),INDEX(rt_Rate,MATCH(D407,rt_Code,0))))</f>
        <v>104</v>
      </c>
      <c r="M407" s="25" t="n">
        <f aca="false">IF(L407="","",ROUND(N(E407)*L407,2))</f>
        <v>104</v>
      </c>
      <c r="N407" s="39" t="n">
        <f aca="false">IF(OR(A407="",B407=""),"",SUMIFS(tl_Hours,tl_StaffID,I407,tl_Date,A407))</f>
        <v>8</v>
      </c>
      <c r="O407" s="40" t="str">
        <f aca="false">IF(A407&amp;B407&amp;D407="","",IF(OR(A407="",B407="",D407="",E407=""),"Incomplete",IF(K407="Unknown","Unknown code",IF(AND(K407="Yes",C407=""),"Billable, needs client",IF(N407&gt;MaxDayHours,"Over "&amp;MaxDayHours&amp;" hours that day","")))))</f>
        <v/>
      </c>
    </row>
    <row r="408" customFormat="false" ht="15" hidden="false" customHeight="false" outlineLevel="0" collapsed="false">
      <c r="A408" s="31" t="n">
        <v>46226</v>
      </c>
      <c r="B408" s="32" t="s">
        <v>100</v>
      </c>
      <c r="C408" s="32"/>
      <c r="D408" s="33" t="s">
        <v>96</v>
      </c>
      <c r="E408" s="34" t="n">
        <v>4.5</v>
      </c>
      <c r="F408" s="32"/>
      <c r="G408" s="35" t="n">
        <f aca="false">IF(A408="","",A408+7-WEEKDAY(A408))</f>
        <v>46228</v>
      </c>
      <c r="H408" s="36" t="n">
        <f aca="false">IF(A408="","",DATE(YEAR(A408),MONTH(A408),1))</f>
        <v>46204</v>
      </c>
      <c r="I408" s="37" t="str">
        <f aca="false">IF(B408="","",IFERROR(INDEX(st_ID,MATCH(B408,st_Name,0)),"Unknown"))</f>
        <v>QP-03</v>
      </c>
      <c r="J408" s="37" t="str">
        <f aca="false">IF(C408="","",IFERROR(INDEX(cl_Code,MATCH(C408,cl_Name,0)),"Unknown"))</f>
        <v/>
      </c>
      <c r="K408" s="37" t="str">
        <f aca="false">IF(D408="","",IFERROR(INDEX(rt_Billable,MATCH(D408,rt_Code,0)),"Unknown"))</f>
        <v>No</v>
      </c>
      <c r="L408" s="38" t="str">
        <f aca="false">IF(K408&lt;&gt;"Yes","",IFERROR(INDEX(cr_Rate,MATCH(J408&amp;"|"&amp;D408,cr_Key,0)),INDEX(rt_Rate,MATCH(D408,rt_Code,0))))</f>
        <v/>
      </c>
      <c r="M408" s="25" t="str">
        <f aca="false">IF(L408="","",ROUND(N(E408)*L408,2))</f>
        <v/>
      </c>
      <c r="N408" s="39" t="n">
        <f aca="false">IF(OR(A408="",B408=""),"",SUMIFS(tl_Hours,tl_StaffID,I408,tl_Date,A408))</f>
        <v>8</v>
      </c>
      <c r="O408" s="40" t="str">
        <f aca="false">IF(A408&amp;B408&amp;D408="","",IF(OR(A408="",B408="",D408="",E408=""),"Incomplete",IF(K408="Unknown","Unknown code",IF(AND(K408="Yes",C408=""),"Billable, needs client",IF(N408&gt;MaxDayHours,"Over "&amp;MaxDayHours&amp;" hours that day","")))))</f>
        <v/>
      </c>
    </row>
    <row r="409" customFormat="false" ht="15" hidden="false" customHeight="false" outlineLevel="0" collapsed="false">
      <c r="A409" s="31" t="n">
        <v>46226</v>
      </c>
      <c r="B409" s="32" t="s">
        <v>101</v>
      </c>
      <c r="C409" s="32" t="s">
        <v>102</v>
      </c>
      <c r="D409" s="33" t="s">
        <v>88</v>
      </c>
      <c r="E409" s="34" t="n">
        <v>2.5</v>
      </c>
      <c r="F409" s="32"/>
      <c r="G409" s="35" t="n">
        <f aca="false">IF(A409="","",A409+7-WEEKDAY(A409))</f>
        <v>46228</v>
      </c>
      <c r="H409" s="36" t="n">
        <f aca="false">IF(A409="","",DATE(YEAR(A409),MONTH(A409),1))</f>
        <v>46204</v>
      </c>
      <c r="I409" s="37" t="str">
        <f aca="false">IF(B409="","",IFERROR(INDEX(st_ID,MATCH(B409,st_Name,0)),"Unknown"))</f>
        <v>QP-04</v>
      </c>
      <c r="J409" s="37" t="str">
        <f aca="false">IF(C409="","",IFERROR(INDEX(cl_Code,MATCH(C409,cl_Name,0)),"Unknown"))</f>
        <v>CLH</v>
      </c>
      <c r="K409" s="37" t="str">
        <f aca="false">IF(D409="","",IFERROR(INDEX(rt_Billable,MATCH(D409,rt_Code,0)),"Unknown"))</f>
        <v>Yes</v>
      </c>
      <c r="L409" s="38" t="n">
        <f aca="false">IF(K409&lt;&gt;"Yes","",IFERROR(INDEX(cr_Rate,MATCH(J409&amp;"|"&amp;D409,cr_Key,0)),INDEX(rt_Rate,MATCH(D409,rt_Code,0))))</f>
        <v>110</v>
      </c>
      <c r="M409" s="25" t="n">
        <f aca="false">IF(L409="","",ROUND(N(E409)*L409,2))</f>
        <v>275</v>
      </c>
      <c r="N409" s="39" t="n">
        <f aca="false">IF(OR(A409="",B409=""),"",SUMIFS(tl_Hours,tl_StaffID,I409,tl_Date,A409))</f>
        <v>8</v>
      </c>
      <c r="O409" s="40" t="str">
        <f aca="false">IF(A409&amp;B409&amp;D409="","",IF(OR(A409="",B409="",D409="",E409=""),"Incomplete",IF(K409="Unknown","Unknown code",IF(AND(K409="Yes",C409=""),"Billable, needs client",IF(N409&gt;MaxDayHours,"Over "&amp;MaxDayHours&amp;" hours that day","")))))</f>
        <v/>
      </c>
    </row>
    <row r="410" customFormat="false" ht="15" hidden="false" customHeight="false" outlineLevel="0" collapsed="false">
      <c r="A410" s="31" t="n">
        <v>46226</v>
      </c>
      <c r="B410" s="32" t="s">
        <v>101</v>
      </c>
      <c r="C410" s="32" t="s">
        <v>102</v>
      </c>
      <c r="D410" s="33" t="s">
        <v>113</v>
      </c>
      <c r="E410" s="34" t="n">
        <v>1.75</v>
      </c>
      <c r="F410" s="32"/>
      <c r="G410" s="35" t="n">
        <f aca="false">IF(A410="","",A410+7-WEEKDAY(A410))</f>
        <v>46228</v>
      </c>
      <c r="H410" s="36" t="n">
        <f aca="false">IF(A410="","",DATE(YEAR(A410),MONTH(A410),1))</f>
        <v>46204</v>
      </c>
      <c r="I410" s="37" t="str">
        <f aca="false">IF(B410="","",IFERROR(INDEX(st_ID,MATCH(B410,st_Name,0)),"Unknown"))</f>
        <v>QP-04</v>
      </c>
      <c r="J410" s="37" t="str">
        <f aca="false">IF(C410="","",IFERROR(INDEX(cl_Code,MATCH(C410,cl_Name,0)),"Unknown"))</f>
        <v>CLH</v>
      </c>
      <c r="K410" s="37" t="str">
        <f aca="false">IF(D410="","",IFERROR(INDEX(rt_Billable,MATCH(D410,rt_Code,0)),"Unknown"))</f>
        <v>Yes</v>
      </c>
      <c r="L410" s="38" t="n">
        <f aca="false">IF(K410&lt;&gt;"Yes","",IFERROR(INDEX(cr_Rate,MATCH(J410&amp;"|"&amp;D410,cr_Key,0)),INDEX(rt_Rate,MATCH(D410,rt_Code,0))))</f>
        <v>75</v>
      </c>
      <c r="M410" s="25" t="n">
        <f aca="false">IF(L410="","",ROUND(N(E410)*L410,2))</f>
        <v>131.25</v>
      </c>
      <c r="N410" s="39" t="n">
        <f aca="false">IF(OR(A410="",B410=""),"",SUMIFS(tl_Hours,tl_StaffID,I410,tl_Date,A410))</f>
        <v>8</v>
      </c>
      <c r="O410" s="40" t="str">
        <f aca="false">IF(A410&amp;B410&amp;D410="","",IF(OR(A410="",B410="",D410="",E410=""),"Incomplete",IF(K410="Unknown","Unknown code",IF(AND(K410="Yes",C410=""),"Billable, needs client",IF(N410&gt;MaxDayHours,"Over "&amp;MaxDayHours&amp;" hours that day","")))))</f>
        <v/>
      </c>
    </row>
    <row r="411" customFormat="false" ht="15" hidden="false" customHeight="false" outlineLevel="0" collapsed="false">
      <c r="A411" s="31" t="n">
        <v>46226</v>
      </c>
      <c r="B411" s="32" t="s">
        <v>101</v>
      </c>
      <c r="C411" s="32"/>
      <c r="D411" s="33" t="s">
        <v>96</v>
      </c>
      <c r="E411" s="34" t="n">
        <v>3.75</v>
      </c>
      <c r="F411" s="32"/>
      <c r="G411" s="35" t="n">
        <f aca="false">IF(A411="","",A411+7-WEEKDAY(A411))</f>
        <v>46228</v>
      </c>
      <c r="H411" s="36" t="n">
        <f aca="false">IF(A411="","",DATE(YEAR(A411),MONTH(A411),1))</f>
        <v>46204</v>
      </c>
      <c r="I411" s="37" t="str">
        <f aca="false">IF(B411="","",IFERROR(INDEX(st_ID,MATCH(B411,st_Name,0)),"Unknown"))</f>
        <v>QP-04</v>
      </c>
      <c r="J411" s="37" t="str">
        <f aca="false">IF(C411="","",IFERROR(INDEX(cl_Code,MATCH(C411,cl_Name,0)),"Unknown"))</f>
        <v/>
      </c>
      <c r="K411" s="37" t="str">
        <f aca="false">IF(D411="","",IFERROR(INDEX(rt_Billable,MATCH(D411,rt_Code,0)),"Unknown"))</f>
        <v>No</v>
      </c>
      <c r="L411" s="38" t="str">
        <f aca="false">IF(K411&lt;&gt;"Yes","",IFERROR(INDEX(cr_Rate,MATCH(J411&amp;"|"&amp;D411,cr_Key,0)),INDEX(rt_Rate,MATCH(D411,rt_Code,0))))</f>
        <v/>
      </c>
      <c r="M411" s="25" t="str">
        <f aca="false">IF(L411="","",ROUND(N(E411)*L411,2))</f>
        <v/>
      </c>
      <c r="N411" s="39" t="n">
        <f aca="false">IF(OR(A411="",B411=""),"",SUMIFS(tl_Hours,tl_StaffID,I411,tl_Date,A411))</f>
        <v>8</v>
      </c>
      <c r="O411" s="40" t="str">
        <f aca="false">IF(A411&amp;B411&amp;D411="","",IF(OR(A411="",B411="",D411="",E411=""),"Incomplete",IF(K411="Unknown","Unknown code",IF(AND(K411="Yes",C411=""),"Billable, needs client",IF(N411&gt;MaxDayHours,"Over "&amp;MaxDayHours&amp;" hours that day","")))))</f>
        <v/>
      </c>
    </row>
    <row r="412" customFormat="false" ht="15" hidden="false" customHeight="false" outlineLevel="0" collapsed="false">
      <c r="A412" s="31" t="n">
        <v>46226</v>
      </c>
      <c r="B412" s="32" t="s">
        <v>103</v>
      </c>
      <c r="C412" s="32" t="s">
        <v>90</v>
      </c>
      <c r="D412" s="33" t="s">
        <v>88</v>
      </c>
      <c r="E412" s="34" t="n">
        <v>3.25</v>
      </c>
      <c r="F412" s="32"/>
      <c r="G412" s="35" t="n">
        <f aca="false">IF(A412="","",A412+7-WEEKDAY(A412))</f>
        <v>46228</v>
      </c>
      <c r="H412" s="36" t="n">
        <f aca="false">IF(A412="","",DATE(YEAR(A412),MONTH(A412),1))</f>
        <v>46204</v>
      </c>
      <c r="I412" s="37" t="str">
        <f aca="false">IF(B412="","",IFERROR(INDEX(st_ID,MATCH(B412,st_Name,0)),"Unknown"))</f>
        <v>QP-05</v>
      </c>
      <c r="J412" s="37" t="str">
        <f aca="false">IF(C412="","",IFERROR(INDEX(cl_Code,MATCH(C412,cl_Name,0)),"Unknown"))</f>
        <v>BSE</v>
      </c>
      <c r="K412" s="37" t="str">
        <f aca="false">IF(D412="","",IFERROR(INDEX(rt_Billable,MATCH(D412,rt_Code,0)),"Unknown"))</f>
        <v>Yes</v>
      </c>
      <c r="L412" s="38" t="n">
        <f aca="false">IF(K412&lt;&gt;"Yes","",IFERROR(INDEX(cr_Rate,MATCH(J412&amp;"|"&amp;D412,cr_Key,0)),INDEX(rt_Rate,MATCH(D412,rt_Code,0))))</f>
        <v>104</v>
      </c>
      <c r="M412" s="25" t="n">
        <f aca="false">IF(L412="","",ROUND(N(E412)*L412,2))</f>
        <v>338</v>
      </c>
      <c r="N412" s="39" t="n">
        <f aca="false">IF(OR(A412="",B412=""),"",SUMIFS(tl_Hours,tl_StaffID,I412,tl_Date,A412))</f>
        <v>8</v>
      </c>
      <c r="O412" s="40" t="str">
        <f aca="false">IF(A412&amp;B412&amp;D412="","",IF(OR(A412="",B412="",D412="",E412=""),"Incomplete",IF(K412="Unknown","Unknown code",IF(AND(K412="Yes",C412=""),"Billable, needs client",IF(N412&gt;MaxDayHours,"Over "&amp;MaxDayHours&amp;" hours that day","")))))</f>
        <v/>
      </c>
    </row>
    <row r="413" customFormat="false" ht="15" hidden="false" customHeight="false" outlineLevel="0" collapsed="false">
      <c r="A413" s="31" t="n">
        <v>46226</v>
      </c>
      <c r="B413" s="32" t="s">
        <v>103</v>
      </c>
      <c r="C413" s="32" t="s">
        <v>90</v>
      </c>
      <c r="D413" s="33" t="s">
        <v>104</v>
      </c>
      <c r="E413" s="34" t="n">
        <v>1</v>
      </c>
      <c r="F413" s="32"/>
      <c r="G413" s="35" t="n">
        <f aca="false">IF(A413="","",A413+7-WEEKDAY(A413))</f>
        <v>46228</v>
      </c>
      <c r="H413" s="36" t="n">
        <f aca="false">IF(A413="","",DATE(YEAR(A413),MONTH(A413),1))</f>
        <v>46204</v>
      </c>
      <c r="I413" s="37" t="str">
        <f aca="false">IF(B413="","",IFERROR(INDEX(st_ID,MATCH(B413,st_Name,0)),"Unknown"))</f>
        <v>QP-05</v>
      </c>
      <c r="J413" s="37" t="str">
        <f aca="false">IF(C413="","",IFERROR(INDEX(cl_Code,MATCH(C413,cl_Name,0)),"Unknown"))</f>
        <v>BSE</v>
      </c>
      <c r="K413" s="37" t="str">
        <f aca="false">IF(D413="","",IFERROR(INDEX(rt_Billable,MATCH(D413,rt_Code,0)),"Unknown"))</f>
        <v>Yes</v>
      </c>
      <c r="L413" s="38" t="n">
        <f aca="false">IF(K413&lt;&gt;"Yes","",IFERROR(INDEX(cr_Rate,MATCH(J413&amp;"|"&amp;D413,cr_Key,0)),INDEX(rt_Rate,MATCH(D413,rt_Code,0))))</f>
        <v>70</v>
      </c>
      <c r="M413" s="25" t="n">
        <f aca="false">IF(L413="","",ROUND(N(E413)*L413,2))</f>
        <v>70</v>
      </c>
      <c r="N413" s="39" t="n">
        <f aca="false">IF(OR(A413="",B413=""),"",SUMIFS(tl_Hours,tl_StaffID,I413,tl_Date,A413))</f>
        <v>8</v>
      </c>
      <c r="O413" s="40" t="str">
        <f aca="false">IF(A413&amp;B413&amp;D413="","",IF(OR(A413="",B413="",D413="",E413=""),"Incomplete",IF(K413="Unknown","Unknown code",IF(AND(K413="Yes",C413=""),"Billable, needs client",IF(N413&gt;MaxDayHours,"Over "&amp;MaxDayHours&amp;" hours that day","")))))</f>
        <v/>
      </c>
    </row>
    <row r="414" customFormat="false" ht="15" hidden="false" customHeight="false" outlineLevel="0" collapsed="false">
      <c r="A414" s="31" t="n">
        <v>46226</v>
      </c>
      <c r="B414" s="32" t="s">
        <v>103</v>
      </c>
      <c r="C414" s="32"/>
      <c r="D414" s="33" t="s">
        <v>96</v>
      </c>
      <c r="E414" s="34" t="n">
        <v>3.75</v>
      </c>
      <c r="F414" s="32"/>
      <c r="G414" s="35" t="n">
        <f aca="false">IF(A414="","",A414+7-WEEKDAY(A414))</f>
        <v>46228</v>
      </c>
      <c r="H414" s="36" t="n">
        <f aca="false">IF(A414="","",DATE(YEAR(A414),MONTH(A414),1))</f>
        <v>46204</v>
      </c>
      <c r="I414" s="37" t="str">
        <f aca="false">IF(B414="","",IFERROR(INDEX(st_ID,MATCH(B414,st_Name,0)),"Unknown"))</f>
        <v>QP-05</v>
      </c>
      <c r="J414" s="37" t="str">
        <f aca="false">IF(C414="","",IFERROR(INDEX(cl_Code,MATCH(C414,cl_Name,0)),"Unknown"))</f>
        <v/>
      </c>
      <c r="K414" s="37" t="str">
        <f aca="false">IF(D414="","",IFERROR(INDEX(rt_Billable,MATCH(D414,rt_Code,0)),"Unknown"))</f>
        <v>No</v>
      </c>
      <c r="L414" s="38" t="str">
        <f aca="false">IF(K414&lt;&gt;"Yes","",IFERROR(INDEX(cr_Rate,MATCH(J414&amp;"|"&amp;D414,cr_Key,0)),INDEX(rt_Rate,MATCH(D414,rt_Code,0))))</f>
        <v/>
      </c>
      <c r="M414" s="25" t="str">
        <f aca="false">IF(L414="","",ROUND(N(E414)*L414,2))</f>
        <v/>
      </c>
      <c r="N414" s="39" t="n">
        <f aca="false">IF(OR(A414="",B414=""),"",SUMIFS(tl_Hours,tl_StaffID,I414,tl_Date,A414))</f>
        <v>8</v>
      </c>
      <c r="O414" s="40" t="str">
        <f aca="false">IF(A414&amp;B414&amp;D414="","",IF(OR(A414="",B414="",D414="",E414=""),"Incomplete",IF(K414="Unknown","Unknown code",IF(AND(K414="Yes",C414=""),"Billable, needs client",IF(N414&gt;MaxDayHours,"Over "&amp;MaxDayHours&amp;" hours that day","")))))</f>
        <v/>
      </c>
    </row>
    <row r="415" customFormat="false" ht="15" hidden="false" customHeight="false" outlineLevel="0" collapsed="false">
      <c r="A415" s="31" t="n">
        <v>46226</v>
      </c>
      <c r="B415" s="32" t="s">
        <v>105</v>
      </c>
      <c r="C415" s="32" t="s">
        <v>90</v>
      </c>
      <c r="D415" s="33" t="s">
        <v>88</v>
      </c>
      <c r="E415" s="34" t="n">
        <v>2.25</v>
      </c>
      <c r="F415" s="32"/>
      <c r="G415" s="35" t="n">
        <f aca="false">IF(A415="","",A415+7-WEEKDAY(A415))</f>
        <v>46228</v>
      </c>
      <c r="H415" s="36" t="n">
        <f aca="false">IF(A415="","",DATE(YEAR(A415),MONTH(A415),1))</f>
        <v>46204</v>
      </c>
      <c r="I415" s="37" t="str">
        <f aca="false">IF(B415="","",IFERROR(INDEX(st_ID,MATCH(B415,st_Name,0)),"Unknown"))</f>
        <v>QP-06</v>
      </c>
      <c r="J415" s="37" t="str">
        <f aca="false">IF(C415="","",IFERROR(INDEX(cl_Code,MATCH(C415,cl_Name,0)),"Unknown"))</f>
        <v>BSE</v>
      </c>
      <c r="K415" s="37" t="str">
        <f aca="false">IF(D415="","",IFERROR(INDEX(rt_Billable,MATCH(D415,rt_Code,0)),"Unknown"))</f>
        <v>Yes</v>
      </c>
      <c r="L415" s="38" t="n">
        <f aca="false">IF(K415&lt;&gt;"Yes","",IFERROR(INDEX(cr_Rate,MATCH(J415&amp;"|"&amp;D415,cr_Key,0)),INDEX(rt_Rate,MATCH(D415,rt_Code,0))))</f>
        <v>104</v>
      </c>
      <c r="M415" s="25" t="n">
        <f aca="false">IF(L415="","",ROUND(N(E415)*L415,2))</f>
        <v>234</v>
      </c>
      <c r="N415" s="39" t="n">
        <f aca="false">IF(OR(A415="",B415=""),"",SUMIFS(tl_Hours,tl_StaffID,I415,tl_Date,A415))</f>
        <v>8</v>
      </c>
      <c r="O415" s="40" t="str">
        <f aca="false">IF(A415&amp;B415&amp;D415="","",IF(OR(A415="",B415="",D415="",E415=""),"Incomplete",IF(K415="Unknown","Unknown code",IF(AND(K415="Yes",C415=""),"Billable, needs client",IF(N415&gt;MaxDayHours,"Over "&amp;MaxDayHours&amp;" hours that day","")))))</f>
        <v/>
      </c>
    </row>
    <row r="416" customFormat="false" ht="15" hidden="false" customHeight="false" outlineLevel="0" collapsed="false">
      <c r="A416" s="31" t="n">
        <v>46226</v>
      </c>
      <c r="B416" s="32" t="s">
        <v>105</v>
      </c>
      <c r="C416" s="32" t="s">
        <v>90</v>
      </c>
      <c r="D416" s="33" t="s">
        <v>104</v>
      </c>
      <c r="E416" s="34" t="n">
        <v>1.75</v>
      </c>
      <c r="F416" s="32"/>
      <c r="G416" s="35" t="n">
        <f aca="false">IF(A416="","",A416+7-WEEKDAY(A416))</f>
        <v>46228</v>
      </c>
      <c r="H416" s="36" t="n">
        <f aca="false">IF(A416="","",DATE(YEAR(A416),MONTH(A416),1))</f>
        <v>46204</v>
      </c>
      <c r="I416" s="37" t="str">
        <f aca="false">IF(B416="","",IFERROR(INDEX(st_ID,MATCH(B416,st_Name,0)),"Unknown"))</f>
        <v>QP-06</v>
      </c>
      <c r="J416" s="37" t="str">
        <f aca="false">IF(C416="","",IFERROR(INDEX(cl_Code,MATCH(C416,cl_Name,0)),"Unknown"))</f>
        <v>BSE</v>
      </c>
      <c r="K416" s="37" t="str">
        <f aca="false">IF(D416="","",IFERROR(INDEX(rt_Billable,MATCH(D416,rt_Code,0)),"Unknown"))</f>
        <v>Yes</v>
      </c>
      <c r="L416" s="38" t="n">
        <f aca="false">IF(K416&lt;&gt;"Yes","",IFERROR(INDEX(cr_Rate,MATCH(J416&amp;"|"&amp;D416,cr_Key,0)),INDEX(rt_Rate,MATCH(D416,rt_Code,0))))</f>
        <v>70</v>
      </c>
      <c r="M416" s="25" t="n">
        <f aca="false">IF(L416="","",ROUND(N(E416)*L416,2))</f>
        <v>122.5</v>
      </c>
      <c r="N416" s="39" t="n">
        <f aca="false">IF(OR(A416="",B416=""),"",SUMIFS(tl_Hours,tl_StaffID,I416,tl_Date,A416))</f>
        <v>8</v>
      </c>
      <c r="O416" s="40" t="str">
        <f aca="false">IF(A416&amp;B416&amp;D416="","",IF(OR(A416="",B416="",D416="",E416=""),"Incomplete",IF(K416="Unknown","Unknown code",IF(AND(K416="Yes",C416=""),"Billable, needs client",IF(N416&gt;MaxDayHours,"Over "&amp;MaxDayHours&amp;" hours that day","")))))</f>
        <v/>
      </c>
    </row>
    <row r="417" customFormat="false" ht="15" hidden="false" customHeight="false" outlineLevel="0" collapsed="false">
      <c r="A417" s="31" t="n">
        <v>46226</v>
      </c>
      <c r="B417" s="32" t="s">
        <v>105</v>
      </c>
      <c r="C417" s="32"/>
      <c r="D417" s="33" t="s">
        <v>96</v>
      </c>
      <c r="E417" s="34" t="n">
        <v>4</v>
      </c>
      <c r="F417" s="32"/>
      <c r="G417" s="35" t="n">
        <f aca="false">IF(A417="","",A417+7-WEEKDAY(A417))</f>
        <v>46228</v>
      </c>
      <c r="H417" s="36" t="n">
        <f aca="false">IF(A417="","",DATE(YEAR(A417),MONTH(A417),1))</f>
        <v>46204</v>
      </c>
      <c r="I417" s="37" t="str">
        <f aca="false">IF(B417="","",IFERROR(INDEX(st_ID,MATCH(B417,st_Name,0)),"Unknown"))</f>
        <v>QP-06</v>
      </c>
      <c r="J417" s="37" t="str">
        <f aca="false">IF(C417="","",IFERROR(INDEX(cl_Code,MATCH(C417,cl_Name,0)),"Unknown"))</f>
        <v/>
      </c>
      <c r="K417" s="37" t="str">
        <f aca="false">IF(D417="","",IFERROR(INDEX(rt_Billable,MATCH(D417,rt_Code,0)),"Unknown"))</f>
        <v>No</v>
      </c>
      <c r="L417" s="38" t="str">
        <f aca="false">IF(K417&lt;&gt;"Yes","",IFERROR(INDEX(cr_Rate,MATCH(J417&amp;"|"&amp;D417,cr_Key,0)),INDEX(rt_Rate,MATCH(D417,rt_Code,0))))</f>
        <v/>
      </c>
      <c r="M417" s="25" t="str">
        <f aca="false">IF(L417="","",ROUND(N(E417)*L417,2))</f>
        <v/>
      </c>
      <c r="N417" s="39" t="n">
        <f aca="false">IF(OR(A417="",B417=""),"",SUMIFS(tl_Hours,tl_StaffID,I417,tl_Date,A417))</f>
        <v>8</v>
      </c>
      <c r="O417" s="40" t="str">
        <f aca="false">IF(A417&amp;B417&amp;D417="","",IF(OR(A417="",B417="",D417="",E417=""),"Incomplete",IF(K417="Unknown","Unknown code",IF(AND(K417="Yes",C417=""),"Billable, needs client",IF(N417&gt;MaxDayHours,"Over "&amp;MaxDayHours&amp;" hours that day","")))))</f>
        <v/>
      </c>
    </row>
    <row r="418" customFormat="false" ht="15" hidden="false" customHeight="false" outlineLevel="0" collapsed="false">
      <c r="A418" s="31" t="n">
        <v>46226</v>
      </c>
      <c r="B418" s="32" t="s">
        <v>106</v>
      </c>
      <c r="C418" s="32" t="s">
        <v>102</v>
      </c>
      <c r="D418" s="33" t="s">
        <v>88</v>
      </c>
      <c r="E418" s="34" t="n">
        <v>2.5</v>
      </c>
      <c r="F418" s="32"/>
      <c r="G418" s="35" t="n">
        <f aca="false">IF(A418="","",A418+7-WEEKDAY(A418))</f>
        <v>46228</v>
      </c>
      <c r="H418" s="36" t="n">
        <f aca="false">IF(A418="","",DATE(YEAR(A418),MONTH(A418),1))</f>
        <v>46204</v>
      </c>
      <c r="I418" s="37" t="str">
        <f aca="false">IF(B418="","",IFERROR(INDEX(st_ID,MATCH(B418,st_Name,0)),"Unknown"))</f>
        <v>QP-07</v>
      </c>
      <c r="J418" s="37" t="str">
        <f aca="false">IF(C418="","",IFERROR(INDEX(cl_Code,MATCH(C418,cl_Name,0)),"Unknown"))</f>
        <v>CLH</v>
      </c>
      <c r="K418" s="37" t="str">
        <f aca="false">IF(D418="","",IFERROR(INDEX(rt_Billable,MATCH(D418,rt_Code,0)),"Unknown"))</f>
        <v>Yes</v>
      </c>
      <c r="L418" s="38" t="n">
        <f aca="false">IF(K418&lt;&gt;"Yes","",IFERROR(INDEX(cr_Rate,MATCH(J418&amp;"|"&amp;D418,cr_Key,0)),INDEX(rt_Rate,MATCH(D418,rt_Code,0))))</f>
        <v>110</v>
      </c>
      <c r="M418" s="25" t="n">
        <f aca="false">IF(L418="","",ROUND(N(E418)*L418,2))</f>
        <v>275</v>
      </c>
      <c r="N418" s="39" t="n">
        <f aca="false">IF(OR(A418="",B418=""),"",SUMIFS(tl_Hours,tl_StaffID,I418,tl_Date,A418))</f>
        <v>8</v>
      </c>
      <c r="O418" s="40" t="str">
        <f aca="false">IF(A418&amp;B418&amp;D418="","",IF(OR(A418="",B418="",D418="",E418=""),"Incomplete",IF(K418="Unknown","Unknown code",IF(AND(K418="Yes",C418=""),"Billable, needs client",IF(N418&gt;MaxDayHours,"Over "&amp;MaxDayHours&amp;" hours that day","")))))</f>
        <v/>
      </c>
    </row>
    <row r="419" customFormat="false" ht="15" hidden="false" customHeight="false" outlineLevel="0" collapsed="false">
      <c r="A419" s="31" t="n">
        <v>46226</v>
      </c>
      <c r="B419" s="32" t="s">
        <v>106</v>
      </c>
      <c r="C419" s="32" t="s">
        <v>102</v>
      </c>
      <c r="D419" s="33" t="s">
        <v>104</v>
      </c>
      <c r="E419" s="34" t="n">
        <v>1.75</v>
      </c>
      <c r="F419" s="32"/>
      <c r="G419" s="35" t="n">
        <f aca="false">IF(A419="","",A419+7-WEEKDAY(A419))</f>
        <v>46228</v>
      </c>
      <c r="H419" s="36" t="n">
        <f aca="false">IF(A419="","",DATE(YEAR(A419),MONTH(A419),1))</f>
        <v>46204</v>
      </c>
      <c r="I419" s="37" t="str">
        <f aca="false">IF(B419="","",IFERROR(INDEX(st_ID,MATCH(B419,st_Name,0)),"Unknown"))</f>
        <v>QP-07</v>
      </c>
      <c r="J419" s="37" t="str">
        <f aca="false">IF(C419="","",IFERROR(INDEX(cl_Code,MATCH(C419,cl_Name,0)),"Unknown"))</f>
        <v>CLH</v>
      </c>
      <c r="K419" s="37" t="str">
        <f aca="false">IF(D419="","",IFERROR(INDEX(rt_Billable,MATCH(D419,rt_Code,0)),"Unknown"))</f>
        <v>Yes</v>
      </c>
      <c r="L419" s="38" t="n">
        <f aca="false">IF(K419&lt;&gt;"Yes","",IFERROR(INDEX(cr_Rate,MATCH(J419&amp;"|"&amp;D419,cr_Key,0)),INDEX(rt_Rate,MATCH(D419,rt_Code,0))))</f>
        <v>65</v>
      </c>
      <c r="M419" s="25" t="n">
        <f aca="false">IF(L419="","",ROUND(N(E419)*L419,2))</f>
        <v>113.75</v>
      </c>
      <c r="N419" s="39" t="n">
        <f aca="false">IF(OR(A419="",B419=""),"",SUMIFS(tl_Hours,tl_StaffID,I419,tl_Date,A419))</f>
        <v>8</v>
      </c>
      <c r="O419" s="40" t="str">
        <f aca="false">IF(A419&amp;B419&amp;D419="","",IF(OR(A419="",B419="",D419="",E419=""),"Incomplete",IF(K419="Unknown","Unknown code",IF(AND(K419="Yes",C419=""),"Billable, needs client",IF(N419&gt;MaxDayHours,"Over "&amp;MaxDayHours&amp;" hours that day","")))))</f>
        <v/>
      </c>
    </row>
    <row r="420" customFormat="false" ht="15" hidden="false" customHeight="false" outlineLevel="0" collapsed="false">
      <c r="A420" s="31" t="n">
        <v>46226</v>
      </c>
      <c r="B420" s="32" t="s">
        <v>106</v>
      </c>
      <c r="C420" s="32"/>
      <c r="D420" s="33" t="s">
        <v>96</v>
      </c>
      <c r="E420" s="34" t="n">
        <v>3.75</v>
      </c>
      <c r="F420" s="32"/>
      <c r="G420" s="35" t="n">
        <f aca="false">IF(A420="","",A420+7-WEEKDAY(A420))</f>
        <v>46228</v>
      </c>
      <c r="H420" s="36" t="n">
        <f aca="false">IF(A420="","",DATE(YEAR(A420),MONTH(A420),1))</f>
        <v>46204</v>
      </c>
      <c r="I420" s="37" t="str">
        <f aca="false">IF(B420="","",IFERROR(INDEX(st_ID,MATCH(B420,st_Name,0)),"Unknown"))</f>
        <v>QP-07</v>
      </c>
      <c r="J420" s="37" t="str">
        <f aca="false">IF(C420="","",IFERROR(INDEX(cl_Code,MATCH(C420,cl_Name,0)),"Unknown"))</f>
        <v/>
      </c>
      <c r="K420" s="37" t="str">
        <f aca="false">IF(D420="","",IFERROR(INDEX(rt_Billable,MATCH(D420,rt_Code,0)),"Unknown"))</f>
        <v>No</v>
      </c>
      <c r="L420" s="38" t="str">
        <f aca="false">IF(K420&lt;&gt;"Yes","",IFERROR(INDEX(cr_Rate,MATCH(J420&amp;"|"&amp;D420,cr_Key,0)),INDEX(rt_Rate,MATCH(D420,rt_Code,0))))</f>
        <v/>
      </c>
      <c r="M420" s="25" t="str">
        <f aca="false">IF(L420="","",ROUND(N(E420)*L420,2))</f>
        <v/>
      </c>
      <c r="N420" s="39" t="n">
        <f aca="false">IF(OR(A420="",B420=""),"",SUMIFS(tl_Hours,tl_StaffID,I420,tl_Date,A420))</f>
        <v>8</v>
      </c>
      <c r="O420" s="40" t="str">
        <f aca="false">IF(A420&amp;B420&amp;D420="","",IF(OR(A420="",B420="",D420="",E420=""),"Incomplete",IF(K420="Unknown","Unknown code",IF(AND(K420="Yes",C420=""),"Billable, needs client",IF(N420&gt;MaxDayHours,"Over "&amp;MaxDayHours&amp;" hours that day","")))))</f>
        <v/>
      </c>
    </row>
    <row r="421" customFormat="false" ht="15" hidden="false" customHeight="false" outlineLevel="0" collapsed="false">
      <c r="A421" s="31" t="n">
        <v>46226</v>
      </c>
      <c r="B421" s="32" t="s">
        <v>107</v>
      </c>
      <c r="C421" s="32"/>
      <c r="D421" s="33" t="s">
        <v>108</v>
      </c>
      <c r="E421" s="34" t="n">
        <v>6.5</v>
      </c>
      <c r="F421" s="32"/>
      <c r="G421" s="35" t="n">
        <f aca="false">IF(A421="","",A421+7-WEEKDAY(A421))</f>
        <v>46228</v>
      </c>
      <c r="H421" s="36" t="n">
        <f aca="false">IF(A421="","",DATE(YEAR(A421),MONTH(A421),1))</f>
        <v>46204</v>
      </c>
      <c r="I421" s="37" t="str">
        <f aca="false">IF(B421="","",IFERROR(INDEX(st_ID,MATCH(B421,st_Name,0)),"Unknown"))</f>
        <v>QP-08</v>
      </c>
      <c r="J421" s="37" t="str">
        <f aca="false">IF(C421="","",IFERROR(INDEX(cl_Code,MATCH(C421,cl_Name,0)),"Unknown"))</f>
        <v/>
      </c>
      <c r="K421" s="37" t="str">
        <f aca="false">IF(D421="","",IFERROR(INDEX(rt_Billable,MATCH(D421,rt_Code,0)),"Unknown"))</f>
        <v>No</v>
      </c>
      <c r="L421" s="38" t="str">
        <f aca="false">IF(K421&lt;&gt;"Yes","",IFERROR(INDEX(cr_Rate,MATCH(J421&amp;"|"&amp;D421,cr_Key,0)),INDEX(rt_Rate,MATCH(D421,rt_Code,0))))</f>
        <v/>
      </c>
      <c r="M421" s="25" t="str">
        <f aca="false">IF(L421="","",ROUND(N(E421)*L421,2))</f>
        <v/>
      </c>
      <c r="N421" s="39" t="n">
        <f aca="false">IF(OR(A421="",B421=""),"",SUMIFS(tl_Hours,tl_StaffID,I421,tl_Date,A421))</f>
        <v>8</v>
      </c>
      <c r="O421" s="40" t="str">
        <f aca="false">IF(A421&amp;B421&amp;D421="","",IF(OR(A421="",B421="",D421="",E421=""),"Incomplete",IF(K421="Unknown","Unknown code",IF(AND(K421="Yes",C421=""),"Billable, needs client",IF(N421&gt;MaxDayHours,"Over "&amp;MaxDayHours&amp;" hours that day","")))))</f>
        <v/>
      </c>
    </row>
    <row r="422" customFormat="false" ht="15" hidden="false" customHeight="false" outlineLevel="0" collapsed="false">
      <c r="A422" s="31" t="n">
        <v>46226</v>
      </c>
      <c r="B422" s="32" t="s">
        <v>107</v>
      </c>
      <c r="C422" s="32"/>
      <c r="D422" s="33" t="s">
        <v>98</v>
      </c>
      <c r="E422" s="34" t="n">
        <v>1.5</v>
      </c>
      <c r="F422" s="32"/>
      <c r="G422" s="35" t="n">
        <f aca="false">IF(A422="","",A422+7-WEEKDAY(A422))</f>
        <v>46228</v>
      </c>
      <c r="H422" s="36" t="n">
        <f aca="false">IF(A422="","",DATE(YEAR(A422),MONTH(A422),1))</f>
        <v>46204</v>
      </c>
      <c r="I422" s="37" t="str">
        <f aca="false">IF(B422="","",IFERROR(INDEX(st_ID,MATCH(B422,st_Name,0)),"Unknown"))</f>
        <v>QP-08</v>
      </c>
      <c r="J422" s="37" t="str">
        <f aca="false">IF(C422="","",IFERROR(INDEX(cl_Code,MATCH(C422,cl_Name,0)),"Unknown"))</f>
        <v/>
      </c>
      <c r="K422" s="37" t="str">
        <f aca="false">IF(D422="","",IFERROR(INDEX(rt_Billable,MATCH(D422,rt_Code,0)),"Unknown"))</f>
        <v>No</v>
      </c>
      <c r="L422" s="38" t="str">
        <f aca="false">IF(K422&lt;&gt;"Yes","",IFERROR(INDEX(cr_Rate,MATCH(J422&amp;"|"&amp;D422,cr_Key,0)),INDEX(rt_Rate,MATCH(D422,rt_Code,0))))</f>
        <v/>
      </c>
      <c r="M422" s="25" t="str">
        <f aca="false">IF(L422="","",ROUND(N(E422)*L422,2))</f>
        <v/>
      </c>
      <c r="N422" s="39" t="n">
        <f aca="false">IF(OR(A422="",B422=""),"",SUMIFS(tl_Hours,tl_StaffID,I422,tl_Date,A422))</f>
        <v>8</v>
      </c>
      <c r="O422" s="40" t="str">
        <f aca="false">IF(A422&amp;B422&amp;D422="","",IF(OR(A422="",B422="",D422="",E422=""),"Incomplete",IF(K422="Unknown","Unknown code",IF(AND(K422="Yes",C422=""),"Billable, needs client",IF(N422&gt;MaxDayHours,"Over "&amp;MaxDayHours&amp;" hours that day","")))))</f>
        <v/>
      </c>
    </row>
    <row r="423" customFormat="false" ht="15" hidden="false" customHeight="false" outlineLevel="0" collapsed="false">
      <c r="A423" s="31" t="n">
        <v>46227</v>
      </c>
      <c r="B423" s="32" t="s">
        <v>86</v>
      </c>
      <c r="C423" s="32" t="s">
        <v>112</v>
      </c>
      <c r="D423" s="33" t="s">
        <v>88</v>
      </c>
      <c r="E423" s="34" t="n">
        <v>3</v>
      </c>
      <c r="F423" s="32"/>
      <c r="G423" s="35" t="n">
        <f aca="false">IF(A423="","",A423+7-WEEKDAY(A423))</f>
        <v>46228</v>
      </c>
      <c r="H423" s="36" t="n">
        <f aca="false">IF(A423="","",DATE(YEAR(A423),MONTH(A423),1))</f>
        <v>46204</v>
      </c>
      <c r="I423" s="37" t="str">
        <f aca="false">IF(B423="","",IFERROR(INDEX(st_ID,MATCH(B423,st_Name,0)),"Unknown"))</f>
        <v>QP-01</v>
      </c>
      <c r="J423" s="37" t="str">
        <f aca="false">IF(C423="","",IFERROR(INDEX(cl_Code,MATCH(C423,cl_Name,0)),"Unknown"))</f>
        <v>PCA</v>
      </c>
      <c r="K423" s="37" t="str">
        <f aca="false">IF(D423="","",IFERROR(INDEX(rt_Billable,MATCH(D423,rt_Code,0)),"Unknown"))</f>
        <v>Yes</v>
      </c>
      <c r="L423" s="38" t="n">
        <f aca="false">IF(K423&lt;&gt;"Yes","",IFERROR(INDEX(cr_Rate,MATCH(J423&amp;"|"&amp;D423,cr_Key,0)),INDEX(rt_Rate,MATCH(D423,rt_Code,0))))</f>
        <v>110</v>
      </c>
      <c r="M423" s="25" t="n">
        <f aca="false">IF(L423="","",ROUND(N(E423)*L423,2))</f>
        <v>330</v>
      </c>
      <c r="N423" s="39" t="n">
        <f aca="false">IF(OR(A423="",B423=""),"",SUMIFS(tl_Hours,tl_StaffID,I423,tl_Date,A423))</f>
        <v>8</v>
      </c>
      <c r="O423" s="40" t="str">
        <f aca="false">IF(A423&amp;B423&amp;D423="","",IF(OR(A423="",B423="",D423="",E423=""),"Incomplete",IF(K423="Unknown","Unknown code",IF(AND(K423="Yes",C423=""),"Billable, needs client",IF(N423&gt;MaxDayHours,"Over "&amp;MaxDayHours&amp;" hours that day","")))))</f>
        <v/>
      </c>
    </row>
    <row r="424" customFormat="false" ht="15" hidden="false" customHeight="false" outlineLevel="0" collapsed="false">
      <c r="A424" s="31" t="n">
        <v>46227</v>
      </c>
      <c r="B424" s="32" t="s">
        <v>86</v>
      </c>
      <c r="C424" s="32" t="s">
        <v>112</v>
      </c>
      <c r="D424" s="33" t="s">
        <v>89</v>
      </c>
      <c r="E424" s="34" t="n">
        <v>1.75</v>
      </c>
      <c r="F424" s="32"/>
      <c r="G424" s="35" t="n">
        <f aca="false">IF(A424="","",A424+7-WEEKDAY(A424))</f>
        <v>46228</v>
      </c>
      <c r="H424" s="36" t="n">
        <f aca="false">IF(A424="","",DATE(YEAR(A424),MONTH(A424),1))</f>
        <v>46204</v>
      </c>
      <c r="I424" s="37" t="str">
        <f aca="false">IF(B424="","",IFERROR(INDEX(st_ID,MATCH(B424,st_Name,0)),"Unknown"))</f>
        <v>QP-01</v>
      </c>
      <c r="J424" s="37" t="str">
        <f aca="false">IF(C424="","",IFERROR(INDEX(cl_Code,MATCH(C424,cl_Name,0)),"Unknown"))</f>
        <v>PCA</v>
      </c>
      <c r="K424" s="37" t="str">
        <f aca="false">IF(D424="","",IFERROR(INDEX(rt_Billable,MATCH(D424,rt_Code,0)),"Unknown"))</f>
        <v>Yes</v>
      </c>
      <c r="L424" s="38" t="n">
        <f aca="false">IF(K424&lt;&gt;"Yes","",IFERROR(INDEX(cr_Rate,MATCH(J424&amp;"|"&amp;D424,cr_Key,0)),INDEX(rt_Rate,MATCH(D424,rt_Code,0))))</f>
        <v>95</v>
      </c>
      <c r="M424" s="25" t="n">
        <f aca="false">IF(L424="","",ROUND(N(E424)*L424,2))</f>
        <v>166.25</v>
      </c>
      <c r="N424" s="39" t="n">
        <f aca="false">IF(OR(A424="",B424=""),"",SUMIFS(tl_Hours,tl_StaffID,I424,tl_Date,A424))</f>
        <v>8</v>
      </c>
      <c r="O424" s="40" t="str">
        <f aca="false">IF(A424&amp;B424&amp;D424="","",IF(OR(A424="",B424="",D424="",E424=""),"Incomplete",IF(K424="Unknown","Unknown code",IF(AND(K424="Yes",C424=""),"Billable, needs client",IF(N424&gt;MaxDayHours,"Over "&amp;MaxDayHours&amp;" hours that day","")))))</f>
        <v/>
      </c>
    </row>
    <row r="425" customFormat="false" ht="15" hidden="false" customHeight="false" outlineLevel="0" collapsed="false">
      <c r="A425" s="31" t="n">
        <v>46227</v>
      </c>
      <c r="B425" s="32" t="s">
        <v>86</v>
      </c>
      <c r="C425" s="32"/>
      <c r="D425" s="33" t="s">
        <v>96</v>
      </c>
      <c r="E425" s="34" t="n">
        <v>3.25</v>
      </c>
      <c r="F425" s="32"/>
      <c r="G425" s="35" t="n">
        <f aca="false">IF(A425="","",A425+7-WEEKDAY(A425))</f>
        <v>46228</v>
      </c>
      <c r="H425" s="36" t="n">
        <f aca="false">IF(A425="","",DATE(YEAR(A425),MONTH(A425),1))</f>
        <v>46204</v>
      </c>
      <c r="I425" s="37" t="str">
        <f aca="false">IF(B425="","",IFERROR(INDEX(st_ID,MATCH(B425,st_Name,0)),"Unknown"))</f>
        <v>QP-01</v>
      </c>
      <c r="J425" s="37" t="str">
        <f aca="false">IF(C425="","",IFERROR(INDEX(cl_Code,MATCH(C425,cl_Name,0)),"Unknown"))</f>
        <v/>
      </c>
      <c r="K425" s="37" t="str">
        <f aca="false">IF(D425="","",IFERROR(INDEX(rt_Billable,MATCH(D425,rt_Code,0)),"Unknown"))</f>
        <v>No</v>
      </c>
      <c r="L425" s="38" t="str">
        <f aca="false">IF(K425&lt;&gt;"Yes","",IFERROR(INDEX(cr_Rate,MATCH(J425&amp;"|"&amp;D425,cr_Key,0)),INDEX(rt_Rate,MATCH(D425,rt_Code,0))))</f>
        <v/>
      </c>
      <c r="M425" s="25" t="str">
        <f aca="false">IF(L425="","",ROUND(N(E425)*L425,2))</f>
        <v/>
      </c>
      <c r="N425" s="39" t="n">
        <f aca="false">IF(OR(A425="",B425=""),"",SUMIFS(tl_Hours,tl_StaffID,I425,tl_Date,A425))</f>
        <v>8</v>
      </c>
      <c r="O425" s="40" t="str">
        <f aca="false">IF(A425&amp;B425&amp;D425="","",IF(OR(A425="",B425="",D425="",E425=""),"Incomplete",IF(K425="Unknown","Unknown code",IF(AND(K425="Yes",C425=""),"Billable, needs client",IF(N425&gt;MaxDayHours,"Over "&amp;MaxDayHours&amp;" hours that day","")))))</f>
        <v/>
      </c>
    </row>
    <row r="426" customFormat="false" ht="15" hidden="false" customHeight="false" outlineLevel="0" collapsed="false">
      <c r="A426" s="31" t="n">
        <v>46227</v>
      </c>
      <c r="B426" s="32" t="s">
        <v>97</v>
      </c>
      <c r="C426" s="32" t="s">
        <v>90</v>
      </c>
      <c r="D426" s="33" t="s">
        <v>91</v>
      </c>
      <c r="E426" s="34" t="n">
        <v>3.75</v>
      </c>
      <c r="F426" s="32"/>
      <c r="G426" s="35" t="n">
        <f aca="false">IF(A426="","",A426+7-WEEKDAY(A426))</f>
        <v>46228</v>
      </c>
      <c r="H426" s="36" t="n">
        <f aca="false">IF(A426="","",DATE(YEAR(A426),MONTH(A426),1))</f>
        <v>46204</v>
      </c>
      <c r="I426" s="37" t="str">
        <f aca="false">IF(B426="","",IFERROR(INDEX(st_ID,MATCH(B426,st_Name,0)),"Unknown"))</f>
        <v>QP-02</v>
      </c>
      <c r="J426" s="37" t="str">
        <f aca="false">IF(C426="","",IFERROR(INDEX(cl_Code,MATCH(C426,cl_Name,0)),"Unknown"))</f>
        <v>BSE</v>
      </c>
      <c r="K426" s="37" t="str">
        <f aca="false">IF(D426="","",IFERROR(INDEX(rt_Billable,MATCH(D426,rt_Code,0)),"Unknown"))</f>
        <v>Yes</v>
      </c>
      <c r="L426" s="38" t="n">
        <f aca="false">IF(K426&lt;&gt;"Yes","",IFERROR(INDEX(cr_Rate,MATCH(J426&amp;"|"&amp;D426,cr_Key,0)),INDEX(rt_Rate,MATCH(D426,rt_Code,0))))</f>
        <v>100</v>
      </c>
      <c r="M426" s="25" t="n">
        <f aca="false">IF(L426="","",ROUND(N(E426)*L426,2))</f>
        <v>375</v>
      </c>
      <c r="N426" s="39" t="n">
        <f aca="false">IF(OR(A426="",B426=""),"",SUMIFS(tl_Hours,tl_StaffID,I426,tl_Date,A426))</f>
        <v>8</v>
      </c>
      <c r="O426" s="40" t="str">
        <f aca="false">IF(A426&amp;B426&amp;D426="","",IF(OR(A426="",B426="",D426="",E426=""),"Incomplete",IF(K426="Unknown","Unknown code",IF(AND(K426="Yes",C426=""),"Billable, needs client",IF(N426&gt;MaxDayHours,"Over "&amp;MaxDayHours&amp;" hours that day","")))))</f>
        <v/>
      </c>
    </row>
    <row r="427" customFormat="false" ht="15" hidden="false" customHeight="false" outlineLevel="0" collapsed="false">
      <c r="A427" s="31" t="n">
        <v>46227</v>
      </c>
      <c r="B427" s="32" t="s">
        <v>97</v>
      </c>
      <c r="C427" s="32" t="s">
        <v>90</v>
      </c>
      <c r="D427" s="33" t="s">
        <v>104</v>
      </c>
      <c r="E427" s="34" t="n">
        <v>0.75</v>
      </c>
      <c r="F427" s="32"/>
      <c r="G427" s="35" t="n">
        <f aca="false">IF(A427="","",A427+7-WEEKDAY(A427))</f>
        <v>46228</v>
      </c>
      <c r="H427" s="36" t="n">
        <f aca="false">IF(A427="","",DATE(YEAR(A427),MONTH(A427),1))</f>
        <v>46204</v>
      </c>
      <c r="I427" s="37" t="str">
        <f aca="false">IF(B427="","",IFERROR(INDEX(st_ID,MATCH(B427,st_Name,0)),"Unknown"))</f>
        <v>QP-02</v>
      </c>
      <c r="J427" s="37" t="str">
        <f aca="false">IF(C427="","",IFERROR(INDEX(cl_Code,MATCH(C427,cl_Name,0)),"Unknown"))</f>
        <v>BSE</v>
      </c>
      <c r="K427" s="37" t="str">
        <f aca="false">IF(D427="","",IFERROR(INDEX(rt_Billable,MATCH(D427,rt_Code,0)),"Unknown"))</f>
        <v>Yes</v>
      </c>
      <c r="L427" s="38" t="n">
        <f aca="false">IF(K427&lt;&gt;"Yes","",IFERROR(INDEX(cr_Rate,MATCH(J427&amp;"|"&amp;D427,cr_Key,0)),INDEX(rt_Rate,MATCH(D427,rt_Code,0))))</f>
        <v>70</v>
      </c>
      <c r="M427" s="25" t="n">
        <f aca="false">IF(L427="","",ROUND(N(E427)*L427,2))</f>
        <v>52.5</v>
      </c>
      <c r="N427" s="39" t="n">
        <f aca="false">IF(OR(A427="",B427=""),"",SUMIFS(tl_Hours,tl_StaffID,I427,tl_Date,A427))</f>
        <v>8</v>
      </c>
      <c r="O427" s="40" t="str">
        <f aca="false">IF(A427&amp;B427&amp;D427="","",IF(OR(A427="",B427="",D427="",E427=""),"Incomplete",IF(K427="Unknown","Unknown code",IF(AND(K427="Yes",C427=""),"Billable, needs client",IF(N427&gt;MaxDayHours,"Over "&amp;MaxDayHours&amp;" hours that day","")))))</f>
        <v/>
      </c>
    </row>
    <row r="428" customFormat="false" ht="15" hidden="false" customHeight="false" outlineLevel="0" collapsed="false">
      <c r="A428" s="31" t="n">
        <v>46227</v>
      </c>
      <c r="B428" s="32" t="s">
        <v>97</v>
      </c>
      <c r="C428" s="32"/>
      <c r="D428" s="33" t="s">
        <v>96</v>
      </c>
      <c r="E428" s="34" t="n">
        <v>3.5</v>
      </c>
      <c r="F428" s="32"/>
      <c r="G428" s="35" t="n">
        <f aca="false">IF(A428="","",A428+7-WEEKDAY(A428))</f>
        <v>46228</v>
      </c>
      <c r="H428" s="36" t="n">
        <f aca="false">IF(A428="","",DATE(YEAR(A428),MONTH(A428),1))</f>
        <v>46204</v>
      </c>
      <c r="I428" s="37" t="str">
        <f aca="false">IF(B428="","",IFERROR(INDEX(st_ID,MATCH(B428,st_Name,0)),"Unknown"))</f>
        <v>QP-02</v>
      </c>
      <c r="J428" s="37" t="str">
        <f aca="false">IF(C428="","",IFERROR(INDEX(cl_Code,MATCH(C428,cl_Name,0)),"Unknown"))</f>
        <v/>
      </c>
      <c r="K428" s="37" t="str">
        <f aca="false">IF(D428="","",IFERROR(INDEX(rt_Billable,MATCH(D428,rt_Code,0)),"Unknown"))</f>
        <v>No</v>
      </c>
      <c r="L428" s="38" t="str">
        <f aca="false">IF(K428&lt;&gt;"Yes","",IFERROR(INDEX(cr_Rate,MATCH(J428&amp;"|"&amp;D428,cr_Key,0)),INDEX(rt_Rate,MATCH(D428,rt_Code,0))))</f>
        <v/>
      </c>
      <c r="M428" s="25" t="str">
        <f aca="false">IF(L428="","",ROUND(N(E428)*L428,2))</f>
        <v/>
      </c>
      <c r="N428" s="39" t="n">
        <f aca="false">IF(OR(A428="",B428=""),"",SUMIFS(tl_Hours,tl_StaffID,I428,tl_Date,A428))</f>
        <v>8</v>
      </c>
      <c r="O428" s="40" t="str">
        <f aca="false">IF(A428&amp;B428&amp;D428="","",IF(OR(A428="",B428="",D428="",E428=""),"Incomplete",IF(K428="Unknown","Unknown code",IF(AND(K428="Yes",C428=""),"Billable, needs client",IF(N428&gt;MaxDayHours,"Over "&amp;MaxDayHours&amp;" hours that day","")))))</f>
        <v/>
      </c>
    </row>
    <row r="429" customFormat="false" ht="15" hidden="false" customHeight="false" outlineLevel="0" collapsed="false">
      <c r="A429" s="31" t="n">
        <v>46227</v>
      </c>
      <c r="B429" s="32" t="s">
        <v>101</v>
      </c>
      <c r="C429" s="32" t="s">
        <v>102</v>
      </c>
      <c r="D429" s="33" t="s">
        <v>88</v>
      </c>
      <c r="E429" s="34" t="n">
        <v>2.75</v>
      </c>
      <c r="F429" s="32"/>
      <c r="G429" s="35" t="n">
        <f aca="false">IF(A429="","",A429+7-WEEKDAY(A429))</f>
        <v>46228</v>
      </c>
      <c r="H429" s="36" t="n">
        <f aca="false">IF(A429="","",DATE(YEAR(A429),MONTH(A429),1))</f>
        <v>46204</v>
      </c>
      <c r="I429" s="37" t="str">
        <f aca="false">IF(B429="","",IFERROR(INDEX(st_ID,MATCH(B429,st_Name,0)),"Unknown"))</f>
        <v>QP-04</v>
      </c>
      <c r="J429" s="37" t="str">
        <f aca="false">IF(C429="","",IFERROR(INDEX(cl_Code,MATCH(C429,cl_Name,0)),"Unknown"))</f>
        <v>CLH</v>
      </c>
      <c r="K429" s="37" t="str">
        <f aca="false">IF(D429="","",IFERROR(INDEX(rt_Billable,MATCH(D429,rt_Code,0)),"Unknown"))</f>
        <v>Yes</v>
      </c>
      <c r="L429" s="38" t="n">
        <f aca="false">IF(K429&lt;&gt;"Yes","",IFERROR(INDEX(cr_Rate,MATCH(J429&amp;"|"&amp;D429,cr_Key,0)),INDEX(rt_Rate,MATCH(D429,rt_Code,0))))</f>
        <v>110</v>
      </c>
      <c r="M429" s="25" t="n">
        <f aca="false">IF(L429="","",ROUND(N(E429)*L429,2))</f>
        <v>302.5</v>
      </c>
      <c r="N429" s="39" t="n">
        <f aca="false">IF(OR(A429="",B429=""),"",SUMIFS(tl_Hours,tl_StaffID,I429,tl_Date,A429))</f>
        <v>8</v>
      </c>
      <c r="O429" s="40" t="str">
        <f aca="false">IF(A429&amp;B429&amp;D429="","",IF(OR(A429="",B429="",D429="",E429=""),"Incomplete",IF(K429="Unknown","Unknown code",IF(AND(K429="Yes",C429=""),"Billable, needs client",IF(N429&gt;MaxDayHours,"Over "&amp;MaxDayHours&amp;" hours that day","")))))</f>
        <v/>
      </c>
    </row>
    <row r="430" customFormat="false" ht="15" hidden="false" customHeight="false" outlineLevel="0" collapsed="false">
      <c r="A430" s="31" t="n">
        <v>46227</v>
      </c>
      <c r="B430" s="32" t="s">
        <v>101</v>
      </c>
      <c r="C430" s="32" t="s">
        <v>102</v>
      </c>
      <c r="D430" s="33" t="s">
        <v>104</v>
      </c>
      <c r="E430" s="34" t="n">
        <v>1.5</v>
      </c>
      <c r="F430" s="32"/>
      <c r="G430" s="35" t="n">
        <f aca="false">IF(A430="","",A430+7-WEEKDAY(A430))</f>
        <v>46228</v>
      </c>
      <c r="H430" s="36" t="n">
        <f aca="false">IF(A430="","",DATE(YEAR(A430),MONTH(A430),1))</f>
        <v>46204</v>
      </c>
      <c r="I430" s="37" t="str">
        <f aca="false">IF(B430="","",IFERROR(INDEX(st_ID,MATCH(B430,st_Name,0)),"Unknown"))</f>
        <v>QP-04</v>
      </c>
      <c r="J430" s="37" t="str">
        <f aca="false">IF(C430="","",IFERROR(INDEX(cl_Code,MATCH(C430,cl_Name,0)),"Unknown"))</f>
        <v>CLH</v>
      </c>
      <c r="K430" s="37" t="str">
        <f aca="false">IF(D430="","",IFERROR(INDEX(rt_Billable,MATCH(D430,rt_Code,0)),"Unknown"))</f>
        <v>Yes</v>
      </c>
      <c r="L430" s="38" t="n">
        <f aca="false">IF(K430&lt;&gt;"Yes","",IFERROR(INDEX(cr_Rate,MATCH(J430&amp;"|"&amp;D430,cr_Key,0)),INDEX(rt_Rate,MATCH(D430,rt_Code,0))))</f>
        <v>65</v>
      </c>
      <c r="M430" s="25" t="n">
        <f aca="false">IF(L430="","",ROUND(N(E430)*L430,2))</f>
        <v>97.5</v>
      </c>
      <c r="N430" s="39" t="n">
        <f aca="false">IF(OR(A430="",B430=""),"",SUMIFS(tl_Hours,tl_StaffID,I430,tl_Date,A430))</f>
        <v>8</v>
      </c>
      <c r="O430" s="40" t="str">
        <f aca="false">IF(A430&amp;B430&amp;D430="","",IF(OR(A430="",B430="",D430="",E430=""),"Incomplete",IF(K430="Unknown","Unknown code",IF(AND(K430="Yes",C430=""),"Billable, needs client",IF(N430&gt;MaxDayHours,"Over "&amp;MaxDayHours&amp;" hours that day","")))))</f>
        <v/>
      </c>
    </row>
    <row r="431" customFormat="false" ht="15" hidden="false" customHeight="false" outlineLevel="0" collapsed="false">
      <c r="A431" s="31" t="n">
        <v>46227</v>
      </c>
      <c r="B431" s="32" t="s">
        <v>101</v>
      </c>
      <c r="C431" s="32"/>
      <c r="D431" s="33" t="s">
        <v>96</v>
      </c>
      <c r="E431" s="34" t="n">
        <v>3.75</v>
      </c>
      <c r="F431" s="32"/>
      <c r="G431" s="35" t="n">
        <f aca="false">IF(A431="","",A431+7-WEEKDAY(A431))</f>
        <v>46228</v>
      </c>
      <c r="H431" s="36" t="n">
        <f aca="false">IF(A431="","",DATE(YEAR(A431),MONTH(A431),1))</f>
        <v>46204</v>
      </c>
      <c r="I431" s="37" t="str">
        <f aca="false">IF(B431="","",IFERROR(INDEX(st_ID,MATCH(B431,st_Name,0)),"Unknown"))</f>
        <v>QP-04</v>
      </c>
      <c r="J431" s="37" t="str">
        <f aca="false">IF(C431="","",IFERROR(INDEX(cl_Code,MATCH(C431,cl_Name,0)),"Unknown"))</f>
        <v/>
      </c>
      <c r="K431" s="37" t="str">
        <f aca="false">IF(D431="","",IFERROR(INDEX(rt_Billable,MATCH(D431,rt_Code,0)),"Unknown"))</f>
        <v>No</v>
      </c>
      <c r="L431" s="38" t="str">
        <f aca="false">IF(K431&lt;&gt;"Yes","",IFERROR(INDEX(cr_Rate,MATCH(J431&amp;"|"&amp;D431,cr_Key,0)),INDEX(rt_Rate,MATCH(D431,rt_Code,0))))</f>
        <v/>
      </c>
      <c r="M431" s="25" t="str">
        <f aca="false">IF(L431="","",ROUND(N(E431)*L431,2))</f>
        <v/>
      </c>
      <c r="N431" s="39" t="n">
        <f aca="false">IF(OR(A431="",B431=""),"",SUMIFS(tl_Hours,tl_StaffID,I431,tl_Date,A431))</f>
        <v>8</v>
      </c>
      <c r="O431" s="40" t="str">
        <f aca="false">IF(A431&amp;B431&amp;D431="","",IF(OR(A431="",B431="",D431="",E431=""),"Incomplete",IF(K431="Unknown","Unknown code",IF(AND(K431="Yes",C431=""),"Billable, needs client",IF(N431&gt;MaxDayHours,"Over "&amp;MaxDayHours&amp;" hours that day","")))))</f>
        <v/>
      </c>
    </row>
    <row r="432" customFormat="false" ht="15" hidden="false" customHeight="false" outlineLevel="0" collapsed="false">
      <c r="A432" s="31" t="n">
        <v>46227</v>
      </c>
      <c r="B432" s="32" t="s">
        <v>103</v>
      </c>
      <c r="C432" s="32" t="s">
        <v>87</v>
      </c>
      <c r="D432" s="33" t="s">
        <v>88</v>
      </c>
      <c r="E432" s="34" t="n">
        <v>1.25</v>
      </c>
      <c r="F432" s="32"/>
      <c r="G432" s="35" t="n">
        <f aca="false">IF(A432="","",A432+7-WEEKDAY(A432))</f>
        <v>46228</v>
      </c>
      <c r="H432" s="36" t="n">
        <f aca="false">IF(A432="","",DATE(YEAR(A432),MONTH(A432),1))</f>
        <v>46204</v>
      </c>
      <c r="I432" s="37" t="str">
        <f aca="false">IF(B432="","",IFERROR(INDEX(st_ID,MATCH(B432,st_Name,0)),"Unknown"))</f>
        <v>QP-05</v>
      </c>
      <c r="J432" s="37" t="str">
        <f aca="false">IF(C432="","",IFERROR(INDEX(cl_Code,MATCH(C432,cl_Name,0)),"Unknown"))</f>
        <v>HCS</v>
      </c>
      <c r="K432" s="37" t="str">
        <f aca="false">IF(D432="","",IFERROR(INDEX(rt_Billable,MATCH(D432,rt_Code,0)),"Unknown"))</f>
        <v>Yes</v>
      </c>
      <c r="L432" s="38" t="n">
        <f aca="false">IF(K432&lt;&gt;"Yes","",IFERROR(INDEX(cr_Rate,MATCH(J432&amp;"|"&amp;D432,cr_Key,0)),INDEX(rt_Rate,MATCH(D432,rt_Code,0))))</f>
        <v>98</v>
      </c>
      <c r="M432" s="25" t="n">
        <f aca="false">IF(L432="","",ROUND(N(E432)*L432,2))</f>
        <v>122.5</v>
      </c>
      <c r="N432" s="39" t="n">
        <f aca="false">IF(OR(A432="",B432=""),"",SUMIFS(tl_Hours,tl_StaffID,I432,tl_Date,A432))</f>
        <v>8</v>
      </c>
      <c r="O432" s="40" t="str">
        <f aca="false">IF(A432&amp;B432&amp;D432="","",IF(OR(A432="",B432="",D432="",E432=""),"Incomplete",IF(K432="Unknown","Unknown code",IF(AND(K432="Yes",C432=""),"Billable, needs client",IF(N432&gt;MaxDayHours,"Over "&amp;MaxDayHours&amp;" hours that day","")))))</f>
        <v/>
      </c>
    </row>
    <row r="433" customFormat="false" ht="15" hidden="false" customHeight="false" outlineLevel="0" collapsed="false">
      <c r="A433" s="31" t="n">
        <v>46227</v>
      </c>
      <c r="B433" s="32" t="s">
        <v>103</v>
      </c>
      <c r="C433" s="32" t="s">
        <v>87</v>
      </c>
      <c r="D433" s="33" t="s">
        <v>113</v>
      </c>
      <c r="E433" s="34" t="n">
        <v>1</v>
      </c>
      <c r="F433" s="32"/>
      <c r="G433" s="35" t="n">
        <f aca="false">IF(A433="","",A433+7-WEEKDAY(A433))</f>
        <v>46228</v>
      </c>
      <c r="H433" s="36" t="n">
        <f aca="false">IF(A433="","",DATE(YEAR(A433),MONTH(A433),1))</f>
        <v>46204</v>
      </c>
      <c r="I433" s="37" t="str">
        <f aca="false">IF(B433="","",IFERROR(INDEX(st_ID,MATCH(B433,st_Name,0)),"Unknown"))</f>
        <v>QP-05</v>
      </c>
      <c r="J433" s="37" t="str">
        <f aca="false">IF(C433="","",IFERROR(INDEX(cl_Code,MATCH(C433,cl_Name,0)),"Unknown"))</f>
        <v>HCS</v>
      </c>
      <c r="K433" s="37" t="str">
        <f aca="false">IF(D433="","",IFERROR(INDEX(rt_Billable,MATCH(D433,rt_Code,0)),"Unknown"))</f>
        <v>Yes</v>
      </c>
      <c r="L433" s="38" t="n">
        <f aca="false">IF(K433&lt;&gt;"Yes","",IFERROR(INDEX(cr_Rate,MATCH(J433&amp;"|"&amp;D433,cr_Key,0)),INDEX(rt_Rate,MATCH(D433,rt_Code,0))))</f>
        <v>85</v>
      </c>
      <c r="M433" s="25" t="n">
        <f aca="false">IF(L433="","",ROUND(N(E433)*L433,2))</f>
        <v>85</v>
      </c>
      <c r="N433" s="39" t="n">
        <f aca="false">IF(OR(A433="",B433=""),"",SUMIFS(tl_Hours,tl_StaffID,I433,tl_Date,A433))</f>
        <v>8</v>
      </c>
      <c r="O433" s="40" t="str">
        <f aca="false">IF(A433&amp;B433&amp;D433="","",IF(OR(A433="",B433="",D433="",E433=""),"Incomplete",IF(K433="Unknown","Unknown code",IF(AND(K433="Yes",C433=""),"Billable, needs client",IF(N433&gt;MaxDayHours,"Over "&amp;MaxDayHours&amp;" hours that day","")))))</f>
        <v/>
      </c>
    </row>
    <row r="434" customFormat="false" ht="15" hidden="false" customHeight="false" outlineLevel="0" collapsed="false">
      <c r="A434" s="31" t="n">
        <v>46227</v>
      </c>
      <c r="B434" s="32" t="s">
        <v>103</v>
      </c>
      <c r="C434" s="32" t="s">
        <v>90</v>
      </c>
      <c r="D434" s="33" t="s">
        <v>88</v>
      </c>
      <c r="E434" s="34" t="n">
        <v>1.5</v>
      </c>
      <c r="F434" s="32"/>
      <c r="G434" s="35" t="n">
        <f aca="false">IF(A434="","",A434+7-WEEKDAY(A434))</f>
        <v>46228</v>
      </c>
      <c r="H434" s="36" t="n">
        <f aca="false">IF(A434="","",DATE(YEAR(A434),MONTH(A434),1))</f>
        <v>46204</v>
      </c>
      <c r="I434" s="37" t="str">
        <f aca="false">IF(B434="","",IFERROR(INDEX(st_ID,MATCH(B434,st_Name,0)),"Unknown"))</f>
        <v>QP-05</v>
      </c>
      <c r="J434" s="37" t="str">
        <f aca="false">IF(C434="","",IFERROR(INDEX(cl_Code,MATCH(C434,cl_Name,0)),"Unknown"))</f>
        <v>BSE</v>
      </c>
      <c r="K434" s="37" t="str">
        <f aca="false">IF(D434="","",IFERROR(INDEX(rt_Billable,MATCH(D434,rt_Code,0)),"Unknown"))</f>
        <v>Yes</v>
      </c>
      <c r="L434" s="38" t="n">
        <f aca="false">IF(K434&lt;&gt;"Yes","",IFERROR(INDEX(cr_Rate,MATCH(J434&amp;"|"&amp;D434,cr_Key,0)),INDEX(rt_Rate,MATCH(D434,rt_Code,0))))</f>
        <v>104</v>
      </c>
      <c r="M434" s="25" t="n">
        <f aca="false">IF(L434="","",ROUND(N(E434)*L434,2))</f>
        <v>156</v>
      </c>
      <c r="N434" s="39" t="n">
        <f aca="false">IF(OR(A434="",B434=""),"",SUMIFS(tl_Hours,tl_StaffID,I434,tl_Date,A434))</f>
        <v>8</v>
      </c>
      <c r="O434" s="40" t="str">
        <f aca="false">IF(A434&amp;B434&amp;D434="","",IF(OR(A434="",B434="",D434="",E434=""),"Incomplete",IF(K434="Unknown","Unknown code",IF(AND(K434="Yes",C434=""),"Billable, needs client",IF(N434&gt;MaxDayHours,"Over "&amp;MaxDayHours&amp;" hours that day","")))))</f>
        <v/>
      </c>
    </row>
    <row r="435" customFormat="false" ht="15" hidden="false" customHeight="false" outlineLevel="0" collapsed="false">
      <c r="A435" s="31" t="n">
        <v>46227</v>
      </c>
      <c r="B435" s="32" t="s">
        <v>103</v>
      </c>
      <c r="C435" s="32" t="s">
        <v>90</v>
      </c>
      <c r="D435" s="33" t="s">
        <v>92</v>
      </c>
      <c r="E435" s="34" t="n">
        <v>0.75</v>
      </c>
      <c r="F435" s="32"/>
      <c r="G435" s="35" t="n">
        <f aca="false">IF(A435="","",A435+7-WEEKDAY(A435))</f>
        <v>46228</v>
      </c>
      <c r="H435" s="36" t="n">
        <f aca="false">IF(A435="","",DATE(YEAR(A435),MONTH(A435),1))</f>
        <v>46204</v>
      </c>
      <c r="I435" s="37" t="str">
        <f aca="false">IF(B435="","",IFERROR(INDEX(st_ID,MATCH(B435,st_Name,0)),"Unknown"))</f>
        <v>QP-05</v>
      </c>
      <c r="J435" s="37" t="str">
        <f aca="false">IF(C435="","",IFERROR(INDEX(cl_Code,MATCH(C435,cl_Name,0)),"Unknown"))</f>
        <v>BSE</v>
      </c>
      <c r="K435" s="37" t="str">
        <f aca="false">IF(D435="","",IFERROR(INDEX(rt_Billable,MATCH(D435,rt_Code,0)),"Unknown"))</f>
        <v>Yes</v>
      </c>
      <c r="L435" s="38" t="n">
        <f aca="false">IF(K435&lt;&gt;"Yes","",IFERROR(INDEX(cr_Rate,MATCH(J435&amp;"|"&amp;D435,cr_Key,0)),INDEX(rt_Rate,MATCH(D435,rt_Code,0))))</f>
        <v>145</v>
      </c>
      <c r="M435" s="25" t="n">
        <f aca="false">IF(L435="","",ROUND(N(E435)*L435,2))</f>
        <v>108.75</v>
      </c>
      <c r="N435" s="39" t="n">
        <f aca="false">IF(OR(A435="",B435=""),"",SUMIFS(tl_Hours,tl_StaffID,I435,tl_Date,A435))</f>
        <v>8</v>
      </c>
      <c r="O435" s="40" t="str">
        <f aca="false">IF(A435&amp;B435&amp;D435="","",IF(OR(A435="",B435="",D435="",E435=""),"Incomplete",IF(K435="Unknown","Unknown code",IF(AND(K435="Yes",C435=""),"Billable, needs client",IF(N435&gt;MaxDayHours,"Over "&amp;MaxDayHours&amp;" hours that day","")))))</f>
        <v/>
      </c>
    </row>
    <row r="436" customFormat="false" ht="15" hidden="false" customHeight="false" outlineLevel="0" collapsed="false">
      <c r="A436" s="31" t="n">
        <v>46227</v>
      </c>
      <c r="B436" s="32" t="s">
        <v>103</v>
      </c>
      <c r="C436" s="32"/>
      <c r="D436" s="33" t="s">
        <v>93</v>
      </c>
      <c r="E436" s="34" t="n">
        <v>0.5</v>
      </c>
      <c r="F436" s="32"/>
      <c r="G436" s="35" t="n">
        <f aca="false">IF(A436="","",A436+7-WEEKDAY(A436))</f>
        <v>46228</v>
      </c>
      <c r="H436" s="36" t="n">
        <f aca="false">IF(A436="","",DATE(YEAR(A436),MONTH(A436),1))</f>
        <v>46204</v>
      </c>
      <c r="I436" s="37" t="str">
        <f aca="false">IF(B436="","",IFERROR(INDEX(st_ID,MATCH(B436,st_Name,0)),"Unknown"))</f>
        <v>QP-05</v>
      </c>
      <c r="J436" s="37" t="str">
        <f aca="false">IF(C436="","",IFERROR(INDEX(cl_Code,MATCH(C436,cl_Name,0)),"Unknown"))</f>
        <v/>
      </c>
      <c r="K436" s="37" t="str">
        <f aca="false">IF(D436="","",IFERROR(INDEX(rt_Billable,MATCH(D436,rt_Code,0)),"Unknown"))</f>
        <v>No</v>
      </c>
      <c r="L436" s="38" t="str">
        <f aca="false">IF(K436&lt;&gt;"Yes","",IFERROR(INDEX(cr_Rate,MATCH(J436&amp;"|"&amp;D436,cr_Key,0)),INDEX(rt_Rate,MATCH(D436,rt_Code,0))))</f>
        <v/>
      </c>
      <c r="M436" s="25" t="str">
        <f aca="false">IF(L436="","",ROUND(N(E436)*L436,2))</f>
        <v/>
      </c>
      <c r="N436" s="39" t="n">
        <f aca="false">IF(OR(A436="",B436=""),"",SUMIFS(tl_Hours,tl_StaffID,I436,tl_Date,A436))</f>
        <v>8</v>
      </c>
      <c r="O436" s="40" t="str">
        <f aca="false">IF(A436&amp;B436&amp;D436="","",IF(OR(A436="",B436="",D436="",E436=""),"Incomplete",IF(K436="Unknown","Unknown code",IF(AND(K436="Yes",C436=""),"Billable, needs client",IF(N436&gt;MaxDayHours,"Over "&amp;MaxDayHours&amp;" hours that day","")))))</f>
        <v/>
      </c>
    </row>
    <row r="437" customFormat="false" ht="15" hidden="false" customHeight="false" outlineLevel="0" collapsed="false">
      <c r="A437" s="31" t="n">
        <v>46227</v>
      </c>
      <c r="B437" s="32" t="s">
        <v>103</v>
      </c>
      <c r="C437" s="32"/>
      <c r="D437" s="33" t="s">
        <v>96</v>
      </c>
      <c r="E437" s="34" t="n">
        <v>3</v>
      </c>
      <c r="F437" s="32"/>
      <c r="G437" s="35" t="n">
        <f aca="false">IF(A437="","",A437+7-WEEKDAY(A437))</f>
        <v>46228</v>
      </c>
      <c r="H437" s="36" t="n">
        <f aca="false">IF(A437="","",DATE(YEAR(A437),MONTH(A437),1))</f>
        <v>46204</v>
      </c>
      <c r="I437" s="37" t="str">
        <f aca="false">IF(B437="","",IFERROR(INDEX(st_ID,MATCH(B437,st_Name,0)),"Unknown"))</f>
        <v>QP-05</v>
      </c>
      <c r="J437" s="37" t="str">
        <f aca="false">IF(C437="","",IFERROR(INDEX(cl_Code,MATCH(C437,cl_Name,0)),"Unknown"))</f>
        <v/>
      </c>
      <c r="K437" s="37" t="str">
        <f aca="false">IF(D437="","",IFERROR(INDEX(rt_Billable,MATCH(D437,rt_Code,0)),"Unknown"))</f>
        <v>No</v>
      </c>
      <c r="L437" s="38" t="str">
        <f aca="false">IF(K437&lt;&gt;"Yes","",IFERROR(INDEX(cr_Rate,MATCH(J437&amp;"|"&amp;D437,cr_Key,0)),INDEX(rt_Rate,MATCH(D437,rt_Code,0))))</f>
        <v/>
      </c>
      <c r="M437" s="25" t="str">
        <f aca="false">IF(L437="","",ROUND(N(E437)*L437,2))</f>
        <v/>
      </c>
      <c r="N437" s="39" t="n">
        <f aca="false">IF(OR(A437="",B437=""),"",SUMIFS(tl_Hours,tl_StaffID,I437,tl_Date,A437))</f>
        <v>8</v>
      </c>
      <c r="O437" s="40" t="str">
        <f aca="false">IF(A437&amp;B437&amp;D437="","",IF(OR(A437="",B437="",D437="",E437=""),"Incomplete",IF(K437="Unknown","Unknown code",IF(AND(K437="Yes",C437=""),"Billable, needs client",IF(N437&gt;MaxDayHours,"Over "&amp;MaxDayHours&amp;" hours that day","")))))</f>
        <v/>
      </c>
    </row>
    <row r="438" customFormat="false" ht="15" hidden="false" customHeight="false" outlineLevel="0" collapsed="false">
      <c r="A438" s="31" t="n">
        <v>46227</v>
      </c>
      <c r="B438" s="32" t="s">
        <v>105</v>
      </c>
      <c r="C438" s="32" t="s">
        <v>87</v>
      </c>
      <c r="D438" s="33" t="s">
        <v>104</v>
      </c>
      <c r="E438" s="34" t="n">
        <v>1.75</v>
      </c>
      <c r="F438" s="32"/>
      <c r="G438" s="35" t="n">
        <f aca="false">IF(A438="","",A438+7-WEEKDAY(A438))</f>
        <v>46228</v>
      </c>
      <c r="H438" s="36" t="n">
        <f aca="false">IF(A438="","",DATE(YEAR(A438),MONTH(A438),1))</f>
        <v>46204</v>
      </c>
      <c r="I438" s="37" t="str">
        <f aca="false">IF(B438="","",IFERROR(INDEX(st_ID,MATCH(B438,st_Name,0)),"Unknown"))</f>
        <v>QP-06</v>
      </c>
      <c r="J438" s="37" t="str">
        <f aca="false">IF(C438="","",IFERROR(INDEX(cl_Code,MATCH(C438,cl_Name,0)),"Unknown"))</f>
        <v>HCS</v>
      </c>
      <c r="K438" s="37" t="str">
        <f aca="false">IF(D438="","",IFERROR(INDEX(rt_Billable,MATCH(D438,rt_Code,0)),"Unknown"))</f>
        <v>Yes</v>
      </c>
      <c r="L438" s="38" t="n">
        <f aca="false">IF(K438&lt;&gt;"Yes","",IFERROR(INDEX(cr_Rate,MATCH(J438&amp;"|"&amp;D438,cr_Key,0)),INDEX(rt_Rate,MATCH(D438,rt_Code,0))))</f>
        <v>62</v>
      </c>
      <c r="M438" s="25" t="n">
        <f aca="false">IF(L438="","",ROUND(N(E438)*L438,2))</f>
        <v>108.5</v>
      </c>
      <c r="N438" s="39" t="n">
        <f aca="false">IF(OR(A438="",B438=""),"",SUMIFS(tl_Hours,tl_StaffID,I438,tl_Date,A438))</f>
        <v>8</v>
      </c>
      <c r="O438" s="40" t="str">
        <f aca="false">IF(A438&amp;B438&amp;D438="","",IF(OR(A438="",B438="",D438="",E438=""),"Incomplete",IF(K438="Unknown","Unknown code",IF(AND(K438="Yes",C438=""),"Billable, needs client",IF(N438&gt;MaxDayHours,"Over "&amp;MaxDayHours&amp;" hours that day","")))))</f>
        <v/>
      </c>
    </row>
    <row r="439" customFormat="false" ht="15" hidden="false" customHeight="false" outlineLevel="0" collapsed="false">
      <c r="A439" s="31" t="n">
        <v>46227</v>
      </c>
      <c r="B439" s="32" t="s">
        <v>105</v>
      </c>
      <c r="C439" s="32" t="s">
        <v>87</v>
      </c>
      <c r="D439" s="33" t="s">
        <v>89</v>
      </c>
      <c r="E439" s="34" t="n">
        <v>0.5</v>
      </c>
      <c r="F439" s="32"/>
      <c r="G439" s="35" t="n">
        <f aca="false">IF(A439="","",A439+7-WEEKDAY(A439))</f>
        <v>46228</v>
      </c>
      <c r="H439" s="36" t="n">
        <f aca="false">IF(A439="","",DATE(YEAR(A439),MONTH(A439),1))</f>
        <v>46204</v>
      </c>
      <c r="I439" s="37" t="str">
        <f aca="false">IF(B439="","",IFERROR(INDEX(st_ID,MATCH(B439,st_Name,0)),"Unknown"))</f>
        <v>QP-06</v>
      </c>
      <c r="J439" s="37" t="str">
        <f aca="false">IF(C439="","",IFERROR(INDEX(cl_Code,MATCH(C439,cl_Name,0)),"Unknown"))</f>
        <v>HCS</v>
      </c>
      <c r="K439" s="37" t="str">
        <f aca="false">IF(D439="","",IFERROR(INDEX(rt_Billable,MATCH(D439,rt_Code,0)),"Unknown"))</f>
        <v>Yes</v>
      </c>
      <c r="L439" s="38" t="n">
        <f aca="false">IF(K439&lt;&gt;"Yes","",IFERROR(INDEX(cr_Rate,MATCH(J439&amp;"|"&amp;D439,cr_Key,0)),INDEX(rt_Rate,MATCH(D439,rt_Code,0))))</f>
        <v>88</v>
      </c>
      <c r="M439" s="25" t="n">
        <f aca="false">IF(L439="","",ROUND(N(E439)*L439,2))</f>
        <v>44</v>
      </c>
      <c r="N439" s="39" t="n">
        <f aca="false">IF(OR(A439="",B439=""),"",SUMIFS(tl_Hours,tl_StaffID,I439,tl_Date,A439))</f>
        <v>8</v>
      </c>
      <c r="O439" s="40" t="str">
        <f aca="false">IF(A439&amp;B439&amp;D439="","",IF(OR(A439="",B439="",D439="",E439=""),"Incomplete",IF(K439="Unknown","Unknown code",IF(AND(K439="Yes",C439=""),"Billable, needs client",IF(N439&gt;MaxDayHours,"Over "&amp;MaxDayHours&amp;" hours that day","")))))</f>
        <v/>
      </c>
    </row>
    <row r="440" customFormat="false" ht="15" hidden="false" customHeight="false" outlineLevel="0" collapsed="false">
      <c r="A440" s="31" t="n">
        <v>46227</v>
      </c>
      <c r="B440" s="32" t="s">
        <v>105</v>
      </c>
      <c r="C440" s="32" t="s">
        <v>90</v>
      </c>
      <c r="D440" s="33" t="s">
        <v>88</v>
      </c>
      <c r="E440" s="34" t="n">
        <v>1.25</v>
      </c>
      <c r="F440" s="32"/>
      <c r="G440" s="35" t="n">
        <f aca="false">IF(A440="","",A440+7-WEEKDAY(A440))</f>
        <v>46228</v>
      </c>
      <c r="H440" s="36" t="n">
        <f aca="false">IF(A440="","",DATE(YEAR(A440),MONTH(A440),1))</f>
        <v>46204</v>
      </c>
      <c r="I440" s="37" t="str">
        <f aca="false">IF(B440="","",IFERROR(INDEX(st_ID,MATCH(B440,st_Name,0)),"Unknown"))</f>
        <v>QP-06</v>
      </c>
      <c r="J440" s="37" t="str">
        <f aca="false">IF(C440="","",IFERROR(INDEX(cl_Code,MATCH(C440,cl_Name,0)),"Unknown"))</f>
        <v>BSE</v>
      </c>
      <c r="K440" s="37" t="str">
        <f aca="false">IF(D440="","",IFERROR(INDEX(rt_Billable,MATCH(D440,rt_Code,0)),"Unknown"))</f>
        <v>Yes</v>
      </c>
      <c r="L440" s="38" t="n">
        <f aca="false">IF(K440&lt;&gt;"Yes","",IFERROR(INDEX(cr_Rate,MATCH(J440&amp;"|"&amp;D440,cr_Key,0)),INDEX(rt_Rate,MATCH(D440,rt_Code,0))))</f>
        <v>104</v>
      </c>
      <c r="M440" s="25" t="n">
        <f aca="false">IF(L440="","",ROUND(N(E440)*L440,2))</f>
        <v>130</v>
      </c>
      <c r="N440" s="39" t="n">
        <f aca="false">IF(OR(A440="",B440=""),"",SUMIFS(tl_Hours,tl_StaffID,I440,tl_Date,A440))</f>
        <v>8</v>
      </c>
      <c r="O440" s="40" t="str">
        <f aca="false">IF(A440&amp;B440&amp;D440="","",IF(OR(A440="",B440="",D440="",E440=""),"Incomplete",IF(K440="Unknown","Unknown code",IF(AND(K440="Yes",C440=""),"Billable, needs client",IF(N440&gt;MaxDayHours,"Over "&amp;MaxDayHours&amp;" hours that day","")))))</f>
        <v/>
      </c>
    </row>
    <row r="441" customFormat="false" ht="15" hidden="false" customHeight="false" outlineLevel="0" collapsed="false">
      <c r="A441" s="31" t="n">
        <v>46227</v>
      </c>
      <c r="B441" s="32" t="s">
        <v>105</v>
      </c>
      <c r="C441" s="32" t="s">
        <v>90</v>
      </c>
      <c r="D441" s="33" t="s">
        <v>104</v>
      </c>
      <c r="E441" s="34" t="n">
        <v>1</v>
      </c>
      <c r="F441" s="32"/>
      <c r="G441" s="35" t="n">
        <f aca="false">IF(A441="","",A441+7-WEEKDAY(A441))</f>
        <v>46228</v>
      </c>
      <c r="H441" s="36" t="n">
        <f aca="false">IF(A441="","",DATE(YEAR(A441),MONTH(A441),1))</f>
        <v>46204</v>
      </c>
      <c r="I441" s="37" t="str">
        <f aca="false">IF(B441="","",IFERROR(INDEX(st_ID,MATCH(B441,st_Name,0)),"Unknown"))</f>
        <v>QP-06</v>
      </c>
      <c r="J441" s="37" t="str">
        <f aca="false">IF(C441="","",IFERROR(INDEX(cl_Code,MATCH(C441,cl_Name,0)),"Unknown"))</f>
        <v>BSE</v>
      </c>
      <c r="K441" s="37" t="str">
        <f aca="false">IF(D441="","",IFERROR(INDEX(rt_Billable,MATCH(D441,rt_Code,0)),"Unknown"))</f>
        <v>Yes</v>
      </c>
      <c r="L441" s="38" t="n">
        <f aca="false">IF(K441&lt;&gt;"Yes","",IFERROR(INDEX(cr_Rate,MATCH(J441&amp;"|"&amp;D441,cr_Key,0)),INDEX(rt_Rate,MATCH(D441,rt_Code,0))))</f>
        <v>70</v>
      </c>
      <c r="M441" s="25" t="n">
        <f aca="false">IF(L441="","",ROUND(N(E441)*L441,2))</f>
        <v>70</v>
      </c>
      <c r="N441" s="39" t="n">
        <f aca="false">IF(OR(A441="",B441=""),"",SUMIFS(tl_Hours,tl_StaffID,I441,tl_Date,A441))</f>
        <v>8</v>
      </c>
      <c r="O441" s="40" t="str">
        <f aca="false">IF(A441&amp;B441&amp;D441="","",IF(OR(A441="",B441="",D441="",E441=""),"Incomplete",IF(K441="Unknown","Unknown code",IF(AND(K441="Yes",C441=""),"Billable, needs client",IF(N441&gt;MaxDayHours,"Over "&amp;MaxDayHours&amp;" hours that day","")))))</f>
        <v/>
      </c>
    </row>
    <row r="442" customFormat="false" ht="15" hidden="false" customHeight="false" outlineLevel="0" collapsed="false">
      <c r="A442" s="31" t="n">
        <v>46227</v>
      </c>
      <c r="B442" s="32" t="s">
        <v>105</v>
      </c>
      <c r="C442" s="32"/>
      <c r="D442" s="33" t="s">
        <v>93</v>
      </c>
      <c r="E442" s="34" t="n">
        <v>0.5</v>
      </c>
      <c r="F442" s="32"/>
      <c r="G442" s="35" t="n">
        <f aca="false">IF(A442="","",A442+7-WEEKDAY(A442))</f>
        <v>46228</v>
      </c>
      <c r="H442" s="36" t="n">
        <f aca="false">IF(A442="","",DATE(YEAR(A442),MONTH(A442),1))</f>
        <v>46204</v>
      </c>
      <c r="I442" s="37" t="str">
        <f aca="false">IF(B442="","",IFERROR(INDEX(st_ID,MATCH(B442,st_Name,0)),"Unknown"))</f>
        <v>QP-06</v>
      </c>
      <c r="J442" s="37" t="str">
        <f aca="false">IF(C442="","",IFERROR(INDEX(cl_Code,MATCH(C442,cl_Name,0)),"Unknown"))</f>
        <v/>
      </c>
      <c r="K442" s="37" t="str">
        <f aca="false">IF(D442="","",IFERROR(INDEX(rt_Billable,MATCH(D442,rt_Code,0)),"Unknown"))</f>
        <v>No</v>
      </c>
      <c r="L442" s="38" t="str">
        <f aca="false">IF(K442&lt;&gt;"Yes","",IFERROR(INDEX(cr_Rate,MATCH(J442&amp;"|"&amp;D442,cr_Key,0)),INDEX(rt_Rate,MATCH(D442,rt_Code,0))))</f>
        <v/>
      </c>
      <c r="M442" s="25" t="str">
        <f aca="false">IF(L442="","",ROUND(N(E442)*L442,2))</f>
        <v/>
      </c>
      <c r="N442" s="39" t="n">
        <f aca="false">IF(OR(A442="",B442=""),"",SUMIFS(tl_Hours,tl_StaffID,I442,tl_Date,A442))</f>
        <v>8</v>
      </c>
      <c r="O442" s="40" t="str">
        <f aca="false">IF(A442&amp;B442&amp;D442="","",IF(OR(A442="",B442="",D442="",E442=""),"Incomplete",IF(K442="Unknown","Unknown code",IF(AND(K442="Yes",C442=""),"Billable, needs client",IF(N442&gt;MaxDayHours,"Over "&amp;MaxDayHours&amp;" hours that day","")))))</f>
        <v/>
      </c>
    </row>
    <row r="443" customFormat="false" ht="15" hidden="false" customHeight="false" outlineLevel="0" collapsed="false">
      <c r="A443" s="31" t="n">
        <v>46227</v>
      </c>
      <c r="B443" s="32" t="s">
        <v>105</v>
      </c>
      <c r="C443" s="32"/>
      <c r="D443" s="33" t="s">
        <v>96</v>
      </c>
      <c r="E443" s="34" t="n">
        <v>3</v>
      </c>
      <c r="F443" s="32"/>
      <c r="G443" s="35" t="n">
        <f aca="false">IF(A443="","",A443+7-WEEKDAY(A443))</f>
        <v>46228</v>
      </c>
      <c r="H443" s="36" t="n">
        <f aca="false">IF(A443="","",DATE(YEAR(A443),MONTH(A443),1))</f>
        <v>46204</v>
      </c>
      <c r="I443" s="37" t="str">
        <f aca="false">IF(B443="","",IFERROR(INDEX(st_ID,MATCH(B443,st_Name,0)),"Unknown"))</f>
        <v>QP-06</v>
      </c>
      <c r="J443" s="37" t="str">
        <f aca="false">IF(C443="","",IFERROR(INDEX(cl_Code,MATCH(C443,cl_Name,0)),"Unknown"))</f>
        <v/>
      </c>
      <c r="K443" s="37" t="str">
        <f aca="false">IF(D443="","",IFERROR(INDEX(rt_Billable,MATCH(D443,rt_Code,0)),"Unknown"))</f>
        <v>No</v>
      </c>
      <c r="L443" s="38" t="str">
        <f aca="false">IF(K443&lt;&gt;"Yes","",IFERROR(INDEX(cr_Rate,MATCH(J443&amp;"|"&amp;D443,cr_Key,0)),INDEX(rt_Rate,MATCH(D443,rt_Code,0))))</f>
        <v/>
      </c>
      <c r="M443" s="25" t="str">
        <f aca="false">IF(L443="","",ROUND(N(E443)*L443,2))</f>
        <v/>
      </c>
      <c r="N443" s="39" t="n">
        <f aca="false">IF(OR(A443="",B443=""),"",SUMIFS(tl_Hours,tl_StaffID,I443,tl_Date,A443))</f>
        <v>8</v>
      </c>
      <c r="O443" s="40" t="str">
        <f aca="false">IF(A443&amp;B443&amp;D443="","",IF(OR(A443="",B443="",D443="",E443=""),"Incomplete",IF(K443="Unknown","Unknown code",IF(AND(K443="Yes",C443=""),"Billable, needs client",IF(N443&gt;MaxDayHours,"Over "&amp;MaxDayHours&amp;" hours that day","")))))</f>
        <v/>
      </c>
    </row>
    <row r="444" customFormat="false" ht="15" hidden="false" customHeight="false" outlineLevel="0" collapsed="false">
      <c r="A444" s="31" t="n">
        <v>46227</v>
      </c>
      <c r="B444" s="32" t="s">
        <v>106</v>
      </c>
      <c r="C444" s="32" t="s">
        <v>87</v>
      </c>
      <c r="D444" s="33" t="s">
        <v>104</v>
      </c>
      <c r="E444" s="34" t="n">
        <v>3.5</v>
      </c>
      <c r="F444" s="32"/>
      <c r="G444" s="35" t="n">
        <f aca="false">IF(A444="","",A444+7-WEEKDAY(A444))</f>
        <v>46228</v>
      </c>
      <c r="H444" s="36" t="n">
        <f aca="false">IF(A444="","",DATE(YEAR(A444),MONTH(A444),1))</f>
        <v>46204</v>
      </c>
      <c r="I444" s="37" t="str">
        <f aca="false">IF(B444="","",IFERROR(INDEX(st_ID,MATCH(B444,st_Name,0)),"Unknown"))</f>
        <v>QP-07</v>
      </c>
      <c r="J444" s="37" t="str">
        <f aca="false">IF(C444="","",IFERROR(INDEX(cl_Code,MATCH(C444,cl_Name,0)),"Unknown"))</f>
        <v>HCS</v>
      </c>
      <c r="K444" s="37" t="str">
        <f aca="false">IF(D444="","",IFERROR(INDEX(rt_Billable,MATCH(D444,rt_Code,0)),"Unknown"))</f>
        <v>Yes</v>
      </c>
      <c r="L444" s="38" t="n">
        <f aca="false">IF(K444&lt;&gt;"Yes","",IFERROR(INDEX(cr_Rate,MATCH(J444&amp;"|"&amp;D444,cr_Key,0)),INDEX(rt_Rate,MATCH(D444,rt_Code,0))))</f>
        <v>62</v>
      </c>
      <c r="M444" s="25" t="n">
        <f aca="false">IF(L444="","",ROUND(N(E444)*L444,2))</f>
        <v>217</v>
      </c>
      <c r="N444" s="39" t="n">
        <f aca="false">IF(OR(A444="",B444=""),"",SUMIFS(tl_Hours,tl_StaffID,I444,tl_Date,A444))</f>
        <v>8</v>
      </c>
      <c r="O444" s="40" t="str">
        <f aca="false">IF(A444&amp;B444&amp;D444="","",IF(OR(A444="",B444="",D444="",E444=""),"Incomplete",IF(K444="Unknown","Unknown code",IF(AND(K444="Yes",C444=""),"Billable, needs client",IF(N444&gt;MaxDayHours,"Over "&amp;MaxDayHours&amp;" hours that day","")))))</f>
        <v/>
      </c>
    </row>
    <row r="445" customFormat="false" ht="15" hidden="false" customHeight="false" outlineLevel="0" collapsed="false">
      <c r="A445" s="31" t="n">
        <v>46227</v>
      </c>
      <c r="B445" s="32" t="s">
        <v>106</v>
      </c>
      <c r="C445" s="32" t="s">
        <v>87</v>
      </c>
      <c r="D445" s="33" t="s">
        <v>88</v>
      </c>
      <c r="E445" s="34" t="n">
        <v>1</v>
      </c>
      <c r="F445" s="32"/>
      <c r="G445" s="35" t="n">
        <f aca="false">IF(A445="","",A445+7-WEEKDAY(A445))</f>
        <v>46228</v>
      </c>
      <c r="H445" s="36" t="n">
        <f aca="false">IF(A445="","",DATE(YEAR(A445),MONTH(A445),1))</f>
        <v>46204</v>
      </c>
      <c r="I445" s="37" t="str">
        <f aca="false">IF(B445="","",IFERROR(INDEX(st_ID,MATCH(B445,st_Name,0)),"Unknown"))</f>
        <v>QP-07</v>
      </c>
      <c r="J445" s="37" t="str">
        <f aca="false">IF(C445="","",IFERROR(INDEX(cl_Code,MATCH(C445,cl_Name,0)),"Unknown"))</f>
        <v>HCS</v>
      </c>
      <c r="K445" s="37" t="str">
        <f aca="false">IF(D445="","",IFERROR(INDEX(rt_Billable,MATCH(D445,rt_Code,0)),"Unknown"))</f>
        <v>Yes</v>
      </c>
      <c r="L445" s="38" t="n">
        <f aca="false">IF(K445&lt;&gt;"Yes","",IFERROR(INDEX(cr_Rate,MATCH(J445&amp;"|"&amp;D445,cr_Key,0)),INDEX(rt_Rate,MATCH(D445,rt_Code,0))))</f>
        <v>98</v>
      </c>
      <c r="M445" s="25" t="n">
        <f aca="false">IF(L445="","",ROUND(N(E445)*L445,2))</f>
        <v>98</v>
      </c>
      <c r="N445" s="39" t="n">
        <f aca="false">IF(OR(A445="",B445=""),"",SUMIFS(tl_Hours,tl_StaffID,I445,tl_Date,A445))</f>
        <v>8</v>
      </c>
      <c r="O445" s="40" t="str">
        <f aca="false">IF(A445&amp;B445&amp;D445="","",IF(OR(A445="",B445="",D445="",E445=""),"Incomplete",IF(K445="Unknown","Unknown code",IF(AND(K445="Yes",C445=""),"Billable, needs client",IF(N445&gt;MaxDayHours,"Over "&amp;MaxDayHours&amp;" hours that day","")))))</f>
        <v/>
      </c>
    </row>
    <row r="446" customFormat="false" ht="15" hidden="false" customHeight="false" outlineLevel="0" collapsed="false">
      <c r="A446" s="31" t="n">
        <v>46227</v>
      </c>
      <c r="B446" s="32" t="s">
        <v>106</v>
      </c>
      <c r="C446" s="32"/>
      <c r="D446" s="33" t="s">
        <v>96</v>
      </c>
      <c r="E446" s="34" t="n">
        <v>3.5</v>
      </c>
      <c r="F446" s="32"/>
      <c r="G446" s="35" t="n">
        <f aca="false">IF(A446="","",A446+7-WEEKDAY(A446))</f>
        <v>46228</v>
      </c>
      <c r="H446" s="36" t="n">
        <f aca="false">IF(A446="","",DATE(YEAR(A446),MONTH(A446),1))</f>
        <v>46204</v>
      </c>
      <c r="I446" s="37" t="str">
        <f aca="false">IF(B446="","",IFERROR(INDEX(st_ID,MATCH(B446,st_Name,0)),"Unknown"))</f>
        <v>QP-07</v>
      </c>
      <c r="J446" s="37" t="str">
        <f aca="false">IF(C446="","",IFERROR(INDEX(cl_Code,MATCH(C446,cl_Name,0)),"Unknown"))</f>
        <v/>
      </c>
      <c r="K446" s="37" t="str">
        <f aca="false">IF(D446="","",IFERROR(INDEX(rt_Billable,MATCH(D446,rt_Code,0)),"Unknown"))</f>
        <v>No</v>
      </c>
      <c r="L446" s="38" t="str">
        <f aca="false">IF(K446&lt;&gt;"Yes","",IFERROR(INDEX(cr_Rate,MATCH(J446&amp;"|"&amp;D446,cr_Key,0)),INDEX(rt_Rate,MATCH(D446,rt_Code,0))))</f>
        <v/>
      </c>
      <c r="M446" s="25" t="str">
        <f aca="false">IF(L446="","",ROUND(N(E446)*L446,2))</f>
        <v/>
      </c>
      <c r="N446" s="39" t="n">
        <f aca="false">IF(OR(A446="",B446=""),"",SUMIFS(tl_Hours,tl_StaffID,I446,tl_Date,A446))</f>
        <v>8</v>
      </c>
      <c r="O446" s="40" t="str">
        <f aca="false">IF(A446&amp;B446&amp;D446="","",IF(OR(A446="",B446="",D446="",E446=""),"Incomplete",IF(K446="Unknown","Unknown code",IF(AND(K446="Yes",C446=""),"Billable, needs client",IF(N446&gt;MaxDayHours,"Over "&amp;MaxDayHours&amp;" hours that day","")))))</f>
        <v/>
      </c>
    </row>
    <row r="447" customFormat="false" ht="15" hidden="false" customHeight="false" outlineLevel="0" collapsed="false">
      <c r="A447" s="31" t="n">
        <v>46227</v>
      </c>
      <c r="B447" s="32" t="s">
        <v>107</v>
      </c>
      <c r="C447" s="32"/>
      <c r="D447" s="33" t="s">
        <v>108</v>
      </c>
      <c r="E447" s="34" t="n">
        <v>6.5</v>
      </c>
      <c r="F447" s="32"/>
      <c r="G447" s="35" t="n">
        <f aca="false">IF(A447="","",A447+7-WEEKDAY(A447))</f>
        <v>46228</v>
      </c>
      <c r="H447" s="36" t="n">
        <f aca="false">IF(A447="","",DATE(YEAR(A447),MONTH(A447),1))</f>
        <v>46204</v>
      </c>
      <c r="I447" s="37" t="str">
        <f aca="false">IF(B447="","",IFERROR(INDEX(st_ID,MATCH(B447,st_Name,0)),"Unknown"))</f>
        <v>QP-08</v>
      </c>
      <c r="J447" s="37" t="str">
        <f aca="false">IF(C447="","",IFERROR(INDEX(cl_Code,MATCH(C447,cl_Name,0)),"Unknown"))</f>
        <v/>
      </c>
      <c r="K447" s="37" t="str">
        <f aca="false">IF(D447="","",IFERROR(INDEX(rt_Billable,MATCH(D447,rt_Code,0)),"Unknown"))</f>
        <v>No</v>
      </c>
      <c r="L447" s="38" t="str">
        <f aca="false">IF(K447&lt;&gt;"Yes","",IFERROR(INDEX(cr_Rate,MATCH(J447&amp;"|"&amp;D447,cr_Key,0)),INDEX(rt_Rate,MATCH(D447,rt_Code,0))))</f>
        <v/>
      </c>
      <c r="M447" s="25" t="str">
        <f aca="false">IF(L447="","",ROUND(N(E447)*L447,2))</f>
        <v/>
      </c>
      <c r="N447" s="39" t="n">
        <f aca="false">IF(OR(A447="",B447=""),"",SUMIFS(tl_Hours,tl_StaffID,I447,tl_Date,A447))</f>
        <v>8</v>
      </c>
      <c r="O447" s="40" t="str">
        <f aca="false">IF(A447&amp;B447&amp;D447="","",IF(OR(A447="",B447="",D447="",E447=""),"Incomplete",IF(K447="Unknown","Unknown code",IF(AND(K447="Yes",C447=""),"Billable, needs client",IF(N447&gt;MaxDayHours,"Over "&amp;MaxDayHours&amp;" hours that day","")))))</f>
        <v/>
      </c>
    </row>
    <row r="448" customFormat="false" ht="15" hidden="false" customHeight="false" outlineLevel="0" collapsed="false">
      <c r="A448" s="31" t="n">
        <v>46227</v>
      </c>
      <c r="B448" s="32" t="s">
        <v>107</v>
      </c>
      <c r="C448" s="32"/>
      <c r="D448" s="33" t="s">
        <v>98</v>
      </c>
      <c r="E448" s="34" t="n">
        <v>1.5</v>
      </c>
      <c r="F448" s="32"/>
      <c r="G448" s="35" t="n">
        <f aca="false">IF(A448="","",A448+7-WEEKDAY(A448))</f>
        <v>46228</v>
      </c>
      <c r="H448" s="36" t="n">
        <f aca="false">IF(A448="","",DATE(YEAR(A448),MONTH(A448),1))</f>
        <v>46204</v>
      </c>
      <c r="I448" s="37" t="str">
        <f aca="false">IF(B448="","",IFERROR(INDEX(st_ID,MATCH(B448,st_Name,0)),"Unknown"))</f>
        <v>QP-08</v>
      </c>
      <c r="J448" s="37" t="str">
        <f aca="false">IF(C448="","",IFERROR(INDEX(cl_Code,MATCH(C448,cl_Name,0)),"Unknown"))</f>
        <v/>
      </c>
      <c r="K448" s="37" t="str">
        <f aca="false">IF(D448="","",IFERROR(INDEX(rt_Billable,MATCH(D448,rt_Code,0)),"Unknown"))</f>
        <v>No</v>
      </c>
      <c r="L448" s="38" t="str">
        <f aca="false">IF(K448&lt;&gt;"Yes","",IFERROR(INDEX(cr_Rate,MATCH(J448&amp;"|"&amp;D448,cr_Key,0)),INDEX(rt_Rate,MATCH(D448,rt_Code,0))))</f>
        <v/>
      </c>
      <c r="M448" s="25" t="str">
        <f aca="false">IF(L448="","",ROUND(N(E448)*L448,2))</f>
        <v/>
      </c>
      <c r="N448" s="39" t="n">
        <f aca="false">IF(OR(A448="",B448=""),"",SUMIFS(tl_Hours,tl_StaffID,I448,tl_Date,A448))</f>
        <v>8</v>
      </c>
      <c r="O448" s="40" t="str">
        <f aca="false">IF(A448&amp;B448&amp;D448="","",IF(OR(A448="",B448="",D448="",E448=""),"Incomplete",IF(K448="Unknown","Unknown code",IF(AND(K448="Yes",C448=""),"Billable, needs client",IF(N448&gt;MaxDayHours,"Over "&amp;MaxDayHours&amp;" hours that day","")))))</f>
        <v/>
      </c>
    </row>
    <row r="449" customFormat="false" ht="15" hidden="false" customHeight="false" outlineLevel="0" collapsed="false">
      <c r="A449" s="31" t="n">
        <v>46230</v>
      </c>
      <c r="B449" s="32" t="s">
        <v>86</v>
      </c>
      <c r="C449" s="32" t="s">
        <v>90</v>
      </c>
      <c r="D449" s="33" t="s">
        <v>91</v>
      </c>
      <c r="E449" s="34" t="n">
        <v>3</v>
      </c>
      <c r="F449" s="32"/>
      <c r="G449" s="35" t="n">
        <f aca="false">IF(A449="","",A449+7-WEEKDAY(A449))</f>
        <v>46235</v>
      </c>
      <c r="H449" s="36" t="n">
        <f aca="false">IF(A449="","",DATE(YEAR(A449),MONTH(A449),1))</f>
        <v>46204</v>
      </c>
      <c r="I449" s="37" t="str">
        <f aca="false">IF(B449="","",IFERROR(INDEX(st_ID,MATCH(B449,st_Name,0)),"Unknown"))</f>
        <v>QP-01</v>
      </c>
      <c r="J449" s="37" t="str">
        <f aca="false">IF(C449="","",IFERROR(INDEX(cl_Code,MATCH(C449,cl_Name,0)),"Unknown"))</f>
        <v>BSE</v>
      </c>
      <c r="K449" s="37" t="str">
        <f aca="false">IF(D449="","",IFERROR(INDEX(rt_Billable,MATCH(D449,rt_Code,0)),"Unknown"))</f>
        <v>Yes</v>
      </c>
      <c r="L449" s="38" t="n">
        <f aca="false">IF(K449&lt;&gt;"Yes","",IFERROR(INDEX(cr_Rate,MATCH(J449&amp;"|"&amp;D449,cr_Key,0)),INDEX(rt_Rate,MATCH(D449,rt_Code,0))))</f>
        <v>100</v>
      </c>
      <c r="M449" s="25" t="n">
        <f aca="false">IF(L449="","",ROUND(N(E449)*L449,2))</f>
        <v>300</v>
      </c>
      <c r="N449" s="39" t="n">
        <f aca="false">IF(OR(A449="",B449=""),"",SUMIFS(tl_Hours,tl_StaffID,I449,tl_Date,A449))</f>
        <v>8</v>
      </c>
      <c r="O449" s="40" t="str">
        <f aca="false">IF(A449&amp;B449&amp;D449="","",IF(OR(A449="",B449="",D449="",E449=""),"Incomplete",IF(K449="Unknown","Unknown code",IF(AND(K449="Yes",C449=""),"Billable, needs client",IF(N449&gt;MaxDayHours,"Over "&amp;MaxDayHours&amp;" hours that day","")))))</f>
        <v/>
      </c>
    </row>
    <row r="450" customFormat="false" ht="15" hidden="false" customHeight="false" outlineLevel="0" collapsed="false">
      <c r="A450" s="31" t="n">
        <v>46230</v>
      </c>
      <c r="B450" s="32" t="s">
        <v>86</v>
      </c>
      <c r="C450" s="32" t="s">
        <v>90</v>
      </c>
      <c r="D450" s="33" t="s">
        <v>104</v>
      </c>
      <c r="E450" s="34" t="n">
        <v>2</v>
      </c>
      <c r="F450" s="32"/>
      <c r="G450" s="35" t="n">
        <f aca="false">IF(A450="","",A450+7-WEEKDAY(A450))</f>
        <v>46235</v>
      </c>
      <c r="H450" s="36" t="n">
        <f aca="false">IF(A450="","",DATE(YEAR(A450),MONTH(A450),1))</f>
        <v>46204</v>
      </c>
      <c r="I450" s="37" t="str">
        <f aca="false">IF(B450="","",IFERROR(INDEX(st_ID,MATCH(B450,st_Name,0)),"Unknown"))</f>
        <v>QP-01</v>
      </c>
      <c r="J450" s="37" t="str">
        <f aca="false">IF(C450="","",IFERROR(INDEX(cl_Code,MATCH(C450,cl_Name,0)),"Unknown"))</f>
        <v>BSE</v>
      </c>
      <c r="K450" s="37" t="str">
        <f aca="false">IF(D450="","",IFERROR(INDEX(rt_Billable,MATCH(D450,rt_Code,0)),"Unknown"))</f>
        <v>Yes</v>
      </c>
      <c r="L450" s="38" t="n">
        <f aca="false">IF(K450&lt;&gt;"Yes","",IFERROR(INDEX(cr_Rate,MATCH(J450&amp;"|"&amp;D450,cr_Key,0)),INDEX(rt_Rate,MATCH(D450,rt_Code,0))))</f>
        <v>70</v>
      </c>
      <c r="M450" s="25" t="n">
        <f aca="false">IF(L450="","",ROUND(N(E450)*L450,2))</f>
        <v>140</v>
      </c>
      <c r="N450" s="39" t="n">
        <f aca="false">IF(OR(A450="",B450=""),"",SUMIFS(tl_Hours,tl_StaffID,I450,tl_Date,A450))</f>
        <v>8</v>
      </c>
      <c r="O450" s="40" t="str">
        <f aca="false">IF(A450&amp;B450&amp;D450="","",IF(OR(A450="",B450="",D450="",E450=""),"Incomplete",IF(K450="Unknown","Unknown code",IF(AND(K450="Yes",C450=""),"Billable, needs client",IF(N450&gt;MaxDayHours,"Over "&amp;MaxDayHours&amp;" hours that day","")))))</f>
        <v/>
      </c>
    </row>
    <row r="451" customFormat="false" ht="15" hidden="false" customHeight="false" outlineLevel="0" collapsed="false">
      <c r="A451" s="31" t="n">
        <v>46230</v>
      </c>
      <c r="B451" s="32" t="s">
        <v>86</v>
      </c>
      <c r="C451" s="32"/>
      <c r="D451" s="33" t="s">
        <v>96</v>
      </c>
      <c r="E451" s="34" t="n">
        <v>3</v>
      </c>
      <c r="F451" s="32"/>
      <c r="G451" s="35" t="n">
        <f aca="false">IF(A451="","",A451+7-WEEKDAY(A451))</f>
        <v>46235</v>
      </c>
      <c r="H451" s="36" t="n">
        <f aca="false">IF(A451="","",DATE(YEAR(A451),MONTH(A451),1))</f>
        <v>46204</v>
      </c>
      <c r="I451" s="37" t="str">
        <f aca="false">IF(B451="","",IFERROR(INDEX(st_ID,MATCH(B451,st_Name,0)),"Unknown"))</f>
        <v>QP-01</v>
      </c>
      <c r="J451" s="37" t="str">
        <f aca="false">IF(C451="","",IFERROR(INDEX(cl_Code,MATCH(C451,cl_Name,0)),"Unknown"))</f>
        <v/>
      </c>
      <c r="K451" s="37" t="str">
        <f aca="false">IF(D451="","",IFERROR(INDEX(rt_Billable,MATCH(D451,rt_Code,0)),"Unknown"))</f>
        <v>No</v>
      </c>
      <c r="L451" s="38" t="str">
        <f aca="false">IF(K451&lt;&gt;"Yes","",IFERROR(INDEX(cr_Rate,MATCH(J451&amp;"|"&amp;D451,cr_Key,0)),INDEX(rt_Rate,MATCH(D451,rt_Code,0))))</f>
        <v/>
      </c>
      <c r="M451" s="25" t="str">
        <f aca="false">IF(L451="","",ROUND(N(E451)*L451,2))</f>
        <v/>
      </c>
      <c r="N451" s="39" t="n">
        <f aca="false">IF(OR(A451="",B451=""),"",SUMIFS(tl_Hours,tl_StaffID,I451,tl_Date,A451))</f>
        <v>8</v>
      </c>
      <c r="O451" s="40" t="str">
        <f aca="false">IF(A451&amp;B451&amp;D451="","",IF(OR(A451="",B451="",D451="",E451=""),"Incomplete",IF(K451="Unknown","Unknown code",IF(AND(K451="Yes",C451=""),"Billable, needs client",IF(N451&gt;MaxDayHours,"Over "&amp;MaxDayHours&amp;" hours that day","")))))</f>
        <v/>
      </c>
    </row>
    <row r="452" customFormat="false" ht="15" hidden="false" customHeight="false" outlineLevel="0" collapsed="false">
      <c r="A452" s="31" t="n">
        <v>46230</v>
      </c>
      <c r="B452" s="32" t="s">
        <v>97</v>
      </c>
      <c r="C452" s="32" t="s">
        <v>90</v>
      </c>
      <c r="D452" s="33" t="s">
        <v>91</v>
      </c>
      <c r="E452" s="34" t="n">
        <v>3</v>
      </c>
      <c r="F452" s="32"/>
      <c r="G452" s="35" t="n">
        <f aca="false">IF(A452="","",A452+7-WEEKDAY(A452))</f>
        <v>46235</v>
      </c>
      <c r="H452" s="36" t="n">
        <f aca="false">IF(A452="","",DATE(YEAR(A452),MONTH(A452),1))</f>
        <v>46204</v>
      </c>
      <c r="I452" s="37" t="str">
        <f aca="false">IF(B452="","",IFERROR(INDEX(st_ID,MATCH(B452,st_Name,0)),"Unknown"))</f>
        <v>QP-02</v>
      </c>
      <c r="J452" s="37" t="str">
        <f aca="false">IF(C452="","",IFERROR(INDEX(cl_Code,MATCH(C452,cl_Name,0)),"Unknown"))</f>
        <v>BSE</v>
      </c>
      <c r="K452" s="37" t="str">
        <f aca="false">IF(D452="","",IFERROR(INDEX(rt_Billable,MATCH(D452,rt_Code,0)),"Unknown"))</f>
        <v>Yes</v>
      </c>
      <c r="L452" s="38" t="n">
        <f aca="false">IF(K452&lt;&gt;"Yes","",IFERROR(INDEX(cr_Rate,MATCH(J452&amp;"|"&amp;D452,cr_Key,0)),INDEX(rt_Rate,MATCH(D452,rt_Code,0))))</f>
        <v>100</v>
      </c>
      <c r="M452" s="25" t="n">
        <f aca="false">IF(L452="","",ROUND(N(E452)*L452,2))</f>
        <v>300</v>
      </c>
      <c r="N452" s="39" t="n">
        <f aca="false">IF(OR(A452="",B452=""),"",SUMIFS(tl_Hours,tl_StaffID,I452,tl_Date,A452))</f>
        <v>8</v>
      </c>
      <c r="O452" s="40" t="str">
        <f aca="false">IF(A452&amp;B452&amp;D452="","",IF(OR(A452="",B452="",D452="",E452=""),"Incomplete",IF(K452="Unknown","Unknown code",IF(AND(K452="Yes",C452=""),"Billable, needs client",IF(N452&gt;MaxDayHours,"Over "&amp;MaxDayHours&amp;" hours that day","")))))</f>
        <v/>
      </c>
    </row>
    <row r="453" customFormat="false" ht="15" hidden="false" customHeight="false" outlineLevel="0" collapsed="false">
      <c r="A453" s="31" t="n">
        <v>46230</v>
      </c>
      <c r="B453" s="32" t="s">
        <v>97</v>
      </c>
      <c r="C453" s="32" t="s">
        <v>90</v>
      </c>
      <c r="D453" s="33" t="s">
        <v>92</v>
      </c>
      <c r="E453" s="34" t="n">
        <v>1.5</v>
      </c>
      <c r="F453" s="32"/>
      <c r="G453" s="35" t="n">
        <f aca="false">IF(A453="","",A453+7-WEEKDAY(A453))</f>
        <v>46235</v>
      </c>
      <c r="H453" s="36" t="n">
        <f aca="false">IF(A453="","",DATE(YEAR(A453),MONTH(A453),1))</f>
        <v>46204</v>
      </c>
      <c r="I453" s="37" t="str">
        <f aca="false">IF(B453="","",IFERROR(INDEX(st_ID,MATCH(B453,st_Name,0)),"Unknown"))</f>
        <v>QP-02</v>
      </c>
      <c r="J453" s="37" t="str">
        <f aca="false">IF(C453="","",IFERROR(INDEX(cl_Code,MATCH(C453,cl_Name,0)),"Unknown"))</f>
        <v>BSE</v>
      </c>
      <c r="K453" s="37" t="str">
        <f aca="false">IF(D453="","",IFERROR(INDEX(rt_Billable,MATCH(D453,rt_Code,0)),"Unknown"))</f>
        <v>Yes</v>
      </c>
      <c r="L453" s="38" t="n">
        <f aca="false">IF(K453&lt;&gt;"Yes","",IFERROR(INDEX(cr_Rate,MATCH(J453&amp;"|"&amp;D453,cr_Key,0)),INDEX(rt_Rate,MATCH(D453,rt_Code,0))))</f>
        <v>145</v>
      </c>
      <c r="M453" s="25" t="n">
        <f aca="false">IF(L453="","",ROUND(N(E453)*L453,2))</f>
        <v>217.5</v>
      </c>
      <c r="N453" s="39" t="n">
        <f aca="false">IF(OR(A453="",B453=""),"",SUMIFS(tl_Hours,tl_StaffID,I453,tl_Date,A453))</f>
        <v>8</v>
      </c>
      <c r="O453" s="40" t="str">
        <f aca="false">IF(A453&amp;B453&amp;D453="","",IF(OR(A453="",B453="",D453="",E453=""),"Incomplete",IF(K453="Unknown","Unknown code",IF(AND(K453="Yes",C453=""),"Billable, needs client",IF(N453&gt;MaxDayHours,"Over "&amp;MaxDayHours&amp;" hours that day","")))))</f>
        <v/>
      </c>
    </row>
    <row r="454" customFormat="false" ht="15" hidden="false" customHeight="false" outlineLevel="0" collapsed="false">
      <c r="A454" s="31" t="n">
        <v>46230</v>
      </c>
      <c r="B454" s="32" t="s">
        <v>97</v>
      </c>
      <c r="C454" s="32"/>
      <c r="D454" s="33" t="s">
        <v>96</v>
      </c>
      <c r="E454" s="34" t="n">
        <v>3.5</v>
      </c>
      <c r="F454" s="32"/>
      <c r="G454" s="35" t="n">
        <f aca="false">IF(A454="","",A454+7-WEEKDAY(A454))</f>
        <v>46235</v>
      </c>
      <c r="H454" s="36" t="n">
        <f aca="false">IF(A454="","",DATE(YEAR(A454),MONTH(A454),1))</f>
        <v>46204</v>
      </c>
      <c r="I454" s="37" t="str">
        <f aca="false">IF(B454="","",IFERROR(INDEX(st_ID,MATCH(B454,st_Name,0)),"Unknown"))</f>
        <v>QP-02</v>
      </c>
      <c r="J454" s="37" t="str">
        <f aca="false">IF(C454="","",IFERROR(INDEX(cl_Code,MATCH(C454,cl_Name,0)),"Unknown"))</f>
        <v/>
      </c>
      <c r="K454" s="37" t="str">
        <f aca="false">IF(D454="","",IFERROR(INDEX(rt_Billable,MATCH(D454,rt_Code,0)),"Unknown"))</f>
        <v>No</v>
      </c>
      <c r="L454" s="38" t="str">
        <f aca="false">IF(K454&lt;&gt;"Yes","",IFERROR(INDEX(cr_Rate,MATCH(J454&amp;"|"&amp;D454,cr_Key,0)),INDEX(rt_Rate,MATCH(D454,rt_Code,0))))</f>
        <v/>
      </c>
      <c r="M454" s="25" t="str">
        <f aca="false">IF(L454="","",ROUND(N(E454)*L454,2))</f>
        <v/>
      </c>
      <c r="N454" s="39" t="n">
        <f aca="false">IF(OR(A454="",B454=""),"",SUMIFS(tl_Hours,tl_StaffID,I454,tl_Date,A454))</f>
        <v>8</v>
      </c>
      <c r="O454" s="40" t="str">
        <f aca="false">IF(A454&amp;B454&amp;D454="","",IF(OR(A454="",B454="",D454="",E454=""),"Incomplete",IF(K454="Unknown","Unknown code",IF(AND(K454="Yes",C454=""),"Billable, needs client",IF(N454&gt;MaxDayHours,"Over "&amp;MaxDayHours&amp;" hours that day","")))))</f>
        <v/>
      </c>
    </row>
    <row r="455" customFormat="false" ht="15" hidden="false" customHeight="false" outlineLevel="0" collapsed="false">
      <c r="A455" s="31" t="n">
        <v>46230</v>
      </c>
      <c r="B455" s="32" t="s">
        <v>101</v>
      </c>
      <c r="C455" s="32" t="s">
        <v>102</v>
      </c>
      <c r="D455" s="33" t="s">
        <v>104</v>
      </c>
      <c r="E455" s="34" t="n">
        <v>3.75</v>
      </c>
      <c r="F455" s="32"/>
      <c r="G455" s="35" t="n">
        <f aca="false">IF(A455="","",A455+7-WEEKDAY(A455))</f>
        <v>46235</v>
      </c>
      <c r="H455" s="36" t="n">
        <f aca="false">IF(A455="","",DATE(YEAR(A455),MONTH(A455),1))</f>
        <v>46204</v>
      </c>
      <c r="I455" s="37" t="str">
        <f aca="false">IF(B455="","",IFERROR(INDEX(st_ID,MATCH(B455,st_Name,0)),"Unknown"))</f>
        <v>QP-04</v>
      </c>
      <c r="J455" s="37" t="str">
        <f aca="false">IF(C455="","",IFERROR(INDEX(cl_Code,MATCH(C455,cl_Name,0)),"Unknown"))</f>
        <v>CLH</v>
      </c>
      <c r="K455" s="37" t="str">
        <f aca="false">IF(D455="","",IFERROR(INDEX(rt_Billable,MATCH(D455,rt_Code,0)),"Unknown"))</f>
        <v>Yes</v>
      </c>
      <c r="L455" s="38" t="n">
        <f aca="false">IF(K455&lt;&gt;"Yes","",IFERROR(INDEX(cr_Rate,MATCH(J455&amp;"|"&amp;D455,cr_Key,0)),INDEX(rt_Rate,MATCH(D455,rt_Code,0))))</f>
        <v>65</v>
      </c>
      <c r="M455" s="25" t="n">
        <f aca="false">IF(L455="","",ROUND(N(E455)*L455,2))</f>
        <v>243.75</v>
      </c>
      <c r="N455" s="39" t="n">
        <f aca="false">IF(OR(A455="",B455=""),"",SUMIFS(tl_Hours,tl_StaffID,I455,tl_Date,A455))</f>
        <v>8</v>
      </c>
      <c r="O455" s="40" t="str">
        <f aca="false">IF(A455&amp;B455&amp;D455="","",IF(OR(A455="",B455="",D455="",E455=""),"Incomplete",IF(K455="Unknown","Unknown code",IF(AND(K455="Yes",C455=""),"Billable, needs client",IF(N455&gt;MaxDayHours,"Over "&amp;MaxDayHours&amp;" hours that day","")))))</f>
        <v/>
      </c>
    </row>
    <row r="456" customFormat="false" ht="15" hidden="false" customHeight="false" outlineLevel="0" collapsed="false">
      <c r="A456" s="31" t="n">
        <v>46230</v>
      </c>
      <c r="B456" s="32" t="s">
        <v>101</v>
      </c>
      <c r="C456" s="32" t="s">
        <v>102</v>
      </c>
      <c r="D456" s="33" t="s">
        <v>88</v>
      </c>
      <c r="E456" s="34" t="n">
        <v>1</v>
      </c>
      <c r="F456" s="32"/>
      <c r="G456" s="35" t="n">
        <f aca="false">IF(A456="","",A456+7-WEEKDAY(A456))</f>
        <v>46235</v>
      </c>
      <c r="H456" s="36" t="n">
        <f aca="false">IF(A456="","",DATE(YEAR(A456),MONTH(A456),1))</f>
        <v>46204</v>
      </c>
      <c r="I456" s="37" t="str">
        <f aca="false">IF(B456="","",IFERROR(INDEX(st_ID,MATCH(B456,st_Name,0)),"Unknown"))</f>
        <v>QP-04</v>
      </c>
      <c r="J456" s="37" t="str">
        <f aca="false">IF(C456="","",IFERROR(INDEX(cl_Code,MATCH(C456,cl_Name,0)),"Unknown"))</f>
        <v>CLH</v>
      </c>
      <c r="K456" s="37" t="str">
        <f aca="false">IF(D456="","",IFERROR(INDEX(rt_Billable,MATCH(D456,rt_Code,0)),"Unknown"))</f>
        <v>Yes</v>
      </c>
      <c r="L456" s="38" t="n">
        <f aca="false">IF(K456&lt;&gt;"Yes","",IFERROR(INDEX(cr_Rate,MATCH(J456&amp;"|"&amp;D456,cr_Key,0)),INDEX(rt_Rate,MATCH(D456,rt_Code,0))))</f>
        <v>110</v>
      </c>
      <c r="M456" s="25" t="n">
        <f aca="false">IF(L456="","",ROUND(N(E456)*L456,2))</f>
        <v>110</v>
      </c>
      <c r="N456" s="39" t="n">
        <f aca="false">IF(OR(A456="",B456=""),"",SUMIFS(tl_Hours,tl_StaffID,I456,tl_Date,A456))</f>
        <v>8</v>
      </c>
      <c r="O456" s="40" t="str">
        <f aca="false">IF(A456&amp;B456&amp;D456="","",IF(OR(A456="",B456="",D456="",E456=""),"Incomplete",IF(K456="Unknown","Unknown code",IF(AND(K456="Yes",C456=""),"Billable, needs client",IF(N456&gt;MaxDayHours,"Over "&amp;MaxDayHours&amp;" hours that day","")))))</f>
        <v/>
      </c>
    </row>
    <row r="457" customFormat="false" ht="15" hidden="false" customHeight="false" outlineLevel="0" collapsed="false">
      <c r="A457" s="31" t="n">
        <v>46230</v>
      </c>
      <c r="B457" s="32" t="s">
        <v>101</v>
      </c>
      <c r="C457" s="32"/>
      <c r="D457" s="33" t="s">
        <v>96</v>
      </c>
      <c r="E457" s="34" t="n">
        <v>3.25</v>
      </c>
      <c r="F457" s="32"/>
      <c r="G457" s="35" t="n">
        <f aca="false">IF(A457="","",A457+7-WEEKDAY(A457))</f>
        <v>46235</v>
      </c>
      <c r="H457" s="36" t="n">
        <f aca="false">IF(A457="","",DATE(YEAR(A457),MONTH(A457),1))</f>
        <v>46204</v>
      </c>
      <c r="I457" s="37" t="str">
        <f aca="false">IF(B457="","",IFERROR(INDEX(st_ID,MATCH(B457,st_Name,0)),"Unknown"))</f>
        <v>QP-04</v>
      </c>
      <c r="J457" s="37" t="str">
        <f aca="false">IF(C457="","",IFERROR(INDEX(cl_Code,MATCH(C457,cl_Name,0)),"Unknown"))</f>
        <v/>
      </c>
      <c r="K457" s="37" t="str">
        <f aca="false">IF(D457="","",IFERROR(INDEX(rt_Billable,MATCH(D457,rt_Code,0)),"Unknown"))</f>
        <v>No</v>
      </c>
      <c r="L457" s="38" t="str">
        <f aca="false">IF(K457&lt;&gt;"Yes","",IFERROR(INDEX(cr_Rate,MATCH(J457&amp;"|"&amp;D457,cr_Key,0)),INDEX(rt_Rate,MATCH(D457,rt_Code,0))))</f>
        <v/>
      </c>
      <c r="M457" s="25" t="str">
        <f aca="false">IF(L457="","",ROUND(N(E457)*L457,2))</f>
        <v/>
      </c>
      <c r="N457" s="39" t="n">
        <f aca="false">IF(OR(A457="",B457=""),"",SUMIFS(tl_Hours,tl_StaffID,I457,tl_Date,A457))</f>
        <v>8</v>
      </c>
      <c r="O457" s="40" t="str">
        <f aca="false">IF(A457&amp;B457&amp;D457="","",IF(OR(A457="",B457="",D457="",E457=""),"Incomplete",IF(K457="Unknown","Unknown code",IF(AND(K457="Yes",C457=""),"Billable, needs client",IF(N457&gt;MaxDayHours,"Over "&amp;MaxDayHours&amp;" hours that day","")))))</f>
        <v/>
      </c>
    </row>
    <row r="458" customFormat="false" ht="15" hidden="false" customHeight="false" outlineLevel="0" collapsed="false">
      <c r="A458" s="31" t="n">
        <v>46230</v>
      </c>
      <c r="B458" s="32" t="s">
        <v>103</v>
      </c>
      <c r="C458" s="32" t="s">
        <v>90</v>
      </c>
      <c r="D458" s="33" t="s">
        <v>88</v>
      </c>
      <c r="E458" s="34" t="n">
        <v>2.25</v>
      </c>
      <c r="F458" s="32"/>
      <c r="G458" s="35" t="n">
        <f aca="false">IF(A458="","",A458+7-WEEKDAY(A458))</f>
        <v>46235</v>
      </c>
      <c r="H458" s="36" t="n">
        <f aca="false">IF(A458="","",DATE(YEAR(A458),MONTH(A458),1))</f>
        <v>46204</v>
      </c>
      <c r="I458" s="37" t="str">
        <f aca="false">IF(B458="","",IFERROR(INDEX(st_ID,MATCH(B458,st_Name,0)),"Unknown"))</f>
        <v>QP-05</v>
      </c>
      <c r="J458" s="37" t="str">
        <f aca="false">IF(C458="","",IFERROR(INDEX(cl_Code,MATCH(C458,cl_Name,0)),"Unknown"))</f>
        <v>BSE</v>
      </c>
      <c r="K458" s="37" t="str">
        <f aca="false">IF(D458="","",IFERROR(INDEX(rt_Billable,MATCH(D458,rt_Code,0)),"Unknown"))</f>
        <v>Yes</v>
      </c>
      <c r="L458" s="38" t="n">
        <f aca="false">IF(K458&lt;&gt;"Yes","",IFERROR(INDEX(cr_Rate,MATCH(J458&amp;"|"&amp;D458,cr_Key,0)),INDEX(rt_Rate,MATCH(D458,rt_Code,0))))</f>
        <v>104</v>
      </c>
      <c r="M458" s="25" t="n">
        <f aca="false">IF(L458="","",ROUND(N(E458)*L458,2))</f>
        <v>234</v>
      </c>
      <c r="N458" s="39" t="n">
        <f aca="false">IF(OR(A458="",B458=""),"",SUMIFS(tl_Hours,tl_StaffID,I458,tl_Date,A458))</f>
        <v>8</v>
      </c>
      <c r="O458" s="40" t="str">
        <f aca="false">IF(A458&amp;B458&amp;D458="","",IF(OR(A458="",B458="",D458="",E458=""),"Incomplete",IF(K458="Unknown","Unknown code",IF(AND(K458="Yes",C458=""),"Billable, needs client",IF(N458&gt;MaxDayHours,"Over "&amp;MaxDayHours&amp;" hours that day","")))))</f>
        <v/>
      </c>
    </row>
    <row r="459" customFormat="false" ht="15" hidden="false" customHeight="false" outlineLevel="0" collapsed="false">
      <c r="A459" s="31" t="n">
        <v>46230</v>
      </c>
      <c r="B459" s="32" t="s">
        <v>103</v>
      </c>
      <c r="C459" s="32" t="s">
        <v>90</v>
      </c>
      <c r="D459" s="33" t="s">
        <v>89</v>
      </c>
      <c r="E459" s="34" t="n">
        <v>2</v>
      </c>
      <c r="F459" s="32"/>
      <c r="G459" s="35" t="n">
        <f aca="false">IF(A459="","",A459+7-WEEKDAY(A459))</f>
        <v>46235</v>
      </c>
      <c r="H459" s="36" t="n">
        <f aca="false">IF(A459="","",DATE(YEAR(A459),MONTH(A459),1))</f>
        <v>46204</v>
      </c>
      <c r="I459" s="37" t="str">
        <f aca="false">IF(B459="","",IFERROR(INDEX(st_ID,MATCH(B459,st_Name,0)),"Unknown"))</f>
        <v>QP-05</v>
      </c>
      <c r="J459" s="37" t="str">
        <f aca="false">IF(C459="","",IFERROR(INDEX(cl_Code,MATCH(C459,cl_Name,0)),"Unknown"))</f>
        <v>BSE</v>
      </c>
      <c r="K459" s="37" t="str">
        <f aca="false">IF(D459="","",IFERROR(INDEX(rt_Billable,MATCH(D459,rt_Code,0)),"Unknown"))</f>
        <v>Yes</v>
      </c>
      <c r="L459" s="38" t="n">
        <f aca="false">IF(K459&lt;&gt;"Yes","",IFERROR(INDEX(cr_Rate,MATCH(J459&amp;"|"&amp;D459,cr_Key,0)),INDEX(rt_Rate,MATCH(D459,rt_Code,0))))</f>
        <v>95</v>
      </c>
      <c r="M459" s="25" t="n">
        <f aca="false">IF(L459="","",ROUND(N(E459)*L459,2))</f>
        <v>190</v>
      </c>
      <c r="N459" s="39" t="n">
        <f aca="false">IF(OR(A459="",B459=""),"",SUMIFS(tl_Hours,tl_StaffID,I459,tl_Date,A459))</f>
        <v>8</v>
      </c>
      <c r="O459" s="40" t="str">
        <f aca="false">IF(A459&amp;B459&amp;D459="","",IF(OR(A459="",B459="",D459="",E459=""),"Incomplete",IF(K459="Unknown","Unknown code",IF(AND(K459="Yes",C459=""),"Billable, needs client",IF(N459&gt;MaxDayHours,"Over "&amp;MaxDayHours&amp;" hours that day","")))))</f>
        <v/>
      </c>
    </row>
    <row r="460" customFormat="false" ht="15" hidden="false" customHeight="false" outlineLevel="0" collapsed="false">
      <c r="A460" s="31" t="n">
        <v>46230</v>
      </c>
      <c r="B460" s="32" t="s">
        <v>103</v>
      </c>
      <c r="C460" s="32"/>
      <c r="D460" s="33" t="s">
        <v>96</v>
      </c>
      <c r="E460" s="34" t="n">
        <v>3.75</v>
      </c>
      <c r="F460" s="32"/>
      <c r="G460" s="35" t="n">
        <f aca="false">IF(A460="","",A460+7-WEEKDAY(A460))</f>
        <v>46235</v>
      </c>
      <c r="H460" s="36" t="n">
        <f aca="false">IF(A460="","",DATE(YEAR(A460),MONTH(A460),1))</f>
        <v>46204</v>
      </c>
      <c r="I460" s="37" t="str">
        <f aca="false">IF(B460="","",IFERROR(INDEX(st_ID,MATCH(B460,st_Name,0)),"Unknown"))</f>
        <v>QP-05</v>
      </c>
      <c r="J460" s="37" t="str">
        <f aca="false">IF(C460="","",IFERROR(INDEX(cl_Code,MATCH(C460,cl_Name,0)),"Unknown"))</f>
        <v/>
      </c>
      <c r="K460" s="37" t="str">
        <f aca="false">IF(D460="","",IFERROR(INDEX(rt_Billable,MATCH(D460,rt_Code,0)),"Unknown"))</f>
        <v>No</v>
      </c>
      <c r="L460" s="38" t="str">
        <f aca="false">IF(K460&lt;&gt;"Yes","",IFERROR(INDEX(cr_Rate,MATCH(J460&amp;"|"&amp;D460,cr_Key,0)),INDEX(rt_Rate,MATCH(D460,rt_Code,0))))</f>
        <v/>
      </c>
      <c r="M460" s="25" t="str">
        <f aca="false">IF(L460="","",ROUND(N(E460)*L460,2))</f>
        <v/>
      </c>
      <c r="N460" s="39" t="n">
        <f aca="false">IF(OR(A460="",B460=""),"",SUMIFS(tl_Hours,tl_StaffID,I460,tl_Date,A460))</f>
        <v>8</v>
      </c>
      <c r="O460" s="40" t="str">
        <f aca="false">IF(A460&amp;B460&amp;D460="","",IF(OR(A460="",B460="",D460="",E460=""),"Incomplete",IF(K460="Unknown","Unknown code",IF(AND(K460="Yes",C460=""),"Billable, needs client",IF(N460&gt;MaxDayHours,"Over "&amp;MaxDayHours&amp;" hours that day","")))))</f>
        <v/>
      </c>
    </row>
    <row r="461" customFormat="false" ht="15" hidden="false" customHeight="false" outlineLevel="0" collapsed="false">
      <c r="A461" s="31" t="n">
        <v>46230</v>
      </c>
      <c r="B461" s="32" t="s">
        <v>105</v>
      </c>
      <c r="C461" s="32" t="s">
        <v>90</v>
      </c>
      <c r="D461" s="33" t="s">
        <v>91</v>
      </c>
      <c r="E461" s="34" t="n">
        <v>3.5</v>
      </c>
      <c r="F461" s="32"/>
      <c r="G461" s="35" t="n">
        <f aca="false">IF(A461="","",A461+7-WEEKDAY(A461))</f>
        <v>46235</v>
      </c>
      <c r="H461" s="36" t="n">
        <f aca="false">IF(A461="","",DATE(YEAR(A461),MONTH(A461),1))</f>
        <v>46204</v>
      </c>
      <c r="I461" s="37" t="str">
        <f aca="false">IF(B461="","",IFERROR(INDEX(st_ID,MATCH(B461,st_Name,0)),"Unknown"))</f>
        <v>QP-06</v>
      </c>
      <c r="J461" s="37" t="str">
        <f aca="false">IF(C461="","",IFERROR(INDEX(cl_Code,MATCH(C461,cl_Name,0)),"Unknown"))</f>
        <v>BSE</v>
      </c>
      <c r="K461" s="37" t="str">
        <f aca="false">IF(D461="","",IFERROR(INDEX(rt_Billable,MATCH(D461,rt_Code,0)),"Unknown"))</f>
        <v>Yes</v>
      </c>
      <c r="L461" s="38" t="n">
        <f aca="false">IF(K461&lt;&gt;"Yes","",IFERROR(INDEX(cr_Rate,MATCH(J461&amp;"|"&amp;D461,cr_Key,0)),INDEX(rt_Rate,MATCH(D461,rt_Code,0))))</f>
        <v>100</v>
      </c>
      <c r="M461" s="25" t="n">
        <f aca="false">IF(L461="","",ROUND(N(E461)*L461,2))</f>
        <v>350</v>
      </c>
      <c r="N461" s="39" t="n">
        <f aca="false">IF(OR(A461="",B461=""),"",SUMIFS(tl_Hours,tl_StaffID,I461,tl_Date,A461))</f>
        <v>8</v>
      </c>
      <c r="O461" s="40" t="str">
        <f aca="false">IF(A461&amp;B461&amp;D461="","",IF(OR(A461="",B461="",D461="",E461=""),"Incomplete",IF(K461="Unknown","Unknown code",IF(AND(K461="Yes",C461=""),"Billable, needs client",IF(N461&gt;MaxDayHours,"Over "&amp;MaxDayHours&amp;" hours that day","")))))</f>
        <v/>
      </c>
    </row>
    <row r="462" customFormat="false" ht="15" hidden="false" customHeight="false" outlineLevel="0" collapsed="false">
      <c r="A462" s="31" t="n">
        <v>46230</v>
      </c>
      <c r="B462" s="32" t="s">
        <v>105</v>
      </c>
      <c r="C462" s="32" t="s">
        <v>90</v>
      </c>
      <c r="D462" s="33" t="s">
        <v>89</v>
      </c>
      <c r="E462" s="34" t="n">
        <v>1</v>
      </c>
      <c r="F462" s="32"/>
      <c r="G462" s="35" t="n">
        <f aca="false">IF(A462="","",A462+7-WEEKDAY(A462))</f>
        <v>46235</v>
      </c>
      <c r="H462" s="36" t="n">
        <f aca="false">IF(A462="","",DATE(YEAR(A462),MONTH(A462),1))</f>
        <v>46204</v>
      </c>
      <c r="I462" s="37" t="str">
        <f aca="false">IF(B462="","",IFERROR(INDEX(st_ID,MATCH(B462,st_Name,0)),"Unknown"))</f>
        <v>QP-06</v>
      </c>
      <c r="J462" s="37" t="str">
        <f aca="false">IF(C462="","",IFERROR(INDEX(cl_Code,MATCH(C462,cl_Name,0)),"Unknown"))</f>
        <v>BSE</v>
      </c>
      <c r="K462" s="37" t="str">
        <f aca="false">IF(D462="","",IFERROR(INDEX(rt_Billable,MATCH(D462,rt_Code,0)),"Unknown"))</f>
        <v>Yes</v>
      </c>
      <c r="L462" s="38" t="n">
        <f aca="false">IF(K462&lt;&gt;"Yes","",IFERROR(INDEX(cr_Rate,MATCH(J462&amp;"|"&amp;D462,cr_Key,0)),INDEX(rt_Rate,MATCH(D462,rt_Code,0))))</f>
        <v>95</v>
      </c>
      <c r="M462" s="25" t="n">
        <f aca="false">IF(L462="","",ROUND(N(E462)*L462,2))</f>
        <v>95</v>
      </c>
      <c r="N462" s="39" t="n">
        <f aca="false">IF(OR(A462="",B462=""),"",SUMIFS(tl_Hours,tl_StaffID,I462,tl_Date,A462))</f>
        <v>8</v>
      </c>
      <c r="O462" s="40" t="str">
        <f aca="false">IF(A462&amp;B462&amp;D462="","",IF(OR(A462="",B462="",D462="",E462=""),"Incomplete",IF(K462="Unknown","Unknown code",IF(AND(K462="Yes",C462=""),"Billable, needs client",IF(N462&gt;MaxDayHours,"Over "&amp;MaxDayHours&amp;" hours that day","")))))</f>
        <v/>
      </c>
    </row>
    <row r="463" customFormat="false" ht="15" hidden="false" customHeight="false" outlineLevel="0" collapsed="false">
      <c r="A463" s="31" t="n">
        <v>46230</v>
      </c>
      <c r="B463" s="32" t="s">
        <v>105</v>
      </c>
      <c r="C463" s="32"/>
      <c r="D463" s="33" t="s">
        <v>96</v>
      </c>
      <c r="E463" s="34" t="n">
        <v>3.5</v>
      </c>
      <c r="F463" s="32"/>
      <c r="G463" s="35" t="n">
        <f aca="false">IF(A463="","",A463+7-WEEKDAY(A463))</f>
        <v>46235</v>
      </c>
      <c r="H463" s="36" t="n">
        <f aca="false">IF(A463="","",DATE(YEAR(A463),MONTH(A463),1))</f>
        <v>46204</v>
      </c>
      <c r="I463" s="37" t="str">
        <f aca="false">IF(B463="","",IFERROR(INDEX(st_ID,MATCH(B463,st_Name,0)),"Unknown"))</f>
        <v>QP-06</v>
      </c>
      <c r="J463" s="37" t="str">
        <f aca="false">IF(C463="","",IFERROR(INDEX(cl_Code,MATCH(C463,cl_Name,0)),"Unknown"))</f>
        <v/>
      </c>
      <c r="K463" s="37" t="str">
        <f aca="false">IF(D463="","",IFERROR(INDEX(rt_Billable,MATCH(D463,rt_Code,0)),"Unknown"))</f>
        <v>No</v>
      </c>
      <c r="L463" s="38" t="str">
        <f aca="false">IF(K463&lt;&gt;"Yes","",IFERROR(INDEX(cr_Rate,MATCH(J463&amp;"|"&amp;D463,cr_Key,0)),INDEX(rt_Rate,MATCH(D463,rt_Code,0))))</f>
        <v/>
      </c>
      <c r="M463" s="25" t="str">
        <f aca="false">IF(L463="","",ROUND(N(E463)*L463,2))</f>
        <v/>
      </c>
      <c r="N463" s="39" t="n">
        <f aca="false">IF(OR(A463="",B463=""),"",SUMIFS(tl_Hours,tl_StaffID,I463,tl_Date,A463))</f>
        <v>8</v>
      </c>
      <c r="O463" s="40" t="str">
        <f aca="false">IF(A463&amp;B463&amp;D463="","",IF(OR(A463="",B463="",D463="",E463=""),"Incomplete",IF(K463="Unknown","Unknown code",IF(AND(K463="Yes",C463=""),"Billable, needs client",IF(N463&gt;MaxDayHours,"Over "&amp;MaxDayHours&amp;" hours that day","")))))</f>
        <v/>
      </c>
    </row>
    <row r="464" customFormat="false" ht="15" hidden="false" customHeight="false" outlineLevel="0" collapsed="false">
      <c r="A464" s="31" t="n">
        <v>46230</v>
      </c>
      <c r="B464" s="32" t="s">
        <v>106</v>
      </c>
      <c r="C464" s="32" t="s">
        <v>102</v>
      </c>
      <c r="D464" s="33" t="s">
        <v>104</v>
      </c>
      <c r="E464" s="34" t="n">
        <v>2.5</v>
      </c>
      <c r="F464" s="32"/>
      <c r="G464" s="35" t="n">
        <f aca="false">IF(A464="","",A464+7-WEEKDAY(A464))</f>
        <v>46235</v>
      </c>
      <c r="H464" s="36" t="n">
        <f aca="false">IF(A464="","",DATE(YEAR(A464),MONTH(A464),1))</f>
        <v>46204</v>
      </c>
      <c r="I464" s="37" t="str">
        <f aca="false">IF(B464="","",IFERROR(INDEX(st_ID,MATCH(B464,st_Name,0)),"Unknown"))</f>
        <v>QP-07</v>
      </c>
      <c r="J464" s="37" t="str">
        <f aca="false">IF(C464="","",IFERROR(INDEX(cl_Code,MATCH(C464,cl_Name,0)),"Unknown"))</f>
        <v>CLH</v>
      </c>
      <c r="K464" s="37" t="str">
        <f aca="false">IF(D464="","",IFERROR(INDEX(rt_Billable,MATCH(D464,rt_Code,0)),"Unknown"))</f>
        <v>Yes</v>
      </c>
      <c r="L464" s="38" t="n">
        <f aca="false">IF(K464&lt;&gt;"Yes","",IFERROR(INDEX(cr_Rate,MATCH(J464&amp;"|"&amp;D464,cr_Key,0)),INDEX(rt_Rate,MATCH(D464,rt_Code,0))))</f>
        <v>65</v>
      </c>
      <c r="M464" s="25" t="n">
        <f aca="false">IF(L464="","",ROUND(N(E464)*L464,2))</f>
        <v>162.5</v>
      </c>
      <c r="N464" s="39" t="n">
        <f aca="false">IF(OR(A464="",B464=""),"",SUMIFS(tl_Hours,tl_StaffID,I464,tl_Date,A464))</f>
        <v>8</v>
      </c>
      <c r="O464" s="40" t="str">
        <f aca="false">IF(A464&amp;B464&amp;D464="","",IF(OR(A464="",B464="",D464="",E464=""),"Incomplete",IF(K464="Unknown","Unknown code",IF(AND(K464="Yes",C464=""),"Billable, needs client",IF(N464&gt;MaxDayHours,"Over "&amp;MaxDayHours&amp;" hours that day","")))))</f>
        <v/>
      </c>
    </row>
    <row r="465" customFormat="false" ht="15" hidden="false" customHeight="false" outlineLevel="0" collapsed="false">
      <c r="A465" s="31" t="n">
        <v>46230</v>
      </c>
      <c r="B465" s="32" t="s">
        <v>106</v>
      </c>
      <c r="C465" s="32" t="s">
        <v>102</v>
      </c>
      <c r="D465" s="33" t="s">
        <v>89</v>
      </c>
      <c r="E465" s="34" t="n">
        <v>1.75</v>
      </c>
      <c r="F465" s="32"/>
      <c r="G465" s="35" t="n">
        <f aca="false">IF(A465="","",A465+7-WEEKDAY(A465))</f>
        <v>46235</v>
      </c>
      <c r="H465" s="36" t="n">
        <f aca="false">IF(A465="","",DATE(YEAR(A465),MONTH(A465),1))</f>
        <v>46204</v>
      </c>
      <c r="I465" s="37" t="str">
        <f aca="false">IF(B465="","",IFERROR(INDEX(st_ID,MATCH(B465,st_Name,0)),"Unknown"))</f>
        <v>QP-07</v>
      </c>
      <c r="J465" s="37" t="str">
        <f aca="false">IF(C465="","",IFERROR(INDEX(cl_Code,MATCH(C465,cl_Name,0)),"Unknown"))</f>
        <v>CLH</v>
      </c>
      <c r="K465" s="37" t="str">
        <f aca="false">IF(D465="","",IFERROR(INDEX(rt_Billable,MATCH(D465,rt_Code,0)),"Unknown"))</f>
        <v>Yes</v>
      </c>
      <c r="L465" s="38" t="n">
        <f aca="false">IF(K465&lt;&gt;"Yes","",IFERROR(INDEX(cr_Rate,MATCH(J465&amp;"|"&amp;D465,cr_Key,0)),INDEX(rt_Rate,MATCH(D465,rt_Code,0))))</f>
        <v>95</v>
      </c>
      <c r="M465" s="25" t="n">
        <f aca="false">IF(L465="","",ROUND(N(E465)*L465,2))</f>
        <v>166.25</v>
      </c>
      <c r="N465" s="39" t="n">
        <f aca="false">IF(OR(A465="",B465=""),"",SUMIFS(tl_Hours,tl_StaffID,I465,tl_Date,A465))</f>
        <v>8</v>
      </c>
      <c r="O465" s="40" t="str">
        <f aca="false">IF(A465&amp;B465&amp;D465="","",IF(OR(A465="",B465="",D465="",E465=""),"Incomplete",IF(K465="Unknown","Unknown code",IF(AND(K465="Yes",C465=""),"Billable, needs client",IF(N465&gt;MaxDayHours,"Over "&amp;MaxDayHours&amp;" hours that day","")))))</f>
        <v/>
      </c>
    </row>
    <row r="466" customFormat="false" ht="15" hidden="false" customHeight="false" outlineLevel="0" collapsed="false">
      <c r="A466" s="31" t="n">
        <v>46230</v>
      </c>
      <c r="B466" s="32" t="s">
        <v>106</v>
      </c>
      <c r="C466" s="32"/>
      <c r="D466" s="33" t="s">
        <v>96</v>
      </c>
      <c r="E466" s="34" t="n">
        <v>3.75</v>
      </c>
      <c r="F466" s="32"/>
      <c r="G466" s="35" t="n">
        <f aca="false">IF(A466="","",A466+7-WEEKDAY(A466))</f>
        <v>46235</v>
      </c>
      <c r="H466" s="36" t="n">
        <f aca="false">IF(A466="","",DATE(YEAR(A466),MONTH(A466),1))</f>
        <v>46204</v>
      </c>
      <c r="I466" s="37" t="str">
        <f aca="false">IF(B466="","",IFERROR(INDEX(st_ID,MATCH(B466,st_Name,0)),"Unknown"))</f>
        <v>QP-07</v>
      </c>
      <c r="J466" s="37" t="str">
        <f aca="false">IF(C466="","",IFERROR(INDEX(cl_Code,MATCH(C466,cl_Name,0)),"Unknown"))</f>
        <v/>
      </c>
      <c r="K466" s="37" t="str">
        <f aca="false">IF(D466="","",IFERROR(INDEX(rt_Billable,MATCH(D466,rt_Code,0)),"Unknown"))</f>
        <v>No</v>
      </c>
      <c r="L466" s="38" t="str">
        <f aca="false">IF(K466&lt;&gt;"Yes","",IFERROR(INDEX(cr_Rate,MATCH(J466&amp;"|"&amp;D466,cr_Key,0)),INDEX(rt_Rate,MATCH(D466,rt_Code,0))))</f>
        <v/>
      </c>
      <c r="M466" s="25" t="str">
        <f aca="false">IF(L466="","",ROUND(N(E466)*L466,2))</f>
        <v/>
      </c>
      <c r="N466" s="39" t="n">
        <f aca="false">IF(OR(A466="",B466=""),"",SUMIFS(tl_Hours,tl_StaffID,I466,tl_Date,A466))</f>
        <v>8</v>
      </c>
      <c r="O466" s="40" t="str">
        <f aca="false">IF(A466&amp;B466&amp;D466="","",IF(OR(A466="",B466="",D466="",E466=""),"Incomplete",IF(K466="Unknown","Unknown code",IF(AND(K466="Yes",C466=""),"Billable, needs client",IF(N466&gt;MaxDayHours,"Over "&amp;MaxDayHours&amp;" hours that day","")))))</f>
        <v/>
      </c>
    </row>
    <row r="467" customFormat="false" ht="15" hidden="false" customHeight="false" outlineLevel="0" collapsed="false">
      <c r="A467" s="31" t="n">
        <v>46230</v>
      </c>
      <c r="B467" s="32" t="s">
        <v>107</v>
      </c>
      <c r="C467" s="32"/>
      <c r="D467" s="33" t="s">
        <v>108</v>
      </c>
      <c r="E467" s="34" t="n">
        <v>6</v>
      </c>
      <c r="F467" s="32"/>
      <c r="G467" s="35" t="n">
        <f aca="false">IF(A467="","",A467+7-WEEKDAY(A467))</f>
        <v>46235</v>
      </c>
      <c r="H467" s="36" t="n">
        <f aca="false">IF(A467="","",DATE(YEAR(A467),MONTH(A467),1))</f>
        <v>46204</v>
      </c>
      <c r="I467" s="37" t="str">
        <f aca="false">IF(B467="","",IFERROR(INDEX(st_ID,MATCH(B467,st_Name,0)),"Unknown"))</f>
        <v>QP-08</v>
      </c>
      <c r="J467" s="37" t="str">
        <f aca="false">IF(C467="","",IFERROR(INDEX(cl_Code,MATCH(C467,cl_Name,0)),"Unknown"))</f>
        <v/>
      </c>
      <c r="K467" s="37" t="str">
        <f aca="false">IF(D467="","",IFERROR(INDEX(rt_Billable,MATCH(D467,rt_Code,0)),"Unknown"))</f>
        <v>No</v>
      </c>
      <c r="L467" s="38" t="str">
        <f aca="false">IF(K467&lt;&gt;"Yes","",IFERROR(INDEX(cr_Rate,MATCH(J467&amp;"|"&amp;D467,cr_Key,0)),INDEX(rt_Rate,MATCH(D467,rt_Code,0))))</f>
        <v/>
      </c>
      <c r="M467" s="25" t="str">
        <f aca="false">IF(L467="","",ROUND(N(E467)*L467,2))</f>
        <v/>
      </c>
      <c r="N467" s="39" t="n">
        <f aca="false">IF(OR(A467="",B467=""),"",SUMIFS(tl_Hours,tl_StaffID,I467,tl_Date,A467))</f>
        <v>8</v>
      </c>
      <c r="O467" s="40" t="str">
        <f aca="false">IF(A467&amp;B467&amp;D467="","",IF(OR(A467="",B467="",D467="",E467=""),"Incomplete",IF(K467="Unknown","Unknown code",IF(AND(K467="Yes",C467=""),"Billable, needs client",IF(N467&gt;MaxDayHours,"Over "&amp;MaxDayHours&amp;" hours that day","")))))</f>
        <v/>
      </c>
    </row>
    <row r="468" customFormat="false" ht="15" hidden="false" customHeight="false" outlineLevel="0" collapsed="false">
      <c r="A468" s="31" t="n">
        <v>46230</v>
      </c>
      <c r="B468" s="32" t="s">
        <v>107</v>
      </c>
      <c r="C468" s="32"/>
      <c r="D468" s="33" t="s">
        <v>98</v>
      </c>
      <c r="E468" s="34" t="n">
        <v>2</v>
      </c>
      <c r="F468" s="32"/>
      <c r="G468" s="35" t="n">
        <f aca="false">IF(A468="","",A468+7-WEEKDAY(A468))</f>
        <v>46235</v>
      </c>
      <c r="H468" s="36" t="n">
        <f aca="false">IF(A468="","",DATE(YEAR(A468),MONTH(A468),1))</f>
        <v>46204</v>
      </c>
      <c r="I468" s="37" t="str">
        <f aca="false">IF(B468="","",IFERROR(INDEX(st_ID,MATCH(B468,st_Name,0)),"Unknown"))</f>
        <v>QP-08</v>
      </c>
      <c r="J468" s="37" t="str">
        <f aca="false">IF(C468="","",IFERROR(INDEX(cl_Code,MATCH(C468,cl_Name,0)),"Unknown"))</f>
        <v/>
      </c>
      <c r="K468" s="37" t="str">
        <f aca="false">IF(D468="","",IFERROR(INDEX(rt_Billable,MATCH(D468,rt_Code,0)),"Unknown"))</f>
        <v>No</v>
      </c>
      <c r="L468" s="38" t="str">
        <f aca="false">IF(K468&lt;&gt;"Yes","",IFERROR(INDEX(cr_Rate,MATCH(J468&amp;"|"&amp;D468,cr_Key,0)),INDEX(rt_Rate,MATCH(D468,rt_Code,0))))</f>
        <v/>
      </c>
      <c r="M468" s="25" t="str">
        <f aca="false">IF(L468="","",ROUND(N(E468)*L468,2))</f>
        <v/>
      </c>
      <c r="N468" s="39" t="n">
        <f aca="false">IF(OR(A468="",B468=""),"",SUMIFS(tl_Hours,tl_StaffID,I468,tl_Date,A468))</f>
        <v>8</v>
      </c>
      <c r="O468" s="40" t="str">
        <f aca="false">IF(A468&amp;B468&amp;D468="","",IF(OR(A468="",B468="",D468="",E468=""),"Incomplete",IF(K468="Unknown","Unknown code",IF(AND(K468="Yes",C468=""),"Billable, needs client",IF(N468&gt;MaxDayHours,"Over "&amp;MaxDayHours&amp;" hours that day","")))))</f>
        <v/>
      </c>
    </row>
    <row r="469" customFormat="false" ht="15" hidden="false" customHeight="false" outlineLevel="0" collapsed="false">
      <c r="A469" s="31" t="n">
        <v>46231</v>
      </c>
      <c r="B469" s="32" t="s">
        <v>86</v>
      </c>
      <c r="C469" s="32" t="s">
        <v>90</v>
      </c>
      <c r="D469" s="33" t="s">
        <v>88</v>
      </c>
      <c r="E469" s="34" t="n">
        <v>2.5</v>
      </c>
      <c r="F469" s="32"/>
      <c r="G469" s="35" t="n">
        <f aca="false">IF(A469="","",A469+7-WEEKDAY(A469))</f>
        <v>46235</v>
      </c>
      <c r="H469" s="36" t="n">
        <f aca="false">IF(A469="","",DATE(YEAR(A469),MONTH(A469),1))</f>
        <v>46204</v>
      </c>
      <c r="I469" s="37" t="str">
        <f aca="false">IF(B469="","",IFERROR(INDEX(st_ID,MATCH(B469,st_Name,0)),"Unknown"))</f>
        <v>QP-01</v>
      </c>
      <c r="J469" s="37" t="str">
        <f aca="false">IF(C469="","",IFERROR(INDEX(cl_Code,MATCH(C469,cl_Name,0)),"Unknown"))</f>
        <v>BSE</v>
      </c>
      <c r="K469" s="37" t="str">
        <f aca="false">IF(D469="","",IFERROR(INDEX(rt_Billable,MATCH(D469,rt_Code,0)),"Unknown"))</f>
        <v>Yes</v>
      </c>
      <c r="L469" s="38" t="n">
        <f aca="false">IF(K469&lt;&gt;"Yes","",IFERROR(INDEX(cr_Rate,MATCH(J469&amp;"|"&amp;D469,cr_Key,0)),INDEX(rt_Rate,MATCH(D469,rt_Code,0))))</f>
        <v>104</v>
      </c>
      <c r="M469" s="25" t="n">
        <f aca="false">IF(L469="","",ROUND(N(E469)*L469,2))</f>
        <v>260</v>
      </c>
      <c r="N469" s="39" t="n">
        <f aca="false">IF(OR(A469="",B469=""),"",SUMIFS(tl_Hours,tl_StaffID,I469,tl_Date,A469))</f>
        <v>8</v>
      </c>
      <c r="O469" s="40" t="str">
        <f aca="false">IF(A469&amp;B469&amp;D469="","",IF(OR(A469="",B469="",D469="",E469=""),"Incomplete",IF(K469="Unknown","Unknown code",IF(AND(K469="Yes",C469=""),"Billable, needs client",IF(N469&gt;MaxDayHours,"Over "&amp;MaxDayHours&amp;" hours that day","")))))</f>
        <v/>
      </c>
    </row>
    <row r="470" customFormat="false" ht="15" hidden="false" customHeight="false" outlineLevel="0" collapsed="false">
      <c r="A470" s="31" t="n">
        <v>46231</v>
      </c>
      <c r="B470" s="32" t="s">
        <v>86</v>
      </c>
      <c r="C470" s="32" t="s">
        <v>90</v>
      </c>
      <c r="D470" s="33" t="s">
        <v>89</v>
      </c>
      <c r="E470" s="34" t="n">
        <v>1.75</v>
      </c>
      <c r="F470" s="32"/>
      <c r="G470" s="35" t="n">
        <f aca="false">IF(A470="","",A470+7-WEEKDAY(A470))</f>
        <v>46235</v>
      </c>
      <c r="H470" s="36" t="n">
        <f aca="false">IF(A470="","",DATE(YEAR(A470),MONTH(A470),1))</f>
        <v>46204</v>
      </c>
      <c r="I470" s="37" t="str">
        <f aca="false">IF(B470="","",IFERROR(INDEX(st_ID,MATCH(B470,st_Name,0)),"Unknown"))</f>
        <v>QP-01</v>
      </c>
      <c r="J470" s="37" t="str">
        <f aca="false">IF(C470="","",IFERROR(INDEX(cl_Code,MATCH(C470,cl_Name,0)),"Unknown"))</f>
        <v>BSE</v>
      </c>
      <c r="K470" s="37" t="str">
        <f aca="false">IF(D470="","",IFERROR(INDEX(rt_Billable,MATCH(D470,rt_Code,0)),"Unknown"))</f>
        <v>Yes</v>
      </c>
      <c r="L470" s="38" t="n">
        <f aca="false">IF(K470&lt;&gt;"Yes","",IFERROR(INDEX(cr_Rate,MATCH(J470&amp;"|"&amp;D470,cr_Key,0)),INDEX(rt_Rate,MATCH(D470,rt_Code,0))))</f>
        <v>95</v>
      </c>
      <c r="M470" s="25" t="n">
        <f aca="false">IF(L470="","",ROUND(N(E470)*L470,2))</f>
        <v>166.25</v>
      </c>
      <c r="N470" s="39" t="n">
        <f aca="false">IF(OR(A470="",B470=""),"",SUMIFS(tl_Hours,tl_StaffID,I470,tl_Date,A470))</f>
        <v>8</v>
      </c>
      <c r="O470" s="40" t="str">
        <f aca="false">IF(A470&amp;B470&amp;D470="","",IF(OR(A470="",B470="",D470="",E470=""),"Incomplete",IF(K470="Unknown","Unknown code",IF(AND(K470="Yes",C470=""),"Billable, needs client",IF(N470&gt;MaxDayHours,"Over "&amp;MaxDayHours&amp;" hours that day","")))))</f>
        <v/>
      </c>
    </row>
    <row r="471" customFormat="false" ht="15" hidden="false" customHeight="false" outlineLevel="0" collapsed="false">
      <c r="A471" s="31" t="n">
        <v>46231</v>
      </c>
      <c r="B471" s="32" t="s">
        <v>86</v>
      </c>
      <c r="C471" s="32"/>
      <c r="D471" s="33" t="s">
        <v>96</v>
      </c>
      <c r="E471" s="34" t="n">
        <v>3.75</v>
      </c>
      <c r="F471" s="32"/>
      <c r="G471" s="35" t="n">
        <f aca="false">IF(A471="","",A471+7-WEEKDAY(A471))</f>
        <v>46235</v>
      </c>
      <c r="H471" s="36" t="n">
        <f aca="false">IF(A471="","",DATE(YEAR(A471),MONTH(A471),1))</f>
        <v>46204</v>
      </c>
      <c r="I471" s="37" t="str">
        <f aca="false">IF(B471="","",IFERROR(INDEX(st_ID,MATCH(B471,st_Name,0)),"Unknown"))</f>
        <v>QP-01</v>
      </c>
      <c r="J471" s="37" t="str">
        <f aca="false">IF(C471="","",IFERROR(INDEX(cl_Code,MATCH(C471,cl_Name,0)),"Unknown"))</f>
        <v/>
      </c>
      <c r="K471" s="37" t="str">
        <f aca="false">IF(D471="","",IFERROR(INDEX(rt_Billable,MATCH(D471,rt_Code,0)),"Unknown"))</f>
        <v>No</v>
      </c>
      <c r="L471" s="38" t="str">
        <f aca="false">IF(K471&lt;&gt;"Yes","",IFERROR(INDEX(cr_Rate,MATCH(J471&amp;"|"&amp;D471,cr_Key,0)),INDEX(rt_Rate,MATCH(D471,rt_Code,0))))</f>
        <v/>
      </c>
      <c r="M471" s="25" t="str">
        <f aca="false">IF(L471="","",ROUND(N(E471)*L471,2))</f>
        <v/>
      </c>
      <c r="N471" s="39" t="n">
        <f aca="false">IF(OR(A471="",B471=""),"",SUMIFS(tl_Hours,tl_StaffID,I471,tl_Date,A471))</f>
        <v>8</v>
      </c>
      <c r="O471" s="40" t="str">
        <f aca="false">IF(A471&amp;B471&amp;D471="","",IF(OR(A471="",B471="",D471="",E471=""),"Incomplete",IF(K471="Unknown","Unknown code",IF(AND(K471="Yes",C471=""),"Billable, needs client",IF(N471&gt;MaxDayHours,"Over "&amp;MaxDayHours&amp;" hours that day","")))))</f>
        <v/>
      </c>
    </row>
    <row r="472" customFormat="false" ht="15" hidden="false" customHeight="false" outlineLevel="0" collapsed="false">
      <c r="A472" s="31" t="n">
        <v>46231</v>
      </c>
      <c r="B472" s="32" t="s">
        <v>97</v>
      </c>
      <c r="C472" s="32" t="s">
        <v>90</v>
      </c>
      <c r="D472" s="33" t="s">
        <v>88</v>
      </c>
      <c r="E472" s="34" t="n">
        <v>2.25</v>
      </c>
      <c r="F472" s="32"/>
      <c r="G472" s="35" t="n">
        <f aca="false">IF(A472="","",A472+7-WEEKDAY(A472))</f>
        <v>46235</v>
      </c>
      <c r="H472" s="36" t="n">
        <f aca="false">IF(A472="","",DATE(YEAR(A472),MONTH(A472),1))</f>
        <v>46204</v>
      </c>
      <c r="I472" s="37" t="str">
        <f aca="false">IF(B472="","",IFERROR(INDEX(st_ID,MATCH(B472,st_Name,0)),"Unknown"))</f>
        <v>QP-02</v>
      </c>
      <c r="J472" s="37" t="str">
        <f aca="false">IF(C472="","",IFERROR(INDEX(cl_Code,MATCH(C472,cl_Name,0)),"Unknown"))</f>
        <v>BSE</v>
      </c>
      <c r="K472" s="37" t="str">
        <f aca="false">IF(D472="","",IFERROR(INDEX(rt_Billable,MATCH(D472,rt_Code,0)),"Unknown"))</f>
        <v>Yes</v>
      </c>
      <c r="L472" s="38" t="n">
        <f aca="false">IF(K472&lt;&gt;"Yes","",IFERROR(INDEX(cr_Rate,MATCH(J472&amp;"|"&amp;D472,cr_Key,0)),INDEX(rt_Rate,MATCH(D472,rt_Code,0))))</f>
        <v>104</v>
      </c>
      <c r="M472" s="25" t="n">
        <f aca="false">IF(L472="","",ROUND(N(E472)*L472,2))</f>
        <v>234</v>
      </c>
      <c r="N472" s="39" t="n">
        <f aca="false">IF(OR(A472="",B472=""),"",SUMIFS(tl_Hours,tl_StaffID,I472,tl_Date,A472))</f>
        <v>8</v>
      </c>
      <c r="O472" s="40" t="str">
        <f aca="false">IF(A472&amp;B472&amp;D472="","",IF(OR(A472="",B472="",D472="",E472=""),"Incomplete",IF(K472="Unknown","Unknown code",IF(AND(K472="Yes",C472=""),"Billable, needs client",IF(N472&gt;MaxDayHours,"Over "&amp;MaxDayHours&amp;" hours that day","")))))</f>
        <v/>
      </c>
    </row>
    <row r="473" customFormat="false" ht="15" hidden="false" customHeight="false" outlineLevel="0" collapsed="false">
      <c r="A473" s="31" t="n">
        <v>46231</v>
      </c>
      <c r="B473" s="32" t="s">
        <v>97</v>
      </c>
      <c r="C473" s="32" t="s">
        <v>90</v>
      </c>
      <c r="D473" s="33" t="s">
        <v>104</v>
      </c>
      <c r="E473" s="34" t="n">
        <v>1.75</v>
      </c>
      <c r="F473" s="32"/>
      <c r="G473" s="35" t="n">
        <f aca="false">IF(A473="","",A473+7-WEEKDAY(A473))</f>
        <v>46235</v>
      </c>
      <c r="H473" s="36" t="n">
        <f aca="false">IF(A473="","",DATE(YEAR(A473),MONTH(A473),1))</f>
        <v>46204</v>
      </c>
      <c r="I473" s="37" t="str">
        <f aca="false">IF(B473="","",IFERROR(INDEX(st_ID,MATCH(B473,st_Name,0)),"Unknown"))</f>
        <v>QP-02</v>
      </c>
      <c r="J473" s="37" t="str">
        <f aca="false">IF(C473="","",IFERROR(INDEX(cl_Code,MATCH(C473,cl_Name,0)),"Unknown"))</f>
        <v>BSE</v>
      </c>
      <c r="K473" s="37" t="str">
        <f aca="false">IF(D473="","",IFERROR(INDEX(rt_Billable,MATCH(D473,rt_Code,0)),"Unknown"))</f>
        <v>Yes</v>
      </c>
      <c r="L473" s="38" t="n">
        <f aca="false">IF(K473&lt;&gt;"Yes","",IFERROR(INDEX(cr_Rate,MATCH(J473&amp;"|"&amp;D473,cr_Key,0)),INDEX(rt_Rate,MATCH(D473,rt_Code,0))))</f>
        <v>70</v>
      </c>
      <c r="M473" s="25" t="n">
        <f aca="false">IF(L473="","",ROUND(N(E473)*L473,2))</f>
        <v>122.5</v>
      </c>
      <c r="N473" s="39" t="n">
        <f aca="false">IF(OR(A473="",B473=""),"",SUMIFS(tl_Hours,tl_StaffID,I473,tl_Date,A473))</f>
        <v>8</v>
      </c>
      <c r="O473" s="40" t="str">
        <f aca="false">IF(A473&amp;B473&amp;D473="","",IF(OR(A473="",B473="",D473="",E473=""),"Incomplete",IF(K473="Unknown","Unknown code",IF(AND(K473="Yes",C473=""),"Billable, needs client",IF(N473&gt;MaxDayHours,"Over "&amp;MaxDayHours&amp;" hours that day","")))))</f>
        <v/>
      </c>
    </row>
    <row r="474" customFormat="false" ht="15" hidden="false" customHeight="false" outlineLevel="0" collapsed="false">
      <c r="A474" s="31" t="n">
        <v>46231</v>
      </c>
      <c r="B474" s="32" t="s">
        <v>97</v>
      </c>
      <c r="C474" s="32"/>
      <c r="D474" s="33" t="s">
        <v>96</v>
      </c>
      <c r="E474" s="34" t="n">
        <v>4</v>
      </c>
      <c r="F474" s="32"/>
      <c r="G474" s="35" t="n">
        <f aca="false">IF(A474="","",A474+7-WEEKDAY(A474))</f>
        <v>46235</v>
      </c>
      <c r="H474" s="36" t="n">
        <f aca="false">IF(A474="","",DATE(YEAR(A474),MONTH(A474),1))</f>
        <v>46204</v>
      </c>
      <c r="I474" s="37" t="str">
        <f aca="false">IF(B474="","",IFERROR(INDEX(st_ID,MATCH(B474,st_Name,0)),"Unknown"))</f>
        <v>QP-02</v>
      </c>
      <c r="J474" s="37" t="str">
        <f aca="false">IF(C474="","",IFERROR(INDEX(cl_Code,MATCH(C474,cl_Name,0)),"Unknown"))</f>
        <v/>
      </c>
      <c r="K474" s="37" t="str">
        <f aca="false">IF(D474="","",IFERROR(INDEX(rt_Billable,MATCH(D474,rt_Code,0)),"Unknown"))</f>
        <v>No</v>
      </c>
      <c r="L474" s="38" t="str">
        <f aca="false">IF(K474&lt;&gt;"Yes","",IFERROR(INDEX(cr_Rate,MATCH(J474&amp;"|"&amp;D474,cr_Key,0)),INDEX(rt_Rate,MATCH(D474,rt_Code,0))))</f>
        <v/>
      </c>
      <c r="M474" s="25" t="str">
        <f aca="false">IF(L474="","",ROUND(N(E474)*L474,2))</f>
        <v/>
      </c>
      <c r="N474" s="39" t="n">
        <f aca="false">IF(OR(A474="",B474=""),"",SUMIFS(tl_Hours,tl_StaffID,I474,tl_Date,A474))</f>
        <v>8</v>
      </c>
      <c r="O474" s="40" t="str">
        <f aca="false">IF(A474&amp;B474&amp;D474="","",IF(OR(A474="",B474="",D474="",E474=""),"Incomplete",IF(K474="Unknown","Unknown code",IF(AND(K474="Yes",C474=""),"Billable, needs client",IF(N474&gt;MaxDayHours,"Over "&amp;MaxDayHours&amp;" hours that day","")))))</f>
        <v/>
      </c>
    </row>
    <row r="475" customFormat="false" ht="15" hidden="false" customHeight="false" outlineLevel="0" collapsed="false">
      <c r="A475" s="31" t="n">
        <v>46231</v>
      </c>
      <c r="B475" s="32" t="s">
        <v>100</v>
      </c>
      <c r="C475" s="32" t="s">
        <v>102</v>
      </c>
      <c r="D475" s="33" t="s">
        <v>88</v>
      </c>
      <c r="E475" s="34" t="n">
        <v>1.25</v>
      </c>
      <c r="F475" s="32"/>
      <c r="G475" s="35" t="n">
        <f aca="false">IF(A475="","",A475+7-WEEKDAY(A475))</f>
        <v>46235</v>
      </c>
      <c r="H475" s="36" t="n">
        <f aca="false">IF(A475="","",DATE(YEAR(A475),MONTH(A475),1))</f>
        <v>46204</v>
      </c>
      <c r="I475" s="37" t="str">
        <f aca="false">IF(B475="","",IFERROR(INDEX(st_ID,MATCH(B475,st_Name,0)),"Unknown"))</f>
        <v>QP-03</v>
      </c>
      <c r="J475" s="37" t="str">
        <f aca="false">IF(C475="","",IFERROR(INDEX(cl_Code,MATCH(C475,cl_Name,0)),"Unknown"))</f>
        <v>CLH</v>
      </c>
      <c r="K475" s="37" t="str">
        <f aca="false">IF(D475="","",IFERROR(INDEX(rt_Billable,MATCH(D475,rt_Code,0)),"Unknown"))</f>
        <v>Yes</v>
      </c>
      <c r="L475" s="38" t="n">
        <f aca="false">IF(K475&lt;&gt;"Yes","",IFERROR(INDEX(cr_Rate,MATCH(J475&amp;"|"&amp;D475,cr_Key,0)),INDEX(rt_Rate,MATCH(D475,rt_Code,0))))</f>
        <v>110</v>
      </c>
      <c r="M475" s="25" t="n">
        <f aca="false">IF(L475="","",ROUND(N(E475)*L475,2))</f>
        <v>137.5</v>
      </c>
      <c r="N475" s="39" t="n">
        <f aca="false">IF(OR(A475="",B475=""),"",SUMIFS(tl_Hours,tl_StaffID,I475,tl_Date,A475))</f>
        <v>8</v>
      </c>
      <c r="O475" s="40" t="str">
        <f aca="false">IF(A475&amp;B475&amp;D475="","",IF(OR(A475="",B475="",D475="",E475=""),"Incomplete",IF(K475="Unknown","Unknown code",IF(AND(K475="Yes",C475=""),"Billable, needs client",IF(N475&gt;MaxDayHours,"Over "&amp;MaxDayHours&amp;" hours that day","")))))</f>
        <v/>
      </c>
    </row>
    <row r="476" customFormat="false" ht="15" hidden="false" customHeight="false" outlineLevel="0" collapsed="false">
      <c r="A476" s="31" t="n">
        <v>46231</v>
      </c>
      <c r="B476" s="32" t="s">
        <v>100</v>
      </c>
      <c r="C476" s="32" t="s">
        <v>102</v>
      </c>
      <c r="D476" s="33" t="s">
        <v>113</v>
      </c>
      <c r="E476" s="34" t="n">
        <v>0.75</v>
      </c>
      <c r="F476" s="32"/>
      <c r="G476" s="35" t="n">
        <f aca="false">IF(A476="","",A476+7-WEEKDAY(A476))</f>
        <v>46235</v>
      </c>
      <c r="H476" s="36" t="n">
        <f aca="false">IF(A476="","",DATE(YEAR(A476),MONTH(A476),1))</f>
        <v>46204</v>
      </c>
      <c r="I476" s="37" t="str">
        <f aca="false">IF(B476="","",IFERROR(INDEX(st_ID,MATCH(B476,st_Name,0)),"Unknown"))</f>
        <v>QP-03</v>
      </c>
      <c r="J476" s="37" t="str">
        <f aca="false">IF(C476="","",IFERROR(INDEX(cl_Code,MATCH(C476,cl_Name,0)),"Unknown"))</f>
        <v>CLH</v>
      </c>
      <c r="K476" s="37" t="str">
        <f aca="false">IF(D476="","",IFERROR(INDEX(rt_Billable,MATCH(D476,rt_Code,0)),"Unknown"))</f>
        <v>Yes</v>
      </c>
      <c r="L476" s="38" t="n">
        <f aca="false">IF(K476&lt;&gt;"Yes","",IFERROR(INDEX(cr_Rate,MATCH(J476&amp;"|"&amp;D476,cr_Key,0)),INDEX(rt_Rate,MATCH(D476,rt_Code,0))))</f>
        <v>75</v>
      </c>
      <c r="M476" s="25" t="n">
        <f aca="false">IF(L476="","",ROUND(N(E476)*L476,2))</f>
        <v>56.25</v>
      </c>
      <c r="N476" s="39" t="n">
        <f aca="false">IF(OR(A476="",B476=""),"",SUMIFS(tl_Hours,tl_StaffID,I476,tl_Date,A476))</f>
        <v>8</v>
      </c>
      <c r="O476" s="40" t="str">
        <f aca="false">IF(A476&amp;B476&amp;D476="","",IF(OR(A476="",B476="",D476="",E476=""),"Incomplete",IF(K476="Unknown","Unknown code",IF(AND(K476="Yes",C476=""),"Billable, needs client",IF(N476&gt;MaxDayHours,"Over "&amp;MaxDayHours&amp;" hours that day","")))))</f>
        <v/>
      </c>
    </row>
    <row r="477" customFormat="false" ht="15" hidden="false" customHeight="false" outlineLevel="0" collapsed="false">
      <c r="A477" s="31" t="n">
        <v>46231</v>
      </c>
      <c r="B477" s="32" t="s">
        <v>100</v>
      </c>
      <c r="C477" s="32" t="s">
        <v>90</v>
      </c>
      <c r="D477" s="33" t="s">
        <v>88</v>
      </c>
      <c r="E477" s="34" t="n">
        <v>1.5</v>
      </c>
      <c r="F477" s="32"/>
      <c r="G477" s="35" t="n">
        <f aca="false">IF(A477="","",A477+7-WEEKDAY(A477))</f>
        <v>46235</v>
      </c>
      <c r="H477" s="36" t="n">
        <f aca="false">IF(A477="","",DATE(YEAR(A477),MONTH(A477),1))</f>
        <v>46204</v>
      </c>
      <c r="I477" s="37" t="str">
        <f aca="false">IF(B477="","",IFERROR(INDEX(st_ID,MATCH(B477,st_Name,0)),"Unknown"))</f>
        <v>QP-03</v>
      </c>
      <c r="J477" s="37" t="str">
        <f aca="false">IF(C477="","",IFERROR(INDEX(cl_Code,MATCH(C477,cl_Name,0)),"Unknown"))</f>
        <v>BSE</v>
      </c>
      <c r="K477" s="37" t="str">
        <f aca="false">IF(D477="","",IFERROR(INDEX(rt_Billable,MATCH(D477,rt_Code,0)),"Unknown"))</f>
        <v>Yes</v>
      </c>
      <c r="L477" s="38" t="n">
        <f aca="false">IF(K477&lt;&gt;"Yes","",IFERROR(INDEX(cr_Rate,MATCH(J477&amp;"|"&amp;D477,cr_Key,0)),INDEX(rt_Rate,MATCH(D477,rt_Code,0))))</f>
        <v>104</v>
      </c>
      <c r="M477" s="25" t="n">
        <f aca="false">IF(L477="","",ROUND(N(E477)*L477,2))</f>
        <v>156</v>
      </c>
      <c r="N477" s="39" t="n">
        <f aca="false">IF(OR(A477="",B477=""),"",SUMIFS(tl_Hours,tl_StaffID,I477,tl_Date,A477))</f>
        <v>8</v>
      </c>
      <c r="O477" s="40" t="str">
        <f aca="false">IF(A477&amp;B477&amp;D477="","",IF(OR(A477="",B477="",D477="",E477=""),"Incomplete",IF(K477="Unknown","Unknown code",IF(AND(K477="Yes",C477=""),"Billable, needs client",IF(N477&gt;MaxDayHours,"Over "&amp;MaxDayHours&amp;" hours that day","")))))</f>
        <v/>
      </c>
    </row>
    <row r="478" customFormat="false" ht="15" hidden="false" customHeight="false" outlineLevel="0" collapsed="false">
      <c r="A478" s="31" t="n">
        <v>46231</v>
      </c>
      <c r="B478" s="32" t="s">
        <v>100</v>
      </c>
      <c r="C478" s="32" t="s">
        <v>90</v>
      </c>
      <c r="D478" s="33" t="s">
        <v>104</v>
      </c>
      <c r="E478" s="34" t="n">
        <v>0.5</v>
      </c>
      <c r="F478" s="32"/>
      <c r="G478" s="35" t="n">
        <f aca="false">IF(A478="","",A478+7-WEEKDAY(A478))</f>
        <v>46235</v>
      </c>
      <c r="H478" s="36" t="n">
        <f aca="false">IF(A478="","",DATE(YEAR(A478),MONTH(A478),1))</f>
        <v>46204</v>
      </c>
      <c r="I478" s="37" t="str">
        <f aca="false">IF(B478="","",IFERROR(INDEX(st_ID,MATCH(B478,st_Name,0)),"Unknown"))</f>
        <v>QP-03</v>
      </c>
      <c r="J478" s="37" t="str">
        <f aca="false">IF(C478="","",IFERROR(INDEX(cl_Code,MATCH(C478,cl_Name,0)),"Unknown"))</f>
        <v>BSE</v>
      </c>
      <c r="K478" s="37" t="str">
        <f aca="false">IF(D478="","",IFERROR(INDEX(rt_Billable,MATCH(D478,rt_Code,0)),"Unknown"))</f>
        <v>Yes</v>
      </c>
      <c r="L478" s="38" t="n">
        <f aca="false">IF(K478&lt;&gt;"Yes","",IFERROR(INDEX(cr_Rate,MATCH(J478&amp;"|"&amp;D478,cr_Key,0)),INDEX(rt_Rate,MATCH(D478,rt_Code,0))))</f>
        <v>70</v>
      </c>
      <c r="M478" s="25" t="n">
        <f aca="false">IF(L478="","",ROUND(N(E478)*L478,2))</f>
        <v>35</v>
      </c>
      <c r="N478" s="39" t="n">
        <f aca="false">IF(OR(A478="",B478=""),"",SUMIFS(tl_Hours,tl_StaffID,I478,tl_Date,A478))</f>
        <v>8</v>
      </c>
      <c r="O478" s="40" t="str">
        <f aca="false">IF(A478&amp;B478&amp;D478="","",IF(OR(A478="",B478="",D478="",E478=""),"Incomplete",IF(K478="Unknown","Unknown code",IF(AND(K478="Yes",C478=""),"Billable, needs client",IF(N478&gt;MaxDayHours,"Over "&amp;MaxDayHours&amp;" hours that day","")))))</f>
        <v/>
      </c>
    </row>
    <row r="479" customFormat="false" ht="15" hidden="false" customHeight="false" outlineLevel="0" collapsed="false">
      <c r="A479" s="31" t="n">
        <v>46231</v>
      </c>
      <c r="B479" s="32" t="s">
        <v>100</v>
      </c>
      <c r="C479" s="32"/>
      <c r="D479" s="33" t="s">
        <v>93</v>
      </c>
      <c r="E479" s="34" t="n">
        <v>0.5</v>
      </c>
      <c r="F479" s="32"/>
      <c r="G479" s="35" t="n">
        <f aca="false">IF(A479="","",A479+7-WEEKDAY(A479))</f>
        <v>46235</v>
      </c>
      <c r="H479" s="36" t="n">
        <f aca="false">IF(A479="","",DATE(YEAR(A479),MONTH(A479),1))</f>
        <v>46204</v>
      </c>
      <c r="I479" s="37" t="str">
        <f aca="false">IF(B479="","",IFERROR(INDEX(st_ID,MATCH(B479,st_Name,0)),"Unknown"))</f>
        <v>QP-03</v>
      </c>
      <c r="J479" s="37" t="str">
        <f aca="false">IF(C479="","",IFERROR(INDEX(cl_Code,MATCH(C479,cl_Name,0)),"Unknown"))</f>
        <v/>
      </c>
      <c r="K479" s="37" t="str">
        <f aca="false">IF(D479="","",IFERROR(INDEX(rt_Billable,MATCH(D479,rt_Code,0)),"Unknown"))</f>
        <v>No</v>
      </c>
      <c r="L479" s="38" t="str">
        <f aca="false">IF(K479&lt;&gt;"Yes","",IFERROR(INDEX(cr_Rate,MATCH(J479&amp;"|"&amp;D479,cr_Key,0)),INDEX(rt_Rate,MATCH(D479,rt_Code,0))))</f>
        <v/>
      </c>
      <c r="M479" s="25" t="str">
        <f aca="false">IF(L479="","",ROUND(N(E479)*L479,2))</f>
        <v/>
      </c>
      <c r="N479" s="39" t="n">
        <f aca="false">IF(OR(A479="",B479=""),"",SUMIFS(tl_Hours,tl_StaffID,I479,tl_Date,A479))</f>
        <v>8</v>
      </c>
      <c r="O479" s="40" t="str">
        <f aca="false">IF(A479&amp;B479&amp;D479="","",IF(OR(A479="",B479="",D479="",E479=""),"Incomplete",IF(K479="Unknown","Unknown code",IF(AND(K479="Yes",C479=""),"Billable, needs client",IF(N479&gt;MaxDayHours,"Over "&amp;MaxDayHours&amp;" hours that day","")))))</f>
        <v/>
      </c>
    </row>
    <row r="480" customFormat="false" ht="15" hidden="false" customHeight="false" outlineLevel="0" collapsed="false">
      <c r="A480" s="31" t="n">
        <v>46231</v>
      </c>
      <c r="B480" s="32" t="s">
        <v>100</v>
      </c>
      <c r="C480" s="32"/>
      <c r="D480" s="33" t="s">
        <v>96</v>
      </c>
      <c r="E480" s="34" t="n">
        <v>3.5</v>
      </c>
      <c r="F480" s="32"/>
      <c r="G480" s="35" t="n">
        <f aca="false">IF(A480="","",A480+7-WEEKDAY(A480))</f>
        <v>46235</v>
      </c>
      <c r="H480" s="36" t="n">
        <f aca="false">IF(A480="","",DATE(YEAR(A480),MONTH(A480),1))</f>
        <v>46204</v>
      </c>
      <c r="I480" s="37" t="str">
        <f aca="false">IF(B480="","",IFERROR(INDEX(st_ID,MATCH(B480,st_Name,0)),"Unknown"))</f>
        <v>QP-03</v>
      </c>
      <c r="J480" s="37" t="str">
        <f aca="false">IF(C480="","",IFERROR(INDEX(cl_Code,MATCH(C480,cl_Name,0)),"Unknown"))</f>
        <v/>
      </c>
      <c r="K480" s="37" t="str">
        <f aca="false">IF(D480="","",IFERROR(INDEX(rt_Billable,MATCH(D480,rt_Code,0)),"Unknown"))</f>
        <v>No</v>
      </c>
      <c r="L480" s="38" t="str">
        <f aca="false">IF(K480&lt;&gt;"Yes","",IFERROR(INDEX(cr_Rate,MATCH(J480&amp;"|"&amp;D480,cr_Key,0)),INDEX(rt_Rate,MATCH(D480,rt_Code,0))))</f>
        <v/>
      </c>
      <c r="M480" s="25" t="str">
        <f aca="false">IF(L480="","",ROUND(N(E480)*L480,2))</f>
        <v/>
      </c>
      <c r="N480" s="39" t="n">
        <f aca="false">IF(OR(A480="",B480=""),"",SUMIFS(tl_Hours,tl_StaffID,I480,tl_Date,A480))</f>
        <v>8</v>
      </c>
      <c r="O480" s="40" t="str">
        <f aca="false">IF(A480&amp;B480&amp;D480="","",IF(OR(A480="",B480="",D480="",E480=""),"Incomplete",IF(K480="Unknown","Unknown code",IF(AND(K480="Yes",C480=""),"Billable, needs client",IF(N480&gt;MaxDayHours,"Over "&amp;MaxDayHours&amp;" hours that day","")))))</f>
        <v/>
      </c>
    </row>
    <row r="481" customFormat="false" ht="15" hidden="false" customHeight="false" outlineLevel="0" collapsed="false">
      <c r="A481" s="31" t="n">
        <v>46231</v>
      </c>
      <c r="B481" s="32" t="s">
        <v>101</v>
      </c>
      <c r="C481" s="32" t="s">
        <v>102</v>
      </c>
      <c r="D481" s="33" t="s">
        <v>88</v>
      </c>
      <c r="E481" s="34" t="n">
        <v>3</v>
      </c>
      <c r="F481" s="32"/>
      <c r="G481" s="35" t="n">
        <f aca="false">IF(A481="","",A481+7-WEEKDAY(A481))</f>
        <v>46235</v>
      </c>
      <c r="H481" s="36" t="n">
        <f aca="false">IF(A481="","",DATE(YEAR(A481),MONTH(A481),1))</f>
        <v>46204</v>
      </c>
      <c r="I481" s="37" t="str">
        <f aca="false">IF(B481="","",IFERROR(INDEX(st_ID,MATCH(B481,st_Name,0)),"Unknown"))</f>
        <v>QP-04</v>
      </c>
      <c r="J481" s="37" t="str">
        <f aca="false">IF(C481="","",IFERROR(INDEX(cl_Code,MATCH(C481,cl_Name,0)),"Unknown"))</f>
        <v>CLH</v>
      </c>
      <c r="K481" s="37" t="str">
        <f aca="false">IF(D481="","",IFERROR(INDEX(rt_Billable,MATCH(D481,rt_Code,0)),"Unknown"))</f>
        <v>Yes</v>
      </c>
      <c r="L481" s="38" t="n">
        <f aca="false">IF(K481&lt;&gt;"Yes","",IFERROR(INDEX(cr_Rate,MATCH(J481&amp;"|"&amp;D481,cr_Key,0)),INDEX(rt_Rate,MATCH(D481,rt_Code,0))))</f>
        <v>110</v>
      </c>
      <c r="M481" s="25" t="n">
        <f aca="false">IF(L481="","",ROUND(N(E481)*L481,2))</f>
        <v>330</v>
      </c>
      <c r="N481" s="39" t="n">
        <f aca="false">IF(OR(A481="",B481=""),"",SUMIFS(tl_Hours,tl_StaffID,I481,tl_Date,A481))</f>
        <v>8</v>
      </c>
      <c r="O481" s="40" t="str">
        <f aca="false">IF(A481&amp;B481&amp;D481="","",IF(OR(A481="",B481="",D481="",E481=""),"Incomplete",IF(K481="Unknown","Unknown code",IF(AND(K481="Yes",C481=""),"Billable, needs client",IF(N481&gt;MaxDayHours,"Over "&amp;MaxDayHours&amp;" hours that day","")))))</f>
        <v/>
      </c>
    </row>
    <row r="482" customFormat="false" ht="15" hidden="false" customHeight="false" outlineLevel="0" collapsed="false">
      <c r="A482" s="31" t="n">
        <v>46231</v>
      </c>
      <c r="B482" s="32" t="s">
        <v>101</v>
      </c>
      <c r="C482" s="32" t="s">
        <v>102</v>
      </c>
      <c r="D482" s="33" t="s">
        <v>113</v>
      </c>
      <c r="E482" s="34" t="n">
        <v>1.5</v>
      </c>
      <c r="F482" s="32"/>
      <c r="G482" s="35" t="n">
        <f aca="false">IF(A482="","",A482+7-WEEKDAY(A482))</f>
        <v>46235</v>
      </c>
      <c r="H482" s="36" t="n">
        <f aca="false">IF(A482="","",DATE(YEAR(A482),MONTH(A482),1))</f>
        <v>46204</v>
      </c>
      <c r="I482" s="37" t="str">
        <f aca="false">IF(B482="","",IFERROR(INDEX(st_ID,MATCH(B482,st_Name,0)),"Unknown"))</f>
        <v>QP-04</v>
      </c>
      <c r="J482" s="37" t="str">
        <f aca="false">IF(C482="","",IFERROR(INDEX(cl_Code,MATCH(C482,cl_Name,0)),"Unknown"))</f>
        <v>CLH</v>
      </c>
      <c r="K482" s="37" t="str">
        <f aca="false">IF(D482="","",IFERROR(INDEX(rt_Billable,MATCH(D482,rt_Code,0)),"Unknown"))</f>
        <v>Yes</v>
      </c>
      <c r="L482" s="38" t="n">
        <f aca="false">IF(K482&lt;&gt;"Yes","",IFERROR(INDEX(cr_Rate,MATCH(J482&amp;"|"&amp;D482,cr_Key,0)),INDEX(rt_Rate,MATCH(D482,rt_Code,0))))</f>
        <v>75</v>
      </c>
      <c r="M482" s="25" t="n">
        <f aca="false">IF(L482="","",ROUND(N(E482)*L482,2))</f>
        <v>112.5</v>
      </c>
      <c r="N482" s="39" t="n">
        <f aca="false">IF(OR(A482="",B482=""),"",SUMIFS(tl_Hours,tl_StaffID,I482,tl_Date,A482))</f>
        <v>8</v>
      </c>
      <c r="O482" s="40" t="str">
        <f aca="false">IF(A482&amp;B482&amp;D482="","",IF(OR(A482="",B482="",D482="",E482=""),"Incomplete",IF(K482="Unknown","Unknown code",IF(AND(K482="Yes",C482=""),"Billable, needs client",IF(N482&gt;MaxDayHours,"Over "&amp;MaxDayHours&amp;" hours that day","")))))</f>
        <v/>
      </c>
    </row>
    <row r="483" customFormat="false" ht="15" hidden="false" customHeight="false" outlineLevel="0" collapsed="false">
      <c r="A483" s="31" t="n">
        <v>46231</v>
      </c>
      <c r="B483" s="32" t="s">
        <v>101</v>
      </c>
      <c r="C483" s="32"/>
      <c r="D483" s="33" t="s">
        <v>96</v>
      </c>
      <c r="E483" s="34" t="n">
        <v>3.5</v>
      </c>
      <c r="F483" s="32"/>
      <c r="G483" s="35" t="n">
        <f aca="false">IF(A483="","",A483+7-WEEKDAY(A483))</f>
        <v>46235</v>
      </c>
      <c r="H483" s="36" t="n">
        <f aca="false">IF(A483="","",DATE(YEAR(A483),MONTH(A483),1))</f>
        <v>46204</v>
      </c>
      <c r="I483" s="37" t="str">
        <f aca="false">IF(B483="","",IFERROR(INDEX(st_ID,MATCH(B483,st_Name,0)),"Unknown"))</f>
        <v>QP-04</v>
      </c>
      <c r="J483" s="37" t="str">
        <f aca="false">IF(C483="","",IFERROR(INDEX(cl_Code,MATCH(C483,cl_Name,0)),"Unknown"))</f>
        <v/>
      </c>
      <c r="K483" s="37" t="str">
        <f aca="false">IF(D483="","",IFERROR(INDEX(rt_Billable,MATCH(D483,rt_Code,0)),"Unknown"))</f>
        <v>No</v>
      </c>
      <c r="L483" s="38" t="str">
        <f aca="false">IF(K483&lt;&gt;"Yes","",IFERROR(INDEX(cr_Rate,MATCH(J483&amp;"|"&amp;D483,cr_Key,0)),INDEX(rt_Rate,MATCH(D483,rt_Code,0))))</f>
        <v/>
      </c>
      <c r="M483" s="25" t="str">
        <f aca="false">IF(L483="","",ROUND(N(E483)*L483,2))</f>
        <v/>
      </c>
      <c r="N483" s="39" t="n">
        <f aca="false">IF(OR(A483="",B483=""),"",SUMIFS(tl_Hours,tl_StaffID,I483,tl_Date,A483))</f>
        <v>8</v>
      </c>
      <c r="O483" s="40" t="str">
        <f aca="false">IF(A483&amp;B483&amp;D483="","",IF(OR(A483="",B483="",D483="",E483=""),"Incomplete",IF(K483="Unknown","Unknown code",IF(AND(K483="Yes",C483=""),"Billable, needs client",IF(N483&gt;MaxDayHours,"Over "&amp;MaxDayHours&amp;" hours that day","")))))</f>
        <v/>
      </c>
    </row>
    <row r="484" customFormat="false" ht="15" hidden="false" customHeight="false" outlineLevel="0" collapsed="false">
      <c r="A484" s="31" t="n">
        <v>46231</v>
      </c>
      <c r="B484" s="32" t="s">
        <v>103</v>
      </c>
      <c r="C484" s="32" t="s">
        <v>90</v>
      </c>
      <c r="D484" s="33" t="s">
        <v>88</v>
      </c>
      <c r="E484" s="34" t="n">
        <v>2.25</v>
      </c>
      <c r="F484" s="32"/>
      <c r="G484" s="35" t="n">
        <f aca="false">IF(A484="","",A484+7-WEEKDAY(A484))</f>
        <v>46235</v>
      </c>
      <c r="H484" s="36" t="n">
        <f aca="false">IF(A484="","",DATE(YEAR(A484),MONTH(A484),1))</f>
        <v>46204</v>
      </c>
      <c r="I484" s="37" t="str">
        <f aca="false">IF(B484="","",IFERROR(INDEX(st_ID,MATCH(B484,st_Name,0)),"Unknown"))</f>
        <v>QP-05</v>
      </c>
      <c r="J484" s="37" t="str">
        <f aca="false">IF(C484="","",IFERROR(INDEX(cl_Code,MATCH(C484,cl_Name,0)),"Unknown"))</f>
        <v>BSE</v>
      </c>
      <c r="K484" s="37" t="str">
        <f aca="false">IF(D484="","",IFERROR(INDEX(rt_Billable,MATCH(D484,rt_Code,0)),"Unknown"))</f>
        <v>Yes</v>
      </c>
      <c r="L484" s="38" t="n">
        <f aca="false">IF(K484&lt;&gt;"Yes","",IFERROR(INDEX(cr_Rate,MATCH(J484&amp;"|"&amp;D484,cr_Key,0)),INDEX(rt_Rate,MATCH(D484,rt_Code,0))))</f>
        <v>104</v>
      </c>
      <c r="M484" s="25" t="n">
        <f aca="false">IF(L484="","",ROUND(N(E484)*L484,2))</f>
        <v>234</v>
      </c>
      <c r="N484" s="39" t="n">
        <f aca="false">IF(OR(A484="",B484=""),"",SUMIFS(tl_Hours,tl_StaffID,I484,tl_Date,A484))</f>
        <v>8</v>
      </c>
      <c r="O484" s="40" t="str">
        <f aca="false">IF(A484&amp;B484&amp;D484="","",IF(OR(A484="",B484="",D484="",E484=""),"Incomplete",IF(K484="Unknown","Unknown code",IF(AND(K484="Yes",C484=""),"Billable, needs client",IF(N484&gt;MaxDayHours,"Over "&amp;MaxDayHours&amp;" hours that day","")))))</f>
        <v/>
      </c>
    </row>
    <row r="485" customFormat="false" ht="15" hidden="false" customHeight="false" outlineLevel="0" collapsed="false">
      <c r="A485" s="31" t="n">
        <v>46231</v>
      </c>
      <c r="B485" s="32" t="s">
        <v>103</v>
      </c>
      <c r="C485" s="32" t="s">
        <v>90</v>
      </c>
      <c r="D485" s="33" t="s">
        <v>92</v>
      </c>
      <c r="E485" s="34" t="n">
        <v>1.5</v>
      </c>
      <c r="F485" s="32"/>
      <c r="G485" s="35" t="n">
        <f aca="false">IF(A485="","",A485+7-WEEKDAY(A485))</f>
        <v>46235</v>
      </c>
      <c r="H485" s="36" t="n">
        <f aca="false">IF(A485="","",DATE(YEAR(A485),MONTH(A485),1))</f>
        <v>46204</v>
      </c>
      <c r="I485" s="37" t="str">
        <f aca="false">IF(B485="","",IFERROR(INDEX(st_ID,MATCH(B485,st_Name,0)),"Unknown"))</f>
        <v>QP-05</v>
      </c>
      <c r="J485" s="37" t="str">
        <f aca="false">IF(C485="","",IFERROR(INDEX(cl_Code,MATCH(C485,cl_Name,0)),"Unknown"))</f>
        <v>BSE</v>
      </c>
      <c r="K485" s="37" t="str">
        <f aca="false">IF(D485="","",IFERROR(INDEX(rt_Billable,MATCH(D485,rt_Code,0)),"Unknown"))</f>
        <v>Yes</v>
      </c>
      <c r="L485" s="38" t="n">
        <f aca="false">IF(K485&lt;&gt;"Yes","",IFERROR(INDEX(cr_Rate,MATCH(J485&amp;"|"&amp;D485,cr_Key,0)),INDEX(rt_Rate,MATCH(D485,rt_Code,0))))</f>
        <v>145</v>
      </c>
      <c r="M485" s="25" t="n">
        <f aca="false">IF(L485="","",ROUND(N(E485)*L485,2))</f>
        <v>217.5</v>
      </c>
      <c r="N485" s="39" t="n">
        <f aca="false">IF(OR(A485="",B485=""),"",SUMIFS(tl_Hours,tl_StaffID,I485,tl_Date,A485))</f>
        <v>8</v>
      </c>
      <c r="O485" s="40" t="str">
        <f aca="false">IF(A485&amp;B485&amp;D485="","",IF(OR(A485="",B485="",D485="",E485=""),"Incomplete",IF(K485="Unknown","Unknown code",IF(AND(K485="Yes",C485=""),"Billable, needs client",IF(N485&gt;MaxDayHours,"Over "&amp;MaxDayHours&amp;" hours that day","")))))</f>
        <v/>
      </c>
    </row>
    <row r="486" customFormat="false" ht="15" hidden="false" customHeight="false" outlineLevel="0" collapsed="false">
      <c r="A486" s="31" t="n">
        <v>46231</v>
      </c>
      <c r="B486" s="32" t="s">
        <v>103</v>
      </c>
      <c r="C486" s="32"/>
      <c r="D486" s="33" t="s">
        <v>96</v>
      </c>
      <c r="E486" s="34" t="n">
        <v>4.25</v>
      </c>
      <c r="F486" s="32"/>
      <c r="G486" s="35" t="n">
        <f aca="false">IF(A486="","",A486+7-WEEKDAY(A486))</f>
        <v>46235</v>
      </c>
      <c r="H486" s="36" t="n">
        <f aca="false">IF(A486="","",DATE(YEAR(A486),MONTH(A486),1))</f>
        <v>46204</v>
      </c>
      <c r="I486" s="37" t="str">
        <f aca="false">IF(B486="","",IFERROR(INDEX(st_ID,MATCH(B486,st_Name,0)),"Unknown"))</f>
        <v>QP-05</v>
      </c>
      <c r="J486" s="37" t="str">
        <f aca="false">IF(C486="","",IFERROR(INDEX(cl_Code,MATCH(C486,cl_Name,0)),"Unknown"))</f>
        <v/>
      </c>
      <c r="K486" s="37" t="str">
        <f aca="false">IF(D486="","",IFERROR(INDEX(rt_Billable,MATCH(D486,rt_Code,0)),"Unknown"))</f>
        <v>No</v>
      </c>
      <c r="L486" s="38" t="str">
        <f aca="false">IF(K486&lt;&gt;"Yes","",IFERROR(INDEX(cr_Rate,MATCH(J486&amp;"|"&amp;D486,cr_Key,0)),INDEX(rt_Rate,MATCH(D486,rt_Code,0))))</f>
        <v/>
      </c>
      <c r="M486" s="25" t="str">
        <f aca="false">IF(L486="","",ROUND(N(E486)*L486,2))</f>
        <v/>
      </c>
      <c r="N486" s="39" t="n">
        <f aca="false">IF(OR(A486="",B486=""),"",SUMIFS(tl_Hours,tl_StaffID,I486,tl_Date,A486))</f>
        <v>8</v>
      </c>
      <c r="O486" s="40" t="str">
        <f aca="false">IF(A486&amp;B486&amp;D486="","",IF(OR(A486="",B486="",D486="",E486=""),"Incomplete",IF(K486="Unknown","Unknown code",IF(AND(K486="Yes",C486=""),"Billable, needs client",IF(N486&gt;MaxDayHours,"Over "&amp;MaxDayHours&amp;" hours that day","")))))</f>
        <v/>
      </c>
    </row>
    <row r="487" customFormat="false" ht="15" hidden="false" customHeight="false" outlineLevel="0" collapsed="false">
      <c r="A487" s="31" t="n">
        <v>46231</v>
      </c>
      <c r="B487" s="32" t="s">
        <v>105</v>
      </c>
      <c r="C487" s="32" t="s">
        <v>90</v>
      </c>
      <c r="D487" s="33" t="s">
        <v>91</v>
      </c>
      <c r="E487" s="34" t="n">
        <v>2.75</v>
      </c>
      <c r="F487" s="32"/>
      <c r="G487" s="35" t="n">
        <f aca="false">IF(A487="","",A487+7-WEEKDAY(A487))</f>
        <v>46235</v>
      </c>
      <c r="H487" s="36" t="n">
        <f aca="false">IF(A487="","",DATE(YEAR(A487),MONTH(A487),1))</f>
        <v>46204</v>
      </c>
      <c r="I487" s="37" t="str">
        <f aca="false">IF(B487="","",IFERROR(INDEX(st_ID,MATCH(B487,st_Name,0)),"Unknown"))</f>
        <v>QP-06</v>
      </c>
      <c r="J487" s="37" t="str">
        <f aca="false">IF(C487="","",IFERROR(INDEX(cl_Code,MATCH(C487,cl_Name,0)),"Unknown"))</f>
        <v>BSE</v>
      </c>
      <c r="K487" s="37" t="str">
        <f aca="false">IF(D487="","",IFERROR(INDEX(rt_Billable,MATCH(D487,rt_Code,0)),"Unknown"))</f>
        <v>Yes</v>
      </c>
      <c r="L487" s="38" t="n">
        <f aca="false">IF(K487&lt;&gt;"Yes","",IFERROR(INDEX(cr_Rate,MATCH(J487&amp;"|"&amp;D487,cr_Key,0)),INDEX(rt_Rate,MATCH(D487,rt_Code,0))))</f>
        <v>100</v>
      </c>
      <c r="M487" s="25" t="n">
        <f aca="false">IF(L487="","",ROUND(N(E487)*L487,2))</f>
        <v>275</v>
      </c>
      <c r="N487" s="39" t="n">
        <f aca="false">IF(OR(A487="",B487=""),"",SUMIFS(tl_Hours,tl_StaffID,I487,tl_Date,A487))</f>
        <v>8</v>
      </c>
      <c r="O487" s="40" t="str">
        <f aca="false">IF(A487&amp;B487&amp;D487="","",IF(OR(A487="",B487="",D487="",E487=""),"Incomplete",IF(K487="Unknown","Unknown code",IF(AND(K487="Yes",C487=""),"Billable, needs client",IF(N487&gt;MaxDayHours,"Over "&amp;MaxDayHours&amp;" hours that day","")))))</f>
        <v/>
      </c>
    </row>
    <row r="488" customFormat="false" ht="15" hidden="false" customHeight="false" outlineLevel="0" collapsed="false">
      <c r="A488" s="31" t="n">
        <v>46231</v>
      </c>
      <c r="B488" s="32" t="s">
        <v>105</v>
      </c>
      <c r="C488" s="32" t="s">
        <v>90</v>
      </c>
      <c r="D488" s="33" t="s">
        <v>92</v>
      </c>
      <c r="E488" s="34" t="n">
        <v>1</v>
      </c>
      <c r="F488" s="32"/>
      <c r="G488" s="35" t="n">
        <f aca="false">IF(A488="","",A488+7-WEEKDAY(A488))</f>
        <v>46235</v>
      </c>
      <c r="H488" s="36" t="n">
        <f aca="false">IF(A488="","",DATE(YEAR(A488),MONTH(A488),1))</f>
        <v>46204</v>
      </c>
      <c r="I488" s="37" t="str">
        <f aca="false">IF(B488="","",IFERROR(INDEX(st_ID,MATCH(B488,st_Name,0)),"Unknown"))</f>
        <v>QP-06</v>
      </c>
      <c r="J488" s="37" t="str">
        <f aca="false">IF(C488="","",IFERROR(INDEX(cl_Code,MATCH(C488,cl_Name,0)),"Unknown"))</f>
        <v>BSE</v>
      </c>
      <c r="K488" s="37" t="str">
        <f aca="false">IF(D488="","",IFERROR(INDEX(rt_Billable,MATCH(D488,rt_Code,0)),"Unknown"))</f>
        <v>Yes</v>
      </c>
      <c r="L488" s="38" t="n">
        <f aca="false">IF(K488&lt;&gt;"Yes","",IFERROR(INDEX(cr_Rate,MATCH(J488&amp;"|"&amp;D488,cr_Key,0)),INDEX(rt_Rate,MATCH(D488,rt_Code,0))))</f>
        <v>145</v>
      </c>
      <c r="M488" s="25" t="n">
        <f aca="false">IF(L488="","",ROUND(N(E488)*L488,2))</f>
        <v>145</v>
      </c>
      <c r="N488" s="39" t="n">
        <f aca="false">IF(OR(A488="",B488=""),"",SUMIFS(tl_Hours,tl_StaffID,I488,tl_Date,A488))</f>
        <v>8</v>
      </c>
      <c r="O488" s="40" t="str">
        <f aca="false">IF(A488&amp;B488&amp;D488="","",IF(OR(A488="",B488="",D488="",E488=""),"Incomplete",IF(K488="Unknown","Unknown code",IF(AND(K488="Yes",C488=""),"Billable, needs client",IF(N488&gt;MaxDayHours,"Over "&amp;MaxDayHours&amp;" hours that day","")))))</f>
        <v/>
      </c>
    </row>
    <row r="489" customFormat="false" ht="15" hidden="false" customHeight="false" outlineLevel="0" collapsed="false">
      <c r="A489" s="31" t="n">
        <v>46231</v>
      </c>
      <c r="B489" s="32" t="s">
        <v>105</v>
      </c>
      <c r="C489" s="32"/>
      <c r="D489" s="33" t="s">
        <v>96</v>
      </c>
      <c r="E489" s="34" t="n">
        <v>4.25</v>
      </c>
      <c r="F489" s="32"/>
      <c r="G489" s="35" t="n">
        <f aca="false">IF(A489="","",A489+7-WEEKDAY(A489))</f>
        <v>46235</v>
      </c>
      <c r="H489" s="36" t="n">
        <f aca="false">IF(A489="","",DATE(YEAR(A489),MONTH(A489),1))</f>
        <v>46204</v>
      </c>
      <c r="I489" s="37" t="str">
        <f aca="false">IF(B489="","",IFERROR(INDEX(st_ID,MATCH(B489,st_Name,0)),"Unknown"))</f>
        <v>QP-06</v>
      </c>
      <c r="J489" s="37" t="str">
        <f aca="false">IF(C489="","",IFERROR(INDEX(cl_Code,MATCH(C489,cl_Name,0)),"Unknown"))</f>
        <v/>
      </c>
      <c r="K489" s="37" t="str">
        <f aca="false">IF(D489="","",IFERROR(INDEX(rt_Billable,MATCH(D489,rt_Code,0)),"Unknown"))</f>
        <v>No</v>
      </c>
      <c r="L489" s="38" t="str">
        <f aca="false">IF(K489&lt;&gt;"Yes","",IFERROR(INDEX(cr_Rate,MATCH(J489&amp;"|"&amp;D489,cr_Key,0)),INDEX(rt_Rate,MATCH(D489,rt_Code,0))))</f>
        <v/>
      </c>
      <c r="M489" s="25" t="str">
        <f aca="false">IF(L489="","",ROUND(N(E489)*L489,2))</f>
        <v/>
      </c>
      <c r="N489" s="39" t="n">
        <f aca="false">IF(OR(A489="",B489=""),"",SUMIFS(tl_Hours,tl_StaffID,I489,tl_Date,A489))</f>
        <v>8</v>
      </c>
      <c r="O489" s="40" t="str">
        <f aca="false">IF(A489&amp;B489&amp;D489="","",IF(OR(A489="",B489="",D489="",E489=""),"Incomplete",IF(K489="Unknown","Unknown code",IF(AND(K489="Yes",C489=""),"Billable, needs client",IF(N489&gt;MaxDayHours,"Over "&amp;MaxDayHours&amp;" hours that day","")))))</f>
        <v/>
      </c>
    </row>
    <row r="490" customFormat="false" ht="15" hidden="false" customHeight="false" outlineLevel="0" collapsed="false">
      <c r="A490" s="31" t="n">
        <v>46231</v>
      </c>
      <c r="B490" s="32" t="s">
        <v>106</v>
      </c>
      <c r="C490" s="32" t="s">
        <v>87</v>
      </c>
      <c r="D490" s="33" t="s">
        <v>88</v>
      </c>
      <c r="E490" s="34" t="n">
        <v>2.25</v>
      </c>
      <c r="F490" s="32"/>
      <c r="G490" s="35" t="n">
        <f aca="false">IF(A490="","",A490+7-WEEKDAY(A490))</f>
        <v>46235</v>
      </c>
      <c r="H490" s="36" t="n">
        <f aca="false">IF(A490="","",DATE(YEAR(A490),MONTH(A490),1))</f>
        <v>46204</v>
      </c>
      <c r="I490" s="37" t="str">
        <f aca="false">IF(B490="","",IFERROR(INDEX(st_ID,MATCH(B490,st_Name,0)),"Unknown"))</f>
        <v>QP-07</v>
      </c>
      <c r="J490" s="37" t="str">
        <f aca="false">IF(C490="","",IFERROR(INDEX(cl_Code,MATCH(C490,cl_Name,0)),"Unknown"))</f>
        <v>HCS</v>
      </c>
      <c r="K490" s="37" t="str">
        <f aca="false">IF(D490="","",IFERROR(INDEX(rt_Billable,MATCH(D490,rt_Code,0)),"Unknown"))</f>
        <v>Yes</v>
      </c>
      <c r="L490" s="38" t="n">
        <f aca="false">IF(K490&lt;&gt;"Yes","",IFERROR(INDEX(cr_Rate,MATCH(J490&amp;"|"&amp;D490,cr_Key,0)),INDEX(rt_Rate,MATCH(D490,rt_Code,0))))</f>
        <v>98</v>
      </c>
      <c r="M490" s="25" t="n">
        <f aca="false">IF(L490="","",ROUND(N(E490)*L490,2))</f>
        <v>220.5</v>
      </c>
      <c r="N490" s="39" t="n">
        <f aca="false">IF(OR(A490="",B490=""),"",SUMIFS(tl_Hours,tl_StaffID,I490,tl_Date,A490))</f>
        <v>8</v>
      </c>
      <c r="O490" s="40" t="str">
        <f aca="false">IF(A490&amp;B490&amp;D490="","",IF(OR(A490="",B490="",D490="",E490=""),"Incomplete",IF(K490="Unknown","Unknown code",IF(AND(K490="Yes",C490=""),"Billable, needs client",IF(N490&gt;MaxDayHours,"Over "&amp;MaxDayHours&amp;" hours that day","")))))</f>
        <v/>
      </c>
    </row>
    <row r="491" customFormat="false" ht="15" hidden="false" customHeight="false" outlineLevel="0" collapsed="false">
      <c r="A491" s="31" t="n">
        <v>46231</v>
      </c>
      <c r="B491" s="32" t="s">
        <v>106</v>
      </c>
      <c r="C491" s="32" t="s">
        <v>87</v>
      </c>
      <c r="D491" s="33" t="s">
        <v>113</v>
      </c>
      <c r="E491" s="34" t="n">
        <v>1.75</v>
      </c>
      <c r="F491" s="32"/>
      <c r="G491" s="35" t="n">
        <f aca="false">IF(A491="","",A491+7-WEEKDAY(A491))</f>
        <v>46235</v>
      </c>
      <c r="H491" s="36" t="n">
        <f aca="false">IF(A491="","",DATE(YEAR(A491),MONTH(A491),1))</f>
        <v>46204</v>
      </c>
      <c r="I491" s="37" t="str">
        <f aca="false">IF(B491="","",IFERROR(INDEX(st_ID,MATCH(B491,st_Name,0)),"Unknown"))</f>
        <v>QP-07</v>
      </c>
      <c r="J491" s="37" t="str">
        <f aca="false">IF(C491="","",IFERROR(INDEX(cl_Code,MATCH(C491,cl_Name,0)),"Unknown"))</f>
        <v>HCS</v>
      </c>
      <c r="K491" s="37" t="str">
        <f aca="false">IF(D491="","",IFERROR(INDEX(rt_Billable,MATCH(D491,rt_Code,0)),"Unknown"))</f>
        <v>Yes</v>
      </c>
      <c r="L491" s="38" t="n">
        <f aca="false">IF(K491&lt;&gt;"Yes","",IFERROR(INDEX(cr_Rate,MATCH(J491&amp;"|"&amp;D491,cr_Key,0)),INDEX(rt_Rate,MATCH(D491,rt_Code,0))))</f>
        <v>85</v>
      </c>
      <c r="M491" s="25" t="n">
        <f aca="false">IF(L491="","",ROUND(N(E491)*L491,2))</f>
        <v>148.75</v>
      </c>
      <c r="N491" s="39" t="n">
        <f aca="false">IF(OR(A491="",B491=""),"",SUMIFS(tl_Hours,tl_StaffID,I491,tl_Date,A491))</f>
        <v>8</v>
      </c>
      <c r="O491" s="40" t="str">
        <f aca="false">IF(A491&amp;B491&amp;D491="","",IF(OR(A491="",B491="",D491="",E491=""),"Incomplete",IF(K491="Unknown","Unknown code",IF(AND(K491="Yes",C491=""),"Billable, needs client",IF(N491&gt;MaxDayHours,"Over "&amp;MaxDayHours&amp;" hours that day","")))))</f>
        <v/>
      </c>
    </row>
    <row r="492" customFormat="false" ht="15" hidden="false" customHeight="false" outlineLevel="0" collapsed="false">
      <c r="A492" s="31" t="n">
        <v>46231</v>
      </c>
      <c r="B492" s="32" t="s">
        <v>106</v>
      </c>
      <c r="C492" s="32"/>
      <c r="D492" s="33" t="s">
        <v>96</v>
      </c>
      <c r="E492" s="34" t="n">
        <v>4</v>
      </c>
      <c r="F492" s="32"/>
      <c r="G492" s="35" t="n">
        <f aca="false">IF(A492="","",A492+7-WEEKDAY(A492))</f>
        <v>46235</v>
      </c>
      <c r="H492" s="36" t="n">
        <f aca="false">IF(A492="","",DATE(YEAR(A492),MONTH(A492),1))</f>
        <v>46204</v>
      </c>
      <c r="I492" s="37" t="str">
        <f aca="false">IF(B492="","",IFERROR(INDEX(st_ID,MATCH(B492,st_Name,0)),"Unknown"))</f>
        <v>QP-07</v>
      </c>
      <c r="J492" s="37" t="str">
        <f aca="false">IF(C492="","",IFERROR(INDEX(cl_Code,MATCH(C492,cl_Name,0)),"Unknown"))</f>
        <v/>
      </c>
      <c r="K492" s="37" t="str">
        <f aca="false">IF(D492="","",IFERROR(INDEX(rt_Billable,MATCH(D492,rt_Code,0)),"Unknown"))</f>
        <v>No</v>
      </c>
      <c r="L492" s="38" t="str">
        <f aca="false">IF(K492&lt;&gt;"Yes","",IFERROR(INDEX(cr_Rate,MATCH(J492&amp;"|"&amp;D492,cr_Key,0)),INDEX(rt_Rate,MATCH(D492,rt_Code,0))))</f>
        <v/>
      </c>
      <c r="M492" s="25" t="str">
        <f aca="false">IF(L492="","",ROUND(N(E492)*L492,2))</f>
        <v/>
      </c>
      <c r="N492" s="39" t="n">
        <f aca="false">IF(OR(A492="",B492=""),"",SUMIFS(tl_Hours,tl_StaffID,I492,tl_Date,A492))</f>
        <v>8</v>
      </c>
      <c r="O492" s="40" t="str">
        <f aca="false">IF(A492&amp;B492&amp;D492="","",IF(OR(A492="",B492="",D492="",E492=""),"Incomplete",IF(K492="Unknown","Unknown code",IF(AND(K492="Yes",C492=""),"Billable, needs client",IF(N492&gt;MaxDayHours,"Over "&amp;MaxDayHours&amp;" hours that day","")))))</f>
        <v/>
      </c>
    </row>
    <row r="493" customFormat="false" ht="15" hidden="false" customHeight="false" outlineLevel="0" collapsed="false">
      <c r="A493" s="31" t="n">
        <v>46231</v>
      </c>
      <c r="B493" s="32" t="s">
        <v>107</v>
      </c>
      <c r="C493" s="32"/>
      <c r="D493" s="33" t="s">
        <v>108</v>
      </c>
      <c r="E493" s="34" t="n">
        <v>6.5</v>
      </c>
      <c r="F493" s="32"/>
      <c r="G493" s="35" t="n">
        <f aca="false">IF(A493="","",A493+7-WEEKDAY(A493))</f>
        <v>46235</v>
      </c>
      <c r="H493" s="36" t="n">
        <f aca="false">IF(A493="","",DATE(YEAR(A493),MONTH(A493),1))</f>
        <v>46204</v>
      </c>
      <c r="I493" s="37" t="str">
        <f aca="false">IF(B493="","",IFERROR(INDEX(st_ID,MATCH(B493,st_Name,0)),"Unknown"))</f>
        <v>QP-08</v>
      </c>
      <c r="J493" s="37" t="str">
        <f aca="false">IF(C493="","",IFERROR(INDEX(cl_Code,MATCH(C493,cl_Name,0)),"Unknown"))</f>
        <v/>
      </c>
      <c r="K493" s="37" t="str">
        <f aca="false">IF(D493="","",IFERROR(INDEX(rt_Billable,MATCH(D493,rt_Code,0)),"Unknown"))</f>
        <v>No</v>
      </c>
      <c r="L493" s="38" t="str">
        <f aca="false">IF(K493&lt;&gt;"Yes","",IFERROR(INDEX(cr_Rate,MATCH(J493&amp;"|"&amp;D493,cr_Key,0)),INDEX(rt_Rate,MATCH(D493,rt_Code,0))))</f>
        <v/>
      </c>
      <c r="M493" s="25" t="str">
        <f aca="false">IF(L493="","",ROUND(N(E493)*L493,2))</f>
        <v/>
      </c>
      <c r="N493" s="39" t="n">
        <f aca="false">IF(OR(A493="",B493=""),"",SUMIFS(tl_Hours,tl_StaffID,I493,tl_Date,A493))</f>
        <v>8</v>
      </c>
      <c r="O493" s="40" t="str">
        <f aca="false">IF(A493&amp;B493&amp;D493="","",IF(OR(A493="",B493="",D493="",E493=""),"Incomplete",IF(K493="Unknown","Unknown code",IF(AND(K493="Yes",C493=""),"Billable, needs client",IF(N493&gt;MaxDayHours,"Over "&amp;MaxDayHours&amp;" hours that day","")))))</f>
        <v/>
      </c>
    </row>
    <row r="494" customFormat="false" ht="15" hidden="false" customHeight="false" outlineLevel="0" collapsed="false">
      <c r="A494" s="31" t="n">
        <v>46231</v>
      </c>
      <c r="B494" s="32" t="s">
        <v>107</v>
      </c>
      <c r="C494" s="32"/>
      <c r="D494" s="33" t="s">
        <v>98</v>
      </c>
      <c r="E494" s="34" t="n">
        <v>1.5</v>
      </c>
      <c r="F494" s="32"/>
      <c r="G494" s="35" t="n">
        <f aca="false">IF(A494="","",A494+7-WEEKDAY(A494))</f>
        <v>46235</v>
      </c>
      <c r="H494" s="36" t="n">
        <f aca="false">IF(A494="","",DATE(YEAR(A494),MONTH(A494),1))</f>
        <v>46204</v>
      </c>
      <c r="I494" s="37" t="str">
        <f aca="false">IF(B494="","",IFERROR(INDEX(st_ID,MATCH(B494,st_Name,0)),"Unknown"))</f>
        <v>QP-08</v>
      </c>
      <c r="J494" s="37" t="str">
        <f aca="false">IF(C494="","",IFERROR(INDEX(cl_Code,MATCH(C494,cl_Name,0)),"Unknown"))</f>
        <v/>
      </c>
      <c r="K494" s="37" t="str">
        <f aca="false">IF(D494="","",IFERROR(INDEX(rt_Billable,MATCH(D494,rt_Code,0)),"Unknown"))</f>
        <v>No</v>
      </c>
      <c r="L494" s="38" t="str">
        <f aca="false">IF(K494&lt;&gt;"Yes","",IFERROR(INDEX(cr_Rate,MATCH(J494&amp;"|"&amp;D494,cr_Key,0)),INDEX(rt_Rate,MATCH(D494,rt_Code,0))))</f>
        <v/>
      </c>
      <c r="M494" s="25" t="str">
        <f aca="false">IF(L494="","",ROUND(N(E494)*L494,2))</f>
        <v/>
      </c>
      <c r="N494" s="39" t="n">
        <f aca="false">IF(OR(A494="",B494=""),"",SUMIFS(tl_Hours,tl_StaffID,I494,tl_Date,A494))</f>
        <v>8</v>
      </c>
      <c r="O494" s="40" t="str">
        <f aca="false">IF(A494&amp;B494&amp;D494="","",IF(OR(A494="",B494="",D494="",E494=""),"Incomplete",IF(K494="Unknown","Unknown code",IF(AND(K494="Yes",C494=""),"Billable, needs client",IF(N494&gt;MaxDayHours,"Over "&amp;MaxDayHours&amp;" hours that day","")))))</f>
        <v/>
      </c>
    </row>
    <row r="495" customFormat="false" ht="15" hidden="false" customHeight="false" outlineLevel="0" collapsed="false">
      <c r="A495" s="31" t="n">
        <v>46232</v>
      </c>
      <c r="B495" s="32" t="s">
        <v>86</v>
      </c>
      <c r="C495" s="32" t="s">
        <v>90</v>
      </c>
      <c r="D495" s="33" t="s">
        <v>88</v>
      </c>
      <c r="E495" s="34" t="n">
        <v>2.5</v>
      </c>
      <c r="F495" s="32"/>
      <c r="G495" s="35" t="n">
        <f aca="false">IF(A495="","",A495+7-WEEKDAY(A495))</f>
        <v>46235</v>
      </c>
      <c r="H495" s="36" t="n">
        <f aca="false">IF(A495="","",DATE(YEAR(A495),MONTH(A495),1))</f>
        <v>46204</v>
      </c>
      <c r="I495" s="37" t="str">
        <f aca="false">IF(B495="","",IFERROR(INDEX(st_ID,MATCH(B495,st_Name,0)),"Unknown"))</f>
        <v>QP-01</v>
      </c>
      <c r="J495" s="37" t="str">
        <f aca="false">IF(C495="","",IFERROR(INDEX(cl_Code,MATCH(C495,cl_Name,0)),"Unknown"))</f>
        <v>BSE</v>
      </c>
      <c r="K495" s="37" t="str">
        <f aca="false">IF(D495="","",IFERROR(INDEX(rt_Billable,MATCH(D495,rt_Code,0)),"Unknown"))</f>
        <v>Yes</v>
      </c>
      <c r="L495" s="38" t="n">
        <f aca="false">IF(K495&lt;&gt;"Yes","",IFERROR(INDEX(cr_Rate,MATCH(J495&amp;"|"&amp;D495,cr_Key,0)),INDEX(rt_Rate,MATCH(D495,rt_Code,0))))</f>
        <v>104</v>
      </c>
      <c r="M495" s="25" t="n">
        <f aca="false">IF(L495="","",ROUND(N(E495)*L495,2))</f>
        <v>260</v>
      </c>
      <c r="N495" s="39" t="n">
        <f aca="false">IF(OR(A495="",B495=""),"",SUMIFS(tl_Hours,tl_StaffID,I495,tl_Date,A495))</f>
        <v>8</v>
      </c>
      <c r="O495" s="40" t="str">
        <f aca="false">IF(A495&amp;B495&amp;D495="","",IF(OR(A495="",B495="",D495="",E495=""),"Incomplete",IF(K495="Unknown","Unknown code",IF(AND(K495="Yes",C495=""),"Billable, needs client",IF(N495&gt;MaxDayHours,"Over "&amp;MaxDayHours&amp;" hours that day","")))))</f>
        <v/>
      </c>
    </row>
    <row r="496" customFormat="false" ht="15" hidden="false" customHeight="false" outlineLevel="0" collapsed="false">
      <c r="A496" s="31" t="n">
        <v>46232</v>
      </c>
      <c r="B496" s="32" t="s">
        <v>86</v>
      </c>
      <c r="C496" s="32" t="s">
        <v>90</v>
      </c>
      <c r="D496" s="33" t="s">
        <v>104</v>
      </c>
      <c r="E496" s="34" t="n">
        <v>1.75</v>
      </c>
      <c r="F496" s="32"/>
      <c r="G496" s="35" t="n">
        <f aca="false">IF(A496="","",A496+7-WEEKDAY(A496))</f>
        <v>46235</v>
      </c>
      <c r="H496" s="36" t="n">
        <f aca="false">IF(A496="","",DATE(YEAR(A496),MONTH(A496),1))</f>
        <v>46204</v>
      </c>
      <c r="I496" s="37" t="str">
        <f aca="false">IF(B496="","",IFERROR(INDEX(st_ID,MATCH(B496,st_Name,0)),"Unknown"))</f>
        <v>QP-01</v>
      </c>
      <c r="J496" s="37" t="str">
        <f aca="false">IF(C496="","",IFERROR(INDEX(cl_Code,MATCH(C496,cl_Name,0)),"Unknown"))</f>
        <v>BSE</v>
      </c>
      <c r="K496" s="37" t="str">
        <f aca="false">IF(D496="","",IFERROR(INDEX(rt_Billable,MATCH(D496,rt_Code,0)),"Unknown"))</f>
        <v>Yes</v>
      </c>
      <c r="L496" s="38" t="n">
        <f aca="false">IF(K496&lt;&gt;"Yes","",IFERROR(INDEX(cr_Rate,MATCH(J496&amp;"|"&amp;D496,cr_Key,0)),INDEX(rt_Rate,MATCH(D496,rt_Code,0))))</f>
        <v>70</v>
      </c>
      <c r="M496" s="25" t="n">
        <f aca="false">IF(L496="","",ROUND(N(E496)*L496,2))</f>
        <v>122.5</v>
      </c>
      <c r="N496" s="39" t="n">
        <f aca="false">IF(OR(A496="",B496=""),"",SUMIFS(tl_Hours,tl_StaffID,I496,tl_Date,A496))</f>
        <v>8</v>
      </c>
      <c r="O496" s="40" t="str">
        <f aca="false">IF(A496&amp;B496&amp;D496="","",IF(OR(A496="",B496="",D496="",E496=""),"Incomplete",IF(K496="Unknown","Unknown code",IF(AND(K496="Yes",C496=""),"Billable, needs client",IF(N496&gt;MaxDayHours,"Over "&amp;MaxDayHours&amp;" hours that day","")))))</f>
        <v/>
      </c>
    </row>
    <row r="497" customFormat="false" ht="15" hidden="false" customHeight="false" outlineLevel="0" collapsed="false">
      <c r="A497" s="31" t="n">
        <v>46232</v>
      </c>
      <c r="B497" s="32" t="s">
        <v>86</v>
      </c>
      <c r="C497" s="32"/>
      <c r="D497" s="33" t="s">
        <v>98</v>
      </c>
      <c r="E497" s="34" t="n">
        <v>1</v>
      </c>
      <c r="F497" s="32" t="s">
        <v>99</v>
      </c>
      <c r="G497" s="35" t="n">
        <f aca="false">IF(A497="","",A497+7-WEEKDAY(A497))</f>
        <v>46235</v>
      </c>
      <c r="H497" s="36" t="n">
        <f aca="false">IF(A497="","",DATE(YEAR(A497),MONTH(A497),1))</f>
        <v>46204</v>
      </c>
      <c r="I497" s="37" t="str">
        <f aca="false">IF(B497="","",IFERROR(INDEX(st_ID,MATCH(B497,st_Name,0)),"Unknown"))</f>
        <v>QP-01</v>
      </c>
      <c r="J497" s="37" t="str">
        <f aca="false">IF(C497="","",IFERROR(INDEX(cl_Code,MATCH(C497,cl_Name,0)),"Unknown"))</f>
        <v/>
      </c>
      <c r="K497" s="37" t="str">
        <f aca="false">IF(D497="","",IFERROR(INDEX(rt_Billable,MATCH(D497,rt_Code,0)),"Unknown"))</f>
        <v>No</v>
      </c>
      <c r="L497" s="38" t="str">
        <f aca="false">IF(K497&lt;&gt;"Yes","",IFERROR(INDEX(cr_Rate,MATCH(J497&amp;"|"&amp;D497,cr_Key,0)),INDEX(rt_Rate,MATCH(D497,rt_Code,0))))</f>
        <v/>
      </c>
      <c r="M497" s="25" t="str">
        <f aca="false">IF(L497="","",ROUND(N(E497)*L497,2))</f>
        <v/>
      </c>
      <c r="N497" s="39" t="n">
        <f aca="false">IF(OR(A497="",B497=""),"",SUMIFS(tl_Hours,tl_StaffID,I497,tl_Date,A497))</f>
        <v>8</v>
      </c>
      <c r="O497" s="40" t="str">
        <f aca="false">IF(A497&amp;B497&amp;D497="","",IF(OR(A497="",B497="",D497="",E497=""),"Incomplete",IF(K497="Unknown","Unknown code",IF(AND(K497="Yes",C497=""),"Billable, needs client",IF(N497&gt;MaxDayHours,"Over "&amp;MaxDayHours&amp;" hours that day","")))))</f>
        <v/>
      </c>
    </row>
    <row r="498" customFormat="false" ht="15" hidden="false" customHeight="false" outlineLevel="0" collapsed="false">
      <c r="A498" s="31" t="n">
        <v>46232</v>
      </c>
      <c r="B498" s="32" t="s">
        <v>86</v>
      </c>
      <c r="C498" s="32"/>
      <c r="D498" s="33" t="s">
        <v>96</v>
      </c>
      <c r="E498" s="34" t="n">
        <v>2.75</v>
      </c>
      <c r="F498" s="32"/>
      <c r="G498" s="35" t="n">
        <f aca="false">IF(A498="","",A498+7-WEEKDAY(A498))</f>
        <v>46235</v>
      </c>
      <c r="H498" s="36" t="n">
        <f aca="false">IF(A498="","",DATE(YEAR(A498),MONTH(A498),1))</f>
        <v>46204</v>
      </c>
      <c r="I498" s="37" t="str">
        <f aca="false">IF(B498="","",IFERROR(INDEX(st_ID,MATCH(B498,st_Name,0)),"Unknown"))</f>
        <v>QP-01</v>
      </c>
      <c r="J498" s="37" t="str">
        <f aca="false">IF(C498="","",IFERROR(INDEX(cl_Code,MATCH(C498,cl_Name,0)),"Unknown"))</f>
        <v/>
      </c>
      <c r="K498" s="37" t="str">
        <f aca="false">IF(D498="","",IFERROR(INDEX(rt_Billable,MATCH(D498,rt_Code,0)),"Unknown"))</f>
        <v>No</v>
      </c>
      <c r="L498" s="38" t="str">
        <f aca="false">IF(K498&lt;&gt;"Yes","",IFERROR(INDEX(cr_Rate,MATCH(J498&amp;"|"&amp;D498,cr_Key,0)),INDEX(rt_Rate,MATCH(D498,rt_Code,0))))</f>
        <v/>
      </c>
      <c r="M498" s="25" t="str">
        <f aca="false">IF(L498="","",ROUND(N(E498)*L498,2))</f>
        <v/>
      </c>
      <c r="N498" s="39" t="n">
        <f aca="false">IF(OR(A498="",B498=""),"",SUMIFS(tl_Hours,tl_StaffID,I498,tl_Date,A498))</f>
        <v>8</v>
      </c>
      <c r="O498" s="40" t="str">
        <f aca="false">IF(A498&amp;B498&amp;D498="","",IF(OR(A498="",B498="",D498="",E498=""),"Incomplete",IF(K498="Unknown","Unknown code",IF(AND(K498="Yes",C498=""),"Billable, needs client",IF(N498&gt;MaxDayHours,"Over "&amp;MaxDayHours&amp;" hours that day","")))))</f>
        <v/>
      </c>
    </row>
    <row r="499" customFormat="false" ht="15" hidden="false" customHeight="false" outlineLevel="0" collapsed="false">
      <c r="A499" s="31" t="n">
        <v>46232</v>
      </c>
      <c r="B499" s="32" t="s">
        <v>97</v>
      </c>
      <c r="C499" s="32" t="s">
        <v>87</v>
      </c>
      <c r="D499" s="33" t="s">
        <v>104</v>
      </c>
      <c r="E499" s="34" t="n">
        <v>1.25</v>
      </c>
      <c r="F499" s="32"/>
      <c r="G499" s="35" t="n">
        <f aca="false">IF(A499="","",A499+7-WEEKDAY(A499))</f>
        <v>46235</v>
      </c>
      <c r="H499" s="36" t="n">
        <f aca="false">IF(A499="","",DATE(YEAR(A499),MONTH(A499),1))</f>
        <v>46204</v>
      </c>
      <c r="I499" s="37" t="str">
        <f aca="false">IF(B499="","",IFERROR(INDEX(st_ID,MATCH(B499,st_Name,0)),"Unknown"))</f>
        <v>QP-02</v>
      </c>
      <c r="J499" s="37" t="str">
        <f aca="false">IF(C499="","",IFERROR(INDEX(cl_Code,MATCH(C499,cl_Name,0)),"Unknown"))</f>
        <v>HCS</v>
      </c>
      <c r="K499" s="37" t="str">
        <f aca="false">IF(D499="","",IFERROR(INDEX(rt_Billable,MATCH(D499,rt_Code,0)),"Unknown"))</f>
        <v>Yes</v>
      </c>
      <c r="L499" s="38" t="n">
        <f aca="false">IF(K499&lt;&gt;"Yes","",IFERROR(INDEX(cr_Rate,MATCH(J499&amp;"|"&amp;D499,cr_Key,0)),INDEX(rt_Rate,MATCH(D499,rt_Code,0))))</f>
        <v>62</v>
      </c>
      <c r="M499" s="25" t="n">
        <f aca="false">IF(L499="","",ROUND(N(E499)*L499,2))</f>
        <v>77.5</v>
      </c>
      <c r="N499" s="39" t="n">
        <f aca="false">IF(OR(A499="",B499=""),"",SUMIFS(tl_Hours,tl_StaffID,I499,tl_Date,A499))</f>
        <v>8</v>
      </c>
      <c r="O499" s="40" t="str">
        <f aca="false">IF(A499&amp;B499&amp;D499="","",IF(OR(A499="",B499="",D499="",E499=""),"Incomplete",IF(K499="Unknown","Unknown code",IF(AND(K499="Yes",C499=""),"Billable, needs client",IF(N499&gt;MaxDayHours,"Over "&amp;MaxDayHours&amp;" hours that day","")))))</f>
        <v/>
      </c>
    </row>
    <row r="500" customFormat="false" ht="15" hidden="false" customHeight="false" outlineLevel="0" collapsed="false">
      <c r="A500" s="31" t="n">
        <v>46232</v>
      </c>
      <c r="B500" s="32" t="s">
        <v>97</v>
      </c>
      <c r="C500" s="32" t="s">
        <v>87</v>
      </c>
      <c r="D500" s="33" t="s">
        <v>89</v>
      </c>
      <c r="E500" s="34" t="n">
        <v>0.75</v>
      </c>
      <c r="F500" s="32"/>
      <c r="G500" s="35" t="n">
        <f aca="false">IF(A500="","",A500+7-WEEKDAY(A500))</f>
        <v>46235</v>
      </c>
      <c r="H500" s="36" t="n">
        <f aca="false">IF(A500="","",DATE(YEAR(A500),MONTH(A500),1))</f>
        <v>46204</v>
      </c>
      <c r="I500" s="37" t="str">
        <f aca="false">IF(B500="","",IFERROR(INDEX(st_ID,MATCH(B500,st_Name,0)),"Unknown"))</f>
        <v>QP-02</v>
      </c>
      <c r="J500" s="37" t="str">
        <f aca="false">IF(C500="","",IFERROR(INDEX(cl_Code,MATCH(C500,cl_Name,0)),"Unknown"))</f>
        <v>HCS</v>
      </c>
      <c r="K500" s="37" t="str">
        <f aca="false">IF(D500="","",IFERROR(INDEX(rt_Billable,MATCH(D500,rt_Code,0)),"Unknown"))</f>
        <v>Yes</v>
      </c>
      <c r="L500" s="38" t="n">
        <f aca="false">IF(K500&lt;&gt;"Yes","",IFERROR(INDEX(cr_Rate,MATCH(J500&amp;"|"&amp;D500,cr_Key,0)),INDEX(rt_Rate,MATCH(D500,rt_Code,0))))</f>
        <v>88</v>
      </c>
      <c r="M500" s="25" t="n">
        <f aca="false">IF(L500="","",ROUND(N(E500)*L500,2))</f>
        <v>66</v>
      </c>
      <c r="N500" s="39" t="n">
        <f aca="false">IF(OR(A500="",B500=""),"",SUMIFS(tl_Hours,tl_StaffID,I500,tl_Date,A500))</f>
        <v>8</v>
      </c>
      <c r="O500" s="40" t="str">
        <f aca="false">IF(A500&amp;B500&amp;D500="","",IF(OR(A500="",B500="",D500="",E500=""),"Incomplete",IF(K500="Unknown","Unknown code",IF(AND(K500="Yes",C500=""),"Billable, needs client",IF(N500&gt;MaxDayHours,"Over "&amp;MaxDayHours&amp;" hours that day","")))))</f>
        <v/>
      </c>
    </row>
    <row r="501" customFormat="false" ht="15" hidden="false" customHeight="false" outlineLevel="0" collapsed="false">
      <c r="A501" s="31" t="n">
        <v>46232</v>
      </c>
      <c r="B501" s="32" t="s">
        <v>97</v>
      </c>
      <c r="C501" s="32" t="s">
        <v>90</v>
      </c>
      <c r="D501" s="33" t="s">
        <v>88</v>
      </c>
      <c r="E501" s="34" t="n">
        <v>1.25</v>
      </c>
      <c r="F501" s="32"/>
      <c r="G501" s="35" t="n">
        <f aca="false">IF(A501="","",A501+7-WEEKDAY(A501))</f>
        <v>46235</v>
      </c>
      <c r="H501" s="36" t="n">
        <f aca="false">IF(A501="","",DATE(YEAR(A501),MONTH(A501),1))</f>
        <v>46204</v>
      </c>
      <c r="I501" s="37" t="str">
        <f aca="false">IF(B501="","",IFERROR(INDEX(st_ID,MATCH(B501,st_Name,0)),"Unknown"))</f>
        <v>QP-02</v>
      </c>
      <c r="J501" s="37" t="str">
        <f aca="false">IF(C501="","",IFERROR(INDEX(cl_Code,MATCH(C501,cl_Name,0)),"Unknown"))</f>
        <v>BSE</v>
      </c>
      <c r="K501" s="37" t="str">
        <f aca="false">IF(D501="","",IFERROR(INDEX(rt_Billable,MATCH(D501,rt_Code,0)),"Unknown"))</f>
        <v>Yes</v>
      </c>
      <c r="L501" s="38" t="n">
        <f aca="false">IF(K501&lt;&gt;"Yes","",IFERROR(INDEX(cr_Rate,MATCH(J501&amp;"|"&amp;D501,cr_Key,0)),INDEX(rt_Rate,MATCH(D501,rt_Code,0))))</f>
        <v>104</v>
      </c>
      <c r="M501" s="25" t="n">
        <f aca="false">IF(L501="","",ROUND(N(E501)*L501,2))</f>
        <v>130</v>
      </c>
      <c r="N501" s="39" t="n">
        <f aca="false">IF(OR(A501="",B501=""),"",SUMIFS(tl_Hours,tl_StaffID,I501,tl_Date,A501))</f>
        <v>8</v>
      </c>
      <c r="O501" s="40" t="str">
        <f aca="false">IF(A501&amp;B501&amp;D501="","",IF(OR(A501="",B501="",D501="",E501=""),"Incomplete",IF(K501="Unknown","Unknown code",IF(AND(K501="Yes",C501=""),"Billable, needs client",IF(N501&gt;MaxDayHours,"Over "&amp;MaxDayHours&amp;" hours that day","")))))</f>
        <v/>
      </c>
    </row>
    <row r="502" customFormat="false" ht="15" hidden="false" customHeight="false" outlineLevel="0" collapsed="false">
      <c r="A502" s="31" t="n">
        <v>46232</v>
      </c>
      <c r="B502" s="32" t="s">
        <v>97</v>
      </c>
      <c r="C502" s="32" t="s">
        <v>90</v>
      </c>
      <c r="D502" s="33" t="s">
        <v>89</v>
      </c>
      <c r="E502" s="34" t="n">
        <v>0.75</v>
      </c>
      <c r="F502" s="32"/>
      <c r="G502" s="35" t="n">
        <f aca="false">IF(A502="","",A502+7-WEEKDAY(A502))</f>
        <v>46235</v>
      </c>
      <c r="H502" s="36" t="n">
        <f aca="false">IF(A502="","",DATE(YEAR(A502),MONTH(A502),1))</f>
        <v>46204</v>
      </c>
      <c r="I502" s="37" t="str">
        <f aca="false">IF(B502="","",IFERROR(INDEX(st_ID,MATCH(B502,st_Name,0)),"Unknown"))</f>
        <v>QP-02</v>
      </c>
      <c r="J502" s="37" t="str">
        <f aca="false">IF(C502="","",IFERROR(INDEX(cl_Code,MATCH(C502,cl_Name,0)),"Unknown"))</f>
        <v>BSE</v>
      </c>
      <c r="K502" s="37" t="str">
        <f aca="false">IF(D502="","",IFERROR(INDEX(rt_Billable,MATCH(D502,rt_Code,0)),"Unknown"))</f>
        <v>Yes</v>
      </c>
      <c r="L502" s="38" t="n">
        <f aca="false">IF(K502&lt;&gt;"Yes","",IFERROR(INDEX(cr_Rate,MATCH(J502&amp;"|"&amp;D502,cr_Key,0)),INDEX(rt_Rate,MATCH(D502,rt_Code,0))))</f>
        <v>95</v>
      </c>
      <c r="M502" s="25" t="n">
        <f aca="false">IF(L502="","",ROUND(N(E502)*L502,2))</f>
        <v>71.25</v>
      </c>
      <c r="N502" s="39" t="n">
        <f aca="false">IF(OR(A502="",B502=""),"",SUMIFS(tl_Hours,tl_StaffID,I502,tl_Date,A502))</f>
        <v>8</v>
      </c>
      <c r="O502" s="40" t="str">
        <f aca="false">IF(A502&amp;B502&amp;D502="","",IF(OR(A502="",B502="",D502="",E502=""),"Incomplete",IF(K502="Unknown","Unknown code",IF(AND(K502="Yes",C502=""),"Billable, needs client",IF(N502&gt;MaxDayHours,"Over "&amp;MaxDayHours&amp;" hours that day","")))))</f>
        <v/>
      </c>
    </row>
    <row r="503" customFormat="false" ht="15" hidden="false" customHeight="false" outlineLevel="0" collapsed="false">
      <c r="A503" s="31" t="n">
        <v>46232</v>
      </c>
      <c r="B503" s="32" t="s">
        <v>97</v>
      </c>
      <c r="C503" s="32"/>
      <c r="D503" s="33" t="s">
        <v>93</v>
      </c>
      <c r="E503" s="34" t="n">
        <v>0.5</v>
      </c>
      <c r="F503" s="32"/>
      <c r="G503" s="35" t="n">
        <f aca="false">IF(A503="","",A503+7-WEEKDAY(A503))</f>
        <v>46235</v>
      </c>
      <c r="H503" s="36" t="n">
        <f aca="false">IF(A503="","",DATE(YEAR(A503),MONTH(A503),1))</f>
        <v>46204</v>
      </c>
      <c r="I503" s="37" t="str">
        <f aca="false">IF(B503="","",IFERROR(INDEX(st_ID,MATCH(B503,st_Name,0)),"Unknown"))</f>
        <v>QP-02</v>
      </c>
      <c r="J503" s="37" t="str">
        <f aca="false">IF(C503="","",IFERROR(INDEX(cl_Code,MATCH(C503,cl_Name,0)),"Unknown"))</f>
        <v/>
      </c>
      <c r="K503" s="37" t="str">
        <f aca="false">IF(D503="","",IFERROR(INDEX(rt_Billable,MATCH(D503,rt_Code,0)),"Unknown"))</f>
        <v>No</v>
      </c>
      <c r="L503" s="38" t="str">
        <f aca="false">IF(K503&lt;&gt;"Yes","",IFERROR(INDEX(cr_Rate,MATCH(J503&amp;"|"&amp;D503,cr_Key,0)),INDEX(rt_Rate,MATCH(D503,rt_Code,0))))</f>
        <v/>
      </c>
      <c r="M503" s="25" t="str">
        <f aca="false">IF(L503="","",ROUND(N(E503)*L503,2))</f>
        <v/>
      </c>
      <c r="N503" s="39" t="n">
        <f aca="false">IF(OR(A503="",B503=""),"",SUMIFS(tl_Hours,tl_StaffID,I503,tl_Date,A503))</f>
        <v>8</v>
      </c>
      <c r="O503" s="40" t="str">
        <f aca="false">IF(A503&amp;B503&amp;D503="","",IF(OR(A503="",B503="",D503="",E503=""),"Incomplete",IF(K503="Unknown","Unknown code",IF(AND(K503="Yes",C503=""),"Billable, needs client",IF(N503&gt;MaxDayHours,"Over "&amp;MaxDayHours&amp;" hours that day","")))))</f>
        <v/>
      </c>
    </row>
    <row r="504" customFormat="false" ht="15" hidden="false" customHeight="false" outlineLevel="0" collapsed="false">
      <c r="A504" s="31" t="n">
        <v>46232</v>
      </c>
      <c r="B504" s="32" t="s">
        <v>97</v>
      </c>
      <c r="C504" s="32"/>
      <c r="D504" s="33" t="s">
        <v>96</v>
      </c>
      <c r="E504" s="34" t="n">
        <v>3.5</v>
      </c>
      <c r="F504" s="32"/>
      <c r="G504" s="35" t="n">
        <f aca="false">IF(A504="","",A504+7-WEEKDAY(A504))</f>
        <v>46235</v>
      </c>
      <c r="H504" s="36" t="n">
        <f aca="false">IF(A504="","",DATE(YEAR(A504),MONTH(A504),1))</f>
        <v>46204</v>
      </c>
      <c r="I504" s="37" t="str">
        <f aca="false">IF(B504="","",IFERROR(INDEX(st_ID,MATCH(B504,st_Name,0)),"Unknown"))</f>
        <v>QP-02</v>
      </c>
      <c r="J504" s="37" t="str">
        <f aca="false">IF(C504="","",IFERROR(INDEX(cl_Code,MATCH(C504,cl_Name,0)),"Unknown"))</f>
        <v/>
      </c>
      <c r="K504" s="37" t="str">
        <f aca="false">IF(D504="","",IFERROR(INDEX(rt_Billable,MATCH(D504,rt_Code,0)),"Unknown"))</f>
        <v>No</v>
      </c>
      <c r="L504" s="38" t="str">
        <f aca="false">IF(K504&lt;&gt;"Yes","",IFERROR(INDEX(cr_Rate,MATCH(J504&amp;"|"&amp;D504,cr_Key,0)),INDEX(rt_Rate,MATCH(D504,rt_Code,0))))</f>
        <v/>
      </c>
      <c r="M504" s="25" t="str">
        <f aca="false">IF(L504="","",ROUND(N(E504)*L504,2))</f>
        <v/>
      </c>
      <c r="N504" s="39" t="n">
        <f aca="false">IF(OR(A504="",B504=""),"",SUMIFS(tl_Hours,tl_StaffID,I504,tl_Date,A504))</f>
        <v>8</v>
      </c>
      <c r="O504" s="40" t="str">
        <f aca="false">IF(A504&amp;B504&amp;D504="","",IF(OR(A504="",B504="",D504="",E504=""),"Incomplete",IF(K504="Unknown","Unknown code",IF(AND(K504="Yes",C504=""),"Billable, needs client",IF(N504&gt;MaxDayHours,"Over "&amp;MaxDayHours&amp;" hours that day","")))))</f>
        <v/>
      </c>
    </row>
    <row r="505" customFormat="false" ht="15" hidden="false" customHeight="false" outlineLevel="0" collapsed="false">
      <c r="A505" s="31" t="n">
        <v>46232</v>
      </c>
      <c r="B505" s="32" t="s">
        <v>100</v>
      </c>
      <c r="C505" s="32" t="s">
        <v>90</v>
      </c>
      <c r="D505" s="33" t="s">
        <v>88</v>
      </c>
      <c r="E505" s="34" t="n">
        <v>3</v>
      </c>
      <c r="F505" s="32"/>
      <c r="G505" s="35" t="n">
        <f aca="false">IF(A505="","",A505+7-WEEKDAY(A505))</f>
        <v>46235</v>
      </c>
      <c r="H505" s="36" t="n">
        <f aca="false">IF(A505="","",DATE(YEAR(A505),MONTH(A505),1))</f>
        <v>46204</v>
      </c>
      <c r="I505" s="37" t="str">
        <f aca="false">IF(B505="","",IFERROR(INDEX(st_ID,MATCH(B505,st_Name,0)),"Unknown"))</f>
        <v>QP-03</v>
      </c>
      <c r="J505" s="37" t="str">
        <f aca="false">IF(C505="","",IFERROR(INDEX(cl_Code,MATCH(C505,cl_Name,0)),"Unknown"))</f>
        <v>BSE</v>
      </c>
      <c r="K505" s="37" t="str">
        <f aca="false">IF(D505="","",IFERROR(INDEX(rt_Billable,MATCH(D505,rt_Code,0)),"Unknown"))</f>
        <v>Yes</v>
      </c>
      <c r="L505" s="38" t="n">
        <f aca="false">IF(K505&lt;&gt;"Yes","",IFERROR(INDEX(cr_Rate,MATCH(J505&amp;"|"&amp;D505,cr_Key,0)),INDEX(rt_Rate,MATCH(D505,rt_Code,0))))</f>
        <v>104</v>
      </c>
      <c r="M505" s="25" t="n">
        <f aca="false">IF(L505="","",ROUND(N(E505)*L505,2))</f>
        <v>312</v>
      </c>
      <c r="N505" s="39" t="n">
        <f aca="false">IF(OR(A505="",B505=""),"",SUMIFS(tl_Hours,tl_StaffID,I505,tl_Date,A505))</f>
        <v>8</v>
      </c>
      <c r="O505" s="40" t="str">
        <f aca="false">IF(A505&amp;B505&amp;D505="","",IF(OR(A505="",B505="",D505="",E505=""),"Incomplete",IF(K505="Unknown","Unknown code",IF(AND(K505="Yes",C505=""),"Billable, needs client",IF(N505&gt;MaxDayHours,"Over "&amp;MaxDayHours&amp;" hours that day","")))))</f>
        <v/>
      </c>
    </row>
    <row r="506" customFormat="false" ht="15" hidden="false" customHeight="false" outlineLevel="0" collapsed="false">
      <c r="A506" s="31" t="n">
        <v>46232</v>
      </c>
      <c r="B506" s="32" t="s">
        <v>100</v>
      </c>
      <c r="C506" s="32" t="s">
        <v>90</v>
      </c>
      <c r="D506" s="33" t="s">
        <v>89</v>
      </c>
      <c r="E506" s="34" t="n">
        <v>0.75</v>
      </c>
      <c r="F506" s="32"/>
      <c r="G506" s="35" t="n">
        <f aca="false">IF(A506="","",A506+7-WEEKDAY(A506))</f>
        <v>46235</v>
      </c>
      <c r="H506" s="36" t="n">
        <f aca="false">IF(A506="","",DATE(YEAR(A506),MONTH(A506),1))</f>
        <v>46204</v>
      </c>
      <c r="I506" s="37" t="str">
        <f aca="false">IF(B506="","",IFERROR(INDEX(st_ID,MATCH(B506,st_Name,0)),"Unknown"))</f>
        <v>QP-03</v>
      </c>
      <c r="J506" s="37" t="str">
        <f aca="false">IF(C506="","",IFERROR(INDEX(cl_Code,MATCH(C506,cl_Name,0)),"Unknown"))</f>
        <v>BSE</v>
      </c>
      <c r="K506" s="37" t="str">
        <f aca="false">IF(D506="","",IFERROR(INDEX(rt_Billable,MATCH(D506,rt_Code,0)),"Unknown"))</f>
        <v>Yes</v>
      </c>
      <c r="L506" s="38" t="n">
        <f aca="false">IF(K506&lt;&gt;"Yes","",IFERROR(INDEX(cr_Rate,MATCH(J506&amp;"|"&amp;D506,cr_Key,0)),INDEX(rt_Rate,MATCH(D506,rt_Code,0))))</f>
        <v>95</v>
      </c>
      <c r="M506" s="25" t="n">
        <f aca="false">IF(L506="","",ROUND(N(E506)*L506,2))</f>
        <v>71.25</v>
      </c>
      <c r="N506" s="39" t="n">
        <f aca="false">IF(OR(A506="",B506=""),"",SUMIFS(tl_Hours,tl_StaffID,I506,tl_Date,A506))</f>
        <v>8</v>
      </c>
      <c r="O506" s="40" t="str">
        <f aca="false">IF(A506&amp;B506&amp;D506="","",IF(OR(A506="",B506="",D506="",E506=""),"Incomplete",IF(K506="Unknown","Unknown code",IF(AND(K506="Yes",C506=""),"Billable, needs client",IF(N506&gt;MaxDayHours,"Over "&amp;MaxDayHours&amp;" hours that day","")))))</f>
        <v/>
      </c>
    </row>
    <row r="507" customFormat="false" ht="15" hidden="false" customHeight="false" outlineLevel="0" collapsed="false">
      <c r="A507" s="31" t="n">
        <v>46232</v>
      </c>
      <c r="B507" s="32" t="s">
        <v>100</v>
      </c>
      <c r="C507" s="32"/>
      <c r="D507" s="33" t="s">
        <v>98</v>
      </c>
      <c r="E507" s="34" t="n">
        <v>1</v>
      </c>
      <c r="F507" s="32" t="s">
        <v>99</v>
      </c>
      <c r="G507" s="35" t="n">
        <f aca="false">IF(A507="","",A507+7-WEEKDAY(A507))</f>
        <v>46235</v>
      </c>
      <c r="H507" s="36" t="n">
        <f aca="false">IF(A507="","",DATE(YEAR(A507),MONTH(A507),1))</f>
        <v>46204</v>
      </c>
      <c r="I507" s="37" t="str">
        <f aca="false">IF(B507="","",IFERROR(INDEX(st_ID,MATCH(B507,st_Name,0)),"Unknown"))</f>
        <v>QP-03</v>
      </c>
      <c r="J507" s="37" t="str">
        <f aca="false">IF(C507="","",IFERROR(INDEX(cl_Code,MATCH(C507,cl_Name,0)),"Unknown"))</f>
        <v/>
      </c>
      <c r="K507" s="37" t="str">
        <f aca="false">IF(D507="","",IFERROR(INDEX(rt_Billable,MATCH(D507,rt_Code,0)),"Unknown"))</f>
        <v>No</v>
      </c>
      <c r="L507" s="38" t="str">
        <f aca="false">IF(K507&lt;&gt;"Yes","",IFERROR(INDEX(cr_Rate,MATCH(J507&amp;"|"&amp;D507,cr_Key,0)),INDEX(rt_Rate,MATCH(D507,rt_Code,0))))</f>
        <v/>
      </c>
      <c r="M507" s="25" t="str">
        <f aca="false">IF(L507="","",ROUND(N(E507)*L507,2))</f>
        <v/>
      </c>
      <c r="N507" s="39" t="n">
        <f aca="false">IF(OR(A507="",B507=""),"",SUMIFS(tl_Hours,tl_StaffID,I507,tl_Date,A507))</f>
        <v>8</v>
      </c>
      <c r="O507" s="40" t="str">
        <f aca="false">IF(A507&amp;B507&amp;D507="","",IF(OR(A507="",B507="",D507="",E507=""),"Incomplete",IF(K507="Unknown","Unknown code",IF(AND(K507="Yes",C507=""),"Billable, needs client",IF(N507&gt;MaxDayHours,"Over "&amp;MaxDayHours&amp;" hours that day","")))))</f>
        <v/>
      </c>
    </row>
    <row r="508" customFormat="false" ht="15" hidden="false" customHeight="false" outlineLevel="0" collapsed="false">
      <c r="A508" s="31" t="n">
        <v>46232</v>
      </c>
      <c r="B508" s="32" t="s">
        <v>100</v>
      </c>
      <c r="C508" s="32"/>
      <c r="D508" s="33" t="s">
        <v>96</v>
      </c>
      <c r="E508" s="34" t="n">
        <v>3.25</v>
      </c>
      <c r="F508" s="32"/>
      <c r="G508" s="35" t="n">
        <f aca="false">IF(A508="","",A508+7-WEEKDAY(A508))</f>
        <v>46235</v>
      </c>
      <c r="H508" s="36" t="n">
        <f aca="false">IF(A508="","",DATE(YEAR(A508),MONTH(A508),1))</f>
        <v>46204</v>
      </c>
      <c r="I508" s="37" t="str">
        <f aca="false">IF(B508="","",IFERROR(INDEX(st_ID,MATCH(B508,st_Name,0)),"Unknown"))</f>
        <v>QP-03</v>
      </c>
      <c r="J508" s="37" t="str">
        <f aca="false">IF(C508="","",IFERROR(INDEX(cl_Code,MATCH(C508,cl_Name,0)),"Unknown"))</f>
        <v/>
      </c>
      <c r="K508" s="37" t="str">
        <f aca="false">IF(D508="","",IFERROR(INDEX(rt_Billable,MATCH(D508,rt_Code,0)),"Unknown"))</f>
        <v>No</v>
      </c>
      <c r="L508" s="38" t="str">
        <f aca="false">IF(K508&lt;&gt;"Yes","",IFERROR(INDEX(cr_Rate,MATCH(J508&amp;"|"&amp;D508,cr_Key,0)),INDEX(rt_Rate,MATCH(D508,rt_Code,0))))</f>
        <v/>
      </c>
      <c r="M508" s="25" t="str">
        <f aca="false">IF(L508="","",ROUND(N(E508)*L508,2))</f>
        <v/>
      </c>
      <c r="N508" s="39" t="n">
        <f aca="false">IF(OR(A508="",B508=""),"",SUMIFS(tl_Hours,tl_StaffID,I508,tl_Date,A508))</f>
        <v>8</v>
      </c>
      <c r="O508" s="40" t="str">
        <f aca="false">IF(A508&amp;B508&amp;D508="","",IF(OR(A508="",B508="",D508="",E508=""),"Incomplete",IF(K508="Unknown","Unknown code",IF(AND(K508="Yes",C508=""),"Billable, needs client",IF(N508&gt;MaxDayHours,"Over "&amp;MaxDayHours&amp;" hours that day","")))))</f>
        <v/>
      </c>
    </row>
    <row r="509" customFormat="false" ht="15" hidden="false" customHeight="false" outlineLevel="0" collapsed="false">
      <c r="A509" s="31" t="n">
        <v>46232</v>
      </c>
      <c r="B509" s="32" t="s">
        <v>101</v>
      </c>
      <c r="C509" s="32" t="s">
        <v>102</v>
      </c>
      <c r="D509" s="33" t="s">
        <v>104</v>
      </c>
      <c r="E509" s="34" t="n">
        <v>3.25</v>
      </c>
      <c r="F509" s="32"/>
      <c r="G509" s="35" t="n">
        <f aca="false">IF(A509="","",A509+7-WEEKDAY(A509))</f>
        <v>46235</v>
      </c>
      <c r="H509" s="36" t="n">
        <f aca="false">IF(A509="","",DATE(YEAR(A509),MONTH(A509),1))</f>
        <v>46204</v>
      </c>
      <c r="I509" s="37" t="str">
        <f aca="false">IF(B509="","",IFERROR(INDEX(st_ID,MATCH(B509,st_Name,0)),"Unknown"))</f>
        <v>QP-04</v>
      </c>
      <c r="J509" s="37" t="str">
        <f aca="false">IF(C509="","",IFERROR(INDEX(cl_Code,MATCH(C509,cl_Name,0)),"Unknown"))</f>
        <v>CLH</v>
      </c>
      <c r="K509" s="37" t="str">
        <f aca="false">IF(D509="","",IFERROR(INDEX(rt_Billable,MATCH(D509,rt_Code,0)),"Unknown"))</f>
        <v>Yes</v>
      </c>
      <c r="L509" s="38" t="n">
        <f aca="false">IF(K509&lt;&gt;"Yes","",IFERROR(INDEX(cr_Rate,MATCH(J509&amp;"|"&amp;D509,cr_Key,0)),INDEX(rt_Rate,MATCH(D509,rt_Code,0))))</f>
        <v>65</v>
      </c>
      <c r="M509" s="25" t="n">
        <f aca="false">IF(L509="","",ROUND(N(E509)*L509,2))</f>
        <v>211.25</v>
      </c>
      <c r="N509" s="39" t="n">
        <f aca="false">IF(OR(A509="",B509=""),"",SUMIFS(tl_Hours,tl_StaffID,I509,tl_Date,A509))</f>
        <v>8</v>
      </c>
      <c r="O509" s="40" t="str">
        <f aca="false">IF(A509&amp;B509&amp;D509="","",IF(OR(A509="",B509="",D509="",E509=""),"Incomplete",IF(K509="Unknown","Unknown code",IF(AND(K509="Yes",C509=""),"Billable, needs client",IF(N509&gt;MaxDayHours,"Over "&amp;MaxDayHours&amp;" hours that day","")))))</f>
        <v/>
      </c>
    </row>
    <row r="510" customFormat="false" ht="15" hidden="false" customHeight="false" outlineLevel="0" collapsed="false">
      <c r="A510" s="31" t="n">
        <v>46232</v>
      </c>
      <c r="B510" s="32" t="s">
        <v>101</v>
      </c>
      <c r="C510" s="32" t="s">
        <v>102</v>
      </c>
      <c r="D510" s="33" t="s">
        <v>89</v>
      </c>
      <c r="E510" s="34" t="n">
        <v>1.5</v>
      </c>
      <c r="F510" s="32"/>
      <c r="G510" s="35" t="n">
        <f aca="false">IF(A510="","",A510+7-WEEKDAY(A510))</f>
        <v>46235</v>
      </c>
      <c r="H510" s="36" t="n">
        <f aca="false">IF(A510="","",DATE(YEAR(A510),MONTH(A510),1))</f>
        <v>46204</v>
      </c>
      <c r="I510" s="37" t="str">
        <f aca="false">IF(B510="","",IFERROR(INDEX(st_ID,MATCH(B510,st_Name,0)),"Unknown"))</f>
        <v>QP-04</v>
      </c>
      <c r="J510" s="37" t="str">
        <f aca="false">IF(C510="","",IFERROR(INDEX(cl_Code,MATCH(C510,cl_Name,0)),"Unknown"))</f>
        <v>CLH</v>
      </c>
      <c r="K510" s="37" t="str">
        <f aca="false">IF(D510="","",IFERROR(INDEX(rt_Billable,MATCH(D510,rt_Code,0)),"Unknown"))</f>
        <v>Yes</v>
      </c>
      <c r="L510" s="38" t="n">
        <f aca="false">IF(K510&lt;&gt;"Yes","",IFERROR(INDEX(cr_Rate,MATCH(J510&amp;"|"&amp;D510,cr_Key,0)),INDEX(rt_Rate,MATCH(D510,rt_Code,0))))</f>
        <v>95</v>
      </c>
      <c r="M510" s="25" t="n">
        <f aca="false">IF(L510="","",ROUND(N(E510)*L510,2))</f>
        <v>142.5</v>
      </c>
      <c r="N510" s="39" t="n">
        <f aca="false">IF(OR(A510="",B510=""),"",SUMIFS(tl_Hours,tl_StaffID,I510,tl_Date,A510))</f>
        <v>8</v>
      </c>
      <c r="O510" s="40" t="str">
        <f aca="false">IF(A510&amp;B510&amp;D510="","",IF(OR(A510="",B510="",D510="",E510=""),"Incomplete",IF(K510="Unknown","Unknown code",IF(AND(K510="Yes",C510=""),"Billable, needs client",IF(N510&gt;MaxDayHours,"Over "&amp;MaxDayHours&amp;" hours that day","")))))</f>
        <v/>
      </c>
    </row>
    <row r="511" customFormat="false" ht="15" hidden="false" customHeight="false" outlineLevel="0" collapsed="false">
      <c r="A511" s="31" t="n">
        <v>46232</v>
      </c>
      <c r="B511" s="32" t="s">
        <v>101</v>
      </c>
      <c r="C511" s="32"/>
      <c r="D511" s="33" t="s">
        <v>98</v>
      </c>
      <c r="E511" s="34" t="n">
        <v>1</v>
      </c>
      <c r="F511" s="32" t="s">
        <v>99</v>
      </c>
      <c r="G511" s="35" t="n">
        <f aca="false">IF(A511="","",A511+7-WEEKDAY(A511))</f>
        <v>46235</v>
      </c>
      <c r="H511" s="36" t="n">
        <f aca="false">IF(A511="","",DATE(YEAR(A511),MONTH(A511),1))</f>
        <v>46204</v>
      </c>
      <c r="I511" s="37" t="str">
        <f aca="false">IF(B511="","",IFERROR(INDEX(st_ID,MATCH(B511,st_Name,0)),"Unknown"))</f>
        <v>QP-04</v>
      </c>
      <c r="J511" s="37" t="str">
        <f aca="false">IF(C511="","",IFERROR(INDEX(cl_Code,MATCH(C511,cl_Name,0)),"Unknown"))</f>
        <v/>
      </c>
      <c r="K511" s="37" t="str">
        <f aca="false">IF(D511="","",IFERROR(INDEX(rt_Billable,MATCH(D511,rt_Code,0)),"Unknown"))</f>
        <v>No</v>
      </c>
      <c r="L511" s="38" t="str">
        <f aca="false">IF(K511&lt;&gt;"Yes","",IFERROR(INDEX(cr_Rate,MATCH(J511&amp;"|"&amp;D511,cr_Key,0)),INDEX(rt_Rate,MATCH(D511,rt_Code,0))))</f>
        <v/>
      </c>
      <c r="M511" s="25" t="str">
        <f aca="false">IF(L511="","",ROUND(N(E511)*L511,2))</f>
        <v/>
      </c>
      <c r="N511" s="39" t="n">
        <f aca="false">IF(OR(A511="",B511=""),"",SUMIFS(tl_Hours,tl_StaffID,I511,tl_Date,A511))</f>
        <v>8</v>
      </c>
      <c r="O511" s="40" t="str">
        <f aca="false">IF(A511&amp;B511&amp;D511="","",IF(OR(A511="",B511="",D511="",E511=""),"Incomplete",IF(K511="Unknown","Unknown code",IF(AND(K511="Yes",C511=""),"Billable, needs client",IF(N511&gt;MaxDayHours,"Over "&amp;MaxDayHours&amp;" hours that day","")))))</f>
        <v/>
      </c>
    </row>
    <row r="512" customFormat="false" ht="15" hidden="false" customHeight="false" outlineLevel="0" collapsed="false">
      <c r="A512" s="31" t="n">
        <v>46232</v>
      </c>
      <c r="B512" s="32" t="s">
        <v>101</v>
      </c>
      <c r="C512" s="32"/>
      <c r="D512" s="33" t="s">
        <v>96</v>
      </c>
      <c r="E512" s="34" t="n">
        <v>2.25</v>
      </c>
      <c r="F512" s="32"/>
      <c r="G512" s="35" t="n">
        <f aca="false">IF(A512="","",A512+7-WEEKDAY(A512))</f>
        <v>46235</v>
      </c>
      <c r="H512" s="36" t="n">
        <f aca="false">IF(A512="","",DATE(YEAR(A512),MONTH(A512),1))</f>
        <v>46204</v>
      </c>
      <c r="I512" s="37" t="str">
        <f aca="false">IF(B512="","",IFERROR(INDEX(st_ID,MATCH(B512,st_Name,0)),"Unknown"))</f>
        <v>QP-04</v>
      </c>
      <c r="J512" s="37" t="str">
        <f aca="false">IF(C512="","",IFERROR(INDEX(cl_Code,MATCH(C512,cl_Name,0)),"Unknown"))</f>
        <v/>
      </c>
      <c r="K512" s="37" t="str">
        <f aca="false">IF(D512="","",IFERROR(INDEX(rt_Billable,MATCH(D512,rt_Code,0)),"Unknown"))</f>
        <v>No</v>
      </c>
      <c r="L512" s="38" t="str">
        <f aca="false">IF(K512&lt;&gt;"Yes","",IFERROR(INDEX(cr_Rate,MATCH(J512&amp;"|"&amp;D512,cr_Key,0)),INDEX(rt_Rate,MATCH(D512,rt_Code,0))))</f>
        <v/>
      </c>
      <c r="M512" s="25" t="str">
        <f aca="false">IF(L512="","",ROUND(N(E512)*L512,2))</f>
        <v/>
      </c>
      <c r="N512" s="39" t="n">
        <f aca="false">IF(OR(A512="",B512=""),"",SUMIFS(tl_Hours,tl_StaffID,I512,tl_Date,A512))</f>
        <v>8</v>
      </c>
      <c r="O512" s="40" t="str">
        <f aca="false">IF(A512&amp;B512&amp;D512="","",IF(OR(A512="",B512="",D512="",E512=""),"Incomplete",IF(K512="Unknown","Unknown code",IF(AND(K512="Yes",C512=""),"Billable, needs client",IF(N512&gt;MaxDayHours,"Over "&amp;MaxDayHours&amp;" hours that day","")))))</f>
        <v/>
      </c>
    </row>
    <row r="513" customFormat="false" ht="15" hidden="false" customHeight="false" outlineLevel="0" collapsed="false">
      <c r="A513" s="31" t="n">
        <v>46232</v>
      </c>
      <c r="B513" s="32" t="s">
        <v>103</v>
      </c>
      <c r="C513" s="32" t="s">
        <v>90</v>
      </c>
      <c r="D513" s="33" t="s">
        <v>91</v>
      </c>
      <c r="E513" s="34" t="n">
        <v>3.25</v>
      </c>
      <c r="F513" s="32"/>
      <c r="G513" s="35" t="n">
        <f aca="false">IF(A513="","",A513+7-WEEKDAY(A513))</f>
        <v>46235</v>
      </c>
      <c r="H513" s="36" t="n">
        <f aca="false">IF(A513="","",DATE(YEAR(A513),MONTH(A513),1))</f>
        <v>46204</v>
      </c>
      <c r="I513" s="37" t="str">
        <f aca="false">IF(B513="","",IFERROR(INDEX(st_ID,MATCH(B513,st_Name,0)),"Unknown"))</f>
        <v>QP-05</v>
      </c>
      <c r="J513" s="37" t="str">
        <f aca="false">IF(C513="","",IFERROR(INDEX(cl_Code,MATCH(C513,cl_Name,0)),"Unknown"))</f>
        <v>BSE</v>
      </c>
      <c r="K513" s="37" t="str">
        <f aca="false">IF(D513="","",IFERROR(INDEX(rt_Billable,MATCH(D513,rt_Code,0)),"Unknown"))</f>
        <v>Yes</v>
      </c>
      <c r="L513" s="38" t="n">
        <f aca="false">IF(K513&lt;&gt;"Yes","",IFERROR(INDEX(cr_Rate,MATCH(J513&amp;"|"&amp;D513,cr_Key,0)),INDEX(rt_Rate,MATCH(D513,rt_Code,0))))</f>
        <v>100</v>
      </c>
      <c r="M513" s="25" t="n">
        <f aca="false">IF(L513="","",ROUND(N(E513)*L513,2))</f>
        <v>325</v>
      </c>
      <c r="N513" s="39" t="n">
        <f aca="false">IF(OR(A513="",B513=""),"",SUMIFS(tl_Hours,tl_StaffID,I513,tl_Date,A513))</f>
        <v>8</v>
      </c>
      <c r="O513" s="40" t="str">
        <f aca="false">IF(A513&amp;B513&amp;D513="","",IF(OR(A513="",B513="",D513="",E513=""),"Incomplete",IF(K513="Unknown","Unknown code",IF(AND(K513="Yes",C513=""),"Billable, needs client",IF(N513&gt;MaxDayHours,"Over "&amp;MaxDayHours&amp;" hours that day","")))))</f>
        <v/>
      </c>
    </row>
    <row r="514" customFormat="false" ht="15" hidden="false" customHeight="false" outlineLevel="0" collapsed="false">
      <c r="A514" s="31" t="n">
        <v>46232</v>
      </c>
      <c r="B514" s="32" t="s">
        <v>103</v>
      </c>
      <c r="C514" s="32" t="s">
        <v>90</v>
      </c>
      <c r="D514" s="33" t="s">
        <v>104</v>
      </c>
      <c r="E514" s="34" t="n">
        <v>0.75</v>
      </c>
      <c r="F514" s="32"/>
      <c r="G514" s="35" t="n">
        <f aca="false">IF(A514="","",A514+7-WEEKDAY(A514))</f>
        <v>46235</v>
      </c>
      <c r="H514" s="36" t="n">
        <f aca="false">IF(A514="","",DATE(YEAR(A514),MONTH(A514),1))</f>
        <v>46204</v>
      </c>
      <c r="I514" s="37" t="str">
        <f aca="false">IF(B514="","",IFERROR(INDEX(st_ID,MATCH(B514,st_Name,0)),"Unknown"))</f>
        <v>QP-05</v>
      </c>
      <c r="J514" s="37" t="str">
        <f aca="false">IF(C514="","",IFERROR(INDEX(cl_Code,MATCH(C514,cl_Name,0)),"Unknown"))</f>
        <v>BSE</v>
      </c>
      <c r="K514" s="37" t="str">
        <f aca="false">IF(D514="","",IFERROR(INDEX(rt_Billable,MATCH(D514,rt_Code,0)),"Unknown"))</f>
        <v>Yes</v>
      </c>
      <c r="L514" s="38" t="n">
        <f aca="false">IF(K514&lt;&gt;"Yes","",IFERROR(INDEX(cr_Rate,MATCH(J514&amp;"|"&amp;D514,cr_Key,0)),INDEX(rt_Rate,MATCH(D514,rt_Code,0))))</f>
        <v>70</v>
      </c>
      <c r="M514" s="25" t="n">
        <f aca="false">IF(L514="","",ROUND(N(E514)*L514,2))</f>
        <v>52.5</v>
      </c>
      <c r="N514" s="39" t="n">
        <f aca="false">IF(OR(A514="",B514=""),"",SUMIFS(tl_Hours,tl_StaffID,I514,tl_Date,A514))</f>
        <v>8</v>
      </c>
      <c r="O514" s="40" t="str">
        <f aca="false">IF(A514&amp;B514&amp;D514="","",IF(OR(A514="",B514="",D514="",E514=""),"Incomplete",IF(K514="Unknown","Unknown code",IF(AND(K514="Yes",C514=""),"Billable, needs client",IF(N514&gt;MaxDayHours,"Over "&amp;MaxDayHours&amp;" hours that day","")))))</f>
        <v/>
      </c>
    </row>
    <row r="515" customFormat="false" ht="15" hidden="false" customHeight="false" outlineLevel="0" collapsed="false">
      <c r="A515" s="31" t="n">
        <v>46232</v>
      </c>
      <c r="B515" s="32" t="s">
        <v>103</v>
      </c>
      <c r="C515" s="32"/>
      <c r="D515" s="33" t="s">
        <v>98</v>
      </c>
      <c r="E515" s="34" t="n">
        <v>1</v>
      </c>
      <c r="F515" s="32" t="s">
        <v>99</v>
      </c>
      <c r="G515" s="35" t="n">
        <f aca="false">IF(A515="","",A515+7-WEEKDAY(A515))</f>
        <v>46235</v>
      </c>
      <c r="H515" s="36" t="n">
        <f aca="false">IF(A515="","",DATE(YEAR(A515),MONTH(A515),1))</f>
        <v>46204</v>
      </c>
      <c r="I515" s="37" t="str">
        <f aca="false">IF(B515="","",IFERROR(INDEX(st_ID,MATCH(B515,st_Name,0)),"Unknown"))</f>
        <v>QP-05</v>
      </c>
      <c r="J515" s="37" t="str">
        <f aca="false">IF(C515="","",IFERROR(INDEX(cl_Code,MATCH(C515,cl_Name,0)),"Unknown"))</f>
        <v/>
      </c>
      <c r="K515" s="37" t="str">
        <f aca="false">IF(D515="","",IFERROR(INDEX(rt_Billable,MATCH(D515,rt_Code,0)),"Unknown"))</f>
        <v>No</v>
      </c>
      <c r="L515" s="38" t="str">
        <f aca="false">IF(K515&lt;&gt;"Yes","",IFERROR(INDEX(cr_Rate,MATCH(J515&amp;"|"&amp;D515,cr_Key,0)),INDEX(rt_Rate,MATCH(D515,rt_Code,0))))</f>
        <v/>
      </c>
      <c r="M515" s="25" t="str">
        <f aca="false">IF(L515="","",ROUND(N(E515)*L515,2))</f>
        <v/>
      </c>
      <c r="N515" s="39" t="n">
        <f aca="false">IF(OR(A515="",B515=""),"",SUMIFS(tl_Hours,tl_StaffID,I515,tl_Date,A515))</f>
        <v>8</v>
      </c>
      <c r="O515" s="40" t="str">
        <f aca="false">IF(A515&amp;B515&amp;D515="","",IF(OR(A515="",B515="",D515="",E515=""),"Incomplete",IF(K515="Unknown","Unknown code",IF(AND(K515="Yes",C515=""),"Billable, needs client",IF(N515&gt;MaxDayHours,"Over "&amp;MaxDayHours&amp;" hours that day","")))))</f>
        <v/>
      </c>
    </row>
    <row r="516" customFormat="false" ht="15" hidden="false" customHeight="false" outlineLevel="0" collapsed="false">
      <c r="A516" s="31" t="n">
        <v>46232</v>
      </c>
      <c r="B516" s="32" t="s">
        <v>103</v>
      </c>
      <c r="C516" s="32"/>
      <c r="D516" s="33" t="s">
        <v>96</v>
      </c>
      <c r="E516" s="34" t="n">
        <v>3</v>
      </c>
      <c r="F516" s="32"/>
      <c r="G516" s="35" t="n">
        <f aca="false">IF(A516="","",A516+7-WEEKDAY(A516))</f>
        <v>46235</v>
      </c>
      <c r="H516" s="36" t="n">
        <f aca="false">IF(A516="","",DATE(YEAR(A516),MONTH(A516),1))</f>
        <v>46204</v>
      </c>
      <c r="I516" s="37" t="str">
        <f aca="false">IF(B516="","",IFERROR(INDEX(st_ID,MATCH(B516,st_Name,0)),"Unknown"))</f>
        <v>QP-05</v>
      </c>
      <c r="J516" s="37" t="str">
        <f aca="false">IF(C516="","",IFERROR(INDEX(cl_Code,MATCH(C516,cl_Name,0)),"Unknown"))</f>
        <v/>
      </c>
      <c r="K516" s="37" t="str">
        <f aca="false">IF(D516="","",IFERROR(INDEX(rt_Billable,MATCH(D516,rt_Code,0)),"Unknown"))</f>
        <v>No</v>
      </c>
      <c r="L516" s="38" t="str">
        <f aca="false">IF(K516&lt;&gt;"Yes","",IFERROR(INDEX(cr_Rate,MATCH(J516&amp;"|"&amp;D516,cr_Key,0)),INDEX(rt_Rate,MATCH(D516,rt_Code,0))))</f>
        <v/>
      </c>
      <c r="M516" s="25" t="str">
        <f aca="false">IF(L516="","",ROUND(N(E516)*L516,2))</f>
        <v/>
      </c>
      <c r="N516" s="39" t="n">
        <f aca="false">IF(OR(A516="",B516=""),"",SUMIFS(tl_Hours,tl_StaffID,I516,tl_Date,A516))</f>
        <v>8</v>
      </c>
      <c r="O516" s="40" t="str">
        <f aca="false">IF(A516&amp;B516&amp;D516="","",IF(OR(A516="",B516="",D516="",E516=""),"Incomplete",IF(K516="Unknown","Unknown code",IF(AND(K516="Yes",C516=""),"Billable, needs client",IF(N516&gt;MaxDayHours,"Over "&amp;MaxDayHours&amp;" hours that day","")))))</f>
        <v/>
      </c>
    </row>
    <row r="517" customFormat="false" ht="15" hidden="false" customHeight="false" outlineLevel="0" collapsed="false">
      <c r="A517" s="31" t="n">
        <v>46232</v>
      </c>
      <c r="B517" s="32" t="s">
        <v>105</v>
      </c>
      <c r="C517" s="32" t="s">
        <v>90</v>
      </c>
      <c r="D517" s="33" t="s">
        <v>91</v>
      </c>
      <c r="E517" s="34" t="n">
        <v>3</v>
      </c>
      <c r="F517" s="32"/>
      <c r="G517" s="35" t="n">
        <f aca="false">IF(A517="","",A517+7-WEEKDAY(A517))</f>
        <v>46235</v>
      </c>
      <c r="H517" s="36" t="n">
        <f aca="false">IF(A517="","",DATE(YEAR(A517),MONTH(A517),1))</f>
        <v>46204</v>
      </c>
      <c r="I517" s="37" t="str">
        <f aca="false">IF(B517="","",IFERROR(INDEX(st_ID,MATCH(B517,st_Name,0)),"Unknown"))</f>
        <v>QP-06</v>
      </c>
      <c r="J517" s="37" t="str">
        <f aca="false">IF(C517="","",IFERROR(INDEX(cl_Code,MATCH(C517,cl_Name,0)),"Unknown"))</f>
        <v>BSE</v>
      </c>
      <c r="K517" s="37" t="str">
        <f aca="false">IF(D517="","",IFERROR(INDEX(rt_Billable,MATCH(D517,rt_Code,0)),"Unknown"))</f>
        <v>Yes</v>
      </c>
      <c r="L517" s="38" t="n">
        <f aca="false">IF(K517&lt;&gt;"Yes","",IFERROR(INDEX(cr_Rate,MATCH(J517&amp;"|"&amp;D517,cr_Key,0)),INDEX(rt_Rate,MATCH(D517,rt_Code,0))))</f>
        <v>100</v>
      </c>
      <c r="M517" s="25" t="n">
        <f aca="false">IF(L517="","",ROUND(N(E517)*L517,2))</f>
        <v>300</v>
      </c>
      <c r="N517" s="39" t="n">
        <f aca="false">IF(OR(A517="",B517=""),"",SUMIFS(tl_Hours,tl_StaffID,I517,tl_Date,A517))</f>
        <v>8</v>
      </c>
      <c r="O517" s="40" t="str">
        <f aca="false">IF(A517&amp;B517&amp;D517="","",IF(OR(A517="",B517="",D517="",E517=""),"Incomplete",IF(K517="Unknown","Unknown code",IF(AND(K517="Yes",C517=""),"Billable, needs client",IF(N517&gt;MaxDayHours,"Over "&amp;MaxDayHours&amp;" hours that day","")))))</f>
        <v/>
      </c>
    </row>
    <row r="518" customFormat="false" ht="15" hidden="false" customHeight="false" outlineLevel="0" collapsed="false">
      <c r="A518" s="31" t="n">
        <v>46232</v>
      </c>
      <c r="B518" s="32" t="s">
        <v>105</v>
      </c>
      <c r="C518" s="32" t="s">
        <v>90</v>
      </c>
      <c r="D518" s="33" t="s">
        <v>88</v>
      </c>
      <c r="E518" s="34" t="n">
        <v>1.25</v>
      </c>
      <c r="F518" s="32"/>
      <c r="G518" s="35" t="n">
        <f aca="false">IF(A518="","",A518+7-WEEKDAY(A518))</f>
        <v>46235</v>
      </c>
      <c r="H518" s="36" t="n">
        <f aca="false">IF(A518="","",DATE(YEAR(A518),MONTH(A518),1))</f>
        <v>46204</v>
      </c>
      <c r="I518" s="37" t="str">
        <f aca="false">IF(B518="","",IFERROR(INDEX(st_ID,MATCH(B518,st_Name,0)),"Unknown"))</f>
        <v>QP-06</v>
      </c>
      <c r="J518" s="37" t="str">
        <f aca="false">IF(C518="","",IFERROR(INDEX(cl_Code,MATCH(C518,cl_Name,0)),"Unknown"))</f>
        <v>BSE</v>
      </c>
      <c r="K518" s="37" t="str">
        <f aca="false">IF(D518="","",IFERROR(INDEX(rt_Billable,MATCH(D518,rt_Code,0)),"Unknown"))</f>
        <v>Yes</v>
      </c>
      <c r="L518" s="38" t="n">
        <f aca="false">IF(K518&lt;&gt;"Yes","",IFERROR(INDEX(cr_Rate,MATCH(J518&amp;"|"&amp;D518,cr_Key,0)),INDEX(rt_Rate,MATCH(D518,rt_Code,0))))</f>
        <v>104</v>
      </c>
      <c r="M518" s="25" t="n">
        <f aca="false">IF(L518="","",ROUND(N(E518)*L518,2))</f>
        <v>130</v>
      </c>
      <c r="N518" s="39" t="n">
        <f aca="false">IF(OR(A518="",B518=""),"",SUMIFS(tl_Hours,tl_StaffID,I518,tl_Date,A518))</f>
        <v>8</v>
      </c>
      <c r="O518" s="40" t="str">
        <f aca="false">IF(A518&amp;B518&amp;D518="","",IF(OR(A518="",B518="",D518="",E518=""),"Incomplete",IF(K518="Unknown","Unknown code",IF(AND(K518="Yes",C518=""),"Billable, needs client",IF(N518&gt;MaxDayHours,"Over "&amp;MaxDayHours&amp;" hours that day","")))))</f>
        <v/>
      </c>
    </row>
    <row r="519" customFormat="false" ht="15" hidden="false" customHeight="false" outlineLevel="0" collapsed="false">
      <c r="A519" s="31" t="n">
        <v>46232</v>
      </c>
      <c r="B519" s="32" t="s">
        <v>105</v>
      </c>
      <c r="C519" s="32"/>
      <c r="D519" s="33" t="s">
        <v>98</v>
      </c>
      <c r="E519" s="34" t="n">
        <v>1</v>
      </c>
      <c r="F519" s="32" t="s">
        <v>99</v>
      </c>
      <c r="G519" s="35" t="n">
        <f aca="false">IF(A519="","",A519+7-WEEKDAY(A519))</f>
        <v>46235</v>
      </c>
      <c r="H519" s="36" t="n">
        <f aca="false">IF(A519="","",DATE(YEAR(A519),MONTH(A519),1))</f>
        <v>46204</v>
      </c>
      <c r="I519" s="37" t="str">
        <f aca="false">IF(B519="","",IFERROR(INDEX(st_ID,MATCH(B519,st_Name,0)),"Unknown"))</f>
        <v>QP-06</v>
      </c>
      <c r="J519" s="37" t="str">
        <f aca="false">IF(C519="","",IFERROR(INDEX(cl_Code,MATCH(C519,cl_Name,0)),"Unknown"))</f>
        <v/>
      </c>
      <c r="K519" s="37" t="str">
        <f aca="false">IF(D519="","",IFERROR(INDEX(rt_Billable,MATCH(D519,rt_Code,0)),"Unknown"))</f>
        <v>No</v>
      </c>
      <c r="L519" s="38" t="str">
        <f aca="false">IF(K519&lt;&gt;"Yes","",IFERROR(INDEX(cr_Rate,MATCH(J519&amp;"|"&amp;D519,cr_Key,0)),INDEX(rt_Rate,MATCH(D519,rt_Code,0))))</f>
        <v/>
      </c>
      <c r="M519" s="25" t="str">
        <f aca="false">IF(L519="","",ROUND(N(E519)*L519,2))</f>
        <v/>
      </c>
      <c r="N519" s="39" t="n">
        <f aca="false">IF(OR(A519="",B519=""),"",SUMIFS(tl_Hours,tl_StaffID,I519,tl_Date,A519))</f>
        <v>8</v>
      </c>
      <c r="O519" s="40" t="str">
        <f aca="false">IF(A519&amp;B519&amp;D519="","",IF(OR(A519="",B519="",D519="",E519=""),"Incomplete",IF(K519="Unknown","Unknown code",IF(AND(K519="Yes",C519=""),"Billable, needs client",IF(N519&gt;MaxDayHours,"Over "&amp;MaxDayHours&amp;" hours that day","")))))</f>
        <v/>
      </c>
    </row>
    <row r="520" customFormat="false" ht="15" hidden="false" customHeight="false" outlineLevel="0" collapsed="false">
      <c r="A520" s="31" t="n">
        <v>46232</v>
      </c>
      <c r="B520" s="32" t="s">
        <v>105</v>
      </c>
      <c r="C520" s="32"/>
      <c r="D520" s="33" t="s">
        <v>96</v>
      </c>
      <c r="E520" s="34" t="n">
        <v>2.75</v>
      </c>
      <c r="F520" s="32"/>
      <c r="G520" s="35" t="n">
        <f aca="false">IF(A520="","",A520+7-WEEKDAY(A520))</f>
        <v>46235</v>
      </c>
      <c r="H520" s="36" t="n">
        <f aca="false">IF(A520="","",DATE(YEAR(A520),MONTH(A520),1))</f>
        <v>46204</v>
      </c>
      <c r="I520" s="37" t="str">
        <f aca="false">IF(B520="","",IFERROR(INDEX(st_ID,MATCH(B520,st_Name,0)),"Unknown"))</f>
        <v>QP-06</v>
      </c>
      <c r="J520" s="37" t="str">
        <f aca="false">IF(C520="","",IFERROR(INDEX(cl_Code,MATCH(C520,cl_Name,0)),"Unknown"))</f>
        <v/>
      </c>
      <c r="K520" s="37" t="str">
        <f aca="false">IF(D520="","",IFERROR(INDEX(rt_Billable,MATCH(D520,rt_Code,0)),"Unknown"))</f>
        <v>No</v>
      </c>
      <c r="L520" s="38" t="str">
        <f aca="false">IF(K520&lt;&gt;"Yes","",IFERROR(INDEX(cr_Rate,MATCH(J520&amp;"|"&amp;D520,cr_Key,0)),INDEX(rt_Rate,MATCH(D520,rt_Code,0))))</f>
        <v/>
      </c>
      <c r="M520" s="25" t="str">
        <f aca="false">IF(L520="","",ROUND(N(E520)*L520,2))</f>
        <v/>
      </c>
      <c r="N520" s="39" t="n">
        <f aca="false">IF(OR(A520="",B520=""),"",SUMIFS(tl_Hours,tl_StaffID,I520,tl_Date,A520))</f>
        <v>8</v>
      </c>
      <c r="O520" s="40" t="str">
        <f aca="false">IF(A520&amp;B520&amp;D520="","",IF(OR(A520="",B520="",D520="",E520=""),"Incomplete",IF(K520="Unknown","Unknown code",IF(AND(K520="Yes",C520=""),"Billable, needs client",IF(N520&gt;MaxDayHours,"Over "&amp;MaxDayHours&amp;" hours that day","")))))</f>
        <v/>
      </c>
    </row>
    <row r="521" customFormat="false" ht="15" hidden="false" customHeight="false" outlineLevel="0" collapsed="false">
      <c r="A521" s="31" t="n">
        <v>46232</v>
      </c>
      <c r="B521" s="32" t="s">
        <v>106</v>
      </c>
      <c r="C521" s="32" t="s">
        <v>87</v>
      </c>
      <c r="D521" s="33" t="s">
        <v>88</v>
      </c>
      <c r="E521" s="34" t="n">
        <v>1.25</v>
      </c>
      <c r="F521" s="32"/>
      <c r="G521" s="35" t="n">
        <f aca="false">IF(A521="","",A521+7-WEEKDAY(A521))</f>
        <v>46235</v>
      </c>
      <c r="H521" s="36" t="n">
        <f aca="false">IF(A521="","",DATE(YEAR(A521),MONTH(A521),1))</f>
        <v>46204</v>
      </c>
      <c r="I521" s="37" t="str">
        <f aca="false">IF(B521="","",IFERROR(INDEX(st_ID,MATCH(B521,st_Name,0)),"Unknown"))</f>
        <v>QP-07</v>
      </c>
      <c r="J521" s="37" t="str">
        <f aca="false">IF(C521="","",IFERROR(INDEX(cl_Code,MATCH(C521,cl_Name,0)),"Unknown"))</f>
        <v>HCS</v>
      </c>
      <c r="K521" s="37" t="str">
        <f aca="false">IF(D521="","",IFERROR(INDEX(rt_Billable,MATCH(D521,rt_Code,0)),"Unknown"))</f>
        <v>Yes</v>
      </c>
      <c r="L521" s="38" t="n">
        <f aca="false">IF(K521&lt;&gt;"Yes","",IFERROR(INDEX(cr_Rate,MATCH(J521&amp;"|"&amp;D521,cr_Key,0)),INDEX(rt_Rate,MATCH(D521,rt_Code,0))))</f>
        <v>98</v>
      </c>
      <c r="M521" s="25" t="n">
        <f aca="false">IF(L521="","",ROUND(N(E521)*L521,2))</f>
        <v>122.5</v>
      </c>
      <c r="N521" s="39" t="n">
        <f aca="false">IF(OR(A521="",B521=""),"",SUMIFS(tl_Hours,tl_StaffID,I521,tl_Date,A521))</f>
        <v>8</v>
      </c>
      <c r="O521" s="40" t="str">
        <f aca="false">IF(A521&amp;B521&amp;D521="","",IF(OR(A521="",B521="",D521="",E521=""),"Incomplete",IF(K521="Unknown","Unknown code",IF(AND(K521="Yes",C521=""),"Billable, needs client",IF(N521&gt;MaxDayHours,"Over "&amp;MaxDayHours&amp;" hours that day","")))))</f>
        <v/>
      </c>
    </row>
    <row r="522" customFormat="false" ht="15" hidden="false" customHeight="false" outlineLevel="0" collapsed="false">
      <c r="A522" s="31" t="n">
        <v>46232</v>
      </c>
      <c r="B522" s="32" t="s">
        <v>106</v>
      </c>
      <c r="C522" s="32" t="s">
        <v>87</v>
      </c>
      <c r="D522" s="33" t="s">
        <v>89</v>
      </c>
      <c r="E522" s="34" t="n">
        <v>1</v>
      </c>
      <c r="F522" s="32"/>
      <c r="G522" s="35" t="n">
        <f aca="false">IF(A522="","",A522+7-WEEKDAY(A522))</f>
        <v>46235</v>
      </c>
      <c r="H522" s="36" t="n">
        <f aca="false">IF(A522="","",DATE(YEAR(A522),MONTH(A522),1))</f>
        <v>46204</v>
      </c>
      <c r="I522" s="37" t="str">
        <f aca="false">IF(B522="","",IFERROR(INDEX(st_ID,MATCH(B522,st_Name,0)),"Unknown"))</f>
        <v>QP-07</v>
      </c>
      <c r="J522" s="37" t="str">
        <f aca="false">IF(C522="","",IFERROR(INDEX(cl_Code,MATCH(C522,cl_Name,0)),"Unknown"))</f>
        <v>HCS</v>
      </c>
      <c r="K522" s="37" t="str">
        <f aca="false">IF(D522="","",IFERROR(INDEX(rt_Billable,MATCH(D522,rt_Code,0)),"Unknown"))</f>
        <v>Yes</v>
      </c>
      <c r="L522" s="38" t="n">
        <f aca="false">IF(K522&lt;&gt;"Yes","",IFERROR(INDEX(cr_Rate,MATCH(J522&amp;"|"&amp;D522,cr_Key,0)),INDEX(rt_Rate,MATCH(D522,rt_Code,0))))</f>
        <v>88</v>
      </c>
      <c r="M522" s="25" t="n">
        <f aca="false">IF(L522="","",ROUND(N(E522)*L522,2))</f>
        <v>88</v>
      </c>
      <c r="N522" s="39" t="n">
        <f aca="false">IF(OR(A522="",B522=""),"",SUMIFS(tl_Hours,tl_StaffID,I522,tl_Date,A522))</f>
        <v>8</v>
      </c>
      <c r="O522" s="40" t="str">
        <f aca="false">IF(A522&amp;B522&amp;D522="","",IF(OR(A522="",B522="",D522="",E522=""),"Incomplete",IF(K522="Unknown","Unknown code",IF(AND(K522="Yes",C522=""),"Billable, needs client",IF(N522&gt;MaxDayHours,"Over "&amp;MaxDayHours&amp;" hours that day","")))))</f>
        <v/>
      </c>
    </row>
    <row r="523" customFormat="false" ht="15" hidden="false" customHeight="false" outlineLevel="0" collapsed="false">
      <c r="A523" s="31" t="n">
        <v>46232</v>
      </c>
      <c r="B523" s="32" t="s">
        <v>106</v>
      </c>
      <c r="C523" s="32" t="s">
        <v>102</v>
      </c>
      <c r="D523" s="33" t="s">
        <v>88</v>
      </c>
      <c r="E523" s="34" t="n">
        <v>1.25</v>
      </c>
      <c r="F523" s="32"/>
      <c r="G523" s="35" t="n">
        <f aca="false">IF(A523="","",A523+7-WEEKDAY(A523))</f>
        <v>46235</v>
      </c>
      <c r="H523" s="36" t="n">
        <f aca="false">IF(A523="","",DATE(YEAR(A523),MONTH(A523),1))</f>
        <v>46204</v>
      </c>
      <c r="I523" s="37" t="str">
        <f aca="false">IF(B523="","",IFERROR(INDEX(st_ID,MATCH(B523,st_Name,0)),"Unknown"))</f>
        <v>QP-07</v>
      </c>
      <c r="J523" s="37" t="str">
        <f aca="false">IF(C523="","",IFERROR(INDEX(cl_Code,MATCH(C523,cl_Name,0)),"Unknown"))</f>
        <v>CLH</v>
      </c>
      <c r="K523" s="37" t="str">
        <f aca="false">IF(D523="","",IFERROR(INDEX(rt_Billable,MATCH(D523,rt_Code,0)),"Unknown"))</f>
        <v>Yes</v>
      </c>
      <c r="L523" s="38" t="n">
        <f aca="false">IF(K523&lt;&gt;"Yes","",IFERROR(INDEX(cr_Rate,MATCH(J523&amp;"|"&amp;D523,cr_Key,0)),INDEX(rt_Rate,MATCH(D523,rt_Code,0))))</f>
        <v>110</v>
      </c>
      <c r="M523" s="25" t="n">
        <f aca="false">IF(L523="","",ROUND(N(E523)*L523,2))</f>
        <v>137.5</v>
      </c>
      <c r="N523" s="39" t="n">
        <f aca="false">IF(OR(A523="",B523=""),"",SUMIFS(tl_Hours,tl_StaffID,I523,tl_Date,A523))</f>
        <v>8</v>
      </c>
      <c r="O523" s="40" t="str">
        <f aca="false">IF(A523&amp;B523&amp;D523="","",IF(OR(A523="",B523="",D523="",E523=""),"Incomplete",IF(K523="Unknown","Unknown code",IF(AND(K523="Yes",C523=""),"Billable, needs client",IF(N523&gt;MaxDayHours,"Over "&amp;MaxDayHours&amp;" hours that day","")))))</f>
        <v/>
      </c>
    </row>
    <row r="524" customFormat="false" ht="15" hidden="false" customHeight="false" outlineLevel="0" collapsed="false">
      <c r="A524" s="31" t="n">
        <v>46232</v>
      </c>
      <c r="B524" s="32" t="s">
        <v>106</v>
      </c>
      <c r="C524" s="32" t="s">
        <v>102</v>
      </c>
      <c r="D524" s="33" t="s">
        <v>104</v>
      </c>
      <c r="E524" s="34" t="n">
        <v>1</v>
      </c>
      <c r="F524" s="32"/>
      <c r="G524" s="35" t="n">
        <f aca="false">IF(A524="","",A524+7-WEEKDAY(A524))</f>
        <v>46235</v>
      </c>
      <c r="H524" s="36" t="n">
        <f aca="false">IF(A524="","",DATE(YEAR(A524),MONTH(A524),1))</f>
        <v>46204</v>
      </c>
      <c r="I524" s="37" t="str">
        <f aca="false">IF(B524="","",IFERROR(INDEX(st_ID,MATCH(B524,st_Name,0)),"Unknown"))</f>
        <v>QP-07</v>
      </c>
      <c r="J524" s="37" t="str">
        <f aca="false">IF(C524="","",IFERROR(INDEX(cl_Code,MATCH(C524,cl_Name,0)),"Unknown"))</f>
        <v>CLH</v>
      </c>
      <c r="K524" s="37" t="str">
        <f aca="false">IF(D524="","",IFERROR(INDEX(rt_Billable,MATCH(D524,rt_Code,0)),"Unknown"))</f>
        <v>Yes</v>
      </c>
      <c r="L524" s="38" t="n">
        <f aca="false">IF(K524&lt;&gt;"Yes","",IFERROR(INDEX(cr_Rate,MATCH(J524&amp;"|"&amp;D524,cr_Key,0)),INDEX(rt_Rate,MATCH(D524,rt_Code,0))))</f>
        <v>65</v>
      </c>
      <c r="M524" s="25" t="n">
        <f aca="false">IF(L524="","",ROUND(N(E524)*L524,2))</f>
        <v>65</v>
      </c>
      <c r="N524" s="39" t="n">
        <f aca="false">IF(OR(A524="",B524=""),"",SUMIFS(tl_Hours,tl_StaffID,I524,tl_Date,A524))</f>
        <v>8</v>
      </c>
      <c r="O524" s="40" t="str">
        <f aca="false">IF(A524&amp;B524&amp;D524="","",IF(OR(A524="",B524="",D524="",E524=""),"Incomplete",IF(K524="Unknown","Unknown code",IF(AND(K524="Yes",C524=""),"Billable, needs client",IF(N524&gt;MaxDayHours,"Over "&amp;MaxDayHours&amp;" hours that day","")))))</f>
        <v/>
      </c>
    </row>
    <row r="525" customFormat="false" ht="15" hidden="false" customHeight="false" outlineLevel="0" collapsed="false">
      <c r="A525" s="31" t="n">
        <v>46232</v>
      </c>
      <c r="B525" s="32" t="s">
        <v>106</v>
      </c>
      <c r="C525" s="32"/>
      <c r="D525" s="33" t="s">
        <v>93</v>
      </c>
      <c r="E525" s="34" t="n">
        <v>0.5</v>
      </c>
      <c r="F525" s="32"/>
      <c r="G525" s="35" t="n">
        <f aca="false">IF(A525="","",A525+7-WEEKDAY(A525))</f>
        <v>46235</v>
      </c>
      <c r="H525" s="36" t="n">
        <f aca="false">IF(A525="","",DATE(YEAR(A525),MONTH(A525),1))</f>
        <v>46204</v>
      </c>
      <c r="I525" s="37" t="str">
        <f aca="false">IF(B525="","",IFERROR(INDEX(st_ID,MATCH(B525,st_Name,0)),"Unknown"))</f>
        <v>QP-07</v>
      </c>
      <c r="J525" s="37" t="str">
        <f aca="false">IF(C525="","",IFERROR(INDEX(cl_Code,MATCH(C525,cl_Name,0)),"Unknown"))</f>
        <v/>
      </c>
      <c r="K525" s="37" t="str">
        <f aca="false">IF(D525="","",IFERROR(INDEX(rt_Billable,MATCH(D525,rt_Code,0)),"Unknown"))</f>
        <v>No</v>
      </c>
      <c r="L525" s="38" t="str">
        <f aca="false">IF(K525&lt;&gt;"Yes","",IFERROR(INDEX(cr_Rate,MATCH(J525&amp;"|"&amp;D525,cr_Key,0)),INDEX(rt_Rate,MATCH(D525,rt_Code,0))))</f>
        <v/>
      </c>
      <c r="M525" s="25" t="str">
        <f aca="false">IF(L525="","",ROUND(N(E525)*L525,2))</f>
        <v/>
      </c>
      <c r="N525" s="39" t="n">
        <f aca="false">IF(OR(A525="",B525=""),"",SUMIFS(tl_Hours,tl_StaffID,I525,tl_Date,A525))</f>
        <v>8</v>
      </c>
      <c r="O525" s="40" t="str">
        <f aca="false">IF(A525&amp;B525&amp;D525="","",IF(OR(A525="",B525="",D525="",E525=""),"Incomplete",IF(K525="Unknown","Unknown code",IF(AND(K525="Yes",C525=""),"Billable, needs client",IF(N525&gt;MaxDayHours,"Over "&amp;MaxDayHours&amp;" hours that day","")))))</f>
        <v/>
      </c>
    </row>
    <row r="526" customFormat="false" ht="15" hidden="false" customHeight="false" outlineLevel="0" collapsed="false">
      <c r="A526" s="31" t="n">
        <v>46232</v>
      </c>
      <c r="B526" s="32" t="s">
        <v>106</v>
      </c>
      <c r="C526" s="32"/>
      <c r="D526" s="33" t="s">
        <v>96</v>
      </c>
      <c r="E526" s="34" t="n">
        <v>3</v>
      </c>
      <c r="F526" s="32"/>
      <c r="G526" s="35" t="n">
        <f aca="false">IF(A526="","",A526+7-WEEKDAY(A526))</f>
        <v>46235</v>
      </c>
      <c r="H526" s="36" t="n">
        <f aca="false">IF(A526="","",DATE(YEAR(A526),MONTH(A526),1))</f>
        <v>46204</v>
      </c>
      <c r="I526" s="37" t="str">
        <f aca="false">IF(B526="","",IFERROR(INDEX(st_ID,MATCH(B526,st_Name,0)),"Unknown"))</f>
        <v>QP-07</v>
      </c>
      <c r="J526" s="37" t="str">
        <f aca="false">IF(C526="","",IFERROR(INDEX(cl_Code,MATCH(C526,cl_Name,0)),"Unknown"))</f>
        <v/>
      </c>
      <c r="K526" s="37" t="str">
        <f aca="false">IF(D526="","",IFERROR(INDEX(rt_Billable,MATCH(D526,rt_Code,0)),"Unknown"))</f>
        <v>No</v>
      </c>
      <c r="L526" s="38" t="str">
        <f aca="false">IF(K526&lt;&gt;"Yes","",IFERROR(INDEX(cr_Rate,MATCH(J526&amp;"|"&amp;D526,cr_Key,0)),INDEX(rt_Rate,MATCH(D526,rt_Code,0))))</f>
        <v/>
      </c>
      <c r="M526" s="25" t="str">
        <f aca="false">IF(L526="","",ROUND(N(E526)*L526,2))</f>
        <v/>
      </c>
      <c r="N526" s="39" t="n">
        <f aca="false">IF(OR(A526="",B526=""),"",SUMIFS(tl_Hours,tl_StaffID,I526,tl_Date,A526))</f>
        <v>8</v>
      </c>
      <c r="O526" s="40" t="str">
        <f aca="false">IF(A526&amp;B526&amp;D526="","",IF(OR(A526="",B526="",D526="",E526=""),"Incomplete",IF(K526="Unknown","Unknown code",IF(AND(K526="Yes",C526=""),"Billable, needs client",IF(N526&gt;MaxDayHours,"Over "&amp;MaxDayHours&amp;" hours that day","")))))</f>
        <v/>
      </c>
    </row>
    <row r="527" customFormat="false" ht="15" hidden="false" customHeight="false" outlineLevel="0" collapsed="false">
      <c r="A527" s="31" t="n">
        <v>46232</v>
      </c>
      <c r="B527" s="32" t="s">
        <v>107</v>
      </c>
      <c r="C527" s="32"/>
      <c r="D527" s="33" t="s">
        <v>108</v>
      </c>
      <c r="E527" s="34" t="n">
        <v>6</v>
      </c>
      <c r="F527" s="32"/>
      <c r="G527" s="35" t="n">
        <f aca="false">IF(A527="","",A527+7-WEEKDAY(A527))</f>
        <v>46235</v>
      </c>
      <c r="H527" s="36" t="n">
        <f aca="false">IF(A527="","",DATE(YEAR(A527),MONTH(A527),1))</f>
        <v>46204</v>
      </c>
      <c r="I527" s="37" t="str">
        <f aca="false">IF(B527="","",IFERROR(INDEX(st_ID,MATCH(B527,st_Name,0)),"Unknown"))</f>
        <v>QP-08</v>
      </c>
      <c r="J527" s="37" t="str">
        <f aca="false">IF(C527="","",IFERROR(INDEX(cl_Code,MATCH(C527,cl_Name,0)),"Unknown"))</f>
        <v/>
      </c>
      <c r="K527" s="37" t="str">
        <f aca="false">IF(D527="","",IFERROR(INDEX(rt_Billable,MATCH(D527,rt_Code,0)),"Unknown"))</f>
        <v>No</v>
      </c>
      <c r="L527" s="38" t="str">
        <f aca="false">IF(K527&lt;&gt;"Yes","",IFERROR(INDEX(cr_Rate,MATCH(J527&amp;"|"&amp;D527,cr_Key,0)),INDEX(rt_Rate,MATCH(D527,rt_Code,0))))</f>
        <v/>
      </c>
      <c r="M527" s="25" t="str">
        <f aca="false">IF(L527="","",ROUND(N(E527)*L527,2))</f>
        <v/>
      </c>
      <c r="N527" s="39" t="n">
        <f aca="false">IF(OR(A527="",B527=""),"",SUMIFS(tl_Hours,tl_StaffID,I527,tl_Date,A527))</f>
        <v>8</v>
      </c>
      <c r="O527" s="40" t="str">
        <f aca="false">IF(A527&amp;B527&amp;D527="","",IF(OR(A527="",B527="",D527="",E527=""),"Incomplete",IF(K527="Unknown","Unknown code",IF(AND(K527="Yes",C527=""),"Billable, needs client",IF(N527&gt;MaxDayHours,"Over "&amp;MaxDayHours&amp;" hours that day","")))))</f>
        <v/>
      </c>
    </row>
    <row r="528" customFormat="false" ht="15" hidden="false" customHeight="false" outlineLevel="0" collapsed="false">
      <c r="A528" s="31" t="n">
        <v>46232</v>
      </c>
      <c r="B528" s="32" t="s">
        <v>107</v>
      </c>
      <c r="C528" s="32"/>
      <c r="D528" s="33" t="s">
        <v>98</v>
      </c>
      <c r="E528" s="34" t="n">
        <v>2</v>
      </c>
      <c r="F528" s="32"/>
      <c r="G528" s="35" t="n">
        <f aca="false">IF(A528="","",A528+7-WEEKDAY(A528))</f>
        <v>46235</v>
      </c>
      <c r="H528" s="36" t="n">
        <f aca="false">IF(A528="","",DATE(YEAR(A528),MONTH(A528),1))</f>
        <v>46204</v>
      </c>
      <c r="I528" s="37" t="str">
        <f aca="false">IF(B528="","",IFERROR(INDEX(st_ID,MATCH(B528,st_Name,0)),"Unknown"))</f>
        <v>QP-08</v>
      </c>
      <c r="J528" s="37" t="str">
        <f aca="false">IF(C528="","",IFERROR(INDEX(cl_Code,MATCH(C528,cl_Name,0)),"Unknown"))</f>
        <v/>
      </c>
      <c r="K528" s="37" t="str">
        <f aca="false">IF(D528="","",IFERROR(INDEX(rt_Billable,MATCH(D528,rt_Code,0)),"Unknown"))</f>
        <v>No</v>
      </c>
      <c r="L528" s="38" t="str">
        <f aca="false">IF(K528&lt;&gt;"Yes","",IFERROR(INDEX(cr_Rate,MATCH(J528&amp;"|"&amp;D528,cr_Key,0)),INDEX(rt_Rate,MATCH(D528,rt_Code,0))))</f>
        <v/>
      </c>
      <c r="M528" s="25" t="str">
        <f aca="false">IF(L528="","",ROUND(N(E528)*L528,2))</f>
        <v/>
      </c>
      <c r="N528" s="39" t="n">
        <f aca="false">IF(OR(A528="",B528=""),"",SUMIFS(tl_Hours,tl_StaffID,I528,tl_Date,A528))</f>
        <v>8</v>
      </c>
      <c r="O528" s="40" t="str">
        <f aca="false">IF(A528&amp;B528&amp;D528="","",IF(OR(A528="",B528="",D528="",E528=""),"Incomplete",IF(K528="Unknown","Unknown code",IF(AND(K528="Yes",C528=""),"Billable, needs client",IF(N528&gt;MaxDayHours,"Over "&amp;MaxDayHours&amp;" hours that day","")))))</f>
        <v/>
      </c>
    </row>
    <row r="529" customFormat="false" ht="15" hidden="false" customHeight="false" outlineLevel="0" collapsed="false">
      <c r="A529" s="31" t="n">
        <v>46233</v>
      </c>
      <c r="B529" s="32" t="s">
        <v>86</v>
      </c>
      <c r="C529" s="32" t="s">
        <v>87</v>
      </c>
      <c r="D529" s="33" t="s">
        <v>88</v>
      </c>
      <c r="E529" s="34" t="n">
        <v>1.75</v>
      </c>
      <c r="F529" s="32"/>
      <c r="G529" s="35" t="n">
        <f aca="false">IF(A529="","",A529+7-WEEKDAY(A529))</f>
        <v>46235</v>
      </c>
      <c r="H529" s="36" t="n">
        <f aca="false">IF(A529="","",DATE(YEAR(A529),MONTH(A529),1))</f>
        <v>46204</v>
      </c>
      <c r="I529" s="37" t="str">
        <f aca="false">IF(B529="","",IFERROR(INDEX(st_ID,MATCH(B529,st_Name,0)),"Unknown"))</f>
        <v>QP-01</v>
      </c>
      <c r="J529" s="37" t="str">
        <f aca="false">IF(C529="","",IFERROR(INDEX(cl_Code,MATCH(C529,cl_Name,0)),"Unknown"))</f>
        <v>HCS</v>
      </c>
      <c r="K529" s="37" t="str">
        <f aca="false">IF(D529="","",IFERROR(INDEX(rt_Billable,MATCH(D529,rt_Code,0)),"Unknown"))</f>
        <v>Yes</v>
      </c>
      <c r="L529" s="38" t="n">
        <f aca="false">IF(K529&lt;&gt;"Yes","",IFERROR(INDEX(cr_Rate,MATCH(J529&amp;"|"&amp;D529,cr_Key,0)),INDEX(rt_Rate,MATCH(D529,rt_Code,0))))</f>
        <v>98</v>
      </c>
      <c r="M529" s="25" t="n">
        <f aca="false">IF(L529="","",ROUND(N(E529)*L529,2))</f>
        <v>171.5</v>
      </c>
      <c r="N529" s="39" t="n">
        <f aca="false">IF(OR(A529="",B529=""),"",SUMIFS(tl_Hours,tl_StaffID,I529,tl_Date,A529))</f>
        <v>8</v>
      </c>
      <c r="O529" s="40" t="str">
        <f aca="false">IF(A529&amp;B529&amp;D529="","",IF(OR(A529="",B529="",D529="",E529=""),"Incomplete",IF(K529="Unknown","Unknown code",IF(AND(K529="Yes",C529=""),"Billable, needs client",IF(N529&gt;MaxDayHours,"Over "&amp;MaxDayHours&amp;" hours that day","")))))</f>
        <v/>
      </c>
    </row>
    <row r="530" customFormat="false" ht="15" hidden="false" customHeight="false" outlineLevel="0" collapsed="false">
      <c r="A530" s="31" t="n">
        <v>46233</v>
      </c>
      <c r="B530" s="32" t="s">
        <v>86</v>
      </c>
      <c r="C530" s="32" t="s">
        <v>87</v>
      </c>
      <c r="D530" s="33" t="s">
        <v>104</v>
      </c>
      <c r="E530" s="34" t="n">
        <v>0.25</v>
      </c>
      <c r="F530" s="32"/>
      <c r="G530" s="35" t="n">
        <f aca="false">IF(A530="","",A530+7-WEEKDAY(A530))</f>
        <v>46235</v>
      </c>
      <c r="H530" s="36" t="n">
        <f aca="false">IF(A530="","",DATE(YEAR(A530),MONTH(A530),1))</f>
        <v>46204</v>
      </c>
      <c r="I530" s="37" t="str">
        <f aca="false">IF(B530="","",IFERROR(INDEX(st_ID,MATCH(B530,st_Name,0)),"Unknown"))</f>
        <v>QP-01</v>
      </c>
      <c r="J530" s="37" t="str">
        <f aca="false">IF(C530="","",IFERROR(INDEX(cl_Code,MATCH(C530,cl_Name,0)),"Unknown"))</f>
        <v>HCS</v>
      </c>
      <c r="K530" s="37" t="str">
        <f aca="false">IF(D530="","",IFERROR(INDEX(rt_Billable,MATCH(D530,rt_Code,0)),"Unknown"))</f>
        <v>Yes</v>
      </c>
      <c r="L530" s="38" t="n">
        <f aca="false">IF(K530&lt;&gt;"Yes","",IFERROR(INDEX(cr_Rate,MATCH(J530&amp;"|"&amp;D530,cr_Key,0)),INDEX(rt_Rate,MATCH(D530,rt_Code,0))))</f>
        <v>62</v>
      </c>
      <c r="M530" s="25" t="n">
        <f aca="false">IF(L530="","",ROUND(N(E530)*L530,2))</f>
        <v>15.5</v>
      </c>
      <c r="N530" s="39" t="n">
        <f aca="false">IF(OR(A530="",B530=""),"",SUMIFS(tl_Hours,tl_StaffID,I530,tl_Date,A530))</f>
        <v>8</v>
      </c>
      <c r="O530" s="40" t="str">
        <f aca="false">IF(A530&amp;B530&amp;D530="","",IF(OR(A530="",B530="",D530="",E530=""),"Incomplete",IF(K530="Unknown","Unknown code",IF(AND(K530="Yes",C530=""),"Billable, needs client",IF(N530&gt;MaxDayHours,"Over "&amp;MaxDayHours&amp;" hours that day","")))))</f>
        <v/>
      </c>
    </row>
    <row r="531" customFormat="false" ht="15" hidden="false" customHeight="false" outlineLevel="0" collapsed="false">
      <c r="A531" s="31" t="n">
        <v>46233</v>
      </c>
      <c r="B531" s="32" t="s">
        <v>86</v>
      </c>
      <c r="C531" s="32" t="s">
        <v>90</v>
      </c>
      <c r="D531" s="33" t="s">
        <v>88</v>
      </c>
      <c r="E531" s="34" t="n">
        <v>1.75</v>
      </c>
      <c r="F531" s="32"/>
      <c r="G531" s="35" t="n">
        <f aca="false">IF(A531="","",A531+7-WEEKDAY(A531))</f>
        <v>46235</v>
      </c>
      <c r="H531" s="36" t="n">
        <f aca="false">IF(A531="","",DATE(YEAR(A531),MONTH(A531),1))</f>
        <v>46204</v>
      </c>
      <c r="I531" s="37" t="str">
        <f aca="false">IF(B531="","",IFERROR(INDEX(st_ID,MATCH(B531,st_Name,0)),"Unknown"))</f>
        <v>QP-01</v>
      </c>
      <c r="J531" s="37" t="str">
        <f aca="false">IF(C531="","",IFERROR(INDEX(cl_Code,MATCH(C531,cl_Name,0)),"Unknown"))</f>
        <v>BSE</v>
      </c>
      <c r="K531" s="37" t="str">
        <f aca="false">IF(D531="","",IFERROR(INDEX(rt_Billable,MATCH(D531,rt_Code,0)),"Unknown"))</f>
        <v>Yes</v>
      </c>
      <c r="L531" s="38" t="n">
        <f aca="false">IF(K531&lt;&gt;"Yes","",IFERROR(INDEX(cr_Rate,MATCH(J531&amp;"|"&amp;D531,cr_Key,0)),INDEX(rt_Rate,MATCH(D531,rt_Code,0))))</f>
        <v>104</v>
      </c>
      <c r="M531" s="25" t="n">
        <f aca="false">IF(L531="","",ROUND(N(E531)*L531,2))</f>
        <v>182</v>
      </c>
      <c r="N531" s="39" t="n">
        <f aca="false">IF(OR(A531="",B531=""),"",SUMIFS(tl_Hours,tl_StaffID,I531,tl_Date,A531))</f>
        <v>8</v>
      </c>
      <c r="O531" s="40" t="str">
        <f aca="false">IF(A531&amp;B531&amp;D531="","",IF(OR(A531="",B531="",D531="",E531=""),"Incomplete",IF(K531="Unknown","Unknown code",IF(AND(K531="Yes",C531=""),"Billable, needs client",IF(N531&gt;MaxDayHours,"Over "&amp;MaxDayHours&amp;" hours that day","")))))</f>
        <v/>
      </c>
    </row>
    <row r="532" customFormat="false" ht="15" hidden="false" customHeight="false" outlineLevel="0" collapsed="false">
      <c r="A532" s="31" t="n">
        <v>46233</v>
      </c>
      <c r="B532" s="32" t="s">
        <v>86</v>
      </c>
      <c r="C532" s="32" t="s">
        <v>90</v>
      </c>
      <c r="D532" s="33" t="s">
        <v>89</v>
      </c>
      <c r="E532" s="34" t="n">
        <v>0.25</v>
      </c>
      <c r="F532" s="32"/>
      <c r="G532" s="35" t="n">
        <f aca="false">IF(A532="","",A532+7-WEEKDAY(A532))</f>
        <v>46235</v>
      </c>
      <c r="H532" s="36" t="n">
        <f aca="false">IF(A532="","",DATE(YEAR(A532),MONTH(A532),1))</f>
        <v>46204</v>
      </c>
      <c r="I532" s="37" t="str">
        <f aca="false">IF(B532="","",IFERROR(INDEX(st_ID,MATCH(B532,st_Name,0)),"Unknown"))</f>
        <v>QP-01</v>
      </c>
      <c r="J532" s="37" t="str">
        <f aca="false">IF(C532="","",IFERROR(INDEX(cl_Code,MATCH(C532,cl_Name,0)),"Unknown"))</f>
        <v>BSE</v>
      </c>
      <c r="K532" s="37" t="str">
        <f aca="false">IF(D532="","",IFERROR(INDEX(rt_Billable,MATCH(D532,rt_Code,0)),"Unknown"))</f>
        <v>Yes</v>
      </c>
      <c r="L532" s="38" t="n">
        <f aca="false">IF(K532&lt;&gt;"Yes","",IFERROR(INDEX(cr_Rate,MATCH(J532&amp;"|"&amp;D532,cr_Key,0)),INDEX(rt_Rate,MATCH(D532,rt_Code,0))))</f>
        <v>95</v>
      </c>
      <c r="M532" s="25" t="n">
        <f aca="false">IF(L532="","",ROUND(N(E532)*L532,2))</f>
        <v>23.75</v>
      </c>
      <c r="N532" s="39" t="n">
        <f aca="false">IF(OR(A532="",B532=""),"",SUMIFS(tl_Hours,tl_StaffID,I532,tl_Date,A532))</f>
        <v>8</v>
      </c>
      <c r="O532" s="40" t="str">
        <f aca="false">IF(A532&amp;B532&amp;D532="","",IF(OR(A532="",B532="",D532="",E532=""),"Incomplete",IF(K532="Unknown","Unknown code",IF(AND(K532="Yes",C532=""),"Billable, needs client",IF(N532&gt;MaxDayHours,"Over "&amp;MaxDayHours&amp;" hours that day","")))))</f>
        <v/>
      </c>
    </row>
    <row r="533" customFormat="false" ht="15" hidden="false" customHeight="false" outlineLevel="0" collapsed="false">
      <c r="A533" s="31" t="n">
        <v>46233</v>
      </c>
      <c r="B533" s="32" t="s">
        <v>86</v>
      </c>
      <c r="C533" s="32"/>
      <c r="D533" s="33" t="s">
        <v>93</v>
      </c>
      <c r="E533" s="34" t="n">
        <v>0.5</v>
      </c>
      <c r="F533" s="32"/>
      <c r="G533" s="35" t="n">
        <f aca="false">IF(A533="","",A533+7-WEEKDAY(A533))</f>
        <v>46235</v>
      </c>
      <c r="H533" s="36" t="n">
        <f aca="false">IF(A533="","",DATE(YEAR(A533),MONTH(A533),1))</f>
        <v>46204</v>
      </c>
      <c r="I533" s="37" t="str">
        <f aca="false">IF(B533="","",IFERROR(INDEX(st_ID,MATCH(B533,st_Name,0)),"Unknown"))</f>
        <v>QP-01</v>
      </c>
      <c r="J533" s="37" t="str">
        <f aca="false">IF(C533="","",IFERROR(INDEX(cl_Code,MATCH(C533,cl_Name,0)),"Unknown"))</f>
        <v/>
      </c>
      <c r="K533" s="37" t="str">
        <f aca="false">IF(D533="","",IFERROR(INDEX(rt_Billable,MATCH(D533,rt_Code,0)),"Unknown"))</f>
        <v>No</v>
      </c>
      <c r="L533" s="38" t="str">
        <f aca="false">IF(K533&lt;&gt;"Yes","",IFERROR(INDEX(cr_Rate,MATCH(J533&amp;"|"&amp;D533,cr_Key,0)),INDEX(rt_Rate,MATCH(D533,rt_Code,0))))</f>
        <v/>
      </c>
      <c r="M533" s="25" t="str">
        <f aca="false">IF(L533="","",ROUND(N(E533)*L533,2))</f>
        <v/>
      </c>
      <c r="N533" s="39" t="n">
        <f aca="false">IF(OR(A533="",B533=""),"",SUMIFS(tl_Hours,tl_StaffID,I533,tl_Date,A533))</f>
        <v>8</v>
      </c>
      <c r="O533" s="40" t="str">
        <f aca="false">IF(A533&amp;B533&amp;D533="","",IF(OR(A533="",B533="",D533="",E533=""),"Incomplete",IF(K533="Unknown","Unknown code",IF(AND(K533="Yes",C533=""),"Billable, needs client",IF(N533&gt;MaxDayHours,"Over "&amp;MaxDayHours&amp;" hours that day","")))))</f>
        <v/>
      </c>
    </row>
    <row r="534" customFormat="false" ht="15" hidden="false" customHeight="false" outlineLevel="0" collapsed="false">
      <c r="A534" s="31" t="n">
        <v>46233</v>
      </c>
      <c r="B534" s="32" t="s">
        <v>86</v>
      </c>
      <c r="C534" s="32"/>
      <c r="D534" s="33" t="s">
        <v>96</v>
      </c>
      <c r="E534" s="34" t="n">
        <v>3.5</v>
      </c>
      <c r="F534" s="32"/>
      <c r="G534" s="35" t="n">
        <f aca="false">IF(A534="","",A534+7-WEEKDAY(A534))</f>
        <v>46235</v>
      </c>
      <c r="H534" s="36" t="n">
        <f aca="false">IF(A534="","",DATE(YEAR(A534),MONTH(A534),1))</f>
        <v>46204</v>
      </c>
      <c r="I534" s="37" t="str">
        <f aca="false">IF(B534="","",IFERROR(INDEX(st_ID,MATCH(B534,st_Name,0)),"Unknown"))</f>
        <v>QP-01</v>
      </c>
      <c r="J534" s="37" t="str">
        <f aca="false">IF(C534="","",IFERROR(INDEX(cl_Code,MATCH(C534,cl_Name,0)),"Unknown"))</f>
        <v/>
      </c>
      <c r="K534" s="37" t="str">
        <f aca="false">IF(D534="","",IFERROR(INDEX(rt_Billable,MATCH(D534,rt_Code,0)),"Unknown"))</f>
        <v>No</v>
      </c>
      <c r="L534" s="38" t="str">
        <f aca="false">IF(K534&lt;&gt;"Yes","",IFERROR(INDEX(cr_Rate,MATCH(J534&amp;"|"&amp;D534,cr_Key,0)),INDEX(rt_Rate,MATCH(D534,rt_Code,0))))</f>
        <v/>
      </c>
      <c r="M534" s="25" t="str">
        <f aca="false">IF(L534="","",ROUND(N(E534)*L534,2))</f>
        <v/>
      </c>
      <c r="N534" s="39" t="n">
        <f aca="false">IF(OR(A534="",B534=""),"",SUMIFS(tl_Hours,tl_StaffID,I534,tl_Date,A534))</f>
        <v>8</v>
      </c>
      <c r="O534" s="40" t="str">
        <f aca="false">IF(A534&amp;B534&amp;D534="","",IF(OR(A534="",B534="",D534="",E534=""),"Incomplete",IF(K534="Unknown","Unknown code",IF(AND(K534="Yes",C534=""),"Billable, needs client",IF(N534&gt;MaxDayHours,"Over "&amp;MaxDayHours&amp;" hours that day","")))))</f>
        <v/>
      </c>
    </row>
    <row r="535" customFormat="false" ht="15" hidden="false" customHeight="false" outlineLevel="0" collapsed="false">
      <c r="A535" s="31" t="n">
        <v>46233</v>
      </c>
      <c r="B535" s="32" t="s">
        <v>97</v>
      </c>
      <c r="C535" s="32" t="s">
        <v>90</v>
      </c>
      <c r="D535" s="33" t="s">
        <v>88</v>
      </c>
      <c r="E535" s="34" t="n">
        <v>3.25</v>
      </c>
      <c r="F535" s="32"/>
      <c r="G535" s="35" t="n">
        <f aca="false">IF(A535="","",A535+7-WEEKDAY(A535))</f>
        <v>46235</v>
      </c>
      <c r="H535" s="36" t="n">
        <f aca="false">IF(A535="","",DATE(YEAR(A535),MONTH(A535),1))</f>
        <v>46204</v>
      </c>
      <c r="I535" s="37" t="str">
        <f aca="false">IF(B535="","",IFERROR(INDEX(st_ID,MATCH(B535,st_Name,0)),"Unknown"))</f>
        <v>QP-02</v>
      </c>
      <c r="J535" s="37" t="str">
        <f aca="false">IF(C535="","",IFERROR(INDEX(cl_Code,MATCH(C535,cl_Name,0)),"Unknown"))</f>
        <v>BSE</v>
      </c>
      <c r="K535" s="37" t="str">
        <f aca="false">IF(D535="","",IFERROR(INDEX(rt_Billable,MATCH(D535,rt_Code,0)),"Unknown"))</f>
        <v>Yes</v>
      </c>
      <c r="L535" s="38" t="n">
        <f aca="false">IF(K535&lt;&gt;"Yes","",IFERROR(INDEX(cr_Rate,MATCH(J535&amp;"|"&amp;D535,cr_Key,0)),INDEX(rt_Rate,MATCH(D535,rt_Code,0))))</f>
        <v>104</v>
      </c>
      <c r="M535" s="25" t="n">
        <f aca="false">IF(L535="","",ROUND(N(E535)*L535,2))</f>
        <v>338</v>
      </c>
      <c r="N535" s="39" t="n">
        <f aca="false">IF(OR(A535="",B535=""),"",SUMIFS(tl_Hours,tl_StaffID,I535,tl_Date,A535))</f>
        <v>8</v>
      </c>
      <c r="O535" s="40" t="str">
        <f aca="false">IF(A535&amp;B535&amp;D535="","",IF(OR(A535="",B535="",D535="",E535=""),"Incomplete",IF(K535="Unknown","Unknown code",IF(AND(K535="Yes",C535=""),"Billable, needs client",IF(N535&gt;MaxDayHours,"Over "&amp;MaxDayHours&amp;" hours that day","")))))</f>
        <v/>
      </c>
    </row>
    <row r="536" customFormat="false" ht="15" hidden="false" customHeight="false" outlineLevel="0" collapsed="false">
      <c r="A536" s="31" t="n">
        <v>46233</v>
      </c>
      <c r="B536" s="32" t="s">
        <v>97</v>
      </c>
      <c r="C536" s="32" t="s">
        <v>90</v>
      </c>
      <c r="D536" s="33" t="s">
        <v>89</v>
      </c>
      <c r="E536" s="34" t="n">
        <v>0.75</v>
      </c>
      <c r="F536" s="32"/>
      <c r="G536" s="35" t="n">
        <f aca="false">IF(A536="","",A536+7-WEEKDAY(A536))</f>
        <v>46235</v>
      </c>
      <c r="H536" s="36" t="n">
        <f aca="false">IF(A536="","",DATE(YEAR(A536),MONTH(A536),1))</f>
        <v>46204</v>
      </c>
      <c r="I536" s="37" t="str">
        <f aca="false">IF(B536="","",IFERROR(INDEX(st_ID,MATCH(B536,st_Name,0)),"Unknown"))</f>
        <v>QP-02</v>
      </c>
      <c r="J536" s="37" t="str">
        <f aca="false">IF(C536="","",IFERROR(INDEX(cl_Code,MATCH(C536,cl_Name,0)),"Unknown"))</f>
        <v>BSE</v>
      </c>
      <c r="K536" s="37" t="str">
        <f aca="false">IF(D536="","",IFERROR(INDEX(rt_Billable,MATCH(D536,rt_Code,0)),"Unknown"))</f>
        <v>Yes</v>
      </c>
      <c r="L536" s="38" t="n">
        <f aca="false">IF(K536&lt;&gt;"Yes","",IFERROR(INDEX(cr_Rate,MATCH(J536&amp;"|"&amp;D536,cr_Key,0)),INDEX(rt_Rate,MATCH(D536,rt_Code,0))))</f>
        <v>95</v>
      </c>
      <c r="M536" s="25" t="n">
        <f aca="false">IF(L536="","",ROUND(N(E536)*L536,2))</f>
        <v>71.25</v>
      </c>
      <c r="N536" s="39" t="n">
        <f aca="false">IF(OR(A536="",B536=""),"",SUMIFS(tl_Hours,tl_StaffID,I536,tl_Date,A536))</f>
        <v>8</v>
      </c>
      <c r="O536" s="40" t="str">
        <f aca="false">IF(A536&amp;B536&amp;D536="","",IF(OR(A536="",B536="",D536="",E536=""),"Incomplete",IF(K536="Unknown","Unknown code",IF(AND(K536="Yes",C536=""),"Billable, needs client",IF(N536&gt;MaxDayHours,"Over "&amp;MaxDayHours&amp;" hours that day","")))))</f>
        <v/>
      </c>
    </row>
    <row r="537" customFormat="false" ht="15" hidden="false" customHeight="false" outlineLevel="0" collapsed="false">
      <c r="A537" s="31" t="n">
        <v>46233</v>
      </c>
      <c r="B537" s="32" t="s">
        <v>97</v>
      </c>
      <c r="C537" s="32"/>
      <c r="D537" s="33" t="s">
        <v>96</v>
      </c>
      <c r="E537" s="34" t="n">
        <v>4</v>
      </c>
      <c r="F537" s="32"/>
      <c r="G537" s="35" t="n">
        <f aca="false">IF(A537="","",A537+7-WEEKDAY(A537))</f>
        <v>46235</v>
      </c>
      <c r="H537" s="36" t="n">
        <f aca="false">IF(A537="","",DATE(YEAR(A537),MONTH(A537),1))</f>
        <v>46204</v>
      </c>
      <c r="I537" s="37" t="str">
        <f aca="false">IF(B537="","",IFERROR(INDEX(st_ID,MATCH(B537,st_Name,0)),"Unknown"))</f>
        <v>QP-02</v>
      </c>
      <c r="J537" s="37" t="str">
        <f aca="false">IF(C537="","",IFERROR(INDEX(cl_Code,MATCH(C537,cl_Name,0)),"Unknown"))</f>
        <v/>
      </c>
      <c r="K537" s="37" t="str">
        <f aca="false">IF(D537="","",IFERROR(INDEX(rt_Billable,MATCH(D537,rt_Code,0)),"Unknown"))</f>
        <v>No</v>
      </c>
      <c r="L537" s="38" t="str">
        <f aca="false">IF(K537&lt;&gt;"Yes","",IFERROR(INDEX(cr_Rate,MATCH(J537&amp;"|"&amp;D537,cr_Key,0)),INDEX(rt_Rate,MATCH(D537,rt_Code,0))))</f>
        <v/>
      </c>
      <c r="M537" s="25" t="str">
        <f aca="false">IF(L537="","",ROUND(N(E537)*L537,2))</f>
        <v/>
      </c>
      <c r="N537" s="39" t="n">
        <f aca="false">IF(OR(A537="",B537=""),"",SUMIFS(tl_Hours,tl_StaffID,I537,tl_Date,A537))</f>
        <v>8</v>
      </c>
      <c r="O537" s="40" t="str">
        <f aca="false">IF(A537&amp;B537&amp;D537="","",IF(OR(A537="",B537="",D537="",E537=""),"Incomplete",IF(K537="Unknown","Unknown code",IF(AND(K537="Yes",C537=""),"Billable, needs client",IF(N537&gt;MaxDayHours,"Over "&amp;MaxDayHours&amp;" hours that day","")))))</f>
        <v/>
      </c>
    </row>
    <row r="538" customFormat="false" ht="15" hidden="false" customHeight="false" outlineLevel="0" collapsed="false">
      <c r="A538" s="31" t="n">
        <v>46233</v>
      </c>
      <c r="B538" s="32" t="s">
        <v>100</v>
      </c>
      <c r="C538" s="32" t="s">
        <v>90</v>
      </c>
      <c r="D538" s="33" t="s">
        <v>91</v>
      </c>
      <c r="E538" s="34" t="n">
        <v>2.5</v>
      </c>
      <c r="F538" s="32"/>
      <c r="G538" s="35" t="n">
        <f aca="false">IF(A538="","",A538+7-WEEKDAY(A538))</f>
        <v>46235</v>
      </c>
      <c r="H538" s="36" t="n">
        <f aca="false">IF(A538="","",DATE(YEAR(A538),MONTH(A538),1))</f>
        <v>46204</v>
      </c>
      <c r="I538" s="37" t="str">
        <f aca="false">IF(B538="","",IFERROR(INDEX(st_ID,MATCH(B538,st_Name,0)),"Unknown"))</f>
        <v>QP-03</v>
      </c>
      <c r="J538" s="37" t="str">
        <f aca="false">IF(C538="","",IFERROR(INDEX(cl_Code,MATCH(C538,cl_Name,0)),"Unknown"))</f>
        <v>BSE</v>
      </c>
      <c r="K538" s="37" t="str">
        <f aca="false">IF(D538="","",IFERROR(INDEX(rt_Billable,MATCH(D538,rt_Code,0)),"Unknown"))</f>
        <v>Yes</v>
      </c>
      <c r="L538" s="38" t="n">
        <f aca="false">IF(K538&lt;&gt;"Yes","",IFERROR(INDEX(cr_Rate,MATCH(J538&amp;"|"&amp;D538,cr_Key,0)),INDEX(rt_Rate,MATCH(D538,rt_Code,0))))</f>
        <v>100</v>
      </c>
      <c r="M538" s="25" t="n">
        <f aca="false">IF(L538="","",ROUND(N(E538)*L538,2))</f>
        <v>250</v>
      </c>
      <c r="N538" s="39" t="n">
        <f aca="false">IF(OR(A538="",B538=""),"",SUMIFS(tl_Hours,tl_StaffID,I538,tl_Date,A538))</f>
        <v>8</v>
      </c>
      <c r="O538" s="40" t="str">
        <f aca="false">IF(A538&amp;B538&amp;D538="","",IF(OR(A538="",B538="",D538="",E538=""),"Incomplete",IF(K538="Unknown","Unknown code",IF(AND(K538="Yes",C538=""),"Billable, needs client",IF(N538&gt;MaxDayHours,"Over "&amp;MaxDayHours&amp;" hours that day","")))))</f>
        <v/>
      </c>
    </row>
    <row r="539" customFormat="false" ht="15" hidden="false" customHeight="false" outlineLevel="0" collapsed="false">
      <c r="A539" s="31" t="n">
        <v>46233</v>
      </c>
      <c r="B539" s="32" t="s">
        <v>100</v>
      </c>
      <c r="C539" s="32" t="s">
        <v>90</v>
      </c>
      <c r="D539" s="33" t="s">
        <v>89</v>
      </c>
      <c r="E539" s="34" t="n">
        <v>1.25</v>
      </c>
      <c r="F539" s="32"/>
      <c r="G539" s="35" t="n">
        <f aca="false">IF(A539="","",A539+7-WEEKDAY(A539))</f>
        <v>46235</v>
      </c>
      <c r="H539" s="36" t="n">
        <f aca="false">IF(A539="","",DATE(YEAR(A539),MONTH(A539),1))</f>
        <v>46204</v>
      </c>
      <c r="I539" s="37" t="str">
        <f aca="false">IF(B539="","",IFERROR(INDEX(st_ID,MATCH(B539,st_Name,0)),"Unknown"))</f>
        <v>QP-03</v>
      </c>
      <c r="J539" s="37" t="str">
        <f aca="false">IF(C539="","",IFERROR(INDEX(cl_Code,MATCH(C539,cl_Name,0)),"Unknown"))</f>
        <v>BSE</v>
      </c>
      <c r="K539" s="37" t="str">
        <f aca="false">IF(D539="","",IFERROR(INDEX(rt_Billable,MATCH(D539,rt_Code,0)),"Unknown"))</f>
        <v>Yes</v>
      </c>
      <c r="L539" s="38" t="n">
        <f aca="false">IF(K539&lt;&gt;"Yes","",IFERROR(INDEX(cr_Rate,MATCH(J539&amp;"|"&amp;D539,cr_Key,0)),INDEX(rt_Rate,MATCH(D539,rt_Code,0))))</f>
        <v>95</v>
      </c>
      <c r="M539" s="25" t="n">
        <f aca="false">IF(L539="","",ROUND(N(E539)*L539,2))</f>
        <v>118.75</v>
      </c>
      <c r="N539" s="39" t="n">
        <f aca="false">IF(OR(A539="",B539=""),"",SUMIFS(tl_Hours,tl_StaffID,I539,tl_Date,A539))</f>
        <v>8</v>
      </c>
      <c r="O539" s="40" t="str">
        <f aca="false">IF(A539&amp;B539&amp;D539="","",IF(OR(A539="",B539="",D539="",E539=""),"Incomplete",IF(K539="Unknown","Unknown code",IF(AND(K539="Yes",C539=""),"Billable, needs client",IF(N539&gt;MaxDayHours,"Over "&amp;MaxDayHours&amp;" hours that day","")))))</f>
        <v/>
      </c>
    </row>
    <row r="540" customFormat="false" ht="15" hidden="false" customHeight="false" outlineLevel="0" collapsed="false">
      <c r="A540" s="31" t="n">
        <v>46233</v>
      </c>
      <c r="B540" s="32" t="s">
        <v>100</v>
      </c>
      <c r="C540" s="32"/>
      <c r="D540" s="33" t="s">
        <v>96</v>
      </c>
      <c r="E540" s="34" t="n">
        <v>4.25</v>
      </c>
      <c r="F540" s="32"/>
      <c r="G540" s="35" t="n">
        <f aca="false">IF(A540="","",A540+7-WEEKDAY(A540))</f>
        <v>46235</v>
      </c>
      <c r="H540" s="36" t="n">
        <f aca="false">IF(A540="","",DATE(YEAR(A540),MONTH(A540),1))</f>
        <v>46204</v>
      </c>
      <c r="I540" s="37" t="str">
        <f aca="false">IF(B540="","",IFERROR(INDEX(st_ID,MATCH(B540,st_Name,0)),"Unknown"))</f>
        <v>QP-03</v>
      </c>
      <c r="J540" s="37" t="str">
        <f aca="false">IF(C540="","",IFERROR(INDEX(cl_Code,MATCH(C540,cl_Name,0)),"Unknown"))</f>
        <v/>
      </c>
      <c r="K540" s="37" t="str">
        <f aca="false">IF(D540="","",IFERROR(INDEX(rt_Billable,MATCH(D540,rt_Code,0)),"Unknown"))</f>
        <v>No</v>
      </c>
      <c r="L540" s="38" t="str">
        <f aca="false">IF(K540&lt;&gt;"Yes","",IFERROR(INDEX(cr_Rate,MATCH(J540&amp;"|"&amp;D540,cr_Key,0)),INDEX(rt_Rate,MATCH(D540,rt_Code,0))))</f>
        <v/>
      </c>
      <c r="M540" s="25" t="str">
        <f aca="false">IF(L540="","",ROUND(N(E540)*L540,2))</f>
        <v/>
      </c>
      <c r="N540" s="39" t="n">
        <f aca="false">IF(OR(A540="",B540=""),"",SUMIFS(tl_Hours,tl_StaffID,I540,tl_Date,A540))</f>
        <v>8</v>
      </c>
      <c r="O540" s="40" t="str">
        <f aca="false">IF(A540&amp;B540&amp;D540="","",IF(OR(A540="",B540="",D540="",E540=""),"Incomplete",IF(K540="Unknown","Unknown code",IF(AND(K540="Yes",C540=""),"Billable, needs client",IF(N540&gt;MaxDayHours,"Over "&amp;MaxDayHours&amp;" hours that day","")))))</f>
        <v/>
      </c>
    </row>
    <row r="541" customFormat="false" ht="15" hidden="false" customHeight="false" outlineLevel="0" collapsed="false">
      <c r="A541" s="31" t="n">
        <v>46233</v>
      </c>
      <c r="B541" s="32" t="s">
        <v>101</v>
      </c>
      <c r="C541" s="32" t="s">
        <v>102</v>
      </c>
      <c r="D541" s="33" t="s">
        <v>104</v>
      </c>
      <c r="E541" s="34" t="n">
        <v>1.25</v>
      </c>
      <c r="F541" s="32"/>
      <c r="G541" s="35" t="n">
        <f aca="false">IF(A541="","",A541+7-WEEKDAY(A541))</f>
        <v>46235</v>
      </c>
      <c r="H541" s="36" t="n">
        <f aca="false">IF(A541="","",DATE(YEAR(A541),MONTH(A541),1))</f>
        <v>46204</v>
      </c>
      <c r="I541" s="37" t="str">
        <f aca="false">IF(B541="","",IFERROR(INDEX(st_ID,MATCH(B541,st_Name,0)),"Unknown"))</f>
        <v>QP-04</v>
      </c>
      <c r="J541" s="37" t="str">
        <f aca="false">IF(C541="","",IFERROR(INDEX(cl_Code,MATCH(C541,cl_Name,0)),"Unknown"))</f>
        <v>CLH</v>
      </c>
      <c r="K541" s="37" t="str">
        <f aca="false">IF(D541="","",IFERROR(INDEX(rt_Billable,MATCH(D541,rt_Code,0)),"Unknown"))</f>
        <v>Yes</v>
      </c>
      <c r="L541" s="38" t="n">
        <f aca="false">IF(K541&lt;&gt;"Yes","",IFERROR(INDEX(cr_Rate,MATCH(J541&amp;"|"&amp;D541,cr_Key,0)),INDEX(rt_Rate,MATCH(D541,rt_Code,0))))</f>
        <v>65</v>
      </c>
      <c r="M541" s="25" t="n">
        <f aca="false">IF(L541="","",ROUND(N(E541)*L541,2))</f>
        <v>81.25</v>
      </c>
      <c r="N541" s="39" t="n">
        <f aca="false">IF(OR(A541="",B541=""),"",SUMIFS(tl_Hours,tl_StaffID,I541,tl_Date,A541))</f>
        <v>8</v>
      </c>
      <c r="O541" s="40" t="str">
        <f aca="false">IF(A541&amp;B541&amp;D541="","",IF(OR(A541="",B541="",D541="",E541=""),"Incomplete",IF(K541="Unknown","Unknown code",IF(AND(K541="Yes",C541=""),"Billable, needs client",IF(N541&gt;MaxDayHours,"Over "&amp;MaxDayHours&amp;" hours that day","")))))</f>
        <v/>
      </c>
    </row>
    <row r="542" customFormat="false" ht="15" hidden="false" customHeight="false" outlineLevel="0" collapsed="false">
      <c r="A542" s="31" t="n">
        <v>46233</v>
      </c>
      <c r="B542" s="32" t="s">
        <v>101</v>
      </c>
      <c r="C542" s="32" t="s">
        <v>102</v>
      </c>
      <c r="D542" s="33" t="s">
        <v>89</v>
      </c>
      <c r="E542" s="34" t="n">
        <v>0.75</v>
      </c>
      <c r="F542" s="32"/>
      <c r="G542" s="35" t="n">
        <f aca="false">IF(A542="","",A542+7-WEEKDAY(A542))</f>
        <v>46235</v>
      </c>
      <c r="H542" s="36" t="n">
        <f aca="false">IF(A542="","",DATE(YEAR(A542),MONTH(A542),1))</f>
        <v>46204</v>
      </c>
      <c r="I542" s="37" t="str">
        <f aca="false">IF(B542="","",IFERROR(INDEX(st_ID,MATCH(B542,st_Name,0)),"Unknown"))</f>
        <v>QP-04</v>
      </c>
      <c r="J542" s="37" t="str">
        <f aca="false">IF(C542="","",IFERROR(INDEX(cl_Code,MATCH(C542,cl_Name,0)),"Unknown"))</f>
        <v>CLH</v>
      </c>
      <c r="K542" s="37" t="str">
        <f aca="false">IF(D542="","",IFERROR(INDEX(rt_Billable,MATCH(D542,rt_Code,0)),"Unknown"))</f>
        <v>Yes</v>
      </c>
      <c r="L542" s="38" t="n">
        <f aca="false">IF(K542&lt;&gt;"Yes","",IFERROR(INDEX(cr_Rate,MATCH(J542&amp;"|"&amp;D542,cr_Key,0)),INDEX(rt_Rate,MATCH(D542,rt_Code,0))))</f>
        <v>95</v>
      </c>
      <c r="M542" s="25" t="n">
        <f aca="false">IF(L542="","",ROUND(N(E542)*L542,2))</f>
        <v>71.25</v>
      </c>
      <c r="N542" s="39" t="n">
        <f aca="false">IF(OR(A542="",B542=""),"",SUMIFS(tl_Hours,tl_StaffID,I542,tl_Date,A542))</f>
        <v>8</v>
      </c>
      <c r="O542" s="40" t="str">
        <f aca="false">IF(A542&amp;B542&amp;D542="","",IF(OR(A542="",B542="",D542="",E542=""),"Incomplete",IF(K542="Unknown","Unknown code",IF(AND(K542="Yes",C542=""),"Billable, needs client",IF(N542&gt;MaxDayHours,"Over "&amp;MaxDayHours&amp;" hours that day","")))))</f>
        <v/>
      </c>
    </row>
    <row r="543" customFormat="false" ht="15" hidden="false" customHeight="false" outlineLevel="0" collapsed="false">
      <c r="A543" s="31" t="n">
        <v>46233</v>
      </c>
      <c r="B543" s="32" t="s">
        <v>101</v>
      </c>
      <c r="C543" s="32" t="s">
        <v>87</v>
      </c>
      <c r="D543" s="33" t="s">
        <v>88</v>
      </c>
      <c r="E543" s="34" t="n">
        <v>1.5</v>
      </c>
      <c r="F543" s="32"/>
      <c r="G543" s="35" t="n">
        <f aca="false">IF(A543="","",A543+7-WEEKDAY(A543))</f>
        <v>46235</v>
      </c>
      <c r="H543" s="36" t="n">
        <f aca="false">IF(A543="","",DATE(YEAR(A543),MONTH(A543),1))</f>
        <v>46204</v>
      </c>
      <c r="I543" s="37" t="str">
        <f aca="false">IF(B543="","",IFERROR(INDEX(st_ID,MATCH(B543,st_Name,0)),"Unknown"))</f>
        <v>QP-04</v>
      </c>
      <c r="J543" s="37" t="str">
        <f aca="false">IF(C543="","",IFERROR(INDEX(cl_Code,MATCH(C543,cl_Name,0)),"Unknown"))</f>
        <v>HCS</v>
      </c>
      <c r="K543" s="37" t="str">
        <f aca="false">IF(D543="","",IFERROR(INDEX(rt_Billable,MATCH(D543,rt_Code,0)),"Unknown"))</f>
        <v>Yes</v>
      </c>
      <c r="L543" s="38" t="n">
        <f aca="false">IF(K543&lt;&gt;"Yes","",IFERROR(INDEX(cr_Rate,MATCH(J543&amp;"|"&amp;D543,cr_Key,0)),INDEX(rt_Rate,MATCH(D543,rt_Code,0))))</f>
        <v>98</v>
      </c>
      <c r="M543" s="25" t="n">
        <f aca="false">IF(L543="","",ROUND(N(E543)*L543,2))</f>
        <v>147</v>
      </c>
      <c r="N543" s="39" t="n">
        <f aca="false">IF(OR(A543="",B543=""),"",SUMIFS(tl_Hours,tl_StaffID,I543,tl_Date,A543))</f>
        <v>8</v>
      </c>
      <c r="O543" s="40" t="str">
        <f aca="false">IF(A543&amp;B543&amp;D543="","",IF(OR(A543="",B543="",D543="",E543=""),"Incomplete",IF(K543="Unknown","Unknown code",IF(AND(K543="Yes",C543=""),"Billable, needs client",IF(N543&gt;MaxDayHours,"Over "&amp;MaxDayHours&amp;" hours that day","")))))</f>
        <v/>
      </c>
    </row>
    <row r="544" customFormat="false" ht="15" hidden="false" customHeight="false" outlineLevel="0" collapsed="false">
      <c r="A544" s="31" t="n">
        <v>46233</v>
      </c>
      <c r="B544" s="32" t="s">
        <v>101</v>
      </c>
      <c r="C544" s="32" t="s">
        <v>87</v>
      </c>
      <c r="D544" s="33" t="s">
        <v>92</v>
      </c>
      <c r="E544" s="34" t="n">
        <v>0.5</v>
      </c>
      <c r="F544" s="32"/>
      <c r="G544" s="35" t="n">
        <f aca="false">IF(A544="","",A544+7-WEEKDAY(A544))</f>
        <v>46235</v>
      </c>
      <c r="H544" s="36" t="n">
        <f aca="false">IF(A544="","",DATE(YEAR(A544),MONTH(A544),1))</f>
        <v>46204</v>
      </c>
      <c r="I544" s="37" t="str">
        <f aca="false">IF(B544="","",IFERROR(INDEX(st_ID,MATCH(B544,st_Name,0)),"Unknown"))</f>
        <v>QP-04</v>
      </c>
      <c r="J544" s="37" t="str">
        <f aca="false">IF(C544="","",IFERROR(INDEX(cl_Code,MATCH(C544,cl_Name,0)),"Unknown"))</f>
        <v>HCS</v>
      </c>
      <c r="K544" s="37" t="str">
        <f aca="false">IF(D544="","",IFERROR(INDEX(rt_Billable,MATCH(D544,rt_Code,0)),"Unknown"))</f>
        <v>Yes</v>
      </c>
      <c r="L544" s="38" t="n">
        <f aca="false">IF(K544&lt;&gt;"Yes","",IFERROR(INDEX(cr_Rate,MATCH(J544&amp;"|"&amp;D544,cr_Key,0)),INDEX(rt_Rate,MATCH(D544,rt_Code,0))))</f>
        <v>140</v>
      </c>
      <c r="M544" s="25" t="n">
        <f aca="false">IF(L544="","",ROUND(N(E544)*L544,2))</f>
        <v>70</v>
      </c>
      <c r="N544" s="39" t="n">
        <f aca="false">IF(OR(A544="",B544=""),"",SUMIFS(tl_Hours,tl_StaffID,I544,tl_Date,A544))</f>
        <v>8</v>
      </c>
      <c r="O544" s="40" t="str">
        <f aca="false">IF(A544&amp;B544&amp;D544="","",IF(OR(A544="",B544="",D544="",E544=""),"Incomplete",IF(K544="Unknown","Unknown code",IF(AND(K544="Yes",C544=""),"Billable, needs client",IF(N544&gt;MaxDayHours,"Over "&amp;MaxDayHours&amp;" hours that day","")))))</f>
        <v/>
      </c>
    </row>
    <row r="545" customFormat="false" ht="15" hidden="false" customHeight="false" outlineLevel="0" collapsed="false">
      <c r="A545" s="31" t="n">
        <v>46233</v>
      </c>
      <c r="B545" s="32" t="s">
        <v>101</v>
      </c>
      <c r="C545" s="32"/>
      <c r="D545" s="33" t="s">
        <v>93</v>
      </c>
      <c r="E545" s="34" t="n">
        <v>0.5</v>
      </c>
      <c r="F545" s="32"/>
      <c r="G545" s="35" t="n">
        <f aca="false">IF(A545="","",A545+7-WEEKDAY(A545))</f>
        <v>46235</v>
      </c>
      <c r="H545" s="36" t="n">
        <f aca="false">IF(A545="","",DATE(YEAR(A545),MONTH(A545),1))</f>
        <v>46204</v>
      </c>
      <c r="I545" s="37" t="str">
        <f aca="false">IF(B545="","",IFERROR(INDEX(st_ID,MATCH(B545,st_Name,0)),"Unknown"))</f>
        <v>QP-04</v>
      </c>
      <c r="J545" s="37" t="str">
        <f aca="false">IF(C545="","",IFERROR(INDEX(cl_Code,MATCH(C545,cl_Name,0)),"Unknown"))</f>
        <v/>
      </c>
      <c r="K545" s="37" t="str">
        <f aca="false">IF(D545="","",IFERROR(INDEX(rt_Billable,MATCH(D545,rt_Code,0)),"Unknown"))</f>
        <v>No</v>
      </c>
      <c r="L545" s="38" t="str">
        <f aca="false">IF(K545&lt;&gt;"Yes","",IFERROR(INDEX(cr_Rate,MATCH(J545&amp;"|"&amp;D545,cr_Key,0)),INDEX(rt_Rate,MATCH(D545,rt_Code,0))))</f>
        <v/>
      </c>
      <c r="M545" s="25" t="str">
        <f aca="false">IF(L545="","",ROUND(N(E545)*L545,2))</f>
        <v/>
      </c>
      <c r="N545" s="39" t="n">
        <f aca="false">IF(OR(A545="",B545=""),"",SUMIFS(tl_Hours,tl_StaffID,I545,tl_Date,A545))</f>
        <v>8</v>
      </c>
      <c r="O545" s="40" t="str">
        <f aca="false">IF(A545&amp;B545&amp;D545="","",IF(OR(A545="",B545="",D545="",E545=""),"Incomplete",IF(K545="Unknown","Unknown code",IF(AND(K545="Yes",C545=""),"Billable, needs client",IF(N545&gt;MaxDayHours,"Over "&amp;MaxDayHours&amp;" hours that day","")))))</f>
        <v/>
      </c>
    </row>
    <row r="546" customFormat="false" ht="15" hidden="false" customHeight="false" outlineLevel="0" collapsed="false">
      <c r="A546" s="31" t="n">
        <v>46233</v>
      </c>
      <c r="B546" s="32" t="s">
        <v>101</v>
      </c>
      <c r="C546" s="32"/>
      <c r="D546" s="33" t="s">
        <v>96</v>
      </c>
      <c r="E546" s="34" t="n">
        <v>3.5</v>
      </c>
      <c r="F546" s="32"/>
      <c r="G546" s="35" t="n">
        <f aca="false">IF(A546="","",A546+7-WEEKDAY(A546))</f>
        <v>46235</v>
      </c>
      <c r="H546" s="36" t="n">
        <f aca="false">IF(A546="","",DATE(YEAR(A546),MONTH(A546),1))</f>
        <v>46204</v>
      </c>
      <c r="I546" s="37" t="str">
        <f aca="false">IF(B546="","",IFERROR(INDEX(st_ID,MATCH(B546,st_Name,0)),"Unknown"))</f>
        <v>QP-04</v>
      </c>
      <c r="J546" s="37" t="str">
        <f aca="false">IF(C546="","",IFERROR(INDEX(cl_Code,MATCH(C546,cl_Name,0)),"Unknown"))</f>
        <v/>
      </c>
      <c r="K546" s="37" t="str">
        <f aca="false">IF(D546="","",IFERROR(INDEX(rt_Billable,MATCH(D546,rt_Code,0)),"Unknown"))</f>
        <v>No</v>
      </c>
      <c r="L546" s="38" t="str">
        <f aca="false">IF(K546&lt;&gt;"Yes","",IFERROR(INDEX(cr_Rate,MATCH(J546&amp;"|"&amp;D546,cr_Key,0)),INDEX(rt_Rate,MATCH(D546,rt_Code,0))))</f>
        <v/>
      </c>
      <c r="M546" s="25" t="str">
        <f aca="false">IF(L546="","",ROUND(N(E546)*L546,2))</f>
        <v/>
      </c>
      <c r="N546" s="39" t="n">
        <f aca="false">IF(OR(A546="",B546=""),"",SUMIFS(tl_Hours,tl_StaffID,I546,tl_Date,A546))</f>
        <v>8</v>
      </c>
      <c r="O546" s="40" t="str">
        <f aca="false">IF(A546&amp;B546&amp;D546="","",IF(OR(A546="",B546="",D546="",E546=""),"Incomplete",IF(K546="Unknown","Unknown code",IF(AND(K546="Yes",C546=""),"Billable, needs client",IF(N546&gt;MaxDayHours,"Over "&amp;MaxDayHours&amp;" hours that day","")))))</f>
        <v/>
      </c>
    </row>
    <row r="547" customFormat="false" ht="15" hidden="false" customHeight="false" outlineLevel="0" collapsed="false">
      <c r="A547" s="31" t="n">
        <v>46233</v>
      </c>
      <c r="B547" s="32" t="s">
        <v>103</v>
      </c>
      <c r="C547" s="32" t="s">
        <v>90</v>
      </c>
      <c r="D547" s="33" t="s">
        <v>88</v>
      </c>
      <c r="E547" s="34" t="n">
        <v>2.5</v>
      </c>
      <c r="F547" s="32"/>
      <c r="G547" s="35" t="n">
        <f aca="false">IF(A547="","",A547+7-WEEKDAY(A547))</f>
        <v>46235</v>
      </c>
      <c r="H547" s="36" t="n">
        <f aca="false">IF(A547="","",DATE(YEAR(A547),MONTH(A547),1))</f>
        <v>46204</v>
      </c>
      <c r="I547" s="37" t="str">
        <f aca="false">IF(B547="","",IFERROR(INDEX(st_ID,MATCH(B547,st_Name,0)),"Unknown"))</f>
        <v>QP-05</v>
      </c>
      <c r="J547" s="37" t="str">
        <f aca="false">IF(C547="","",IFERROR(INDEX(cl_Code,MATCH(C547,cl_Name,0)),"Unknown"))</f>
        <v>BSE</v>
      </c>
      <c r="K547" s="37" t="str">
        <f aca="false">IF(D547="","",IFERROR(INDEX(rt_Billable,MATCH(D547,rt_Code,0)),"Unknown"))</f>
        <v>Yes</v>
      </c>
      <c r="L547" s="38" t="n">
        <f aca="false">IF(K547&lt;&gt;"Yes","",IFERROR(INDEX(cr_Rate,MATCH(J547&amp;"|"&amp;D547,cr_Key,0)),INDEX(rt_Rate,MATCH(D547,rt_Code,0))))</f>
        <v>104</v>
      </c>
      <c r="M547" s="25" t="n">
        <f aca="false">IF(L547="","",ROUND(N(E547)*L547,2))</f>
        <v>260</v>
      </c>
      <c r="N547" s="39" t="n">
        <f aca="false">IF(OR(A547="",B547=""),"",SUMIFS(tl_Hours,tl_StaffID,I547,tl_Date,A547))</f>
        <v>8</v>
      </c>
      <c r="O547" s="40" t="str">
        <f aca="false">IF(A547&amp;B547&amp;D547="","",IF(OR(A547="",B547="",D547="",E547=""),"Incomplete",IF(K547="Unknown","Unknown code",IF(AND(K547="Yes",C547=""),"Billable, needs client",IF(N547&gt;MaxDayHours,"Over "&amp;MaxDayHours&amp;" hours that day","")))))</f>
        <v/>
      </c>
    </row>
    <row r="548" customFormat="false" ht="15" hidden="false" customHeight="false" outlineLevel="0" collapsed="false">
      <c r="A548" s="31" t="n">
        <v>46233</v>
      </c>
      <c r="B548" s="32" t="s">
        <v>103</v>
      </c>
      <c r="C548" s="32" t="s">
        <v>90</v>
      </c>
      <c r="D548" s="33" t="s">
        <v>92</v>
      </c>
      <c r="E548" s="34" t="n">
        <v>1.75</v>
      </c>
      <c r="F548" s="32"/>
      <c r="G548" s="35" t="n">
        <f aca="false">IF(A548="","",A548+7-WEEKDAY(A548))</f>
        <v>46235</v>
      </c>
      <c r="H548" s="36" t="n">
        <f aca="false">IF(A548="","",DATE(YEAR(A548),MONTH(A548),1))</f>
        <v>46204</v>
      </c>
      <c r="I548" s="37" t="str">
        <f aca="false">IF(B548="","",IFERROR(INDEX(st_ID,MATCH(B548,st_Name,0)),"Unknown"))</f>
        <v>QP-05</v>
      </c>
      <c r="J548" s="37" t="str">
        <f aca="false">IF(C548="","",IFERROR(INDEX(cl_Code,MATCH(C548,cl_Name,0)),"Unknown"))</f>
        <v>BSE</v>
      </c>
      <c r="K548" s="37" t="str">
        <f aca="false">IF(D548="","",IFERROR(INDEX(rt_Billable,MATCH(D548,rt_Code,0)),"Unknown"))</f>
        <v>Yes</v>
      </c>
      <c r="L548" s="38" t="n">
        <f aca="false">IF(K548&lt;&gt;"Yes","",IFERROR(INDEX(cr_Rate,MATCH(J548&amp;"|"&amp;D548,cr_Key,0)),INDEX(rt_Rate,MATCH(D548,rt_Code,0))))</f>
        <v>145</v>
      </c>
      <c r="M548" s="25" t="n">
        <f aca="false">IF(L548="","",ROUND(N(E548)*L548,2))</f>
        <v>253.75</v>
      </c>
      <c r="N548" s="39" t="n">
        <f aca="false">IF(OR(A548="",B548=""),"",SUMIFS(tl_Hours,tl_StaffID,I548,tl_Date,A548))</f>
        <v>8</v>
      </c>
      <c r="O548" s="40" t="str">
        <f aca="false">IF(A548&amp;B548&amp;D548="","",IF(OR(A548="",B548="",D548="",E548=""),"Incomplete",IF(K548="Unknown","Unknown code",IF(AND(K548="Yes",C548=""),"Billable, needs client",IF(N548&gt;MaxDayHours,"Over "&amp;MaxDayHours&amp;" hours that day","")))))</f>
        <v/>
      </c>
    </row>
    <row r="549" customFormat="false" ht="15" hidden="false" customHeight="false" outlineLevel="0" collapsed="false">
      <c r="A549" s="31" t="n">
        <v>46233</v>
      </c>
      <c r="B549" s="32" t="s">
        <v>103</v>
      </c>
      <c r="C549" s="32"/>
      <c r="D549" s="33" t="s">
        <v>96</v>
      </c>
      <c r="E549" s="34" t="n">
        <v>3.75</v>
      </c>
      <c r="F549" s="32"/>
      <c r="G549" s="35" t="n">
        <f aca="false">IF(A549="","",A549+7-WEEKDAY(A549))</f>
        <v>46235</v>
      </c>
      <c r="H549" s="36" t="n">
        <f aca="false">IF(A549="","",DATE(YEAR(A549),MONTH(A549),1))</f>
        <v>46204</v>
      </c>
      <c r="I549" s="37" t="str">
        <f aca="false">IF(B549="","",IFERROR(INDEX(st_ID,MATCH(B549,st_Name,0)),"Unknown"))</f>
        <v>QP-05</v>
      </c>
      <c r="J549" s="37" t="str">
        <f aca="false">IF(C549="","",IFERROR(INDEX(cl_Code,MATCH(C549,cl_Name,0)),"Unknown"))</f>
        <v/>
      </c>
      <c r="K549" s="37" t="str">
        <f aca="false">IF(D549="","",IFERROR(INDEX(rt_Billable,MATCH(D549,rt_Code,0)),"Unknown"))</f>
        <v>No</v>
      </c>
      <c r="L549" s="38" t="str">
        <f aca="false">IF(K549&lt;&gt;"Yes","",IFERROR(INDEX(cr_Rate,MATCH(J549&amp;"|"&amp;D549,cr_Key,0)),INDEX(rt_Rate,MATCH(D549,rt_Code,0))))</f>
        <v/>
      </c>
      <c r="M549" s="25" t="str">
        <f aca="false">IF(L549="","",ROUND(N(E549)*L549,2))</f>
        <v/>
      </c>
      <c r="N549" s="39" t="n">
        <f aca="false">IF(OR(A549="",B549=""),"",SUMIFS(tl_Hours,tl_StaffID,I549,tl_Date,A549))</f>
        <v>8</v>
      </c>
      <c r="O549" s="40" t="str">
        <f aca="false">IF(A549&amp;B549&amp;D549="","",IF(OR(A549="",B549="",D549="",E549=""),"Incomplete",IF(K549="Unknown","Unknown code",IF(AND(K549="Yes",C549=""),"Billable, needs client",IF(N549&gt;MaxDayHours,"Over "&amp;MaxDayHours&amp;" hours that day","")))))</f>
        <v/>
      </c>
    </row>
    <row r="550" customFormat="false" ht="15" hidden="false" customHeight="false" outlineLevel="0" collapsed="false">
      <c r="A550" s="31" t="n">
        <v>46233</v>
      </c>
      <c r="B550" s="32" t="s">
        <v>105</v>
      </c>
      <c r="C550" s="32" t="s">
        <v>90</v>
      </c>
      <c r="D550" s="33" t="s">
        <v>91</v>
      </c>
      <c r="E550" s="34" t="n">
        <v>2.75</v>
      </c>
      <c r="F550" s="32"/>
      <c r="G550" s="35" t="n">
        <f aca="false">IF(A550="","",A550+7-WEEKDAY(A550))</f>
        <v>46235</v>
      </c>
      <c r="H550" s="36" t="n">
        <f aca="false">IF(A550="","",DATE(YEAR(A550),MONTH(A550),1))</f>
        <v>46204</v>
      </c>
      <c r="I550" s="37" t="str">
        <f aca="false">IF(B550="","",IFERROR(INDEX(st_ID,MATCH(B550,st_Name,0)),"Unknown"))</f>
        <v>QP-06</v>
      </c>
      <c r="J550" s="37" t="str">
        <f aca="false">IF(C550="","",IFERROR(INDEX(cl_Code,MATCH(C550,cl_Name,0)),"Unknown"))</f>
        <v>BSE</v>
      </c>
      <c r="K550" s="37" t="str">
        <f aca="false">IF(D550="","",IFERROR(INDEX(rt_Billable,MATCH(D550,rt_Code,0)),"Unknown"))</f>
        <v>Yes</v>
      </c>
      <c r="L550" s="38" t="n">
        <f aca="false">IF(K550&lt;&gt;"Yes","",IFERROR(INDEX(cr_Rate,MATCH(J550&amp;"|"&amp;D550,cr_Key,0)),INDEX(rt_Rate,MATCH(D550,rt_Code,0))))</f>
        <v>100</v>
      </c>
      <c r="M550" s="25" t="n">
        <f aca="false">IF(L550="","",ROUND(N(E550)*L550,2))</f>
        <v>275</v>
      </c>
      <c r="N550" s="39" t="n">
        <f aca="false">IF(OR(A550="",B550=""),"",SUMIFS(tl_Hours,tl_StaffID,I550,tl_Date,A550))</f>
        <v>8</v>
      </c>
      <c r="O550" s="40" t="str">
        <f aca="false">IF(A550&amp;B550&amp;D550="","",IF(OR(A550="",B550="",D550="",E550=""),"Incomplete",IF(K550="Unknown","Unknown code",IF(AND(K550="Yes",C550=""),"Billable, needs client",IF(N550&gt;MaxDayHours,"Over "&amp;MaxDayHours&amp;" hours that day","")))))</f>
        <v/>
      </c>
    </row>
    <row r="551" customFormat="false" ht="15" hidden="false" customHeight="false" outlineLevel="0" collapsed="false">
      <c r="A551" s="31" t="n">
        <v>46233</v>
      </c>
      <c r="B551" s="32" t="s">
        <v>105</v>
      </c>
      <c r="C551" s="32" t="s">
        <v>90</v>
      </c>
      <c r="D551" s="33" t="s">
        <v>92</v>
      </c>
      <c r="E551" s="34" t="n">
        <v>1.75</v>
      </c>
      <c r="F551" s="32"/>
      <c r="G551" s="35" t="n">
        <f aca="false">IF(A551="","",A551+7-WEEKDAY(A551))</f>
        <v>46235</v>
      </c>
      <c r="H551" s="36" t="n">
        <f aca="false">IF(A551="","",DATE(YEAR(A551),MONTH(A551),1))</f>
        <v>46204</v>
      </c>
      <c r="I551" s="37" t="str">
        <f aca="false">IF(B551="","",IFERROR(INDEX(st_ID,MATCH(B551,st_Name,0)),"Unknown"))</f>
        <v>QP-06</v>
      </c>
      <c r="J551" s="37" t="str">
        <f aca="false">IF(C551="","",IFERROR(INDEX(cl_Code,MATCH(C551,cl_Name,0)),"Unknown"))</f>
        <v>BSE</v>
      </c>
      <c r="K551" s="37" t="str">
        <f aca="false">IF(D551="","",IFERROR(INDEX(rt_Billable,MATCH(D551,rt_Code,0)),"Unknown"))</f>
        <v>Yes</v>
      </c>
      <c r="L551" s="38" t="n">
        <f aca="false">IF(K551&lt;&gt;"Yes","",IFERROR(INDEX(cr_Rate,MATCH(J551&amp;"|"&amp;D551,cr_Key,0)),INDEX(rt_Rate,MATCH(D551,rt_Code,0))))</f>
        <v>145</v>
      </c>
      <c r="M551" s="25" t="n">
        <f aca="false">IF(L551="","",ROUND(N(E551)*L551,2))</f>
        <v>253.75</v>
      </c>
      <c r="N551" s="39" t="n">
        <f aca="false">IF(OR(A551="",B551=""),"",SUMIFS(tl_Hours,tl_StaffID,I551,tl_Date,A551))</f>
        <v>8</v>
      </c>
      <c r="O551" s="40" t="str">
        <f aca="false">IF(A551&amp;B551&amp;D551="","",IF(OR(A551="",B551="",D551="",E551=""),"Incomplete",IF(K551="Unknown","Unknown code",IF(AND(K551="Yes",C551=""),"Billable, needs client",IF(N551&gt;MaxDayHours,"Over "&amp;MaxDayHours&amp;" hours that day","")))))</f>
        <v/>
      </c>
    </row>
    <row r="552" customFormat="false" ht="15" hidden="false" customHeight="false" outlineLevel="0" collapsed="false">
      <c r="A552" s="31" t="n">
        <v>46233</v>
      </c>
      <c r="B552" s="32" t="s">
        <v>105</v>
      </c>
      <c r="C552" s="32"/>
      <c r="D552" s="33" t="s">
        <v>96</v>
      </c>
      <c r="E552" s="34" t="n">
        <v>3.5</v>
      </c>
      <c r="F552" s="32"/>
      <c r="G552" s="35" t="n">
        <f aca="false">IF(A552="","",A552+7-WEEKDAY(A552))</f>
        <v>46235</v>
      </c>
      <c r="H552" s="36" t="n">
        <f aca="false">IF(A552="","",DATE(YEAR(A552),MONTH(A552),1))</f>
        <v>46204</v>
      </c>
      <c r="I552" s="37" t="str">
        <f aca="false">IF(B552="","",IFERROR(INDEX(st_ID,MATCH(B552,st_Name,0)),"Unknown"))</f>
        <v>QP-06</v>
      </c>
      <c r="J552" s="37" t="str">
        <f aca="false">IF(C552="","",IFERROR(INDEX(cl_Code,MATCH(C552,cl_Name,0)),"Unknown"))</f>
        <v/>
      </c>
      <c r="K552" s="37" t="str">
        <f aca="false">IF(D552="","",IFERROR(INDEX(rt_Billable,MATCH(D552,rt_Code,0)),"Unknown"))</f>
        <v>No</v>
      </c>
      <c r="L552" s="38" t="str">
        <f aca="false">IF(K552&lt;&gt;"Yes","",IFERROR(INDEX(cr_Rate,MATCH(J552&amp;"|"&amp;D552,cr_Key,0)),INDEX(rt_Rate,MATCH(D552,rt_Code,0))))</f>
        <v/>
      </c>
      <c r="M552" s="25" t="str">
        <f aca="false">IF(L552="","",ROUND(N(E552)*L552,2))</f>
        <v/>
      </c>
      <c r="N552" s="39" t="n">
        <f aca="false">IF(OR(A552="",B552=""),"",SUMIFS(tl_Hours,tl_StaffID,I552,tl_Date,A552))</f>
        <v>8</v>
      </c>
      <c r="O552" s="40" t="str">
        <f aca="false">IF(A552&amp;B552&amp;D552="","",IF(OR(A552="",B552="",D552="",E552=""),"Incomplete",IF(K552="Unknown","Unknown code",IF(AND(K552="Yes",C552=""),"Billable, needs client",IF(N552&gt;MaxDayHours,"Over "&amp;MaxDayHours&amp;" hours that day","")))))</f>
        <v/>
      </c>
    </row>
    <row r="553" customFormat="false" ht="15" hidden="false" customHeight="false" outlineLevel="0" collapsed="false">
      <c r="A553" s="31" t="n">
        <v>46233</v>
      </c>
      <c r="B553" s="32" t="s">
        <v>106</v>
      </c>
      <c r="C553" s="32" t="s">
        <v>102</v>
      </c>
      <c r="D553" s="33" t="s">
        <v>88</v>
      </c>
      <c r="E553" s="34" t="n">
        <v>1.25</v>
      </c>
      <c r="F553" s="32"/>
      <c r="G553" s="35" t="n">
        <f aca="false">IF(A553="","",A553+7-WEEKDAY(A553))</f>
        <v>46235</v>
      </c>
      <c r="H553" s="36" t="n">
        <f aca="false">IF(A553="","",DATE(YEAR(A553),MONTH(A553),1))</f>
        <v>46204</v>
      </c>
      <c r="I553" s="37" t="str">
        <f aca="false">IF(B553="","",IFERROR(INDEX(st_ID,MATCH(B553,st_Name,0)),"Unknown"))</f>
        <v>QP-07</v>
      </c>
      <c r="J553" s="37" t="str">
        <f aca="false">IF(C553="","",IFERROR(INDEX(cl_Code,MATCH(C553,cl_Name,0)),"Unknown"))</f>
        <v>CLH</v>
      </c>
      <c r="K553" s="37" t="str">
        <f aca="false">IF(D553="","",IFERROR(INDEX(rt_Billable,MATCH(D553,rt_Code,0)),"Unknown"))</f>
        <v>Yes</v>
      </c>
      <c r="L553" s="38" t="n">
        <f aca="false">IF(K553&lt;&gt;"Yes","",IFERROR(INDEX(cr_Rate,MATCH(J553&amp;"|"&amp;D553,cr_Key,0)),INDEX(rt_Rate,MATCH(D553,rt_Code,0))))</f>
        <v>110</v>
      </c>
      <c r="M553" s="25" t="n">
        <f aca="false">IF(L553="","",ROUND(N(E553)*L553,2))</f>
        <v>137.5</v>
      </c>
      <c r="N553" s="39" t="n">
        <f aca="false">IF(OR(A553="",B553=""),"",SUMIFS(tl_Hours,tl_StaffID,I553,tl_Date,A553))</f>
        <v>8</v>
      </c>
      <c r="O553" s="40" t="str">
        <f aca="false">IF(A553&amp;B553&amp;D553="","",IF(OR(A553="",B553="",D553="",E553=""),"Incomplete",IF(K553="Unknown","Unknown code",IF(AND(K553="Yes",C553=""),"Billable, needs client",IF(N553&gt;MaxDayHours,"Over "&amp;MaxDayHours&amp;" hours that day","")))))</f>
        <v/>
      </c>
    </row>
    <row r="554" customFormat="false" ht="15" hidden="false" customHeight="false" outlineLevel="0" collapsed="false">
      <c r="A554" s="31" t="n">
        <v>46233</v>
      </c>
      <c r="B554" s="32" t="s">
        <v>106</v>
      </c>
      <c r="C554" s="32" t="s">
        <v>102</v>
      </c>
      <c r="D554" s="33" t="s">
        <v>113</v>
      </c>
      <c r="E554" s="34" t="n">
        <v>1</v>
      </c>
      <c r="F554" s="32"/>
      <c r="G554" s="35" t="n">
        <f aca="false">IF(A554="","",A554+7-WEEKDAY(A554))</f>
        <v>46235</v>
      </c>
      <c r="H554" s="36" t="n">
        <f aca="false">IF(A554="","",DATE(YEAR(A554),MONTH(A554),1))</f>
        <v>46204</v>
      </c>
      <c r="I554" s="37" t="str">
        <f aca="false">IF(B554="","",IFERROR(INDEX(st_ID,MATCH(B554,st_Name,0)),"Unknown"))</f>
        <v>QP-07</v>
      </c>
      <c r="J554" s="37" t="str">
        <f aca="false">IF(C554="","",IFERROR(INDEX(cl_Code,MATCH(C554,cl_Name,0)),"Unknown"))</f>
        <v>CLH</v>
      </c>
      <c r="K554" s="37" t="str">
        <f aca="false">IF(D554="","",IFERROR(INDEX(rt_Billable,MATCH(D554,rt_Code,0)),"Unknown"))</f>
        <v>Yes</v>
      </c>
      <c r="L554" s="38" t="n">
        <f aca="false">IF(K554&lt;&gt;"Yes","",IFERROR(INDEX(cr_Rate,MATCH(J554&amp;"|"&amp;D554,cr_Key,0)),INDEX(rt_Rate,MATCH(D554,rt_Code,0))))</f>
        <v>75</v>
      </c>
      <c r="M554" s="25" t="n">
        <f aca="false">IF(L554="","",ROUND(N(E554)*L554,2))</f>
        <v>75</v>
      </c>
      <c r="N554" s="39" t="n">
        <f aca="false">IF(OR(A554="",B554=""),"",SUMIFS(tl_Hours,tl_StaffID,I554,tl_Date,A554))</f>
        <v>8</v>
      </c>
      <c r="O554" s="40" t="str">
        <f aca="false">IF(A554&amp;B554&amp;D554="","",IF(OR(A554="",B554="",D554="",E554=""),"Incomplete",IF(K554="Unknown","Unknown code",IF(AND(K554="Yes",C554=""),"Billable, needs client",IF(N554&gt;MaxDayHours,"Over "&amp;MaxDayHours&amp;" hours that day","")))))</f>
        <v/>
      </c>
    </row>
    <row r="555" customFormat="false" ht="15" hidden="false" customHeight="false" outlineLevel="0" collapsed="false">
      <c r="A555" s="31" t="n">
        <v>46233</v>
      </c>
      <c r="B555" s="32" t="s">
        <v>106</v>
      </c>
      <c r="C555" s="32" t="s">
        <v>112</v>
      </c>
      <c r="D555" s="33" t="s">
        <v>88</v>
      </c>
      <c r="E555" s="34" t="n">
        <v>1.75</v>
      </c>
      <c r="F555" s="32"/>
      <c r="G555" s="35" t="n">
        <f aca="false">IF(A555="","",A555+7-WEEKDAY(A555))</f>
        <v>46235</v>
      </c>
      <c r="H555" s="36" t="n">
        <f aca="false">IF(A555="","",DATE(YEAR(A555),MONTH(A555),1))</f>
        <v>46204</v>
      </c>
      <c r="I555" s="37" t="str">
        <f aca="false">IF(B555="","",IFERROR(INDEX(st_ID,MATCH(B555,st_Name,0)),"Unknown"))</f>
        <v>QP-07</v>
      </c>
      <c r="J555" s="37" t="str">
        <f aca="false">IF(C555="","",IFERROR(INDEX(cl_Code,MATCH(C555,cl_Name,0)),"Unknown"))</f>
        <v>PCA</v>
      </c>
      <c r="K555" s="37" t="str">
        <f aca="false">IF(D555="","",IFERROR(INDEX(rt_Billable,MATCH(D555,rt_Code,0)),"Unknown"))</f>
        <v>Yes</v>
      </c>
      <c r="L555" s="38" t="n">
        <f aca="false">IF(K555&lt;&gt;"Yes","",IFERROR(INDEX(cr_Rate,MATCH(J555&amp;"|"&amp;D555,cr_Key,0)),INDEX(rt_Rate,MATCH(D555,rt_Code,0))))</f>
        <v>110</v>
      </c>
      <c r="M555" s="25" t="n">
        <f aca="false">IF(L555="","",ROUND(N(E555)*L555,2))</f>
        <v>192.5</v>
      </c>
      <c r="N555" s="39" t="n">
        <f aca="false">IF(OR(A555="",B555=""),"",SUMIFS(tl_Hours,tl_StaffID,I555,tl_Date,A555))</f>
        <v>8</v>
      </c>
      <c r="O555" s="40" t="str">
        <f aca="false">IF(A555&amp;B555&amp;D555="","",IF(OR(A555="",B555="",D555="",E555=""),"Incomplete",IF(K555="Unknown","Unknown code",IF(AND(K555="Yes",C555=""),"Billable, needs client",IF(N555&gt;MaxDayHours,"Over "&amp;MaxDayHours&amp;" hours that day","")))))</f>
        <v/>
      </c>
    </row>
    <row r="556" customFormat="false" ht="15" hidden="false" customHeight="false" outlineLevel="0" collapsed="false">
      <c r="A556" s="31" t="n">
        <v>46233</v>
      </c>
      <c r="B556" s="32" t="s">
        <v>106</v>
      </c>
      <c r="C556" s="32" t="s">
        <v>112</v>
      </c>
      <c r="D556" s="33" t="s">
        <v>104</v>
      </c>
      <c r="E556" s="34" t="n">
        <v>0.5</v>
      </c>
      <c r="F556" s="32"/>
      <c r="G556" s="35" t="n">
        <f aca="false">IF(A556="","",A556+7-WEEKDAY(A556))</f>
        <v>46235</v>
      </c>
      <c r="H556" s="36" t="n">
        <f aca="false">IF(A556="","",DATE(YEAR(A556),MONTH(A556),1))</f>
        <v>46204</v>
      </c>
      <c r="I556" s="37" t="str">
        <f aca="false">IF(B556="","",IFERROR(INDEX(st_ID,MATCH(B556,st_Name,0)),"Unknown"))</f>
        <v>QP-07</v>
      </c>
      <c r="J556" s="37" t="str">
        <f aca="false">IF(C556="","",IFERROR(INDEX(cl_Code,MATCH(C556,cl_Name,0)),"Unknown"))</f>
        <v>PCA</v>
      </c>
      <c r="K556" s="37" t="str">
        <f aca="false">IF(D556="","",IFERROR(INDEX(rt_Billable,MATCH(D556,rt_Code,0)),"Unknown"))</f>
        <v>Yes</v>
      </c>
      <c r="L556" s="38" t="n">
        <f aca="false">IF(K556&lt;&gt;"Yes","",IFERROR(INDEX(cr_Rate,MATCH(J556&amp;"|"&amp;D556,cr_Key,0)),INDEX(rt_Rate,MATCH(D556,rt_Code,0))))</f>
        <v>70</v>
      </c>
      <c r="M556" s="25" t="n">
        <f aca="false">IF(L556="","",ROUND(N(E556)*L556,2))</f>
        <v>35</v>
      </c>
      <c r="N556" s="39" t="n">
        <f aca="false">IF(OR(A556="",B556=""),"",SUMIFS(tl_Hours,tl_StaffID,I556,tl_Date,A556))</f>
        <v>8</v>
      </c>
      <c r="O556" s="40" t="str">
        <f aca="false">IF(A556&amp;B556&amp;D556="","",IF(OR(A556="",B556="",D556="",E556=""),"Incomplete",IF(K556="Unknown","Unknown code",IF(AND(K556="Yes",C556=""),"Billable, needs client",IF(N556&gt;MaxDayHours,"Over "&amp;MaxDayHours&amp;" hours that day","")))))</f>
        <v/>
      </c>
    </row>
    <row r="557" customFormat="false" ht="15" hidden="false" customHeight="false" outlineLevel="0" collapsed="false">
      <c r="A557" s="31" t="n">
        <v>46233</v>
      </c>
      <c r="B557" s="32" t="s">
        <v>106</v>
      </c>
      <c r="C557" s="32"/>
      <c r="D557" s="33" t="s">
        <v>93</v>
      </c>
      <c r="E557" s="34" t="n">
        <v>0.5</v>
      </c>
      <c r="F557" s="32"/>
      <c r="G557" s="35" t="n">
        <f aca="false">IF(A557="","",A557+7-WEEKDAY(A557))</f>
        <v>46235</v>
      </c>
      <c r="H557" s="36" t="n">
        <f aca="false">IF(A557="","",DATE(YEAR(A557),MONTH(A557),1))</f>
        <v>46204</v>
      </c>
      <c r="I557" s="37" t="str">
        <f aca="false">IF(B557="","",IFERROR(INDEX(st_ID,MATCH(B557,st_Name,0)),"Unknown"))</f>
        <v>QP-07</v>
      </c>
      <c r="J557" s="37" t="str">
        <f aca="false">IF(C557="","",IFERROR(INDEX(cl_Code,MATCH(C557,cl_Name,0)),"Unknown"))</f>
        <v/>
      </c>
      <c r="K557" s="37" t="str">
        <f aca="false">IF(D557="","",IFERROR(INDEX(rt_Billable,MATCH(D557,rt_Code,0)),"Unknown"))</f>
        <v>No</v>
      </c>
      <c r="L557" s="38" t="str">
        <f aca="false">IF(K557&lt;&gt;"Yes","",IFERROR(INDEX(cr_Rate,MATCH(J557&amp;"|"&amp;D557,cr_Key,0)),INDEX(rt_Rate,MATCH(D557,rt_Code,0))))</f>
        <v/>
      </c>
      <c r="M557" s="25" t="str">
        <f aca="false">IF(L557="","",ROUND(N(E557)*L557,2))</f>
        <v/>
      </c>
      <c r="N557" s="39" t="n">
        <f aca="false">IF(OR(A557="",B557=""),"",SUMIFS(tl_Hours,tl_StaffID,I557,tl_Date,A557))</f>
        <v>8</v>
      </c>
      <c r="O557" s="40" t="str">
        <f aca="false">IF(A557&amp;B557&amp;D557="","",IF(OR(A557="",B557="",D557="",E557=""),"Incomplete",IF(K557="Unknown","Unknown code",IF(AND(K557="Yes",C557=""),"Billable, needs client",IF(N557&gt;MaxDayHours,"Over "&amp;MaxDayHours&amp;" hours that day","")))))</f>
        <v/>
      </c>
    </row>
    <row r="558" customFormat="false" ht="15" hidden="false" customHeight="false" outlineLevel="0" collapsed="false">
      <c r="A558" s="31" t="n">
        <v>46233</v>
      </c>
      <c r="B558" s="32" t="s">
        <v>106</v>
      </c>
      <c r="C558" s="32"/>
      <c r="D558" s="33" t="s">
        <v>96</v>
      </c>
      <c r="E558" s="34" t="n">
        <v>3</v>
      </c>
      <c r="F558" s="32"/>
      <c r="G558" s="35" t="n">
        <f aca="false">IF(A558="","",A558+7-WEEKDAY(A558))</f>
        <v>46235</v>
      </c>
      <c r="H558" s="36" t="n">
        <f aca="false">IF(A558="","",DATE(YEAR(A558),MONTH(A558),1))</f>
        <v>46204</v>
      </c>
      <c r="I558" s="37" t="str">
        <f aca="false">IF(B558="","",IFERROR(INDEX(st_ID,MATCH(B558,st_Name,0)),"Unknown"))</f>
        <v>QP-07</v>
      </c>
      <c r="J558" s="37" t="str">
        <f aca="false">IF(C558="","",IFERROR(INDEX(cl_Code,MATCH(C558,cl_Name,0)),"Unknown"))</f>
        <v/>
      </c>
      <c r="K558" s="37" t="str">
        <f aca="false">IF(D558="","",IFERROR(INDEX(rt_Billable,MATCH(D558,rt_Code,0)),"Unknown"))</f>
        <v>No</v>
      </c>
      <c r="L558" s="38" t="str">
        <f aca="false">IF(K558&lt;&gt;"Yes","",IFERROR(INDEX(cr_Rate,MATCH(J558&amp;"|"&amp;D558,cr_Key,0)),INDEX(rt_Rate,MATCH(D558,rt_Code,0))))</f>
        <v/>
      </c>
      <c r="M558" s="25" t="str">
        <f aca="false">IF(L558="","",ROUND(N(E558)*L558,2))</f>
        <v/>
      </c>
      <c r="N558" s="39" t="n">
        <f aca="false">IF(OR(A558="",B558=""),"",SUMIFS(tl_Hours,tl_StaffID,I558,tl_Date,A558))</f>
        <v>8</v>
      </c>
      <c r="O558" s="40" t="str">
        <f aca="false">IF(A558&amp;B558&amp;D558="","",IF(OR(A558="",B558="",D558="",E558=""),"Incomplete",IF(K558="Unknown","Unknown code",IF(AND(K558="Yes",C558=""),"Billable, needs client",IF(N558&gt;MaxDayHours,"Over "&amp;MaxDayHours&amp;" hours that day","")))))</f>
        <v/>
      </c>
    </row>
    <row r="559" customFormat="false" ht="15" hidden="false" customHeight="false" outlineLevel="0" collapsed="false">
      <c r="A559" s="31" t="n">
        <v>46233</v>
      </c>
      <c r="B559" s="32" t="s">
        <v>107</v>
      </c>
      <c r="C559" s="32"/>
      <c r="D559" s="33" t="s">
        <v>108</v>
      </c>
      <c r="E559" s="34" t="n">
        <v>6.5</v>
      </c>
      <c r="F559" s="32"/>
      <c r="G559" s="35" t="n">
        <f aca="false">IF(A559="","",A559+7-WEEKDAY(A559))</f>
        <v>46235</v>
      </c>
      <c r="H559" s="36" t="n">
        <f aca="false">IF(A559="","",DATE(YEAR(A559),MONTH(A559),1))</f>
        <v>46204</v>
      </c>
      <c r="I559" s="37" t="str">
        <f aca="false">IF(B559="","",IFERROR(INDEX(st_ID,MATCH(B559,st_Name,0)),"Unknown"))</f>
        <v>QP-08</v>
      </c>
      <c r="J559" s="37" t="str">
        <f aca="false">IF(C559="","",IFERROR(INDEX(cl_Code,MATCH(C559,cl_Name,0)),"Unknown"))</f>
        <v/>
      </c>
      <c r="K559" s="37" t="str">
        <f aca="false">IF(D559="","",IFERROR(INDEX(rt_Billable,MATCH(D559,rt_Code,0)),"Unknown"))</f>
        <v>No</v>
      </c>
      <c r="L559" s="38" t="str">
        <f aca="false">IF(K559&lt;&gt;"Yes","",IFERROR(INDEX(cr_Rate,MATCH(J559&amp;"|"&amp;D559,cr_Key,0)),INDEX(rt_Rate,MATCH(D559,rt_Code,0))))</f>
        <v/>
      </c>
      <c r="M559" s="25" t="str">
        <f aca="false">IF(L559="","",ROUND(N(E559)*L559,2))</f>
        <v/>
      </c>
      <c r="N559" s="39" t="n">
        <f aca="false">IF(OR(A559="",B559=""),"",SUMIFS(tl_Hours,tl_StaffID,I559,tl_Date,A559))</f>
        <v>8</v>
      </c>
      <c r="O559" s="40" t="str">
        <f aca="false">IF(A559&amp;B559&amp;D559="","",IF(OR(A559="",B559="",D559="",E559=""),"Incomplete",IF(K559="Unknown","Unknown code",IF(AND(K559="Yes",C559=""),"Billable, needs client",IF(N559&gt;MaxDayHours,"Over "&amp;MaxDayHours&amp;" hours that day","")))))</f>
        <v/>
      </c>
    </row>
    <row r="560" customFormat="false" ht="15" hidden="false" customHeight="false" outlineLevel="0" collapsed="false">
      <c r="A560" s="31" t="n">
        <v>46233</v>
      </c>
      <c r="B560" s="32" t="s">
        <v>107</v>
      </c>
      <c r="C560" s="32"/>
      <c r="D560" s="33" t="s">
        <v>98</v>
      </c>
      <c r="E560" s="34" t="n">
        <v>1.5</v>
      </c>
      <c r="F560" s="32"/>
      <c r="G560" s="35" t="n">
        <f aca="false">IF(A560="","",A560+7-WEEKDAY(A560))</f>
        <v>46235</v>
      </c>
      <c r="H560" s="36" t="n">
        <f aca="false">IF(A560="","",DATE(YEAR(A560),MONTH(A560),1))</f>
        <v>46204</v>
      </c>
      <c r="I560" s="37" t="str">
        <f aca="false">IF(B560="","",IFERROR(INDEX(st_ID,MATCH(B560,st_Name,0)),"Unknown"))</f>
        <v>QP-08</v>
      </c>
      <c r="J560" s="37" t="str">
        <f aca="false">IF(C560="","",IFERROR(INDEX(cl_Code,MATCH(C560,cl_Name,0)),"Unknown"))</f>
        <v/>
      </c>
      <c r="K560" s="37" t="str">
        <f aca="false">IF(D560="","",IFERROR(INDEX(rt_Billable,MATCH(D560,rt_Code,0)),"Unknown"))</f>
        <v>No</v>
      </c>
      <c r="L560" s="38" t="str">
        <f aca="false">IF(K560&lt;&gt;"Yes","",IFERROR(INDEX(cr_Rate,MATCH(J560&amp;"|"&amp;D560,cr_Key,0)),INDEX(rt_Rate,MATCH(D560,rt_Code,0))))</f>
        <v/>
      </c>
      <c r="M560" s="25" t="str">
        <f aca="false">IF(L560="","",ROUND(N(E560)*L560,2))</f>
        <v/>
      </c>
      <c r="N560" s="39" t="n">
        <f aca="false">IF(OR(A560="",B560=""),"",SUMIFS(tl_Hours,tl_StaffID,I560,tl_Date,A560))</f>
        <v>8</v>
      </c>
      <c r="O560" s="40" t="str">
        <f aca="false">IF(A560&amp;B560&amp;D560="","",IF(OR(A560="",B560="",D560="",E560=""),"Incomplete",IF(K560="Unknown","Unknown code",IF(AND(K560="Yes",C560=""),"Billable, needs client",IF(N560&gt;MaxDayHours,"Over "&amp;MaxDayHours&amp;" hours that day","")))))</f>
        <v/>
      </c>
    </row>
    <row r="561" customFormat="false" ht="15" hidden="false" customHeight="false" outlineLevel="0" collapsed="false">
      <c r="A561" s="31" t="n">
        <v>46234</v>
      </c>
      <c r="B561" s="32" t="s">
        <v>86</v>
      </c>
      <c r="C561" s="32" t="s">
        <v>90</v>
      </c>
      <c r="D561" s="33" t="s">
        <v>91</v>
      </c>
      <c r="E561" s="34" t="n">
        <v>3</v>
      </c>
      <c r="F561" s="32"/>
      <c r="G561" s="35" t="n">
        <f aca="false">IF(A561="","",A561+7-WEEKDAY(A561))</f>
        <v>46235</v>
      </c>
      <c r="H561" s="36" t="n">
        <f aca="false">IF(A561="","",DATE(YEAR(A561),MONTH(A561),1))</f>
        <v>46204</v>
      </c>
      <c r="I561" s="37" t="str">
        <f aca="false">IF(B561="","",IFERROR(INDEX(st_ID,MATCH(B561,st_Name,0)),"Unknown"))</f>
        <v>QP-01</v>
      </c>
      <c r="J561" s="37" t="str">
        <f aca="false">IF(C561="","",IFERROR(INDEX(cl_Code,MATCH(C561,cl_Name,0)),"Unknown"))</f>
        <v>BSE</v>
      </c>
      <c r="K561" s="37" t="str">
        <f aca="false">IF(D561="","",IFERROR(INDEX(rt_Billable,MATCH(D561,rt_Code,0)),"Unknown"))</f>
        <v>Yes</v>
      </c>
      <c r="L561" s="38" t="n">
        <f aca="false">IF(K561&lt;&gt;"Yes","",IFERROR(INDEX(cr_Rate,MATCH(J561&amp;"|"&amp;D561,cr_Key,0)),INDEX(rt_Rate,MATCH(D561,rt_Code,0))))</f>
        <v>100</v>
      </c>
      <c r="M561" s="25" t="n">
        <f aca="false">IF(L561="","",ROUND(N(E561)*L561,2))</f>
        <v>300</v>
      </c>
      <c r="N561" s="39" t="n">
        <f aca="false">IF(OR(A561="",B561=""),"",SUMIFS(tl_Hours,tl_StaffID,I561,tl_Date,A561))</f>
        <v>8</v>
      </c>
      <c r="O561" s="40" t="str">
        <f aca="false">IF(A561&amp;B561&amp;D561="","",IF(OR(A561="",B561="",D561="",E561=""),"Incomplete",IF(K561="Unknown","Unknown code",IF(AND(K561="Yes",C561=""),"Billable, needs client",IF(N561&gt;MaxDayHours,"Over "&amp;MaxDayHours&amp;" hours that day","")))))</f>
        <v/>
      </c>
    </row>
    <row r="562" customFormat="false" ht="15" hidden="false" customHeight="false" outlineLevel="0" collapsed="false">
      <c r="A562" s="31" t="n">
        <v>46234</v>
      </c>
      <c r="B562" s="32" t="s">
        <v>86</v>
      </c>
      <c r="C562" s="32" t="s">
        <v>90</v>
      </c>
      <c r="D562" s="33" t="s">
        <v>89</v>
      </c>
      <c r="E562" s="34" t="n">
        <v>1.5</v>
      </c>
      <c r="F562" s="32"/>
      <c r="G562" s="35" t="n">
        <f aca="false">IF(A562="","",A562+7-WEEKDAY(A562))</f>
        <v>46235</v>
      </c>
      <c r="H562" s="36" t="n">
        <f aca="false">IF(A562="","",DATE(YEAR(A562),MONTH(A562),1))</f>
        <v>46204</v>
      </c>
      <c r="I562" s="37" t="str">
        <f aca="false">IF(B562="","",IFERROR(INDEX(st_ID,MATCH(B562,st_Name,0)),"Unknown"))</f>
        <v>QP-01</v>
      </c>
      <c r="J562" s="37" t="str">
        <f aca="false">IF(C562="","",IFERROR(INDEX(cl_Code,MATCH(C562,cl_Name,0)),"Unknown"))</f>
        <v>BSE</v>
      </c>
      <c r="K562" s="37" t="str">
        <f aca="false">IF(D562="","",IFERROR(INDEX(rt_Billable,MATCH(D562,rt_Code,0)),"Unknown"))</f>
        <v>Yes</v>
      </c>
      <c r="L562" s="38" t="n">
        <f aca="false">IF(K562&lt;&gt;"Yes","",IFERROR(INDEX(cr_Rate,MATCH(J562&amp;"|"&amp;D562,cr_Key,0)),INDEX(rt_Rate,MATCH(D562,rt_Code,0))))</f>
        <v>95</v>
      </c>
      <c r="M562" s="25" t="n">
        <f aca="false">IF(L562="","",ROUND(N(E562)*L562,2))</f>
        <v>142.5</v>
      </c>
      <c r="N562" s="39" t="n">
        <f aca="false">IF(OR(A562="",B562=""),"",SUMIFS(tl_Hours,tl_StaffID,I562,tl_Date,A562))</f>
        <v>8</v>
      </c>
      <c r="O562" s="40" t="str">
        <f aca="false">IF(A562&amp;B562&amp;D562="","",IF(OR(A562="",B562="",D562="",E562=""),"Incomplete",IF(K562="Unknown","Unknown code",IF(AND(K562="Yes",C562=""),"Billable, needs client",IF(N562&gt;MaxDayHours,"Over "&amp;MaxDayHours&amp;" hours that day","")))))</f>
        <v/>
      </c>
    </row>
    <row r="563" customFormat="false" ht="15" hidden="false" customHeight="false" outlineLevel="0" collapsed="false">
      <c r="A563" s="31" t="n">
        <v>46234</v>
      </c>
      <c r="B563" s="32" t="s">
        <v>86</v>
      </c>
      <c r="C563" s="32"/>
      <c r="D563" s="33" t="s">
        <v>96</v>
      </c>
      <c r="E563" s="34" t="n">
        <v>3.5</v>
      </c>
      <c r="F563" s="32"/>
      <c r="G563" s="35" t="n">
        <f aca="false">IF(A563="","",A563+7-WEEKDAY(A563))</f>
        <v>46235</v>
      </c>
      <c r="H563" s="36" t="n">
        <f aca="false">IF(A563="","",DATE(YEAR(A563),MONTH(A563),1))</f>
        <v>46204</v>
      </c>
      <c r="I563" s="37" t="str">
        <f aca="false">IF(B563="","",IFERROR(INDEX(st_ID,MATCH(B563,st_Name,0)),"Unknown"))</f>
        <v>QP-01</v>
      </c>
      <c r="J563" s="37" t="str">
        <f aca="false">IF(C563="","",IFERROR(INDEX(cl_Code,MATCH(C563,cl_Name,0)),"Unknown"))</f>
        <v/>
      </c>
      <c r="K563" s="37" t="str">
        <f aca="false">IF(D563="","",IFERROR(INDEX(rt_Billable,MATCH(D563,rt_Code,0)),"Unknown"))</f>
        <v>No</v>
      </c>
      <c r="L563" s="38" t="str">
        <f aca="false">IF(K563&lt;&gt;"Yes","",IFERROR(INDEX(cr_Rate,MATCH(J563&amp;"|"&amp;D563,cr_Key,0)),INDEX(rt_Rate,MATCH(D563,rt_Code,0))))</f>
        <v/>
      </c>
      <c r="M563" s="25" t="str">
        <f aca="false">IF(L563="","",ROUND(N(E563)*L563,2))</f>
        <v/>
      </c>
      <c r="N563" s="39" t="n">
        <f aca="false">IF(OR(A563="",B563=""),"",SUMIFS(tl_Hours,tl_StaffID,I563,tl_Date,A563))</f>
        <v>8</v>
      </c>
      <c r="O563" s="40" t="str">
        <f aca="false">IF(A563&amp;B563&amp;D563="","",IF(OR(A563="",B563="",D563="",E563=""),"Incomplete",IF(K563="Unknown","Unknown code",IF(AND(K563="Yes",C563=""),"Billable, needs client",IF(N563&gt;MaxDayHours,"Over "&amp;MaxDayHours&amp;" hours that day","")))))</f>
        <v/>
      </c>
    </row>
    <row r="564" customFormat="false" ht="15" hidden="false" customHeight="false" outlineLevel="0" collapsed="false">
      <c r="A564" s="31" t="n">
        <v>46234</v>
      </c>
      <c r="B564" s="32" t="s">
        <v>97</v>
      </c>
      <c r="C564" s="32" t="s">
        <v>90</v>
      </c>
      <c r="D564" s="33" t="s">
        <v>91</v>
      </c>
      <c r="E564" s="34" t="n">
        <v>3.75</v>
      </c>
      <c r="F564" s="32"/>
      <c r="G564" s="35" t="n">
        <f aca="false">IF(A564="","",A564+7-WEEKDAY(A564))</f>
        <v>46235</v>
      </c>
      <c r="H564" s="36" t="n">
        <f aca="false">IF(A564="","",DATE(YEAR(A564),MONTH(A564),1))</f>
        <v>46204</v>
      </c>
      <c r="I564" s="37" t="str">
        <f aca="false">IF(B564="","",IFERROR(INDEX(st_ID,MATCH(B564,st_Name,0)),"Unknown"))</f>
        <v>QP-02</v>
      </c>
      <c r="J564" s="37" t="str">
        <f aca="false">IF(C564="","",IFERROR(INDEX(cl_Code,MATCH(C564,cl_Name,0)),"Unknown"))</f>
        <v>BSE</v>
      </c>
      <c r="K564" s="37" t="str">
        <f aca="false">IF(D564="","",IFERROR(INDEX(rt_Billable,MATCH(D564,rt_Code,0)),"Unknown"))</f>
        <v>Yes</v>
      </c>
      <c r="L564" s="38" t="n">
        <f aca="false">IF(K564&lt;&gt;"Yes","",IFERROR(INDEX(cr_Rate,MATCH(J564&amp;"|"&amp;D564,cr_Key,0)),INDEX(rt_Rate,MATCH(D564,rt_Code,0))))</f>
        <v>100</v>
      </c>
      <c r="M564" s="25" t="n">
        <f aca="false">IF(L564="","",ROUND(N(E564)*L564,2))</f>
        <v>375</v>
      </c>
      <c r="N564" s="39" t="n">
        <f aca="false">IF(OR(A564="",B564=""),"",SUMIFS(tl_Hours,tl_StaffID,I564,tl_Date,A564))</f>
        <v>8</v>
      </c>
      <c r="O564" s="40" t="str">
        <f aca="false">IF(A564&amp;B564&amp;D564="","",IF(OR(A564="",B564="",D564="",E564=""),"Incomplete",IF(K564="Unknown","Unknown code",IF(AND(K564="Yes",C564=""),"Billable, needs client",IF(N564&gt;MaxDayHours,"Over "&amp;MaxDayHours&amp;" hours that day","")))))</f>
        <v/>
      </c>
    </row>
    <row r="565" customFormat="false" ht="15" hidden="false" customHeight="false" outlineLevel="0" collapsed="false">
      <c r="A565" s="31" t="n">
        <v>46234</v>
      </c>
      <c r="B565" s="32" t="s">
        <v>97</v>
      </c>
      <c r="C565" s="32" t="s">
        <v>90</v>
      </c>
      <c r="D565" s="33" t="s">
        <v>89</v>
      </c>
      <c r="E565" s="34" t="n">
        <v>1</v>
      </c>
      <c r="F565" s="32"/>
      <c r="G565" s="35" t="n">
        <f aca="false">IF(A565="","",A565+7-WEEKDAY(A565))</f>
        <v>46235</v>
      </c>
      <c r="H565" s="36" t="n">
        <f aca="false">IF(A565="","",DATE(YEAR(A565),MONTH(A565),1))</f>
        <v>46204</v>
      </c>
      <c r="I565" s="37" t="str">
        <f aca="false">IF(B565="","",IFERROR(INDEX(st_ID,MATCH(B565,st_Name,0)),"Unknown"))</f>
        <v>QP-02</v>
      </c>
      <c r="J565" s="37" t="str">
        <f aca="false">IF(C565="","",IFERROR(INDEX(cl_Code,MATCH(C565,cl_Name,0)),"Unknown"))</f>
        <v>BSE</v>
      </c>
      <c r="K565" s="37" t="str">
        <f aca="false">IF(D565="","",IFERROR(INDEX(rt_Billable,MATCH(D565,rt_Code,0)),"Unknown"))</f>
        <v>Yes</v>
      </c>
      <c r="L565" s="38" t="n">
        <f aca="false">IF(K565&lt;&gt;"Yes","",IFERROR(INDEX(cr_Rate,MATCH(J565&amp;"|"&amp;D565,cr_Key,0)),INDEX(rt_Rate,MATCH(D565,rt_Code,0))))</f>
        <v>95</v>
      </c>
      <c r="M565" s="25" t="n">
        <f aca="false">IF(L565="","",ROUND(N(E565)*L565,2))</f>
        <v>95</v>
      </c>
      <c r="N565" s="39" t="n">
        <f aca="false">IF(OR(A565="",B565=""),"",SUMIFS(tl_Hours,tl_StaffID,I565,tl_Date,A565))</f>
        <v>8</v>
      </c>
      <c r="O565" s="40" t="str">
        <f aca="false">IF(A565&amp;B565&amp;D565="","",IF(OR(A565="",B565="",D565="",E565=""),"Incomplete",IF(K565="Unknown","Unknown code",IF(AND(K565="Yes",C565=""),"Billable, needs client",IF(N565&gt;MaxDayHours,"Over "&amp;MaxDayHours&amp;" hours that day","")))))</f>
        <v/>
      </c>
    </row>
    <row r="566" customFormat="false" ht="15" hidden="false" customHeight="false" outlineLevel="0" collapsed="false">
      <c r="A566" s="31" t="n">
        <v>46234</v>
      </c>
      <c r="B566" s="32" t="s">
        <v>97</v>
      </c>
      <c r="C566" s="32"/>
      <c r="D566" s="33" t="s">
        <v>96</v>
      </c>
      <c r="E566" s="34" t="n">
        <v>3.25</v>
      </c>
      <c r="F566" s="32"/>
      <c r="G566" s="35" t="n">
        <f aca="false">IF(A566="","",A566+7-WEEKDAY(A566))</f>
        <v>46235</v>
      </c>
      <c r="H566" s="36" t="n">
        <f aca="false">IF(A566="","",DATE(YEAR(A566),MONTH(A566),1))</f>
        <v>46204</v>
      </c>
      <c r="I566" s="37" t="str">
        <f aca="false">IF(B566="","",IFERROR(INDEX(st_ID,MATCH(B566,st_Name,0)),"Unknown"))</f>
        <v>QP-02</v>
      </c>
      <c r="J566" s="37" t="str">
        <f aca="false">IF(C566="","",IFERROR(INDEX(cl_Code,MATCH(C566,cl_Name,0)),"Unknown"))</f>
        <v/>
      </c>
      <c r="K566" s="37" t="str">
        <f aca="false">IF(D566="","",IFERROR(INDEX(rt_Billable,MATCH(D566,rt_Code,0)),"Unknown"))</f>
        <v>No</v>
      </c>
      <c r="L566" s="38" t="str">
        <f aca="false">IF(K566&lt;&gt;"Yes","",IFERROR(INDEX(cr_Rate,MATCH(J566&amp;"|"&amp;D566,cr_Key,0)),INDEX(rt_Rate,MATCH(D566,rt_Code,0))))</f>
        <v/>
      </c>
      <c r="M566" s="25" t="str">
        <f aca="false">IF(L566="","",ROUND(N(E566)*L566,2))</f>
        <v/>
      </c>
      <c r="N566" s="39" t="n">
        <f aca="false">IF(OR(A566="",B566=""),"",SUMIFS(tl_Hours,tl_StaffID,I566,tl_Date,A566))</f>
        <v>8</v>
      </c>
      <c r="O566" s="40" t="str">
        <f aca="false">IF(A566&amp;B566&amp;D566="","",IF(OR(A566="",B566="",D566="",E566=""),"Incomplete",IF(K566="Unknown","Unknown code",IF(AND(K566="Yes",C566=""),"Billable, needs client",IF(N566&gt;MaxDayHours,"Over "&amp;MaxDayHours&amp;" hours that day","")))))</f>
        <v/>
      </c>
    </row>
    <row r="567" customFormat="false" ht="15" hidden="false" customHeight="false" outlineLevel="0" collapsed="false">
      <c r="A567" s="31" t="n">
        <v>46234</v>
      </c>
      <c r="B567" s="32" t="s">
        <v>101</v>
      </c>
      <c r="C567" s="32" t="s">
        <v>102</v>
      </c>
      <c r="D567" s="33" t="s">
        <v>104</v>
      </c>
      <c r="E567" s="34" t="n">
        <v>4.25</v>
      </c>
      <c r="F567" s="32"/>
      <c r="G567" s="35" t="n">
        <f aca="false">IF(A567="","",A567+7-WEEKDAY(A567))</f>
        <v>46235</v>
      </c>
      <c r="H567" s="36" t="n">
        <f aca="false">IF(A567="","",DATE(YEAR(A567),MONTH(A567),1))</f>
        <v>46204</v>
      </c>
      <c r="I567" s="37" t="str">
        <f aca="false">IF(B567="","",IFERROR(INDEX(st_ID,MATCH(B567,st_Name,0)),"Unknown"))</f>
        <v>QP-04</v>
      </c>
      <c r="J567" s="37" t="str">
        <f aca="false">IF(C567="","",IFERROR(INDEX(cl_Code,MATCH(C567,cl_Name,0)),"Unknown"))</f>
        <v>CLH</v>
      </c>
      <c r="K567" s="37" t="str">
        <f aca="false">IF(D567="","",IFERROR(INDEX(rt_Billable,MATCH(D567,rt_Code,0)),"Unknown"))</f>
        <v>Yes</v>
      </c>
      <c r="L567" s="38" t="n">
        <f aca="false">IF(K567&lt;&gt;"Yes","",IFERROR(INDEX(cr_Rate,MATCH(J567&amp;"|"&amp;D567,cr_Key,0)),INDEX(rt_Rate,MATCH(D567,rt_Code,0))))</f>
        <v>65</v>
      </c>
      <c r="M567" s="25" t="n">
        <f aca="false">IF(L567="","",ROUND(N(E567)*L567,2))</f>
        <v>276.25</v>
      </c>
      <c r="N567" s="39" t="n">
        <f aca="false">IF(OR(A567="",B567=""),"",SUMIFS(tl_Hours,tl_StaffID,I567,tl_Date,A567))</f>
        <v>8</v>
      </c>
      <c r="O567" s="40" t="str">
        <f aca="false">IF(A567&amp;B567&amp;D567="","",IF(OR(A567="",B567="",D567="",E567=""),"Incomplete",IF(K567="Unknown","Unknown code",IF(AND(K567="Yes",C567=""),"Billable, needs client",IF(N567&gt;MaxDayHours,"Over "&amp;MaxDayHours&amp;" hours that day","")))))</f>
        <v/>
      </c>
    </row>
    <row r="568" customFormat="false" ht="15" hidden="false" customHeight="false" outlineLevel="0" collapsed="false">
      <c r="A568" s="31" t="n">
        <v>46234</v>
      </c>
      <c r="B568" s="32" t="s">
        <v>101</v>
      </c>
      <c r="C568" s="32" t="s">
        <v>102</v>
      </c>
      <c r="D568" s="33" t="s">
        <v>89</v>
      </c>
      <c r="E568" s="34" t="n">
        <v>0.75</v>
      </c>
      <c r="F568" s="32"/>
      <c r="G568" s="35" t="n">
        <f aca="false">IF(A568="","",A568+7-WEEKDAY(A568))</f>
        <v>46235</v>
      </c>
      <c r="H568" s="36" t="n">
        <f aca="false">IF(A568="","",DATE(YEAR(A568),MONTH(A568),1))</f>
        <v>46204</v>
      </c>
      <c r="I568" s="37" t="str">
        <f aca="false">IF(B568="","",IFERROR(INDEX(st_ID,MATCH(B568,st_Name,0)),"Unknown"))</f>
        <v>QP-04</v>
      </c>
      <c r="J568" s="37" t="str">
        <f aca="false">IF(C568="","",IFERROR(INDEX(cl_Code,MATCH(C568,cl_Name,0)),"Unknown"))</f>
        <v>CLH</v>
      </c>
      <c r="K568" s="37" t="str">
        <f aca="false">IF(D568="","",IFERROR(INDEX(rt_Billable,MATCH(D568,rt_Code,0)),"Unknown"))</f>
        <v>Yes</v>
      </c>
      <c r="L568" s="38" t="n">
        <f aca="false">IF(K568&lt;&gt;"Yes","",IFERROR(INDEX(cr_Rate,MATCH(J568&amp;"|"&amp;D568,cr_Key,0)),INDEX(rt_Rate,MATCH(D568,rt_Code,0))))</f>
        <v>95</v>
      </c>
      <c r="M568" s="25" t="n">
        <f aca="false">IF(L568="","",ROUND(N(E568)*L568,2))</f>
        <v>71.25</v>
      </c>
      <c r="N568" s="39" t="n">
        <f aca="false">IF(OR(A568="",B568=""),"",SUMIFS(tl_Hours,tl_StaffID,I568,tl_Date,A568))</f>
        <v>8</v>
      </c>
      <c r="O568" s="40" t="str">
        <f aca="false">IF(A568&amp;B568&amp;D568="","",IF(OR(A568="",B568="",D568="",E568=""),"Incomplete",IF(K568="Unknown","Unknown code",IF(AND(K568="Yes",C568=""),"Billable, needs client",IF(N568&gt;MaxDayHours,"Over "&amp;MaxDayHours&amp;" hours that day","")))))</f>
        <v/>
      </c>
    </row>
    <row r="569" customFormat="false" ht="15" hidden="false" customHeight="false" outlineLevel="0" collapsed="false">
      <c r="A569" s="31" t="n">
        <v>46234</v>
      </c>
      <c r="B569" s="32" t="s">
        <v>101</v>
      </c>
      <c r="C569" s="32"/>
      <c r="D569" s="33" t="s">
        <v>96</v>
      </c>
      <c r="E569" s="34" t="n">
        <v>3</v>
      </c>
      <c r="F569" s="32"/>
      <c r="G569" s="35" t="n">
        <f aca="false">IF(A569="","",A569+7-WEEKDAY(A569))</f>
        <v>46235</v>
      </c>
      <c r="H569" s="36" t="n">
        <f aca="false">IF(A569="","",DATE(YEAR(A569),MONTH(A569),1))</f>
        <v>46204</v>
      </c>
      <c r="I569" s="37" t="str">
        <f aca="false">IF(B569="","",IFERROR(INDEX(st_ID,MATCH(B569,st_Name,0)),"Unknown"))</f>
        <v>QP-04</v>
      </c>
      <c r="J569" s="37" t="str">
        <f aca="false">IF(C569="","",IFERROR(INDEX(cl_Code,MATCH(C569,cl_Name,0)),"Unknown"))</f>
        <v/>
      </c>
      <c r="K569" s="37" t="str">
        <f aca="false">IF(D569="","",IFERROR(INDEX(rt_Billable,MATCH(D569,rt_Code,0)),"Unknown"))</f>
        <v>No</v>
      </c>
      <c r="L569" s="38" t="str">
        <f aca="false">IF(K569&lt;&gt;"Yes","",IFERROR(INDEX(cr_Rate,MATCH(J569&amp;"|"&amp;D569,cr_Key,0)),INDEX(rt_Rate,MATCH(D569,rt_Code,0))))</f>
        <v/>
      </c>
      <c r="M569" s="25" t="str">
        <f aca="false">IF(L569="","",ROUND(N(E569)*L569,2))</f>
        <v/>
      </c>
      <c r="N569" s="39" t="n">
        <f aca="false">IF(OR(A569="",B569=""),"",SUMIFS(tl_Hours,tl_StaffID,I569,tl_Date,A569))</f>
        <v>8</v>
      </c>
      <c r="O569" s="40" t="str">
        <f aca="false">IF(A569&amp;B569&amp;D569="","",IF(OR(A569="",B569="",D569="",E569=""),"Incomplete",IF(K569="Unknown","Unknown code",IF(AND(K569="Yes",C569=""),"Billable, needs client",IF(N569&gt;MaxDayHours,"Over "&amp;MaxDayHours&amp;" hours that day","")))))</f>
        <v/>
      </c>
    </row>
    <row r="570" customFormat="false" ht="15" hidden="false" customHeight="false" outlineLevel="0" collapsed="false">
      <c r="A570" s="31" t="n">
        <v>46234</v>
      </c>
      <c r="B570" s="32" t="s">
        <v>103</v>
      </c>
      <c r="C570" s="32" t="s">
        <v>90</v>
      </c>
      <c r="D570" s="33" t="s">
        <v>88</v>
      </c>
      <c r="E570" s="34" t="n">
        <v>2.75</v>
      </c>
      <c r="F570" s="32"/>
      <c r="G570" s="35" t="n">
        <f aca="false">IF(A570="","",A570+7-WEEKDAY(A570))</f>
        <v>46235</v>
      </c>
      <c r="H570" s="36" t="n">
        <f aca="false">IF(A570="","",DATE(YEAR(A570),MONTH(A570),1))</f>
        <v>46204</v>
      </c>
      <c r="I570" s="37" t="str">
        <f aca="false">IF(B570="","",IFERROR(INDEX(st_ID,MATCH(B570,st_Name,0)),"Unknown"))</f>
        <v>QP-05</v>
      </c>
      <c r="J570" s="37" t="str">
        <f aca="false">IF(C570="","",IFERROR(INDEX(cl_Code,MATCH(C570,cl_Name,0)),"Unknown"))</f>
        <v>BSE</v>
      </c>
      <c r="K570" s="37" t="str">
        <f aca="false">IF(D570="","",IFERROR(INDEX(rt_Billable,MATCH(D570,rt_Code,0)),"Unknown"))</f>
        <v>Yes</v>
      </c>
      <c r="L570" s="38" t="n">
        <f aca="false">IF(K570&lt;&gt;"Yes","",IFERROR(INDEX(cr_Rate,MATCH(J570&amp;"|"&amp;D570,cr_Key,0)),INDEX(rt_Rate,MATCH(D570,rt_Code,0))))</f>
        <v>104</v>
      </c>
      <c r="M570" s="25" t="n">
        <f aca="false">IF(L570="","",ROUND(N(E570)*L570,2))</f>
        <v>286</v>
      </c>
      <c r="N570" s="39" t="n">
        <f aca="false">IF(OR(A570="",B570=""),"",SUMIFS(tl_Hours,tl_StaffID,I570,tl_Date,A570))</f>
        <v>8</v>
      </c>
      <c r="O570" s="40" t="str">
        <f aca="false">IF(A570&amp;B570&amp;D570="","",IF(OR(A570="",B570="",D570="",E570=""),"Incomplete",IF(K570="Unknown","Unknown code",IF(AND(K570="Yes",C570=""),"Billable, needs client",IF(N570&gt;MaxDayHours,"Over "&amp;MaxDayHours&amp;" hours that day","")))))</f>
        <v/>
      </c>
    </row>
    <row r="571" customFormat="false" ht="15" hidden="false" customHeight="false" outlineLevel="0" collapsed="false">
      <c r="A571" s="31" t="n">
        <v>46234</v>
      </c>
      <c r="B571" s="32" t="s">
        <v>103</v>
      </c>
      <c r="C571" s="32" t="s">
        <v>90</v>
      </c>
      <c r="D571" s="33" t="s">
        <v>89</v>
      </c>
      <c r="E571" s="34" t="n">
        <v>1.75</v>
      </c>
      <c r="F571" s="32"/>
      <c r="G571" s="35" t="n">
        <f aca="false">IF(A571="","",A571+7-WEEKDAY(A571))</f>
        <v>46235</v>
      </c>
      <c r="H571" s="36" t="n">
        <f aca="false">IF(A571="","",DATE(YEAR(A571),MONTH(A571),1))</f>
        <v>46204</v>
      </c>
      <c r="I571" s="37" t="str">
        <f aca="false">IF(B571="","",IFERROR(INDEX(st_ID,MATCH(B571,st_Name,0)),"Unknown"))</f>
        <v>QP-05</v>
      </c>
      <c r="J571" s="37" t="str">
        <f aca="false">IF(C571="","",IFERROR(INDEX(cl_Code,MATCH(C571,cl_Name,0)),"Unknown"))</f>
        <v>BSE</v>
      </c>
      <c r="K571" s="37" t="str">
        <f aca="false">IF(D571="","",IFERROR(INDEX(rt_Billable,MATCH(D571,rt_Code,0)),"Unknown"))</f>
        <v>Yes</v>
      </c>
      <c r="L571" s="38" t="n">
        <f aca="false">IF(K571&lt;&gt;"Yes","",IFERROR(INDEX(cr_Rate,MATCH(J571&amp;"|"&amp;D571,cr_Key,0)),INDEX(rt_Rate,MATCH(D571,rt_Code,0))))</f>
        <v>95</v>
      </c>
      <c r="M571" s="25" t="n">
        <f aca="false">IF(L571="","",ROUND(N(E571)*L571,2))</f>
        <v>166.25</v>
      </c>
      <c r="N571" s="39" t="n">
        <f aca="false">IF(OR(A571="",B571=""),"",SUMIFS(tl_Hours,tl_StaffID,I571,tl_Date,A571))</f>
        <v>8</v>
      </c>
      <c r="O571" s="40" t="str">
        <f aca="false">IF(A571&amp;B571&amp;D571="","",IF(OR(A571="",B571="",D571="",E571=""),"Incomplete",IF(K571="Unknown","Unknown code",IF(AND(K571="Yes",C571=""),"Billable, needs client",IF(N571&gt;MaxDayHours,"Over "&amp;MaxDayHours&amp;" hours that day","")))))</f>
        <v/>
      </c>
    </row>
    <row r="572" customFormat="false" ht="15" hidden="false" customHeight="false" outlineLevel="0" collapsed="false">
      <c r="A572" s="31" t="n">
        <v>46234</v>
      </c>
      <c r="B572" s="32" t="s">
        <v>103</v>
      </c>
      <c r="C572" s="32"/>
      <c r="D572" s="33" t="s">
        <v>96</v>
      </c>
      <c r="E572" s="34" t="n">
        <v>3.5</v>
      </c>
      <c r="F572" s="32"/>
      <c r="G572" s="35" t="n">
        <f aca="false">IF(A572="","",A572+7-WEEKDAY(A572))</f>
        <v>46235</v>
      </c>
      <c r="H572" s="36" t="n">
        <f aca="false">IF(A572="","",DATE(YEAR(A572),MONTH(A572),1))</f>
        <v>46204</v>
      </c>
      <c r="I572" s="37" t="str">
        <f aca="false">IF(B572="","",IFERROR(INDEX(st_ID,MATCH(B572,st_Name,0)),"Unknown"))</f>
        <v>QP-05</v>
      </c>
      <c r="J572" s="37" t="str">
        <f aca="false">IF(C572="","",IFERROR(INDEX(cl_Code,MATCH(C572,cl_Name,0)),"Unknown"))</f>
        <v/>
      </c>
      <c r="K572" s="37" t="str">
        <f aca="false">IF(D572="","",IFERROR(INDEX(rt_Billable,MATCH(D572,rt_Code,0)),"Unknown"))</f>
        <v>No</v>
      </c>
      <c r="L572" s="38" t="str">
        <f aca="false">IF(K572&lt;&gt;"Yes","",IFERROR(INDEX(cr_Rate,MATCH(J572&amp;"|"&amp;D572,cr_Key,0)),INDEX(rt_Rate,MATCH(D572,rt_Code,0))))</f>
        <v/>
      </c>
      <c r="M572" s="25" t="str">
        <f aca="false">IF(L572="","",ROUND(N(E572)*L572,2))</f>
        <v/>
      </c>
      <c r="N572" s="39" t="n">
        <f aca="false">IF(OR(A572="",B572=""),"",SUMIFS(tl_Hours,tl_StaffID,I572,tl_Date,A572))</f>
        <v>8</v>
      </c>
      <c r="O572" s="40" t="str">
        <f aca="false">IF(A572&amp;B572&amp;D572="","",IF(OR(A572="",B572="",D572="",E572=""),"Incomplete",IF(K572="Unknown","Unknown code",IF(AND(K572="Yes",C572=""),"Billable, needs client",IF(N572&gt;MaxDayHours,"Over "&amp;MaxDayHours&amp;" hours that day","")))))</f>
        <v/>
      </c>
    </row>
    <row r="573" customFormat="false" ht="15" hidden="false" customHeight="false" outlineLevel="0" collapsed="false">
      <c r="A573" s="31" t="n">
        <v>46234</v>
      </c>
      <c r="B573" s="32" t="s">
        <v>105</v>
      </c>
      <c r="C573" s="32" t="s">
        <v>90</v>
      </c>
      <c r="D573" s="33" t="s">
        <v>88</v>
      </c>
      <c r="E573" s="34" t="n">
        <v>2.5</v>
      </c>
      <c r="F573" s="32"/>
      <c r="G573" s="35" t="n">
        <f aca="false">IF(A573="","",A573+7-WEEKDAY(A573))</f>
        <v>46235</v>
      </c>
      <c r="H573" s="36" t="n">
        <f aca="false">IF(A573="","",DATE(YEAR(A573),MONTH(A573),1))</f>
        <v>46204</v>
      </c>
      <c r="I573" s="37" t="str">
        <f aca="false">IF(B573="","",IFERROR(INDEX(st_ID,MATCH(B573,st_Name,0)),"Unknown"))</f>
        <v>QP-06</v>
      </c>
      <c r="J573" s="37" t="str">
        <f aca="false">IF(C573="","",IFERROR(INDEX(cl_Code,MATCH(C573,cl_Name,0)),"Unknown"))</f>
        <v>BSE</v>
      </c>
      <c r="K573" s="37" t="str">
        <f aca="false">IF(D573="","",IFERROR(INDEX(rt_Billable,MATCH(D573,rt_Code,0)),"Unknown"))</f>
        <v>Yes</v>
      </c>
      <c r="L573" s="38" t="n">
        <f aca="false">IF(K573&lt;&gt;"Yes","",IFERROR(INDEX(cr_Rate,MATCH(J573&amp;"|"&amp;D573,cr_Key,0)),INDEX(rt_Rate,MATCH(D573,rt_Code,0))))</f>
        <v>104</v>
      </c>
      <c r="M573" s="25" t="n">
        <f aca="false">IF(L573="","",ROUND(N(E573)*L573,2))</f>
        <v>260</v>
      </c>
      <c r="N573" s="39" t="n">
        <f aca="false">IF(OR(A573="",B573=""),"",SUMIFS(tl_Hours,tl_StaffID,I573,tl_Date,A573))</f>
        <v>8</v>
      </c>
      <c r="O573" s="40" t="str">
        <f aca="false">IF(A573&amp;B573&amp;D573="","",IF(OR(A573="",B573="",D573="",E573=""),"Incomplete",IF(K573="Unknown","Unknown code",IF(AND(K573="Yes",C573=""),"Billable, needs client",IF(N573&gt;MaxDayHours,"Over "&amp;MaxDayHours&amp;" hours that day","")))))</f>
        <v/>
      </c>
    </row>
    <row r="574" customFormat="false" ht="15" hidden="false" customHeight="false" outlineLevel="0" collapsed="false">
      <c r="A574" s="31" t="n">
        <v>46234</v>
      </c>
      <c r="B574" s="32" t="s">
        <v>105</v>
      </c>
      <c r="C574" s="32" t="s">
        <v>90</v>
      </c>
      <c r="D574" s="33" t="s">
        <v>92</v>
      </c>
      <c r="E574" s="34" t="n">
        <v>1.75</v>
      </c>
      <c r="F574" s="32"/>
      <c r="G574" s="35" t="n">
        <f aca="false">IF(A574="","",A574+7-WEEKDAY(A574))</f>
        <v>46235</v>
      </c>
      <c r="H574" s="36" t="n">
        <f aca="false">IF(A574="","",DATE(YEAR(A574),MONTH(A574),1))</f>
        <v>46204</v>
      </c>
      <c r="I574" s="37" t="str">
        <f aca="false">IF(B574="","",IFERROR(INDEX(st_ID,MATCH(B574,st_Name,0)),"Unknown"))</f>
        <v>QP-06</v>
      </c>
      <c r="J574" s="37" t="str">
        <f aca="false">IF(C574="","",IFERROR(INDEX(cl_Code,MATCH(C574,cl_Name,0)),"Unknown"))</f>
        <v>BSE</v>
      </c>
      <c r="K574" s="37" t="str">
        <f aca="false">IF(D574="","",IFERROR(INDEX(rt_Billable,MATCH(D574,rt_Code,0)),"Unknown"))</f>
        <v>Yes</v>
      </c>
      <c r="L574" s="38" t="n">
        <f aca="false">IF(K574&lt;&gt;"Yes","",IFERROR(INDEX(cr_Rate,MATCH(J574&amp;"|"&amp;D574,cr_Key,0)),INDEX(rt_Rate,MATCH(D574,rt_Code,0))))</f>
        <v>145</v>
      </c>
      <c r="M574" s="25" t="n">
        <f aca="false">IF(L574="","",ROUND(N(E574)*L574,2))</f>
        <v>253.75</v>
      </c>
      <c r="N574" s="39" t="n">
        <f aca="false">IF(OR(A574="",B574=""),"",SUMIFS(tl_Hours,tl_StaffID,I574,tl_Date,A574))</f>
        <v>8</v>
      </c>
      <c r="O574" s="40" t="str">
        <f aca="false">IF(A574&amp;B574&amp;D574="","",IF(OR(A574="",B574="",D574="",E574=""),"Incomplete",IF(K574="Unknown","Unknown code",IF(AND(K574="Yes",C574=""),"Billable, needs client",IF(N574&gt;MaxDayHours,"Over "&amp;MaxDayHours&amp;" hours that day","")))))</f>
        <v/>
      </c>
    </row>
    <row r="575" customFormat="false" ht="15" hidden="false" customHeight="false" outlineLevel="0" collapsed="false">
      <c r="A575" s="31" t="n">
        <v>46234</v>
      </c>
      <c r="B575" s="32" t="s">
        <v>105</v>
      </c>
      <c r="C575" s="32"/>
      <c r="D575" s="33" t="s">
        <v>96</v>
      </c>
      <c r="E575" s="34" t="n">
        <v>3.75</v>
      </c>
      <c r="F575" s="32"/>
      <c r="G575" s="35" t="n">
        <f aca="false">IF(A575="","",A575+7-WEEKDAY(A575))</f>
        <v>46235</v>
      </c>
      <c r="H575" s="36" t="n">
        <f aca="false">IF(A575="","",DATE(YEAR(A575),MONTH(A575),1))</f>
        <v>46204</v>
      </c>
      <c r="I575" s="37" t="str">
        <f aca="false">IF(B575="","",IFERROR(INDEX(st_ID,MATCH(B575,st_Name,0)),"Unknown"))</f>
        <v>QP-06</v>
      </c>
      <c r="J575" s="37" t="str">
        <f aca="false">IF(C575="","",IFERROR(INDEX(cl_Code,MATCH(C575,cl_Name,0)),"Unknown"))</f>
        <v/>
      </c>
      <c r="K575" s="37" t="str">
        <f aca="false">IF(D575="","",IFERROR(INDEX(rt_Billable,MATCH(D575,rt_Code,0)),"Unknown"))</f>
        <v>No</v>
      </c>
      <c r="L575" s="38" t="str">
        <f aca="false">IF(K575&lt;&gt;"Yes","",IFERROR(INDEX(cr_Rate,MATCH(J575&amp;"|"&amp;D575,cr_Key,0)),INDEX(rt_Rate,MATCH(D575,rt_Code,0))))</f>
        <v/>
      </c>
      <c r="M575" s="25" t="str">
        <f aca="false">IF(L575="","",ROUND(N(E575)*L575,2))</f>
        <v/>
      </c>
      <c r="N575" s="39" t="n">
        <f aca="false">IF(OR(A575="",B575=""),"",SUMIFS(tl_Hours,tl_StaffID,I575,tl_Date,A575))</f>
        <v>8</v>
      </c>
      <c r="O575" s="40" t="str">
        <f aca="false">IF(A575&amp;B575&amp;D575="","",IF(OR(A575="",B575="",D575="",E575=""),"Incomplete",IF(K575="Unknown","Unknown code",IF(AND(K575="Yes",C575=""),"Billable, needs client",IF(N575&gt;MaxDayHours,"Over "&amp;MaxDayHours&amp;" hours that day","")))))</f>
        <v/>
      </c>
    </row>
    <row r="576" customFormat="false" ht="15" hidden="false" customHeight="false" outlineLevel="0" collapsed="false">
      <c r="A576" s="31" t="n">
        <v>46234</v>
      </c>
      <c r="B576" s="32" t="s">
        <v>106</v>
      </c>
      <c r="C576" s="32" t="s">
        <v>102</v>
      </c>
      <c r="D576" s="33" t="s">
        <v>88</v>
      </c>
      <c r="E576" s="34" t="n">
        <v>3</v>
      </c>
      <c r="F576" s="32"/>
      <c r="G576" s="35" t="n">
        <f aca="false">IF(A576="","",A576+7-WEEKDAY(A576))</f>
        <v>46235</v>
      </c>
      <c r="H576" s="36" t="n">
        <f aca="false">IF(A576="","",DATE(YEAR(A576),MONTH(A576),1))</f>
        <v>46204</v>
      </c>
      <c r="I576" s="37" t="str">
        <f aca="false">IF(B576="","",IFERROR(INDEX(st_ID,MATCH(B576,st_Name,0)),"Unknown"))</f>
        <v>QP-07</v>
      </c>
      <c r="J576" s="37" t="str">
        <f aca="false">IF(C576="","",IFERROR(INDEX(cl_Code,MATCH(C576,cl_Name,0)),"Unknown"))</f>
        <v>CLH</v>
      </c>
      <c r="K576" s="37" t="str">
        <f aca="false">IF(D576="","",IFERROR(INDEX(rt_Billable,MATCH(D576,rt_Code,0)),"Unknown"))</f>
        <v>Yes</v>
      </c>
      <c r="L576" s="38" t="n">
        <f aca="false">IF(K576&lt;&gt;"Yes","",IFERROR(INDEX(cr_Rate,MATCH(J576&amp;"|"&amp;D576,cr_Key,0)),INDEX(rt_Rate,MATCH(D576,rt_Code,0))))</f>
        <v>110</v>
      </c>
      <c r="M576" s="25" t="n">
        <f aca="false">IF(L576="","",ROUND(N(E576)*L576,2))</f>
        <v>330</v>
      </c>
      <c r="N576" s="39" t="n">
        <f aca="false">IF(OR(A576="",B576=""),"",SUMIFS(tl_Hours,tl_StaffID,I576,tl_Date,A576))</f>
        <v>8</v>
      </c>
      <c r="O576" s="40" t="str">
        <f aca="false">IF(A576&amp;B576&amp;D576="","",IF(OR(A576="",B576="",D576="",E576=""),"Incomplete",IF(K576="Unknown","Unknown code",IF(AND(K576="Yes",C576=""),"Billable, needs client",IF(N576&gt;MaxDayHours,"Over "&amp;MaxDayHours&amp;" hours that day","")))))</f>
        <v/>
      </c>
    </row>
    <row r="577" customFormat="false" ht="15" hidden="false" customHeight="false" outlineLevel="0" collapsed="false">
      <c r="A577" s="31" t="n">
        <v>46234</v>
      </c>
      <c r="B577" s="32" t="s">
        <v>106</v>
      </c>
      <c r="C577" s="32" t="s">
        <v>102</v>
      </c>
      <c r="D577" s="33" t="s">
        <v>104</v>
      </c>
      <c r="E577" s="34" t="n">
        <v>1.75</v>
      </c>
      <c r="F577" s="32"/>
      <c r="G577" s="35" t="n">
        <f aca="false">IF(A577="","",A577+7-WEEKDAY(A577))</f>
        <v>46235</v>
      </c>
      <c r="H577" s="36" t="n">
        <f aca="false">IF(A577="","",DATE(YEAR(A577),MONTH(A577),1))</f>
        <v>46204</v>
      </c>
      <c r="I577" s="37" t="str">
        <f aca="false">IF(B577="","",IFERROR(INDEX(st_ID,MATCH(B577,st_Name,0)),"Unknown"))</f>
        <v>QP-07</v>
      </c>
      <c r="J577" s="37" t="str">
        <f aca="false">IF(C577="","",IFERROR(INDEX(cl_Code,MATCH(C577,cl_Name,0)),"Unknown"))</f>
        <v>CLH</v>
      </c>
      <c r="K577" s="37" t="str">
        <f aca="false">IF(D577="","",IFERROR(INDEX(rt_Billable,MATCH(D577,rt_Code,0)),"Unknown"))</f>
        <v>Yes</v>
      </c>
      <c r="L577" s="38" t="n">
        <f aca="false">IF(K577&lt;&gt;"Yes","",IFERROR(INDEX(cr_Rate,MATCH(J577&amp;"|"&amp;D577,cr_Key,0)),INDEX(rt_Rate,MATCH(D577,rt_Code,0))))</f>
        <v>65</v>
      </c>
      <c r="M577" s="25" t="n">
        <f aca="false">IF(L577="","",ROUND(N(E577)*L577,2))</f>
        <v>113.75</v>
      </c>
      <c r="N577" s="39" t="n">
        <f aca="false">IF(OR(A577="",B577=""),"",SUMIFS(tl_Hours,tl_StaffID,I577,tl_Date,A577))</f>
        <v>8</v>
      </c>
      <c r="O577" s="40" t="str">
        <f aca="false">IF(A577&amp;B577&amp;D577="","",IF(OR(A577="",B577="",D577="",E577=""),"Incomplete",IF(K577="Unknown","Unknown code",IF(AND(K577="Yes",C577=""),"Billable, needs client",IF(N577&gt;MaxDayHours,"Over "&amp;MaxDayHours&amp;" hours that day","")))))</f>
        <v/>
      </c>
    </row>
    <row r="578" customFormat="false" ht="15" hidden="false" customHeight="false" outlineLevel="0" collapsed="false">
      <c r="A578" s="31" t="n">
        <v>46234</v>
      </c>
      <c r="B578" s="32" t="s">
        <v>106</v>
      </c>
      <c r="C578" s="32"/>
      <c r="D578" s="33" t="s">
        <v>96</v>
      </c>
      <c r="E578" s="34" t="n">
        <v>3.25</v>
      </c>
      <c r="F578" s="32"/>
      <c r="G578" s="35" t="n">
        <f aca="false">IF(A578="","",A578+7-WEEKDAY(A578))</f>
        <v>46235</v>
      </c>
      <c r="H578" s="36" t="n">
        <f aca="false">IF(A578="","",DATE(YEAR(A578),MONTH(A578),1))</f>
        <v>46204</v>
      </c>
      <c r="I578" s="37" t="str">
        <f aca="false">IF(B578="","",IFERROR(INDEX(st_ID,MATCH(B578,st_Name,0)),"Unknown"))</f>
        <v>QP-07</v>
      </c>
      <c r="J578" s="37" t="str">
        <f aca="false">IF(C578="","",IFERROR(INDEX(cl_Code,MATCH(C578,cl_Name,0)),"Unknown"))</f>
        <v/>
      </c>
      <c r="K578" s="37" t="str">
        <f aca="false">IF(D578="","",IFERROR(INDEX(rt_Billable,MATCH(D578,rt_Code,0)),"Unknown"))</f>
        <v>No</v>
      </c>
      <c r="L578" s="38" t="str">
        <f aca="false">IF(K578&lt;&gt;"Yes","",IFERROR(INDEX(cr_Rate,MATCH(J578&amp;"|"&amp;D578,cr_Key,0)),INDEX(rt_Rate,MATCH(D578,rt_Code,0))))</f>
        <v/>
      </c>
      <c r="M578" s="25" t="str">
        <f aca="false">IF(L578="","",ROUND(N(E578)*L578,2))</f>
        <v/>
      </c>
      <c r="N578" s="39" t="n">
        <f aca="false">IF(OR(A578="",B578=""),"",SUMIFS(tl_Hours,tl_StaffID,I578,tl_Date,A578))</f>
        <v>8</v>
      </c>
      <c r="O578" s="40" t="str">
        <f aca="false">IF(A578&amp;B578&amp;D578="","",IF(OR(A578="",B578="",D578="",E578=""),"Incomplete",IF(K578="Unknown","Unknown code",IF(AND(K578="Yes",C578=""),"Billable, needs client",IF(N578&gt;MaxDayHours,"Over "&amp;MaxDayHours&amp;" hours that day","")))))</f>
        <v/>
      </c>
    </row>
    <row r="579" customFormat="false" ht="15" hidden="false" customHeight="false" outlineLevel="0" collapsed="false">
      <c r="A579" s="31" t="n">
        <v>46234</v>
      </c>
      <c r="B579" s="32" t="s">
        <v>107</v>
      </c>
      <c r="C579" s="32"/>
      <c r="D579" s="33" t="s">
        <v>108</v>
      </c>
      <c r="E579" s="34" t="n">
        <v>6</v>
      </c>
      <c r="F579" s="32"/>
      <c r="G579" s="35" t="n">
        <f aca="false">IF(A579="","",A579+7-WEEKDAY(A579))</f>
        <v>46235</v>
      </c>
      <c r="H579" s="36" t="n">
        <f aca="false">IF(A579="","",DATE(YEAR(A579),MONTH(A579),1))</f>
        <v>46204</v>
      </c>
      <c r="I579" s="37" t="str">
        <f aca="false">IF(B579="","",IFERROR(INDEX(st_ID,MATCH(B579,st_Name,0)),"Unknown"))</f>
        <v>QP-08</v>
      </c>
      <c r="J579" s="37" t="str">
        <f aca="false">IF(C579="","",IFERROR(INDEX(cl_Code,MATCH(C579,cl_Name,0)),"Unknown"))</f>
        <v/>
      </c>
      <c r="K579" s="37" t="str">
        <f aca="false">IF(D579="","",IFERROR(INDEX(rt_Billable,MATCH(D579,rt_Code,0)),"Unknown"))</f>
        <v>No</v>
      </c>
      <c r="L579" s="38" t="str">
        <f aca="false">IF(K579&lt;&gt;"Yes","",IFERROR(INDEX(cr_Rate,MATCH(J579&amp;"|"&amp;D579,cr_Key,0)),INDEX(rt_Rate,MATCH(D579,rt_Code,0))))</f>
        <v/>
      </c>
      <c r="M579" s="25" t="str">
        <f aca="false">IF(L579="","",ROUND(N(E579)*L579,2))</f>
        <v/>
      </c>
      <c r="N579" s="39" t="n">
        <f aca="false">IF(OR(A579="",B579=""),"",SUMIFS(tl_Hours,tl_StaffID,I579,tl_Date,A579))</f>
        <v>8</v>
      </c>
      <c r="O579" s="40" t="str">
        <f aca="false">IF(A579&amp;B579&amp;D579="","",IF(OR(A579="",B579="",D579="",E579=""),"Incomplete",IF(K579="Unknown","Unknown code",IF(AND(K579="Yes",C579=""),"Billable, needs client",IF(N579&gt;MaxDayHours,"Over "&amp;MaxDayHours&amp;" hours that day","")))))</f>
        <v/>
      </c>
    </row>
    <row r="580" customFormat="false" ht="15" hidden="false" customHeight="false" outlineLevel="0" collapsed="false">
      <c r="A580" s="31" t="n">
        <v>46234</v>
      </c>
      <c r="B580" s="32" t="s">
        <v>107</v>
      </c>
      <c r="C580" s="32"/>
      <c r="D580" s="33" t="s">
        <v>98</v>
      </c>
      <c r="E580" s="34" t="n">
        <v>2</v>
      </c>
      <c r="F580" s="32"/>
      <c r="G580" s="35" t="n">
        <f aca="false">IF(A580="","",A580+7-WEEKDAY(A580))</f>
        <v>46235</v>
      </c>
      <c r="H580" s="36" t="n">
        <f aca="false">IF(A580="","",DATE(YEAR(A580),MONTH(A580),1))</f>
        <v>46204</v>
      </c>
      <c r="I580" s="37" t="str">
        <f aca="false">IF(B580="","",IFERROR(INDEX(st_ID,MATCH(B580,st_Name,0)),"Unknown"))</f>
        <v>QP-08</v>
      </c>
      <c r="J580" s="37" t="str">
        <f aca="false">IF(C580="","",IFERROR(INDEX(cl_Code,MATCH(C580,cl_Name,0)),"Unknown"))</f>
        <v/>
      </c>
      <c r="K580" s="37" t="str">
        <f aca="false">IF(D580="","",IFERROR(INDEX(rt_Billable,MATCH(D580,rt_Code,0)),"Unknown"))</f>
        <v>No</v>
      </c>
      <c r="L580" s="38" t="str">
        <f aca="false">IF(K580&lt;&gt;"Yes","",IFERROR(INDEX(cr_Rate,MATCH(J580&amp;"|"&amp;D580,cr_Key,0)),INDEX(rt_Rate,MATCH(D580,rt_Code,0))))</f>
        <v/>
      </c>
      <c r="M580" s="25" t="str">
        <f aca="false">IF(L580="","",ROUND(N(E580)*L580,2))</f>
        <v/>
      </c>
      <c r="N580" s="39" t="n">
        <f aca="false">IF(OR(A580="",B580=""),"",SUMIFS(tl_Hours,tl_StaffID,I580,tl_Date,A580))</f>
        <v>8</v>
      </c>
      <c r="O580" s="40" t="str">
        <f aca="false">IF(A580&amp;B580&amp;D580="","",IF(OR(A580="",B580="",D580="",E580=""),"Incomplete",IF(K580="Unknown","Unknown code",IF(AND(K580="Yes",C580=""),"Billable, needs client",IF(N580&gt;MaxDayHours,"Over "&amp;MaxDayHours&amp;" hours that day","")))))</f>
        <v/>
      </c>
    </row>
    <row r="581" customFormat="false" ht="15" hidden="false" customHeight="false" outlineLevel="0" collapsed="false">
      <c r="A581" s="31" t="n">
        <v>46237</v>
      </c>
      <c r="B581" s="32" t="s">
        <v>86</v>
      </c>
      <c r="C581" s="32" t="s">
        <v>87</v>
      </c>
      <c r="D581" s="33" t="s">
        <v>104</v>
      </c>
      <c r="E581" s="34" t="n">
        <v>4.75</v>
      </c>
      <c r="F581" s="32"/>
      <c r="G581" s="35" t="n">
        <f aca="false">IF(A581="","",A581+7-WEEKDAY(A581))</f>
        <v>46242</v>
      </c>
      <c r="H581" s="36" t="n">
        <f aca="false">IF(A581="","",DATE(YEAR(A581),MONTH(A581),1))</f>
        <v>46235</v>
      </c>
      <c r="I581" s="37" t="str">
        <f aca="false">IF(B581="","",IFERROR(INDEX(st_ID,MATCH(B581,st_Name,0)),"Unknown"))</f>
        <v>QP-01</v>
      </c>
      <c r="J581" s="37" t="str">
        <f aca="false">IF(C581="","",IFERROR(INDEX(cl_Code,MATCH(C581,cl_Name,0)),"Unknown"))</f>
        <v>HCS</v>
      </c>
      <c r="K581" s="37" t="str">
        <f aca="false">IF(D581="","",IFERROR(INDEX(rt_Billable,MATCH(D581,rt_Code,0)),"Unknown"))</f>
        <v>Yes</v>
      </c>
      <c r="L581" s="38" t="n">
        <f aca="false">IF(K581&lt;&gt;"Yes","",IFERROR(INDEX(cr_Rate,MATCH(J581&amp;"|"&amp;D581,cr_Key,0)),INDEX(rt_Rate,MATCH(D581,rt_Code,0))))</f>
        <v>62</v>
      </c>
      <c r="M581" s="25" t="n">
        <f aca="false">IF(L581="","",ROUND(N(E581)*L581,2))</f>
        <v>294.5</v>
      </c>
      <c r="N581" s="39" t="n">
        <f aca="false">IF(OR(A581="",B581=""),"",SUMIFS(tl_Hours,tl_StaffID,I581,tl_Date,A581))</f>
        <v>8</v>
      </c>
      <c r="O581" s="40" t="str">
        <f aca="false">IF(A581&amp;B581&amp;D581="","",IF(OR(A581="",B581="",D581="",E581=""),"Incomplete",IF(K581="Unknown","Unknown code",IF(AND(K581="Yes",C581=""),"Billable, needs client",IF(N581&gt;MaxDayHours,"Over "&amp;MaxDayHours&amp;" hours that day","")))))</f>
        <v/>
      </c>
    </row>
    <row r="582" customFormat="false" ht="15" hidden="false" customHeight="false" outlineLevel="0" collapsed="false">
      <c r="A582" s="31" t="n">
        <v>46237</v>
      </c>
      <c r="B582" s="32" t="s">
        <v>86</v>
      </c>
      <c r="C582" s="32" t="s">
        <v>87</v>
      </c>
      <c r="D582" s="33" t="s">
        <v>88</v>
      </c>
      <c r="E582" s="34" t="n">
        <v>1.25</v>
      </c>
      <c r="F582" s="32"/>
      <c r="G582" s="35" t="n">
        <f aca="false">IF(A582="","",A582+7-WEEKDAY(A582))</f>
        <v>46242</v>
      </c>
      <c r="H582" s="36" t="n">
        <f aca="false">IF(A582="","",DATE(YEAR(A582),MONTH(A582),1))</f>
        <v>46235</v>
      </c>
      <c r="I582" s="37" t="str">
        <f aca="false">IF(B582="","",IFERROR(INDEX(st_ID,MATCH(B582,st_Name,0)),"Unknown"))</f>
        <v>QP-01</v>
      </c>
      <c r="J582" s="37" t="str">
        <f aca="false">IF(C582="","",IFERROR(INDEX(cl_Code,MATCH(C582,cl_Name,0)),"Unknown"))</f>
        <v>HCS</v>
      </c>
      <c r="K582" s="37" t="str">
        <f aca="false">IF(D582="","",IFERROR(INDEX(rt_Billable,MATCH(D582,rt_Code,0)),"Unknown"))</f>
        <v>Yes</v>
      </c>
      <c r="L582" s="38" t="n">
        <f aca="false">IF(K582&lt;&gt;"Yes","",IFERROR(INDEX(cr_Rate,MATCH(J582&amp;"|"&amp;D582,cr_Key,0)),INDEX(rt_Rate,MATCH(D582,rt_Code,0))))</f>
        <v>98</v>
      </c>
      <c r="M582" s="25" t="n">
        <f aca="false">IF(L582="","",ROUND(N(E582)*L582,2))</f>
        <v>122.5</v>
      </c>
      <c r="N582" s="39" t="n">
        <f aca="false">IF(OR(A582="",B582=""),"",SUMIFS(tl_Hours,tl_StaffID,I582,tl_Date,A582))</f>
        <v>8</v>
      </c>
      <c r="O582" s="40" t="str">
        <f aca="false">IF(A582&amp;B582&amp;D582="","",IF(OR(A582="",B582="",D582="",E582=""),"Incomplete",IF(K582="Unknown","Unknown code",IF(AND(K582="Yes",C582=""),"Billable, needs client",IF(N582&gt;MaxDayHours,"Over "&amp;MaxDayHours&amp;" hours that day","")))))</f>
        <v/>
      </c>
    </row>
    <row r="583" customFormat="false" ht="15" hidden="false" customHeight="false" outlineLevel="0" collapsed="false">
      <c r="A583" s="31" t="n">
        <v>46237</v>
      </c>
      <c r="B583" s="32" t="s">
        <v>86</v>
      </c>
      <c r="C583" s="32"/>
      <c r="D583" s="33" t="s">
        <v>96</v>
      </c>
      <c r="E583" s="34" t="n">
        <v>2</v>
      </c>
      <c r="F583" s="32"/>
      <c r="G583" s="35" t="n">
        <f aca="false">IF(A583="","",A583+7-WEEKDAY(A583))</f>
        <v>46242</v>
      </c>
      <c r="H583" s="36" t="n">
        <f aca="false">IF(A583="","",DATE(YEAR(A583),MONTH(A583),1))</f>
        <v>46235</v>
      </c>
      <c r="I583" s="37" t="str">
        <f aca="false">IF(B583="","",IFERROR(INDEX(st_ID,MATCH(B583,st_Name,0)),"Unknown"))</f>
        <v>QP-01</v>
      </c>
      <c r="J583" s="37" t="str">
        <f aca="false">IF(C583="","",IFERROR(INDEX(cl_Code,MATCH(C583,cl_Name,0)),"Unknown"))</f>
        <v/>
      </c>
      <c r="K583" s="37" t="str">
        <f aca="false">IF(D583="","",IFERROR(INDEX(rt_Billable,MATCH(D583,rt_Code,0)),"Unknown"))</f>
        <v>No</v>
      </c>
      <c r="L583" s="38" t="str">
        <f aca="false">IF(K583&lt;&gt;"Yes","",IFERROR(INDEX(cr_Rate,MATCH(J583&amp;"|"&amp;D583,cr_Key,0)),INDEX(rt_Rate,MATCH(D583,rt_Code,0))))</f>
        <v/>
      </c>
      <c r="M583" s="25" t="str">
        <f aca="false">IF(L583="","",ROUND(N(E583)*L583,2))</f>
        <v/>
      </c>
      <c r="N583" s="39" t="n">
        <f aca="false">IF(OR(A583="",B583=""),"",SUMIFS(tl_Hours,tl_StaffID,I583,tl_Date,A583))</f>
        <v>8</v>
      </c>
      <c r="O583" s="40" t="str">
        <f aca="false">IF(A583&amp;B583&amp;D583="","",IF(OR(A583="",B583="",D583="",E583=""),"Incomplete",IF(K583="Unknown","Unknown code",IF(AND(K583="Yes",C583=""),"Billable, needs client",IF(N583&gt;MaxDayHours,"Over "&amp;MaxDayHours&amp;" hours that day","")))))</f>
        <v/>
      </c>
    </row>
    <row r="584" customFormat="false" ht="15" hidden="false" customHeight="false" outlineLevel="0" collapsed="false">
      <c r="A584" s="31" t="n">
        <v>46237</v>
      </c>
      <c r="B584" s="32" t="s">
        <v>97</v>
      </c>
      <c r="C584" s="32" t="s">
        <v>87</v>
      </c>
      <c r="D584" s="33" t="s">
        <v>104</v>
      </c>
      <c r="E584" s="34" t="n">
        <v>4</v>
      </c>
      <c r="F584" s="32"/>
      <c r="G584" s="35" t="n">
        <f aca="false">IF(A584="","",A584+7-WEEKDAY(A584))</f>
        <v>46242</v>
      </c>
      <c r="H584" s="36" t="n">
        <f aca="false">IF(A584="","",DATE(YEAR(A584),MONTH(A584),1))</f>
        <v>46235</v>
      </c>
      <c r="I584" s="37" t="str">
        <f aca="false">IF(B584="","",IFERROR(INDEX(st_ID,MATCH(B584,st_Name,0)),"Unknown"))</f>
        <v>QP-02</v>
      </c>
      <c r="J584" s="37" t="str">
        <f aca="false">IF(C584="","",IFERROR(INDEX(cl_Code,MATCH(C584,cl_Name,0)),"Unknown"))</f>
        <v>HCS</v>
      </c>
      <c r="K584" s="37" t="str">
        <f aca="false">IF(D584="","",IFERROR(INDEX(rt_Billable,MATCH(D584,rt_Code,0)),"Unknown"))</f>
        <v>Yes</v>
      </c>
      <c r="L584" s="38" t="n">
        <f aca="false">IF(K584&lt;&gt;"Yes","",IFERROR(INDEX(cr_Rate,MATCH(J584&amp;"|"&amp;D584,cr_Key,0)),INDEX(rt_Rate,MATCH(D584,rt_Code,0))))</f>
        <v>62</v>
      </c>
      <c r="M584" s="25" t="n">
        <f aca="false">IF(L584="","",ROUND(N(E584)*L584,2))</f>
        <v>248</v>
      </c>
      <c r="N584" s="39" t="n">
        <f aca="false">IF(OR(A584="",B584=""),"",SUMIFS(tl_Hours,tl_StaffID,I584,tl_Date,A584))</f>
        <v>8</v>
      </c>
      <c r="O584" s="40" t="str">
        <f aca="false">IF(A584&amp;B584&amp;D584="","",IF(OR(A584="",B584="",D584="",E584=""),"Incomplete",IF(K584="Unknown","Unknown code",IF(AND(K584="Yes",C584=""),"Billable, needs client",IF(N584&gt;MaxDayHours,"Over "&amp;MaxDayHours&amp;" hours that day","")))))</f>
        <v/>
      </c>
    </row>
    <row r="585" customFormat="false" ht="15" hidden="false" customHeight="false" outlineLevel="0" collapsed="false">
      <c r="A585" s="31" t="n">
        <v>46237</v>
      </c>
      <c r="B585" s="32" t="s">
        <v>97</v>
      </c>
      <c r="C585" s="32" t="s">
        <v>87</v>
      </c>
      <c r="D585" s="33" t="s">
        <v>89</v>
      </c>
      <c r="E585" s="34" t="n">
        <v>1.5</v>
      </c>
      <c r="F585" s="32"/>
      <c r="G585" s="35" t="n">
        <f aca="false">IF(A585="","",A585+7-WEEKDAY(A585))</f>
        <v>46242</v>
      </c>
      <c r="H585" s="36" t="n">
        <f aca="false">IF(A585="","",DATE(YEAR(A585),MONTH(A585),1))</f>
        <v>46235</v>
      </c>
      <c r="I585" s="37" t="str">
        <f aca="false">IF(B585="","",IFERROR(INDEX(st_ID,MATCH(B585,st_Name,0)),"Unknown"))</f>
        <v>QP-02</v>
      </c>
      <c r="J585" s="37" t="str">
        <f aca="false">IF(C585="","",IFERROR(INDEX(cl_Code,MATCH(C585,cl_Name,0)),"Unknown"))</f>
        <v>HCS</v>
      </c>
      <c r="K585" s="37" t="str">
        <f aca="false">IF(D585="","",IFERROR(INDEX(rt_Billable,MATCH(D585,rt_Code,0)),"Unknown"))</f>
        <v>Yes</v>
      </c>
      <c r="L585" s="38" t="n">
        <f aca="false">IF(K585&lt;&gt;"Yes","",IFERROR(INDEX(cr_Rate,MATCH(J585&amp;"|"&amp;D585,cr_Key,0)),INDEX(rt_Rate,MATCH(D585,rt_Code,0))))</f>
        <v>88</v>
      </c>
      <c r="M585" s="25" t="n">
        <f aca="false">IF(L585="","",ROUND(N(E585)*L585,2))</f>
        <v>132</v>
      </c>
      <c r="N585" s="39" t="n">
        <f aca="false">IF(OR(A585="",B585=""),"",SUMIFS(tl_Hours,tl_StaffID,I585,tl_Date,A585))</f>
        <v>8</v>
      </c>
      <c r="O585" s="40" t="str">
        <f aca="false">IF(A585&amp;B585&amp;D585="","",IF(OR(A585="",B585="",D585="",E585=""),"Incomplete",IF(K585="Unknown","Unknown code",IF(AND(K585="Yes",C585=""),"Billable, needs client",IF(N585&gt;MaxDayHours,"Over "&amp;MaxDayHours&amp;" hours that day","")))))</f>
        <v/>
      </c>
    </row>
    <row r="586" customFormat="false" ht="15" hidden="false" customHeight="false" outlineLevel="0" collapsed="false">
      <c r="A586" s="31" t="n">
        <v>46237</v>
      </c>
      <c r="B586" s="32" t="s">
        <v>97</v>
      </c>
      <c r="C586" s="32"/>
      <c r="D586" s="33" t="s">
        <v>94</v>
      </c>
      <c r="E586" s="34" t="n">
        <v>1.5</v>
      </c>
      <c r="F586" s="32" t="s">
        <v>95</v>
      </c>
      <c r="G586" s="35" t="n">
        <f aca="false">IF(A586="","",A586+7-WEEKDAY(A586))</f>
        <v>46242</v>
      </c>
      <c r="H586" s="36" t="n">
        <f aca="false">IF(A586="","",DATE(YEAR(A586),MONTH(A586),1))</f>
        <v>46235</v>
      </c>
      <c r="I586" s="37" t="str">
        <f aca="false">IF(B586="","",IFERROR(INDEX(st_ID,MATCH(B586,st_Name,0)),"Unknown"))</f>
        <v>QP-02</v>
      </c>
      <c r="J586" s="37" t="str">
        <f aca="false">IF(C586="","",IFERROR(INDEX(cl_Code,MATCH(C586,cl_Name,0)),"Unknown"))</f>
        <v/>
      </c>
      <c r="K586" s="37" t="str">
        <f aca="false">IF(D586="","",IFERROR(INDEX(rt_Billable,MATCH(D586,rt_Code,0)),"Unknown"))</f>
        <v>No</v>
      </c>
      <c r="L586" s="38" t="str">
        <f aca="false">IF(K586&lt;&gt;"Yes","",IFERROR(INDEX(cr_Rate,MATCH(J586&amp;"|"&amp;D586,cr_Key,0)),INDEX(rt_Rate,MATCH(D586,rt_Code,0))))</f>
        <v/>
      </c>
      <c r="M586" s="25" t="str">
        <f aca="false">IF(L586="","",ROUND(N(E586)*L586,2))</f>
        <v/>
      </c>
      <c r="N586" s="39" t="n">
        <f aca="false">IF(OR(A586="",B586=""),"",SUMIFS(tl_Hours,tl_StaffID,I586,tl_Date,A586))</f>
        <v>8</v>
      </c>
      <c r="O586" s="40" t="str">
        <f aca="false">IF(A586&amp;B586&amp;D586="","",IF(OR(A586="",B586="",D586="",E586=""),"Incomplete",IF(K586="Unknown","Unknown code",IF(AND(K586="Yes",C586=""),"Billable, needs client",IF(N586&gt;MaxDayHours,"Over "&amp;MaxDayHours&amp;" hours that day","")))))</f>
        <v/>
      </c>
    </row>
    <row r="587" customFormat="false" ht="15" hidden="false" customHeight="false" outlineLevel="0" collapsed="false">
      <c r="A587" s="31" t="n">
        <v>46237</v>
      </c>
      <c r="B587" s="32" t="s">
        <v>97</v>
      </c>
      <c r="C587" s="32"/>
      <c r="D587" s="33" t="s">
        <v>96</v>
      </c>
      <c r="E587" s="34" t="n">
        <v>1</v>
      </c>
      <c r="F587" s="32"/>
      <c r="G587" s="35" t="n">
        <f aca="false">IF(A587="","",A587+7-WEEKDAY(A587))</f>
        <v>46242</v>
      </c>
      <c r="H587" s="36" t="n">
        <f aca="false">IF(A587="","",DATE(YEAR(A587),MONTH(A587),1))</f>
        <v>46235</v>
      </c>
      <c r="I587" s="37" t="str">
        <f aca="false">IF(B587="","",IFERROR(INDEX(st_ID,MATCH(B587,st_Name,0)),"Unknown"))</f>
        <v>QP-02</v>
      </c>
      <c r="J587" s="37" t="str">
        <f aca="false">IF(C587="","",IFERROR(INDEX(cl_Code,MATCH(C587,cl_Name,0)),"Unknown"))</f>
        <v/>
      </c>
      <c r="K587" s="37" t="str">
        <f aca="false">IF(D587="","",IFERROR(INDEX(rt_Billable,MATCH(D587,rt_Code,0)),"Unknown"))</f>
        <v>No</v>
      </c>
      <c r="L587" s="38" t="str">
        <f aca="false">IF(K587&lt;&gt;"Yes","",IFERROR(INDEX(cr_Rate,MATCH(J587&amp;"|"&amp;D587,cr_Key,0)),INDEX(rt_Rate,MATCH(D587,rt_Code,0))))</f>
        <v/>
      </c>
      <c r="M587" s="25" t="str">
        <f aca="false">IF(L587="","",ROUND(N(E587)*L587,2))</f>
        <v/>
      </c>
      <c r="N587" s="39" t="n">
        <f aca="false">IF(OR(A587="",B587=""),"",SUMIFS(tl_Hours,tl_StaffID,I587,tl_Date,A587))</f>
        <v>8</v>
      </c>
      <c r="O587" s="40" t="str">
        <f aca="false">IF(A587&amp;B587&amp;D587="","",IF(OR(A587="",B587="",D587="",E587=""),"Incomplete",IF(K587="Unknown","Unknown code",IF(AND(K587="Yes",C587=""),"Billable, needs client",IF(N587&gt;MaxDayHours,"Over "&amp;MaxDayHours&amp;" hours that day","")))))</f>
        <v/>
      </c>
    </row>
    <row r="588" customFormat="false" ht="15" hidden="false" customHeight="false" outlineLevel="0" collapsed="false">
      <c r="A588" s="31" t="n">
        <v>46237</v>
      </c>
      <c r="B588" s="32" t="s">
        <v>101</v>
      </c>
      <c r="C588" s="32" t="s">
        <v>87</v>
      </c>
      <c r="D588" s="33" t="s">
        <v>104</v>
      </c>
      <c r="E588" s="34" t="n">
        <v>3</v>
      </c>
      <c r="F588" s="32"/>
      <c r="G588" s="35" t="n">
        <f aca="false">IF(A588="","",A588+7-WEEKDAY(A588))</f>
        <v>46242</v>
      </c>
      <c r="H588" s="36" t="n">
        <f aca="false">IF(A588="","",DATE(YEAR(A588),MONTH(A588),1))</f>
        <v>46235</v>
      </c>
      <c r="I588" s="37" t="str">
        <f aca="false">IF(B588="","",IFERROR(INDEX(st_ID,MATCH(B588,st_Name,0)),"Unknown"))</f>
        <v>QP-04</v>
      </c>
      <c r="J588" s="37" t="str">
        <f aca="false">IF(C588="","",IFERROR(INDEX(cl_Code,MATCH(C588,cl_Name,0)),"Unknown"))</f>
        <v>HCS</v>
      </c>
      <c r="K588" s="37" t="str">
        <f aca="false">IF(D588="","",IFERROR(INDEX(rt_Billable,MATCH(D588,rt_Code,0)),"Unknown"))</f>
        <v>Yes</v>
      </c>
      <c r="L588" s="38" t="n">
        <f aca="false">IF(K588&lt;&gt;"Yes","",IFERROR(INDEX(cr_Rate,MATCH(J588&amp;"|"&amp;D588,cr_Key,0)),INDEX(rt_Rate,MATCH(D588,rt_Code,0))))</f>
        <v>62</v>
      </c>
      <c r="M588" s="25" t="n">
        <f aca="false">IF(L588="","",ROUND(N(E588)*L588,2))</f>
        <v>186</v>
      </c>
      <c r="N588" s="39" t="n">
        <f aca="false">IF(OR(A588="",B588=""),"",SUMIFS(tl_Hours,tl_StaffID,I588,tl_Date,A588))</f>
        <v>8</v>
      </c>
      <c r="O588" s="40" t="str">
        <f aca="false">IF(A588&amp;B588&amp;D588="","",IF(OR(A588="",B588="",D588="",E588=""),"Incomplete",IF(K588="Unknown","Unknown code",IF(AND(K588="Yes",C588=""),"Billable, needs client",IF(N588&gt;MaxDayHours,"Over "&amp;MaxDayHours&amp;" hours that day","")))))</f>
        <v/>
      </c>
    </row>
    <row r="589" customFormat="false" ht="15" hidden="false" customHeight="false" outlineLevel="0" collapsed="false">
      <c r="A589" s="31" t="n">
        <v>46237</v>
      </c>
      <c r="B589" s="32" t="s">
        <v>101</v>
      </c>
      <c r="C589" s="32" t="s">
        <v>87</v>
      </c>
      <c r="D589" s="33" t="s">
        <v>89</v>
      </c>
      <c r="E589" s="34" t="n">
        <v>2.25</v>
      </c>
      <c r="F589" s="32"/>
      <c r="G589" s="35" t="n">
        <f aca="false">IF(A589="","",A589+7-WEEKDAY(A589))</f>
        <v>46242</v>
      </c>
      <c r="H589" s="36" t="n">
        <f aca="false">IF(A589="","",DATE(YEAR(A589),MONTH(A589),1))</f>
        <v>46235</v>
      </c>
      <c r="I589" s="37" t="str">
        <f aca="false">IF(B589="","",IFERROR(INDEX(st_ID,MATCH(B589,st_Name,0)),"Unknown"))</f>
        <v>QP-04</v>
      </c>
      <c r="J589" s="37" t="str">
        <f aca="false">IF(C589="","",IFERROR(INDEX(cl_Code,MATCH(C589,cl_Name,0)),"Unknown"))</f>
        <v>HCS</v>
      </c>
      <c r="K589" s="37" t="str">
        <f aca="false">IF(D589="","",IFERROR(INDEX(rt_Billable,MATCH(D589,rt_Code,0)),"Unknown"))</f>
        <v>Yes</v>
      </c>
      <c r="L589" s="38" t="n">
        <f aca="false">IF(K589&lt;&gt;"Yes","",IFERROR(INDEX(cr_Rate,MATCH(J589&amp;"|"&amp;D589,cr_Key,0)),INDEX(rt_Rate,MATCH(D589,rt_Code,0))))</f>
        <v>88</v>
      </c>
      <c r="M589" s="25" t="n">
        <f aca="false">IF(L589="","",ROUND(N(E589)*L589,2))</f>
        <v>198</v>
      </c>
      <c r="N589" s="39" t="n">
        <f aca="false">IF(OR(A589="",B589=""),"",SUMIFS(tl_Hours,tl_StaffID,I589,tl_Date,A589))</f>
        <v>8</v>
      </c>
      <c r="O589" s="40" t="str">
        <f aca="false">IF(A589&amp;B589&amp;D589="","",IF(OR(A589="",B589="",D589="",E589=""),"Incomplete",IF(K589="Unknown","Unknown code",IF(AND(K589="Yes",C589=""),"Billable, needs client",IF(N589&gt;MaxDayHours,"Over "&amp;MaxDayHours&amp;" hours that day","")))))</f>
        <v/>
      </c>
    </row>
    <row r="590" customFormat="false" ht="15" hidden="false" customHeight="false" outlineLevel="0" collapsed="false">
      <c r="A590" s="31" t="n">
        <v>46237</v>
      </c>
      <c r="B590" s="32" t="s">
        <v>101</v>
      </c>
      <c r="C590" s="32"/>
      <c r="D590" s="33" t="s">
        <v>94</v>
      </c>
      <c r="E590" s="34" t="n">
        <v>1.5</v>
      </c>
      <c r="F590" s="32" t="s">
        <v>95</v>
      </c>
      <c r="G590" s="35" t="n">
        <f aca="false">IF(A590="","",A590+7-WEEKDAY(A590))</f>
        <v>46242</v>
      </c>
      <c r="H590" s="36" t="n">
        <f aca="false">IF(A590="","",DATE(YEAR(A590),MONTH(A590),1))</f>
        <v>46235</v>
      </c>
      <c r="I590" s="37" t="str">
        <f aca="false">IF(B590="","",IFERROR(INDEX(st_ID,MATCH(B590,st_Name,0)),"Unknown"))</f>
        <v>QP-04</v>
      </c>
      <c r="J590" s="37" t="str">
        <f aca="false">IF(C590="","",IFERROR(INDEX(cl_Code,MATCH(C590,cl_Name,0)),"Unknown"))</f>
        <v/>
      </c>
      <c r="K590" s="37" t="str">
        <f aca="false">IF(D590="","",IFERROR(INDEX(rt_Billable,MATCH(D590,rt_Code,0)),"Unknown"))</f>
        <v>No</v>
      </c>
      <c r="L590" s="38" t="str">
        <f aca="false">IF(K590&lt;&gt;"Yes","",IFERROR(INDEX(cr_Rate,MATCH(J590&amp;"|"&amp;D590,cr_Key,0)),INDEX(rt_Rate,MATCH(D590,rt_Code,0))))</f>
        <v/>
      </c>
      <c r="M590" s="25" t="str">
        <f aca="false">IF(L590="","",ROUND(N(E590)*L590,2))</f>
        <v/>
      </c>
      <c r="N590" s="39" t="n">
        <f aca="false">IF(OR(A590="",B590=""),"",SUMIFS(tl_Hours,tl_StaffID,I590,tl_Date,A590))</f>
        <v>8</v>
      </c>
      <c r="O590" s="40" t="str">
        <f aca="false">IF(A590&amp;B590&amp;D590="","",IF(OR(A590="",B590="",D590="",E590=""),"Incomplete",IF(K590="Unknown","Unknown code",IF(AND(K590="Yes",C590=""),"Billable, needs client",IF(N590&gt;MaxDayHours,"Over "&amp;MaxDayHours&amp;" hours that day","")))))</f>
        <v/>
      </c>
    </row>
    <row r="591" customFormat="false" ht="15" hidden="false" customHeight="false" outlineLevel="0" collapsed="false">
      <c r="A591" s="31" t="n">
        <v>46237</v>
      </c>
      <c r="B591" s="32" t="s">
        <v>101</v>
      </c>
      <c r="C591" s="32"/>
      <c r="D591" s="33" t="s">
        <v>96</v>
      </c>
      <c r="E591" s="34" t="n">
        <v>1.25</v>
      </c>
      <c r="F591" s="32"/>
      <c r="G591" s="35" t="n">
        <f aca="false">IF(A591="","",A591+7-WEEKDAY(A591))</f>
        <v>46242</v>
      </c>
      <c r="H591" s="36" t="n">
        <f aca="false">IF(A591="","",DATE(YEAR(A591),MONTH(A591),1))</f>
        <v>46235</v>
      </c>
      <c r="I591" s="37" t="str">
        <f aca="false">IF(B591="","",IFERROR(INDEX(st_ID,MATCH(B591,st_Name,0)),"Unknown"))</f>
        <v>QP-04</v>
      </c>
      <c r="J591" s="37" t="str">
        <f aca="false">IF(C591="","",IFERROR(INDEX(cl_Code,MATCH(C591,cl_Name,0)),"Unknown"))</f>
        <v/>
      </c>
      <c r="K591" s="37" t="str">
        <f aca="false">IF(D591="","",IFERROR(INDEX(rt_Billable,MATCH(D591,rt_Code,0)),"Unknown"))</f>
        <v>No</v>
      </c>
      <c r="L591" s="38" t="str">
        <f aca="false">IF(K591&lt;&gt;"Yes","",IFERROR(INDEX(cr_Rate,MATCH(J591&amp;"|"&amp;D591,cr_Key,0)),INDEX(rt_Rate,MATCH(D591,rt_Code,0))))</f>
        <v/>
      </c>
      <c r="M591" s="25" t="str">
        <f aca="false">IF(L591="","",ROUND(N(E591)*L591,2))</f>
        <v/>
      </c>
      <c r="N591" s="39" t="n">
        <f aca="false">IF(OR(A591="",B591=""),"",SUMIFS(tl_Hours,tl_StaffID,I591,tl_Date,A591))</f>
        <v>8</v>
      </c>
      <c r="O591" s="40" t="str">
        <f aca="false">IF(A591&amp;B591&amp;D591="","",IF(OR(A591="",B591="",D591="",E591=""),"Incomplete",IF(K591="Unknown","Unknown code",IF(AND(K591="Yes",C591=""),"Billable, needs client",IF(N591&gt;MaxDayHours,"Over "&amp;MaxDayHours&amp;" hours that day","")))))</f>
        <v/>
      </c>
    </row>
    <row r="592" customFormat="false" ht="15" hidden="false" customHeight="false" outlineLevel="0" collapsed="false">
      <c r="A592" s="31" t="n">
        <v>46237</v>
      </c>
      <c r="B592" s="32" t="s">
        <v>103</v>
      </c>
      <c r="C592" s="32" t="s">
        <v>90</v>
      </c>
      <c r="D592" s="33" t="s">
        <v>88</v>
      </c>
      <c r="E592" s="34" t="n">
        <v>3.75</v>
      </c>
      <c r="F592" s="32"/>
      <c r="G592" s="35" t="n">
        <f aca="false">IF(A592="","",A592+7-WEEKDAY(A592))</f>
        <v>46242</v>
      </c>
      <c r="H592" s="36" t="n">
        <f aca="false">IF(A592="","",DATE(YEAR(A592),MONTH(A592),1))</f>
        <v>46235</v>
      </c>
      <c r="I592" s="37" t="str">
        <f aca="false">IF(B592="","",IFERROR(INDEX(st_ID,MATCH(B592,st_Name,0)),"Unknown"))</f>
        <v>QP-05</v>
      </c>
      <c r="J592" s="37" t="str">
        <f aca="false">IF(C592="","",IFERROR(INDEX(cl_Code,MATCH(C592,cl_Name,0)),"Unknown"))</f>
        <v>BSE</v>
      </c>
      <c r="K592" s="37" t="str">
        <f aca="false">IF(D592="","",IFERROR(INDEX(rt_Billable,MATCH(D592,rt_Code,0)),"Unknown"))</f>
        <v>Yes</v>
      </c>
      <c r="L592" s="38" t="n">
        <f aca="false">IF(K592&lt;&gt;"Yes","",IFERROR(INDEX(cr_Rate,MATCH(J592&amp;"|"&amp;D592,cr_Key,0)),INDEX(rt_Rate,MATCH(D592,rt_Code,0))))</f>
        <v>104</v>
      </c>
      <c r="M592" s="25" t="n">
        <f aca="false">IF(L592="","",ROUND(N(E592)*L592,2))</f>
        <v>390</v>
      </c>
      <c r="N592" s="39" t="n">
        <f aca="false">IF(OR(A592="",B592=""),"",SUMIFS(tl_Hours,tl_StaffID,I592,tl_Date,A592))</f>
        <v>8</v>
      </c>
      <c r="O592" s="40" t="str">
        <f aca="false">IF(A592&amp;B592&amp;D592="","",IF(OR(A592="",B592="",D592="",E592=""),"Incomplete",IF(K592="Unknown","Unknown code",IF(AND(K592="Yes",C592=""),"Billable, needs client",IF(N592&gt;MaxDayHours,"Over "&amp;MaxDayHours&amp;" hours that day","")))))</f>
        <v/>
      </c>
    </row>
    <row r="593" customFormat="false" ht="15" hidden="false" customHeight="false" outlineLevel="0" collapsed="false">
      <c r="A593" s="31" t="n">
        <v>46237</v>
      </c>
      <c r="B593" s="32" t="s">
        <v>103</v>
      </c>
      <c r="C593" s="32" t="s">
        <v>90</v>
      </c>
      <c r="D593" s="33" t="s">
        <v>104</v>
      </c>
      <c r="E593" s="34" t="n">
        <v>1.25</v>
      </c>
      <c r="F593" s="32"/>
      <c r="G593" s="35" t="n">
        <f aca="false">IF(A593="","",A593+7-WEEKDAY(A593))</f>
        <v>46242</v>
      </c>
      <c r="H593" s="36" t="n">
        <f aca="false">IF(A593="","",DATE(YEAR(A593),MONTH(A593),1))</f>
        <v>46235</v>
      </c>
      <c r="I593" s="37" t="str">
        <f aca="false">IF(B593="","",IFERROR(INDEX(st_ID,MATCH(B593,st_Name,0)),"Unknown"))</f>
        <v>QP-05</v>
      </c>
      <c r="J593" s="37" t="str">
        <f aca="false">IF(C593="","",IFERROR(INDEX(cl_Code,MATCH(C593,cl_Name,0)),"Unknown"))</f>
        <v>BSE</v>
      </c>
      <c r="K593" s="37" t="str">
        <f aca="false">IF(D593="","",IFERROR(INDEX(rt_Billable,MATCH(D593,rt_Code,0)),"Unknown"))</f>
        <v>Yes</v>
      </c>
      <c r="L593" s="38" t="n">
        <f aca="false">IF(K593&lt;&gt;"Yes","",IFERROR(INDEX(cr_Rate,MATCH(J593&amp;"|"&amp;D593,cr_Key,0)),INDEX(rt_Rate,MATCH(D593,rt_Code,0))))</f>
        <v>70</v>
      </c>
      <c r="M593" s="25" t="n">
        <f aca="false">IF(L593="","",ROUND(N(E593)*L593,2))</f>
        <v>87.5</v>
      </c>
      <c r="N593" s="39" t="n">
        <f aca="false">IF(OR(A593="",B593=""),"",SUMIFS(tl_Hours,tl_StaffID,I593,tl_Date,A593))</f>
        <v>8</v>
      </c>
      <c r="O593" s="40" t="str">
        <f aca="false">IF(A593&amp;B593&amp;D593="","",IF(OR(A593="",B593="",D593="",E593=""),"Incomplete",IF(K593="Unknown","Unknown code",IF(AND(K593="Yes",C593=""),"Billable, needs client",IF(N593&gt;MaxDayHours,"Over "&amp;MaxDayHours&amp;" hours that day","")))))</f>
        <v/>
      </c>
    </row>
    <row r="594" customFormat="false" ht="15" hidden="false" customHeight="false" outlineLevel="0" collapsed="false">
      <c r="A594" s="31" t="n">
        <v>46237</v>
      </c>
      <c r="B594" s="32" t="s">
        <v>103</v>
      </c>
      <c r="C594" s="32"/>
      <c r="D594" s="33" t="s">
        <v>96</v>
      </c>
      <c r="E594" s="34" t="n">
        <v>3</v>
      </c>
      <c r="F594" s="32"/>
      <c r="G594" s="35" t="n">
        <f aca="false">IF(A594="","",A594+7-WEEKDAY(A594))</f>
        <v>46242</v>
      </c>
      <c r="H594" s="36" t="n">
        <f aca="false">IF(A594="","",DATE(YEAR(A594),MONTH(A594),1))</f>
        <v>46235</v>
      </c>
      <c r="I594" s="37" t="str">
        <f aca="false">IF(B594="","",IFERROR(INDEX(st_ID,MATCH(B594,st_Name,0)),"Unknown"))</f>
        <v>QP-05</v>
      </c>
      <c r="J594" s="37" t="str">
        <f aca="false">IF(C594="","",IFERROR(INDEX(cl_Code,MATCH(C594,cl_Name,0)),"Unknown"))</f>
        <v/>
      </c>
      <c r="K594" s="37" t="str">
        <f aca="false">IF(D594="","",IFERROR(INDEX(rt_Billable,MATCH(D594,rt_Code,0)),"Unknown"))</f>
        <v>No</v>
      </c>
      <c r="L594" s="38" t="str">
        <f aca="false">IF(K594&lt;&gt;"Yes","",IFERROR(INDEX(cr_Rate,MATCH(J594&amp;"|"&amp;D594,cr_Key,0)),INDEX(rt_Rate,MATCH(D594,rt_Code,0))))</f>
        <v/>
      </c>
      <c r="M594" s="25" t="str">
        <f aca="false">IF(L594="","",ROUND(N(E594)*L594,2))</f>
        <v/>
      </c>
      <c r="N594" s="39" t="n">
        <f aca="false">IF(OR(A594="",B594=""),"",SUMIFS(tl_Hours,tl_StaffID,I594,tl_Date,A594))</f>
        <v>8</v>
      </c>
      <c r="O594" s="40" t="str">
        <f aca="false">IF(A594&amp;B594&amp;D594="","",IF(OR(A594="",B594="",D594="",E594=""),"Incomplete",IF(K594="Unknown","Unknown code",IF(AND(K594="Yes",C594=""),"Billable, needs client",IF(N594&gt;MaxDayHours,"Over "&amp;MaxDayHours&amp;" hours that day","")))))</f>
        <v/>
      </c>
    </row>
    <row r="595" customFormat="false" ht="15" hidden="false" customHeight="false" outlineLevel="0" collapsed="false">
      <c r="A595" s="31" t="n">
        <v>46237</v>
      </c>
      <c r="B595" s="32" t="s">
        <v>105</v>
      </c>
      <c r="C595" s="32" t="s">
        <v>87</v>
      </c>
      <c r="D595" s="33" t="s">
        <v>88</v>
      </c>
      <c r="E595" s="34" t="n">
        <v>3.25</v>
      </c>
      <c r="F595" s="32"/>
      <c r="G595" s="35" t="n">
        <f aca="false">IF(A595="","",A595+7-WEEKDAY(A595))</f>
        <v>46242</v>
      </c>
      <c r="H595" s="36" t="n">
        <f aca="false">IF(A595="","",DATE(YEAR(A595),MONTH(A595),1))</f>
        <v>46235</v>
      </c>
      <c r="I595" s="37" t="str">
        <f aca="false">IF(B595="","",IFERROR(INDEX(st_ID,MATCH(B595,st_Name,0)),"Unknown"))</f>
        <v>QP-06</v>
      </c>
      <c r="J595" s="37" t="str">
        <f aca="false">IF(C595="","",IFERROR(INDEX(cl_Code,MATCH(C595,cl_Name,0)),"Unknown"))</f>
        <v>HCS</v>
      </c>
      <c r="K595" s="37" t="str">
        <f aca="false">IF(D595="","",IFERROR(INDEX(rt_Billable,MATCH(D595,rt_Code,0)),"Unknown"))</f>
        <v>Yes</v>
      </c>
      <c r="L595" s="38" t="n">
        <f aca="false">IF(K595&lt;&gt;"Yes","",IFERROR(INDEX(cr_Rate,MATCH(J595&amp;"|"&amp;D595,cr_Key,0)),INDEX(rt_Rate,MATCH(D595,rt_Code,0))))</f>
        <v>98</v>
      </c>
      <c r="M595" s="25" t="n">
        <f aca="false">IF(L595="","",ROUND(N(E595)*L595,2))</f>
        <v>318.5</v>
      </c>
      <c r="N595" s="39" t="n">
        <f aca="false">IF(OR(A595="",B595=""),"",SUMIFS(tl_Hours,tl_StaffID,I595,tl_Date,A595))</f>
        <v>8</v>
      </c>
      <c r="O595" s="40" t="str">
        <f aca="false">IF(A595&amp;B595&amp;D595="","",IF(OR(A595="",B595="",D595="",E595=""),"Incomplete",IF(K595="Unknown","Unknown code",IF(AND(K595="Yes",C595=""),"Billable, needs client",IF(N595&gt;MaxDayHours,"Over "&amp;MaxDayHours&amp;" hours that day","")))))</f>
        <v/>
      </c>
    </row>
    <row r="596" customFormat="false" ht="15" hidden="false" customHeight="false" outlineLevel="0" collapsed="false">
      <c r="A596" s="31" t="n">
        <v>46237</v>
      </c>
      <c r="B596" s="32" t="s">
        <v>105</v>
      </c>
      <c r="C596" s="32" t="s">
        <v>87</v>
      </c>
      <c r="D596" s="33" t="s">
        <v>89</v>
      </c>
      <c r="E596" s="34" t="n">
        <v>1.5</v>
      </c>
      <c r="F596" s="32"/>
      <c r="G596" s="35" t="n">
        <f aca="false">IF(A596="","",A596+7-WEEKDAY(A596))</f>
        <v>46242</v>
      </c>
      <c r="H596" s="36" t="n">
        <f aca="false">IF(A596="","",DATE(YEAR(A596),MONTH(A596),1))</f>
        <v>46235</v>
      </c>
      <c r="I596" s="37" t="str">
        <f aca="false">IF(B596="","",IFERROR(INDEX(st_ID,MATCH(B596,st_Name,0)),"Unknown"))</f>
        <v>QP-06</v>
      </c>
      <c r="J596" s="37" t="str">
        <f aca="false">IF(C596="","",IFERROR(INDEX(cl_Code,MATCH(C596,cl_Name,0)),"Unknown"))</f>
        <v>HCS</v>
      </c>
      <c r="K596" s="37" t="str">
        <f aca="false">IF(D596="","",IFERROR(INDEX(rt_Billable,MATCH(D596,rt_Code,0)),"Unknown"))</f>
        <v>Yes</v>
      </c>
      <c r="L596" s="38" t="n">
        <f aca="false">IF(K596&lt;&gt;"Yes","",IFERROR(INDEX(cr_Rate,MATCH(J596&amp;"|"&amp;D596,cr_Key,0)),INDEX(rt_Rate,MATCH(D596,rt_Code,0))))</f>
        <v>88</v>
      </c>
      <c r="M596" s="25" t="n">
        <f aca="false">IF(L596="","",ROUND(N(E596)*L596,2))</f>
        <v>132</v>
      </c>
      <c r="N596" s="39" t="n">
        <f aca="false">IF(OR(A596="",B596=""),"",SUMIFS(tl_Hours,tl_StaffID,I596,tl_Date,A596))</f>
        <v>8</v>
      </c>
      <c r="O596" s="40" t="str">
        <f aca="false">IF(A596&amp;B596&amp;D596="","",IF(OR(A596="",B596="",D596="",E596=""),"Incomplete",IF(K596="Unknown","Unknown code",IF(AND(K596="Yes",C596=""),"Billable, needs client",IF(N596&gt;MaxDayHours,"Over "&amp;MaxDayHours&amp;" hours that day","")))))</f>
        <v/>
      </c>
    </row>
    <row r="597" customFormat="false" ht="15" hidden="false" customHeight="false" outlineLevel="0" collapsed="false">
      <c r="A597" s="31" t="n">
        <v>46237</v>
      </c>
      <c r="B597" s="32" t="s">
        <v>105</v>
      </c>
      <c r="C597" s="32"/>
      <c r="D597" s="33" t="s">
        <v>96</v>
      </c>
      <c r="E597" s="34" t="n">
        <v>3.25</v>
      </c>
      <c r="F597" s="32"/>
      <c r="G597" s="35" t="n">
        <f aca="false">IF(A597="","",A597+7-WEEKDAY(A597))</f>
        <v>46242</v>
      </c>
      <c r="H597" s="36" t="n">
        <f aca="false">IF(A597="","",DATE(YEAR(A597),MONTH(A597),1))</f>
        <v>46235</v>
      </c>
      <c r="I597" s="37" t="str">
        <f aca="false">IF(B597="","",IFERROR(INDEX(st_ID,MATCH(B597,st_Name,0)),"Unknown"))</f>
        <v>QP-06</v>
      </c>
      <c r="J597" s="37" t="str">
        <f aca="false">IF(C597="","",IFERROR(INDEX(cl_Code,MATCH(C597,cl_Name,0)),"Unknown"))</f>
        <v/>
      </c>
      <c r="K597" s="37" t="str">
        <f aca="false">IF(D597="","",IFERROR(INDEX(rt_Billable,MATCH(D597,rt_Code,0)),"Unknown"))</f>
        <v>No</v>
      </c>
      <c r="L597" s="38" t="str">
        <f aca="false">IF(K597&lt;&gt;"Yes","",IFERROR(INDEX(cr_Rate,MATCH(J597&amp;"|"&amp;D597,cr_Key,0)),INDEX(rt_Rate,MATCH(D597,rt_Code,0))))</f>
        <v/>
      </c>
      <c r="M597" s="25" t="str">
        <f aca="false">IF(L597="","",ROUND(N(E597)*L597,2))</f>
        <v/>
      </c>
      <c r="N597" s="39" t="n">
        <f aca="false">IF(OR(A597="",B597=""),"",SUMIFS(tl_Hours,tl_StaffID,I597,tl_Date,A597))</f>
        <v>8</v>
      </c>
      <c r="O597" s="40" t="str">
        <f aca="false">IF(A597&amp;B597&amp;D597="","",IF(OR(A597="",B597="",D597="",E597=""),"Incomplete",IF(K597="Unknown","Unknown code",IF(AND(K597="Yes",C597=""),"Billable, needs client",IF(N597&gt;MaxDayHours,"Over "&amp;MaxDayHours&amp;" hours that day","")))))</f>
        <v/>
      </c>
    </row>
    <row r="598" customFormat="false" ht="15" hidden="false" customHeight="false" outlineLevel="0" collapsed="false">
      <c r="A598" s="31" t="n">
        <v>46237</v>
      </c>
      <c r="B598" s="32" t="s">
        <v>106</v>
      </c>
      <c r="C598" s="32" t="s">
        <v>102</v>
      </c>
      <c r="D598" s="33" t="s">
        <v>88</v>
      </c>
      <c r="E598" s="34" t="n">
        <v>3.25</v>
      </c>
      <c r="F598" s="32"/>
      <c r="G598" s="35" t="n">
        <f aca="false">IF(A598="","",A598+7-WEEKDAY(A598))</f>
        <v>46242</v>
      </c>
      <c r="H598" s="36" t="n">
        <f aca="false">IF(A598="","",DATE(YEAR(A598),MONTH(A598),1))</f>
        <v>46235</v>
      </c>
      <c r="I598" s="37" t="str">
        <f aca="false">IF(B598="","",IFERROR(INDEX(st_ID,MATCH(B598,st_Name,0)),"Unknown"))</f>
        <v>QP-07</v>
      </c>
      <c r="J598" s="37" t="str">
        <f aca="false">IF(C598="","",IFERROR(INDEX(cl_Code,MATCH(C598,cl_Name,0)),"Unknown"))</f>
        <v>CLH</v>
      </c>
      <c r="K598" s="37" t="str">
        <f aca="false">IF(D598="","",IFERROR(INDEX(rt_Billable,MATCH(D598,rt_Code,0)),"Unknown"))</f>
        <v>Yes</v>
      </c>
      <c r="L598" s="38" t="n">
        <f aca="false">IF(K598&lt;&gt;"Yes","",IFERROR(INDEX(cr_Rate,MATCH(J598&amp;"|"&amp;D598,cr_Key,0)),INDEX(rt_Rate,MATCH(D598,rt_Code,0))))</f>
        <v>110</v>
      </c>
      <c r="M598" s="25" t="n">
        <f aca="false">IF(L598="","",ROUND(N(E598)*L598,2))</f>
        <v>357.5</v>
      </c>
      <c r="N598" s="39" t="n">
        <f aca="false">IF(OR(A598="",B598=""),"",SUMIFS(tl_Hours,tl_StaffID,I598,tl_Date,A598))</f>
        <v>8</v>
      </c>
      <c r="O598" s="40" t="str">
        <f aca="false">IF(A598&amp;B598&amp;D598="","",IF(OR(A598="",B598="",D598="",E598=""),"Incomplete",IF(K598="Unknown","Unknown code",IF(AND(K598="Yes",C598=""),"Billable, needs client",IF(N598&gt;MaxDayHours,"Over "&amp;MaxDayHours&amp;" hours that day","")))))</f>
        <v/>
      </c>
    </row>
    <row r="599" customFormat="false" ht="15" hidden="false" customHeight="false" outlineLevel="0" collapsed="false">
      <c r="A599" s="31" t="n">
        <v>46237</v>
      </c>
      <c r="B599" s="32" t="s">
        <v>106</v>
      </c>
      <c r="C599" s="32" t="s">
        <v>102</v>
      </c>
      <c r="D599" s="33" t="s">
        <v>104</v>
      </c>
      <c r="E599" s="34" t="n">
        <v>2.5</v>
      </c>
      <c r="F599" s="32"/>
      <c r="G599" s="35" t="n">
        <f aca="false">IF(A599="","",A599+7-WEEKDAY(A599))</f>
        <v>46242</v>
      </c>
      <c r="H599" s="36" t="n">
        <f aca="false">IF(A599="","",DATE(YEAR(A599),MONTH(A599),1))</f>
        <v>46235</v>
      </c>
      <c r="I599" s="37" t="str">
        <f aca="false">IF(B599="","",IFERROR(INDEX(st_ID,MATCH(B599,st_Name,0)),"Unknown"))</f>
        <v>QP-07</v>
      </c>
      <c r="J599" s="37" t="str">
        <f aca="false">IF(C599="","",IFERROR(INDEX(cl_Code,MATCH(C599,cl_Name,0)),"Unknown"))</f>
        <v>CLH</v>
      </c>
      <c r="K599" s="37" t="str">
        <f aca="false">IF(D599="","",IFERROR(INDEX(rt_Billable,MATCH(D599,rt_Code,0)),"Unknown"))</f>
        <v>Yes</v>
      </c>
      <c r="L599" s="38" t="n">
        <f aca="false">IF(K599&lt;&gt;"Yes","",IFERROR(INDEX(cr_Rate,MATCH(J599&amp;"|"&amp;D599,cr_Key,0)),INDEX(rt_Rate,MATCH(D599,rt_Code,0))))</f>
        <v>65</v>
      </c>
      <c r="M599" s="25" t="n">
        <f aca="false">IF(L599="","",ROUND(N(E599)*L599,2))</f>
        <v>162.5</v>
      </c>
      <c r="N599" s="39" t="n">
        <f aca="false">IF(OR(A599="",B599=""),"",SUMIFS(tl_Hours,tl_StaffID,I599,tl_Date,A599))</f>
        <v>8</v>
      </c>
      <c r="O599" s="40" t="str">
        <f aca="false">IF(A599&amp;B599&amp;D599="","",IF(OR(A599="",B599="",D599="",E599=""),"Incomplete",IF(K599="Unknown","Unknown code",IF(AND(K599="Yes",C599=""),"Billable, needs client",IF(N599&gt;MaxDayHours,"Over "&amp;MaxDayHours&amp;" hours that day","")))))</f>
        <v/>
      </c>
    </row>
    <row r="600" customFormat="false" ht="15" hidden="false" customHeight="false" outlineLevel="0" collapsed="false">
      <c r="A600" s="31" t="n">
        <v>46237</v>
      </c>
      <c r="B600" s="32" t="s">
        <v>106</v>
      </c>
      <c r="C600" s="32"/>
      <c r="D600" s="33" t="s">
        <v>96</v>
      </c>
      <c r="E600" s="34" t="n">
        <v>2.25</v>
      </c>
      <c r="F600" s="32"/>
      <c r="G600" s="35" t="n">
        <f aca="false">IF(A600="","",A600+7-WEEKDAY(A600))</f>
        <v>46242</v>
      </c>
      <c r="H600" s="36" t="n">
        <f aca="false">IF(A600="","",DATE(YEAR(A600),MONTH(A600),1))</f>
        <v>46235</v>
      </c>
      <c r="I600" s="37" t="str">
        <f aca="false">IF(B600="","",IFERROR(INDEX(st_ID,MATCH(B600,st_Name,0)),"Unknown"))</f>
        <v>QP-07</v>
      </c>
      <c r="J600" s="37" t="str">
        <f aca="false">IF(C600="","",IFERROR(INDEX(cl_Code,MATCH(C600,cl_Name,0)),"Unknown"))</f>
        <v/>
      </c>
      <c r="K600" s="37" t="str">
        <f aca="false">IF(D600="","",IFERROR(INDEX(rt_Billable,MATCH(D600,rt_Code,0)),"Unknown"))</f>
        <v>No</v>
      </c>
      <c r="L600" s="38" t="str">
        <f aca="false">IF(K600&lt;&gt;"Yes","",IFERROR(INDEX(cr_Rate,MATCH(J600&amp;"|"&amp;D600,cr_Key,0)),INDEX(rt_Rate,MATCH(D600,rt_Code,0))))</f>
        <v/>
      </c>
      <c r="M600" s="25" t="str">
        <f aca="false">IF(L600="","",ROUND(N(E600)*L600,2))</f>
        <v/>
      </c>
      <c r="N600" s="39" t="n">
        <f aca="false">IF(OR(A600="",B600=""),"",SUMIFS(tl_Hours,tl_StaffID,I600,tl_Date,A600))</f>
        <v>8</v>
      </c>
      <c r="O600" s="40" t="str">
        <f aca="false">IF(A600&amp;B600&amp;D600="","",IF(OR(A600="",B600="",D600="",E600=""),"Incomplete",IF(K600="Unknown","Unknown code",IF(AND(K600="Yes",C600=""),"Billable, needs client",IF(N600&gt;MaxDayHours,"Over "&amp;MaxDayHours&amp;" hours that day","")))))</f>
        <v/>
      </c>
    </row>
    <row r="601" customFormat="false" ht="15" hidden="false" customHeight="false" outlineLevel="0" collapsed="false">
      <c r="A601" s="31" t="n">
        <v>46237</v>
      </c>
      <c r="B601" s="32" t="s">
        <v>107</v>
      </c>
      <c r="C601" s="32"/>
      <c r="D601" s="33" t="s">
        <v>108</v>
      </c>
      <c r="E601" s="34" t="n">
        <v>6.5</v>
      </c>
      <c r="F601" s="32"/>
      <c r="G601" s="35" t="n">
        <f aca="false">IF(A601="","",A601+7-WEEKDAY(A601))</f>
        <v>46242</v>
      </c>
      <c r="H601" s="36" t="n">
        <f aca="false">IF(A601="","",DATE(YEAR(A601),MONTH(A601),1))</f>
        <v>46235</v>
      </c>
      <c r="I601" s="37" t="str">
        <f aca="false">IF(B601="","",IFERROR(INDEX(st_ID,MATCH(B601,st_Name,0)),"Unknown"))</f>
        <v>QP-08</v>
      </c>
      <c r="J601" s="37" t="str">
        <f aca="false">IF(C601="","",IFERROR(INDEX(cl_Code,MATCH(C601,cl_Name,0)),"Unknown"))</f>
        <v/>
      </c>
      <c r="K601" s="37" t="str">
        <f aca="false">IF(D601="","",IFERROR(INDEX(rt_Billable,MATCH(D601,rt_Code,0)),"Unknown"))</f>
        <v>No</v>
      </c>
      <c r="L601" s="38" t="str">
        <f aca="false">IF(K601&lt;&gt;"Yes","",IFERROR(INDEX(cr_Rate,MATCH(J601&amp;"|"&amp;D601,cr_Key,0)),INDEX(rt_Rate,MATCH(D601,rt_Code,0))))</f>
        <v/>
      </c>
      <c r="M601" s="25" t="str">
        <f aca="false">IF(L601="","",ROUND(N(E601)*L601,2))</f>
        <v/>
      </c>
      <c r="N601" s="39" t="n">
        <f aca="false">IF(OR(A601="",B601=""),"",SUMIFS(tl_Hours,tl_StaffID,I601,tl_Date,A601))</f>
        <v>8</v>
      </c>
      <c r="O601" s="40" t="str">
        <f aca="false">IF(A601&amp;B601&amp;D601="","",IF(OR(A601="",B601="",D601="",E601=""),"Incomplete",IF(K601="Unknown","Unknown code",IF(AND(K601="Yes",C601=""),"Billable, needs client",IF(N601&gt;MaxDayHours,"Over "&amp;MaxDayHours&amp;" hours that day","")))))</f>
        <v/>
      </c>
    </row>
    <row r="602" customFormat="false" ht="15" hidden="false" customHeight="false" outlineLevel="0" collapsed="false">
      <c r="A602" s="31" t="n">
        <v>46237</v>
      </c>
      <c r="B602" s="32" t="s">
        <v>107</v>
      </c>
      <c r="C602" s="32"/>
      <c r="D602" s="33" t="s">
        <v>98</v>
      </c>
      <c r="E602" s="34" t="n">
        <v>1.5</v>
      </c>
      <c r="F602" s="32"/>
      <c r="G602" s="35" t="n">
        <f aca="false">IF(A602="","",A602+7-WEEKDAY(A602))</f>
        <v>46242</v>
      </c>
      <c r="H602" s="36" t="n">
        <f aca="false">IF(A602="","",DATE(YEAR(A602),MONTH(A602),1))</f>
        <v>46235</v>
      </c>
      <c r="I602" s="37" t="str">
        <f aca="false">IF(B602="","",IFERROR(INDEX(st_ID,MATCH(B602,st_Name,0)),"Unknown"))</f>
        <v>QP-08</v>
      </c>
      <c r="J602" s="37" t="str">
        <f aca="false">IF(C602="","",IFERROR(INDEX(cl_Code,MATCH(C602,cl_Name,0)),"Unknown"))</f>
        <v/>
      </c>
      <c r="K602" s="37" t="str">
        <f aca="false">IF(D602="","",IFERROR(INDEX(rt_Billable,MATCH(D602,rt_Code,0)),"Unknown"))</f>
        <v>No</v>
      </c>
      <c r="L602" s="38" t="str">
        <f aca="false">IF(K602&lt;&gt;"Yes","",IFERROR(INDEX(cr_Rate,MATCH(J602&amp;"|"&amp;D602,cr_Key,0)),INDEX(rt_Rate,MATCH(D602,rt_Code,0))))</f>
        <v/>
      </c>
      <c r="M602" s="25" t="str">
        <f aca="false">IF(L602="","",ROUND(N(E602)*L602,2))</f>
        <v/>
      </c>
      <c r="N602" s="39" t="n">
        <f aca="false">IF(OR(A602="",B602=""),"",SUMIFS(tl_Hours,tl_StaffID,I602,tl_Date,A602))</f>
        <v>8</v>
      </c>
      <c r="O602" s="40" t="str">
        <f aca="false">IF(A602&amp;B602&amp;D602="","",IF(OR(A602="",B602="",D602="",E602=""),"Incomplete",IF(K602="Unknown","Unknown code",IF(AND(K602="Yes",C602=""),"Billable, needs client",IF(N602&gt;MaxDayHours,"Over "&amp;MaxDayHours&amp;" hours that day","")))))</f>
        <v/>
      </c>
    </row>
    <row r="603" customFormat="false" ht="15" hidden="false" customHeight="false" outlineLevel="0" collapsed="false">
      <c r="A603" s="31" t="n">
        <v>46238</v>
      </c>
      <c r="B603" s="32" t="s">
        <v>86</v>
      </c>
      <c r="C603" s="32" t="s">
        <v>87</v>
      </c>
      <c r="D603" s="33" t="s">
        <v>88</v>
      </c>
      <c r="E603" s="34" t="n">
        <v>4.25</v>
      </c>
      <c r="F603" s="32"/>
      <c r="G603" s="35" t="n">
        <f aca="false">IF(A603="","",A603+7-WEEKDAY(A603))</f>
        <v>46242</v>
      </c>
      <c r="H603" s="36" t="n">
        <f aca="false">IF(A603="","",DATE(YEAR(A603),MONTH(A603),1))</f>
        <v>46235</v>
      </c>
      <c r="I603" s="37" t="str">
        <f aca="false">IF(B603="","",IFERROR(INDEX(st_ID,MATCH(B603,st_Name,0)),"Unknown"))</f>
        <v>QP-01</v>
      </c>
      <c r="J603" s="37" t="str">
        <f aca="false">IF(C603="","",IFERROR(INDEX(cl_Code,MATCH(C603,cl_Name,0)),"Unknown"))</f>
        <v>HCS</v>
      </c>
      <c r="K603" s="37" t="str">
        <f aca="false">IF(D603="","",IFERROR(INDEX(rt_Billable,MATCH(D603,rt_Code,0)),"Unknown"))</f>
        <v>Yes</v>
      </c>
      <c r="L603" s="38" t="n">
        <f aca="false">IF(K603&lt;&gt;"Yes","",IFERROR(INDEX(cr_Rate,MATCH(J603&amp;"|"&amp;D603,cr_Key,0)),INDEX(rt_Rate,MATCH(D603,rt_Code,0))))</f>
        <v>98</v>
      </c>
      <c r="M603" s="25" t="n">
        <f aca="false">IF(L603="","",ROUND(N(E603)*L603,2))</f>
        <v>416.5</v>
      </c>
      <c r="N603" s="39" t="n">
        <f aca="false">IF(OR(A603="",B603=""),"",SUMIFS(tl_Hours,tl_StaffID,I603,tl_Date,A603))</f>
        <v>8</v>
      </c>
      <c r="O603" s="40" t="str">
        <f aca="false">IF(A603&amp;B603&amp;D603="","",IF(OR(A603="",B603="",D603="",E603=""),"Incomplete",IF(K603="Unknown","Unknown code",IF(AND(K603="Yes",C603=""),"Billable, needs client",IF(N603&gt;MaxDayHours,"Over "&amp;MaxDayHours&amp;" hours that day","")))))</f>
        <v/>
      </c>
    </row>
    <row r="604" customFormat="false" ht="15" hidden="false" customHeight="false" outlineLevel="0" collapsed="false">
      <c r="A604" s="31" t="n">
        <v>46238</v>
      </c>
      <c r="B604" s="32" t="s">
        <v>86</v>
      </c>
      <c r="C604" s="32" t="s">
        <v>87</v>
      </c>
      <c r="D604" s="33" t="s">
        <v>89</v>
      </c>
      <c r="E604" s="34" t="n">
        <v>1.75</v>
      </c>
      <c r="F604" s="32"/>
      <c r="G604" s="35" t="n">
        <f aca="false">IF(A604="","",A604+7-WEEKDAY(A604))</f>
        <v>46242</v>
      </c>
      <c r="H604" s="36" t="n">
        <f aca="false">IF(A604="","",DATE(YEAR(A604),MONTH(A604),1))</f>
        <v>46235</v>
      </c>
      <c r="I604" s="37" t="str">
        <f aca="false">IF(B604="","",IFERROR(INDEX(st_ID,MATCH(B604,st_Name,0)),"Unknown"))</f>
        <v>QP-01</v>
      </c>
      <c r="J604" s="37" t="str">
        <f aca="false">IF(C604="","",IFERROR(INDEX(cl_Code,MATCH(C604,cl_Name,0)),"Unknown"))</f>
        <v>HCS</v>
      </c>
      <c r="K604" s="37" t="str">
        <f aca="false">IF(D604="","",IFERROR(INDEX(rt_Billable,MATCH(D604,rt_Code,0)),"Unknown"))</f>
        <v>Yes</v>
      </c>
      <c r="L604" s="38" t="n">
        <f aca="false">IF(K604&lt;&gt;"Yes","",IFERROR(INDEX(cr_Rate,MATCH(J604&amp;"|"&amp;D604,cr_Key,0)),INDEX(rt_Rate,MATCH(D604,rt_Code,0))))</f>
        <v>88</v>
      </c>
      <c r="M604" s="25" t="n">
        <f aca="false">IF(L604="","",ROUND(N(E604)*L604,2))</f>
        <v>154</v>
      </c>
      <c r="N604" s="39" t="n">
        <f aca="false">IF(OR(A604="",B604=""),"",SUMIFS(tl_Hours,tl_StaffID,I604,tl_Date,A604))</f>
        <v>8</v>
      </c>
      <c r="O604" s="40" t="str">
        <f aca="false">IF(A604&amp;B604&amp;D604="","",IF(OR(A604="",B604="",D604="",E604=""),"Incomplete",IF(K604="Unknown","Unknown code",IF(AND(K604="Yes",C604=""),"Billable, needs client",IF(N604&gt;MaxDayHours,"Over "&amp;MaxDayHours&amp;" hours that day","")))))</f>
        <v/>
      </c>
    </row>
    <row r="605" customFormat="false" ht="15" hidden="false" customHeight="false" outlineLevel="0" collapsed="false">
      <c r="A605" s="31" t="n">
        <v>46238</v>
      </c>
      <c r="B605" s="32" t="s">
        <v>86</v>
      </c>
      <c r="C605" s="32"/>
      <c r="D605" s="33" t="s">
        <v>96</v>
      </c>
      <c r="E605" s="34" t="n">
        <v>2</v>
      </c>
      <c r="F605" s="32"/>
      <c r="G605" s="35" t="n">
        <f aca="false">IF(A605="","",A605+7-WEEKDAY(A605))</f>
        <v>46242</v>
      </c>
      <c r="H605" s="36" t="n">
        <f aca="false">IF(A605="","",DATE(YEAR(A605),MONTH(A605),1))</f>
        <v>46235</v>
      </c>
      <c r="I605" s="37" t="str">
        <f aca="false">IF(B605="","",IFERROR(INDEX(st_ID,MATCH(B605,st_Name,0)),"Unknown"))</f>
        <v>QP-01</v>
      </c>
      <c r="J605" s="37" t="str">
        <f aca="false">IF(C605="","",IFERROR(INDEX(cl_Code,MATCH(C605,cl_Name,0)),"Unknown"))</f>
        <v/>
      </c>
      <c r="K605" s="37" t="str">
        <f aca="false">IF(D605="","",IFERROR(INDEX(rt_Billable,MATCH(D605,rt_Code,0)),"Unknown"))</f>
        <v>No</v>
      </c>
      <c r="L605" s="38" t="str">
        <f aca="false">IF(K605&lt;&gt;"Yes","",IFERROR(INDEX(cr_Rate,MATCH(J605&amp;"|"&amp;D605,cr_Key,0)),INDEX(rt_Rate,MATCH(D605,rt_Code,0))))</f>
        <v/>
      </c>
      <c r="M605" s="25" t="str">
        <f aca="false">IF(L605="","",ROUND(N(E605)*L605,2))</f>
        <v/>
      </c>
      <c r="N605" s="39" t="n">
        <f aca="false">IF(OR(A605="",B605=""),"",SUMIFS(tl_Hours,tl_StaffID,I605,tl_Date,A605))</f>
        <v>8</v>
      </c>
      <c r="O605" s="40" t="str">
        <f aca="false">IF(A605&amp;B605&amp;D605="","",IF(OR(A605="",B605="",D605="",E605=""),"Incomplete",IF(K605="Unknown","Unknown code",IF(AND(K605="Yes",C605=""),"Billable, needs client",IF(N605&gt;MaxDayHours,"Over "&amp;MaxDayHours&amp;" hours that day","")))))</f>
        <v/>
      </c>
    </row>
    <row r="606" customFormat="false" ht="15" hidden="false" customHeight="false" outlineLevel="0" collapsed="false">
      <c r="A606" s="31" t="n">
        <v>46238</v>
      </c>
      <c r="B606" s="32" t="s">
        <v>97</v>
      </c>
      <c r="C606" s="32" t="s">
        <v>87</v>
      </c>
      <c r="D606" s="33" t="s">
        <v>88</v>
      </c>
      <c r="E606" s="34" t="n">
        <v>3.25</v>
      </c>
      <c r="F606" s="32"/>
      <c r="G606" s="35" t="n">
        <f aca="false">IF(A606="","",A606+7-WEEKDAY(A606))</f>
        <v>46242</v>
      </c>
      <c r="H606" s="36" t="n">
        <f aca="false">IF(A606="","",DATE(YEAR(A606),MONTH(A606),1))</f>
        <v>46235</v>
      </c>
      <c r="I606" s="37" t="str">
        <f aca="false">IF(B606="","",IFERROR(INDEX(st_ID,MATCH(B606,st_Name,0)),"Unknown"))</f>
        <v>QP-02</v>
      </c>
      <c r="J606" s="37" t="str">
        <f aca="false">IF(C606="","",IFERROR(INDEX(cl_Code,MATCH(C606,cl_Name,0)),"Unknown"))</f>
        <v>HCS</v>
      </c>
      <c r="K606" s="37" t="str">
        <f aca="false">IF(D606="","",IFERROR(INDEX(rt_Billable,MATCH(D606,rt_Code,0)),"Unknown"))</f>
        <v>Yes</v>
      </c>
      <c r="L606" s="38" t="n">
        <f aca="false">IF(K606&lt;&gt;"Yes","",IFERROR(INDEX(cr_Rate,MATCH(J606&amp;"|"&amp;D606,cr_Key,0)),INDEX(rt_Rate,MATCH(D606,rt_Code,0))))</f>
        <v>98</v>
      </c>
      <c r="M606" s="25" t="n">
        <f aca="false">IF(L606="","",ROUND(N(E606)*L606,2))</f>
        <v>318.5</v>
      </c>
      <c r="N606" s="39" t="n">
        <f aca="false">IF(OR(A606="",B606=""),"",SUMIFS(tl_Hours,tl_StaffID,I606,tl_Date,A606))</f>
        <v>8</v>
      </c>
      <c r="O606" s="40" t="str">
        <f aca="false">IF(A606&amp;B606&amp;D606="","",IF(OR(A606="",B606="",D606="",E606=""),"Incomplete",IF(K606="Unknown","Unknown code",IF(AND(K606="Yes",C606=""),"Billable, needs client",IF(N606&gt;MaxDayHours,"Over "&amp;MaxDayHours&amp;" hours that day","")))))</f>
        <v/>
      </c>
    </row>
    <row r="607" customFormat="false" ht="15" hidden="false" customHeight="false" outlineLevel="0" collapsed="false">
      <c r="A607" s="31" t="n">
        <v>46238</v>
      </c>
      <c r="B607" s="32" t="s">
        <v>97</v>
      </c>
      <c r="C607" s="32" t="s">
        <v>87</v>
      </c>
      <c r="D607" s="33" t="s">
        <v>92</v>
      </c>
      <c r="E607" s="34" t="n">
        <v>2.25</v>
      </c>
      <c r="F607" s="32"/>
      <c r="G607" s="35" t="n">
        <f aca="false">IF(A607="","",A607+7-WEEKDAY(A607))</f>
        <v>46242</v>
      </c>
      <c r="H607" s="36" t="n">
        <f aca="false">IF(A607="","",DATE(YEAR(A607),MONTH(A607),1))</f>
        <v>46235</v>
      </c>
      <c r="I607" s="37" t="str">
        <f aca="false">IF(B607="","",IFERROR(INDEX(st_ID,MATCH(B607,st_Name,0)),"Unknown"))</f>
        <v>QP-02</v>
      </c>
      <c r="J607" s="37" t="str">
        <f aca="false">IF(C607="","",IFERROR(INDEX(cl_Code,MATCH(C607,cl_Name,0)),"Unknown"))</f>
        <v>HCS</v>
      </c>
      <c r="K607" s="37" t="str">
        <f aca="false">IF(D607="","",IFERROR(INDEX(rt_Billable,MATCH(D607,rt_Code,0)),"Unknown"))</f>
        <v>Yes</v>
      </c>
      <c r="L607" s="38" t="n">
        <f aca="false">IF(K607&lt;&gt;"Yes","",IFERROR(INDEX(cr_Rate,MATCH(J607&amp;"|"&amp;D607,cr_Key,0)),INDEX(rt_Rate,MATCH(D607,rt_Code,0))))</f>
        <v>140</v>
      </c>
      <c r="M607" s="25" t="n">
        <f aca="false">IF(L607="","",ROUND(N(E607)*L607,2))</f>
        <v>315</v>
      </c>
      <c r="N607" s="39" t="n">
        <f aca="false">IF(OR(A607="",B607=""),"",SUMIFS(tl_Hours,tl_StaffID,I607,tl_Date,A607))</f>
        <v>8</v>
      </c>
      <c r="O607" s="40" t="str">
        <f aca="false">IF(A607&amp;B607&amp;D607="","",IF(OR(A607="",B607="",D607="",E607=""),"Incomplete",IF(K607="Unknown","Unknown code",IF(AND(K607="Yes",C607=""),"Billable, needs client",IF(N607&gt;MaxDayHours,"Over "&amp;MaxDayHours&amp;" hours that day","")))))</f>
        <v/>
      </c>
    </row>
    <row r="608" customFormat="false" ht="15" hidden="false" customHeight="false" outlineLevel="0" collapsed="false">
      <c r="A608" s="31" t="n">
        <v>46238</v>
      </c>
      <c r="B608" s="32" t="s">
        <v>97</v>
      </c>
      <c r="C608" s="32"/>
      <c r="D608" s="33" t="s">
        <v>96</v>
      </c>
      <c r="E608" s="34" t="n">
        <v>2.5</v>
      </c>
      <c r="F608" s="32"/>
      <c r="G608" s="35" t="n">
        <f aca="false">IF(A608="","",A608+7-WEEKDAY(A608))</f>
        <v>46242</v>
      </c>
      <c r="H608" s="36" t="n">
        <f aca="false">IF(A608="","",DATE(YEAR(A608),MONTH(A608),1))</f>
        <v>46235</v>
      </c>
      <c r="I608" s="37" t="str">
        <f aca="false">IF(B608="","",IFERROR(INDEX(st_ID,MATCH(B608,st_Name,0)),"Unknown"))</f>
        <v>QP-02</v>
      </c>
      <c r="J608" s="37" t="str">
        <f aca="false">IF(C608="","",IFERROR(INDEX(cl_Code,MATCH(C608,cl_Name,0)),"Unknown"))</f>
        <v/>
      </c>
      <c r="K608" s="37" t="str">
        <f aca="false">IF(D608="","",IFERROR(INDEX(rt_Billable,MATCH(D608,rt_Code,0)),"Unknown"))</f>
        <v>No</v>
      </c>
      <c r="L608" s="38" t="str">
        <f aca="false">IF(K608&lt;&gt;"Yes","",IFERROR(INDEX(cr_Rate,MATCH(J608&amp;"|"&amp;D608,cr_Key,0)),INDEX(rt_Rate,MATCH(D608,rt_Code,0))))</f>
        <v/>
      </c>
      <c r="M608" s="25" t="str">
        <f aca="false">IF(L608="","",ROUND(N(E608)*L608,2))</f>
        <v/>
      </c>
      <c r="N608" s="39" t="n">
        <f aca="false">IF(OR(A608="",B608=""),"",SUMIFS(tl_Hours,tl_StaffID,I608,tl_Date,A608))</f>
        <v>8</v>
      </c>
      <c r="O608" s="40" t="str">
        <f aca="false">IF(A608&amp;B608&amp;D608="","",IF(OR(A608="",B608="",D608="",E608=""),"Incomplete",IF(K608="Unknown","Unknown code",IF(AND(K608="Yes",C608=""),"Billable, needs client",IF(N608&gt;MaxDayHours,"Over "&amp;MaxDayHours&amp;" hours that day","")))))</f>
        <v/>
      </c>
    </row>
    <row r="609" customFormat="false" ht="15" hidden="false" customHeight="false" outlineLevel="0" collapsed="false">
      <c r="A609" s="31" t="n">
        <v>46238</v>
      </c>
      <c r="B609" s="32" t="s">
        <v>100</v>
      </c>
      <c r="C609" s="32" t="s">
        <v>90</v>
      </c>
      <c r="D609" s="33" t="s">
        <v>88</v>
      </c>
      <c r="E609" s="34" t="n">
        <v>3.75</v>
      </c>
      <c r="F609" s="32"/>
      <c r="G609" s="35" t="n">
        <f aca="false">IF(A609="","",A609+7-WEEKDAY(A609))</f>
        <v>46242</v>
      </c>
      <c r="H609" s="36" t="n">
        <f aca="false">IF(A609="","",DATE(YEAR(A609),MONTH(A609),1))</f>
        <v>46235</v>
      </c>
      <c r="I609" s="37" t="str">
        <f aca="false">IF(B609="","",IFERROR(INDEX(st_ID,MATCH(B609,st_Name,0)),"Unknown"))</f>
        <v>QP-03</v>
      </c>
      <c r="J609" s="37" t="str">
        <f aca="false">IF(C609="","",IFERROR(INDEX(cl_Code,MATCH(C609,cl_Name,0)),"Unknown"))</f>
        <v>BSE</v>
      </c>
      <c r="K609" s="37" t="str">
        <f aca="false">IF(D609="","",IFERROR(INDEX(rt_Billable,MATCH(D609,rt_Code,0)),"Unknown"))</f>
        <v>Yes</v>
      </c>
      <c r="L609" s="38" t="n">
        <f aca="false">IF(K609&lt;&gt;"Yes","",IFERROR(INDEX(cr_Rate,MATCH(J609&amp;"|"&amp;D609,cr_Key,0)),INDEX(rt_Rate,MATCH(D609,rt_Code,0))))</f>
        <v>104</v>
      </c>
      <c r="M609" s="25" t="n">
        <f aca="false">IF(L609="","",ROUND(N(E609)*L609,2))</f>
        <v>390</v>
      </c>
      <c r="N609" s="39" t="n">
        <f aca="false">IF(OR(A609="",B609=""),"",SUMIFS(tl_Hours,tl_StaffID,I609,tl_Date,A609))</f>
        <v>8</v>
      </c>
      <c r="O609" s="40" t="str">
        <f aca="false">IF(A609&amp;B609&amp;D609="","",IF(OR(A609="",B609="",D609="",E609=""),"Incomplete",IF(K609="Unknown","Unknown code",IF(AND(K609="Yes",C609=""),"Billable, needs client",IF(N609&gt;MaxDayHours,"Over "&amp;MaxDayHours&amp;" hours that day","")))))</f>
        <v/>
      </c>
    </row>
    <row r="610" customFormat="false" ht="15" hidden="false" customHeight="false" outlineLevel="0" collapsed="false">
      <c r="A610" s="31" t="n">
        <v>46238</v>
      </c>
      <c r="B610" s="32" t="s">
        <v>100</v>
      </c>
      <c r="C610" s="32" t="s">
        <v>90</v>
      </c>
      <c r="D610" s="33" t="s">
        <v>89</v>
      </c>
      <c r="E610" s="34" t="n">
        <v>1.5</v>
      </c>
      <c r="F610" s="32"/>
      <c r="G610" s="35" t="n">
        <f aca="false">IF(A610="","",A610+7-WEEKDAY(A610))</f>
        <v>46242</v>
      </c>
      <c r="H610" s="36" t="n">
        <f aca="false">IF(A610="","",DATE(YEAR(A610),MONTH(A610),1))</f>
        <v>46235</v>
      </c>
      <c r="I610" s="37" t="str">
        <f aca="false">IF(B610="","",IFERROR(INDEX(st_ID,MATCH(B610,st_Name,0)),"Unknown"))</f>
        <v>QP-03</v>
      </c>
      <c r="J610" s="37" t="str">
        <f aca="false">IF(C610="","",IFERROR(INDEX(cl_Code,MATCH(C610,cl_Name,0)),"Unknown"))</f>
        <v>BSE</v>
      </c>
      <c r="K610" s="37" t="str">
        <f aca="false">IF(D610="","",IFERROR(INDEX(rt_Billable,MATCH(D610,rt_Code,0)),"Unknown"))</f>
        <v>Yes</v>
      </c>
      <c r="L610" s="38" t="n">
        <f aca="false">IF(K610&lt;&gt;"Yes","",IFERROR(INDEX(cr_Rate,MATCH(J610&amp;"|"&amp;D610,cr_Key,0)),INDEX(rt_Rate,MATCH(D610,rt_Code,0))))</f>
        <v>95</v>
      </c>
      <c r="M610" s="25" t="n">
        <f aca="false">IF(L610="","",ROUND(N(E610)*L610,2))</f>
        <v>142.5</v>
      </c>
      <c r="N610" s="39" t="n">
        <f aca="false">IF(OR(A610="",B610=""),"",SUMIFS(tl_Hours,tl_StaffID,I610,tl_Date,A610))</f>
        <v>8</v>
      </c>
      <c r="O610" s="40" t="str">
        <f aca="false">IF(A610&amp;B610&amp;D610="","",IF(OR(A610="",B610="",D610="",E610=""),"Incomplete",IF(K610="Unknown","Unknown code",IF(AND(K610="Yes",C610=""),"Billable, needs client",IF(N610&gt;MaxDayHours,"Over "&amp;MaxDayHours&amp;" hours that day","")))))</f>
        <v/>
      </c>
    </row>
    <row r="611" customFormat="false" ht="15" hidden="false" customHeight="false" outlineLevel="0" collapsed="false">
      <c r="A611" s="31" t="n">
        <v>46238</v>
      </c>
      <c r="B611" s="32" t="s">
        <v>100</v>
      </c>
      <c r="C611" s="32"/>
      <c r="D611" s="33" t="s">
        <v>96</v>
      </c>
      <c r="E611" s="34" t="n">
        <v>2.75</v>
      </c>
      <c r="F611" s="32"/>
      <c r="G611" s="35" t="n">
        <f aca="false">IF(A611="","",A611+7-WEEKDAY(A611))</f>
        <v>46242</v>
      </c>
      <c r="H611" s="36" t="n">
        <f aca="false">IF(A611="","",DATE(YEAR(A611),MONTH(A611),1))</f>
        <v>46235</v>
      </c>
      <c r="I611" s="37" t="str">
        <f aca="false">IF(B611="","",IFERROR(INDEX(st_ID,MATCH(B611,st_Name,0)),"Unknown"))</f>
        <v>QP-03</v>
      </c>
      <c r="J611" s="37" t="str">
        <f aca="false">IF(C611="","",IFERROR(INDEX(cl_Code,MATCH(C611,cl_Name,0)),"Unknown"))</f>
        <v/>
      </c>
      <c r="K611" s="37" t="str">
        <f aca="false">IF(D611="","",IFERROR(INDEX(rt_Billable,MATCH(D611,rt_Code,0)),"Unknown"))</f>
        <v>No</v>
      </c>
      <c r="L611" s="38" t="str">
        <f aca="false">IF(K611&lt;&gt;"Yes","",IFERROR(INDEX(cr_Rate,MATCH(J611&amp;"|"&amp;D611,cr_Key,0)),INDEX(rt_Rate,MATCH(D611,rt_Code,0))))</f>
        <v/>
      </c>
      <c r="M611" s="25" t="str">
        <f aca="false">IF(L611="","",ROUND(N(E611)*L611,2))</f>
        <v/>
      </c>
      <c r="N611" s="39" t="n">
        <f aca="false">IF(OR(A611="",B611=""),"",SUMIFS(tl_Hours,tl_StaffID,I611,tl_Date,A611))</f>
        <v>8</v>
      </c>
      <c r="O611" s="40" t="str">
        <f aca="false">IF(A611&amp;B611&amp;D611="","",IF(OR(A611="",B611="",D611="",E611=""),"Incomplete",IF(K611="Unknown","Unknown code",IF(AND(K611="Yes",C611=""),"Billable, needs client",IF(N611&gt;MaxDayHours,"Over "&amp;MaxDayHours&amp;" hours that day","")))))</f>
        <v/>
      </c>
    </row>
    <row r="612" customFormat="false" ht="15" hidden="false" customHeight="false" outlineLevel="0" collapsed="false">
      <c r="A612" s="31" t="n">
        <v>46238</v>
      </c>
      <c r="B612" s="32" t="s">
        <v>101</v>
      </c>
      <c r="C612" s="32" t="s">
        <v>87</v>
      </c>
      <c r="D612" s="33" t="s">
        <v>104</v>
      </c>
      <c r="E612" s="34" t="n">
        <v>4</v>
      </c>
      <c r="F612" s="32"/>
      <c r="G612" s="35" t="n">
        <f aca="false">IF(A612="","",A612+7-WEEKDAY(A612))</f>
        <v>46242</v>
      </c>
      <c r="H612" s="36" t="n">
        <f aca="false">IF(A612="","",DATE(YEAR(A612),MONTH(A612),1))</f>
        <v>46235</v>
      </c>
      <c r="I612" s="37" t="str">
        <f aca="false">IF(B612="","",IFERROR(INDEX(st_ID,MATCH(B612,st_Name,0)),"Unknown"))</f>
        <v>QP-04</v>
      </c>
      <c r="J612" s="37" t="str">
        <f aca="false">IF(C612="","",IFERROR(INDEX(cl_Code,MATCH(C612,cl_Name,0)),"Unknown"))</f>
        <v>HCS</v>
      </c>
      <c r="K612" s="37" t="str">
        <f aca="false">IF(D612="","",IFERROR(INDEX(rt_Billable,MATCH(D612,rt_Code,0)),"Unknown"))</f>
        <v>Yes</v>
      </c>
      <c r="L612" s="38" t="n">
        <f aca="false">IF(K612&lt;&gt;"Yes","",IFERROR(INDEX(cr_Rate,MATCH(J612&amp;"|"&amp;D612,cr_Key,0)),INDEX(rt_Rate,MATCH(D612,rt_Code,0))))</f>
        <v>62</v>
      </c>
      <c r="M612" s="25" t="n">
        <f aca="false">IF(L612="","",ROUND(N(E612)*L612,2))</f>
        <v>248</v>
      </c>
      <c r="N612" s="39" t="n">
        <f aca="false">IF(OR(A612="",B612=""),"",SUMIFS(tl_Hours,tl_StaffID,I612,tl_Date,A612))</f>
        <v>8</v>
      </c>
      <c r="O612" s="40" t="str">
        <f aca="false">IF(A612&amp;B612&amp;D612="","",IF(OR(A612="",B612="",D612="",E612=""),"Incomplete",IF(K612="Unknown","Unknown code",IF(AND(K612="Yes",C612=""),"Billable, needs client",IF(N612&gt;MaxDayHours,"Over "&amp;MaxDayHours&amp;" hours that day","")))))</f>
        <v/>
      </c>
    </row>
    <row r="613" customFormat="false" ht="15" hidden="false" customHeight="false" outlineLevel="0" collapsed="false">
      <c r="A613" s="31" t="n">
        <v>46238</v>
      </c>
      <c r="B613" s="32" t="s">
        <v>101</v>
      </c>
      <c r="C613" s="32" t="s">
        <v>87</v>
      </c>
      <c r="D613" s="33" t="s">
        <v>88</v>
      </c>
      <c r="E613" s="34" t="n">
        <v>2.25</v>
      </c>
      <c r="F613" s="32"/>
      <c r="G613" s="35" t="n">
        <f aca="false">IF(A613="","",A613+7-WEEKDAY(A613))</f>
        <v>46242</v>
      </c>
      <c r="H613" s="36" t="n">
        <f aca="false">IF(A613="","",DATE(YEAR(A613),MONTH(A613),1))</f>
        <v>46235</v>
      </c>
      <c r="I613" s="37" t="str">
        <f aca="false">IF(B613="","",IFERROR(INDEX(st_ID,MATCH(B613,st_Name,0)),"Unknown"))</f>
        <v>QP-04</v>
      </c>
      <c r="J613" s="37" t="str">
        <f aca="false">IF(C613="","",IFERROR(INDEX(cl_Code,MATCH(C613,cl_Name,0)),"Unknown"))</f>
        <v>HCS</v>
      </c>
      <c r="K613" s="37" t="str">
        <f aca="false">IF(D613="","",IFERROR(INDEX(rt_Billable,MATCH(D613,rt_Code,0)),"Unknown"))</f>
        <v>Yes</v>
      </c>
      <c r="L613" s="38" t="n">
        <f aca="false">IF(K613&lt;&gt;"Yes","",IFERROR(INDEX(cr_Rate,MATCH(J613&amp;"|"&amp;D613,cr_Key,0)),INDEX(rt_Rate,MATCH(D613,rt_Code,0))))</f>
        <v>98</v>
      </c>
      <c r="M613" s="25" t="n">
        <f aca="false">IF(L613="","",ROUND(N(E613)*L613,2))</f>
        <v>220.5</v>
      </c>
      <c r="N613" s="39" t="n">
        <f aca="false">IF(OR(A613="",B613=""),"",SUMIFS(tl_Hours,tl_StaffID,I613,tl_Date,A613))</f>
        <v>8</v>
      </c>
      <c r="O613" s="40" t="str">
        <f aca="false">IF(A613&amp;B613&amp;D613="","",IF(OR(A613="",B613="",D613="",E613=""),"Incomplete",IF(K613="Unknown","Unknown code",IF(AND(K613="Yes",C613=""),"Billable, needs client",IF(N613&gt;MaxDayHours,"Over "&amp;MaxDayHours&amp;" hours that day","")))))</f>
        <v/>
      </c>
    </row>
    <row r="614" customFormat="false" ht="15" hidden="false" customHeight="false" outlineLevel="0" collapsed="false">
      <c r="A614" s="31" t="n">
        <v>46238</v>
      </c>
      <c r="B614" s="32" t="s">
        <v>101</v>
      </c>
      <c r="C614" s="32"/>
      <c r="D614" s="33" t="s">
        <v>96</v>
      </c>
      <c r="E614" s="34" t="n">
        <v>1.75</v>
      </c>
      <c r="F614" s="32"/>
      <c r="G614" s="35" t="n">
        <f aca="false">IF(A614="","",A614+7-WEEKDAY(A614))</f>
        <v>46242</v>
      </c>
      <c r="H614" s="36" t="n">
        <f aca="false">IF(A614="","",DATE(YEAR(A614),MONTH(A614),1))</f>
        <v>46235</v>
      </c>
      <c r="I614" s="37" t="str">
        <f aca="false">IF(B614="","",IFERROR(INDEX(st_ID,MATCH(B614,st_Name,0)),"Unknown"))</f>
        <v>QP-04</v>
      </c>
      <c r="J614" s="37" t="str">
        <f aca="false">IF(C614="","",IFERROR(INDEX(cl_Code,MATCH(C614,cl_Name,0)),"Unknown"))</f>
        <v/>
      </c>
      <c r="K614" s="37" t="str">
        <f aca="false">IF(D614="","",IFERROR(INDEX(rt_Billable,MATCH(D614,rt_Code,0)),"Unknown"))</f>
        <v>No</v>
      </c>
      <c r="L614" s="38" t="str">
        <f aca="false">IF(K614&lt;&gt;"Yes","",IFERROR(INDEX(cr_Rate,MATCH(J614&amp;"|"&amp;D614,cr_Key,0)),INDEX(rt_Rate,MATCH(D614,rt_Code,0))))</f>
        <v/>
      </c>
      <c r="M614" s="25" t="str">
        <f aca="false">IF(L614="","",ROUND(N(E614)*L614,2))</f>
        <v/>
      </c>
      <c r="N614" s="39" t="n">
        <f aca="false">IF(OR(A614="",B614=""),"",SUMIFS(tl_Hours,tl_StaffID,I614,tl_Date,A614))</f>
        <v>8</v>
      </c>
      <c r="O614" s="40" t="str">
        <f aca="false">IF(A614&amp;B614&amp;D614="","",IF(OR(A614="",B614="",D614="",E614=""),"Incomplete",IF(K614="Unknown","Unknown code",IF(AND(K614="Yes",C614=""),"Billable, needs client",IF(N614&gt;MaxDayHours,"Over "&amp;MaxDayHours&amp;" hours that day","")))))</f>
        <v/>
      </c>
    </row>
    <row r="615" customFormat="false" ht="15" hidden="false" customHeight="false" outlineLevel="0" collapsed="false">
      <c r="A615" s="31" t="n">
        <v>46238</v>
      </c>
      <c r="B615" s="32" t="s">
        <v>103</v>
      </c>
      <c r="C615" s="32" t="s">
        <v>111</v>
      </c>
      <c r="D615" s="33" t="s">
        <v>104</v>
      </c>
      <c r="E615" s="34" t="n">
        <v>4</v>
      </c>
      <c r="F615" s="32"/>
      <c r="G615" s="35" t="n">
        <f aca="false">IF(A615="","",A615+7-WEEKDAY(A615))</f>
        <v>46242</v>
      </c>
      <c r="H615" s="36" t="n">
        <f aca="false">IF(A615="","",DATE(YEAR(A615),MONTH(A615),1))</f>
        <v>46235</v>
      </c>
      <c r="I615" s="37" t="str">
        <f aca="false">IF(B615="","",IFERROR(INDEX(st_ID,MATCH(B615,st_Name,0)),"Unknown"))</f>
        <v>QP-05</v>
      </c>
      <c r="J615" s="37" t="str">
        <f aca="false">IF(C615="","",IFERROR(INDEX(cl_Code,MATCH(C615,cl_Name,0)),"Unknown"))</f>
        <v>WMS</v>
      </c>
      <c r="K615" s="37" t="str">
        <f aca="false">IF(D615="","",IFERROR(INDEX(rt_Billable,MATCH(D615,rt_Code,0)),"Unknown"))</f>
        <v>Yes</v>
      </c>
      <c r="L615" s="38" t="n">
        <f aca="false">IF(K615&lt;&gt;"Yes","",IFERROR(INDEX(cr_Rate,MATCH(J615&amp;"|"&amp;D615,cr_Key,0)),INDEX(rt_Rate,MATCH(D615,rt_Code,0))))</f>
        <v>70</v>
      </c>
      <c r="M615" s="25" t="n">
        <f aca="false">IF(L615="","",ROUND(N(E615)*L615,2))</f>
        <v>280</v>
      </c>
      <c r="N615" s="39" t="n">
        <f aca="false">IF(OR(A615="",B615=""),"",SUMIFS(tl_Hours,tl_StaffID,I615,tl_Date,A615))</f>
        <v>8</v>
      </c>
      <c r="O615" s="40" t="str">
        <f aca="false">IF(A615&amp;B615&amp;D615="","",IF(OR(A615="",B615="",D615="",E615=""),"Incomplete",IF(K615="Unknown","Unknown code",IF(AND(K615="Yes",C615=""),"Billable, needs client",IF(N615&gt;MaxDayHours,"Over "&amp;MaxDayHours&amp;" hours that day","")))))</f>
        <v/>
      </c>
    </row>
    <row r="616" customFormat="false" ht="15" hidden="false" customHeight="false" outlineLevel="0" collapsed="false">
      <c r="A616" s="31" t="n">
        <v>46238</v>
      </c>
      <c r="B616" s="32" t="s">
        <v>103</v>
      </c>
      <c r="C616" s="32" t="s">
        <v>111</v>
      </c>
      <c r="D616" s="33" t="s">
        <v>92</v>
      </c>
      <c r="E616" s="34" t="n">
        <v>1</v>
      </c>
      <c r="F616" s="32"/>
      <c r="G616" s="35" t="n">
        <f aca="false">IF(A616="","",A616+7-WEEKDAY(A616))</f>
        <v>46242</v>
      </c>
      <c r="H616" s="36" t="n">
        <f aca="false">IF(A616="","",DATE(YEAR(A616),MONTH(A616),1))</f>
        <v>46235</v>
      </c>
      <c r="I616" s="37" t="str">
        <f aca="false">IF(B616="","",IFERROR(INDEX(st_ID,MATCH(B616,st_Name,0)),"Unknown"))</f>
        <v>QP-05</v>
      </c>
      <c r="J616" s="37" t="str">
        <f aca="false">IF(C616="","",IFERROR(INDEX(cl_Code,MATCH(C616,cl_Name,0)),"Unknown"))</f>
        <v>WMS</v>
      </c>
      <c r="K616" s="37" t="str">
        <f aca="false">IF(D616="","",IFERROR(INDEX(rt_Billable,MATCH(D616,rt_Code,0)),"Unknown"))</f>
        <v>Yes</v>
      </c>
      <c r="L616" s="38" t="n">
        <f aca="false">IF(K616&lt;&gt;"Yes","",IFERROR(INDEX(cr_Rate,MATCH(J616&amp;"|"&amp;D616,cr_Key,0)),INDEX(rt_Rate,MATCH(D616,rt_Code,0))))</f>
        <v>150</v>
      </c>
      <c r="M616" s="25" t="n">
        <f aca="false">IF(L616="","",ROUND(N(E616)*L616,2))</f>
        <v>150</v>
      </c>
      <c r="N616" s="39" t="n">
        <f aca="false">IF(OR(A616="",B616=""),"",SUMIFS(tl_Hours,tl_StaffID,I616,tl_Date,A616))</f>
        <v>8</v>
      </c>
      <c r="O616" s="40" t="str">
        <f aca="false">IF(A616&amp;B616&amp;D616="","",IF(OR(A616="",B616="",D616="",E616=""),"Incomplete",IF(K616="Unknown","Unknown code",IF(AND(K616="Yes",C616=""),"Billable, needs client",IF(N616&gt;MaxDayHours,"Over "&amp;MaxDayHours&amp;" hours that day","")))))</f>
        <v/>
      </c>
    </row>
    <row r="617" customFormat="false" ht="15" hidden="false" customHeight="false" outlineLevel="0" collapsed="false">
      <c r="A617" s="31" t="n">
        <v>46238</v>
      </c>
      <c r="B617" s="32" t="s">
        <v>103</v>
      </c>
      <c r="C617" s="32"/>
      <c r="D617" s="33" t="s">
        <v>96</v>
      </c>
      <c r="E617" s="34" t="n">
        <v>3</v>
      </c>
      <c r="F617" s="32"/>
      <c r="G617" s="35" t="n">
        <f aca="false">IF(A617="","",A617+7-WEEKDAY(A617))</f>
        <v>46242</v>
      </c>
      <c r="H617" s="36" t="n">
        <f aca="false">IF(A617="","",DATE(YEAR(A617),MONTH(A617),1))</f>
        <v>46235</v>
      </c>
      <c r="I617" s="37" t="str">
        <f aca="false">IF(B617="","",IFERROR(INDEX(st_ID,MATCH(B617,st_Name,0)),"Unknown"))</f>
        <v>QP-05</v>
      </c>
      <c r="J617" s="37" t="str">
        <f aca="false">IF(C617="","",IFERROR(INDEX(cl_Code,MATCH(C617,cl_Name,0)),"Unknown"))</f>
        <v/>
      </c>
      <c r="K617" s="37" t="str">
        <f aca="false">IF(D617="","",IFERROR(INDEX(rt_Billable,MATCH(D617,rt_Code,0)),"Unknown"))</f>
        <v>No</v>
      </c>
      <c r="L617" s="38" t="str">
        <f aca="false">IF(K617&lt;&gt;"Yes","",IFERROR(INDEX(cr_Rate,MATCH(J617&amp;"|"&amp;D617,cr_Key,0)),INDEX(rt_Rate,MATCH(D617,rt_Code,0))))</f>
        <v/>
      </c>
      <c r="M617" s="25" t="str">
        <f aca="false">IF(L617="","",ROUND(N(E617)*L617,2))</f>
        <v/>
      </c>
      <c r="N617" s="39" t="n">
        <f aca="false">IF(OR(A617="",B617=""),"",SUMIFS(tl_Hours,tl_StaffID,I617,tl_Date,A617))</f>
        <v>8</v>
      </c>
      <c r="O617" s="40" t="str">
        <f aca="false">IF(A617&amp;B617&amp;D617="","",IF(OR(A617="",B617="",D617="",E617=""),"Incomplete",IF(K617="Unknown","Unknown code",IF(AND(K617="Yes",C617=""),"Billable, needs client",IF(N617&gt;MaxDayHours,"Over "&amp;MaxDayHours&amp;" hours that day","")))))</f>
        <v/>
      </c>
    </row>
    <row r="618" customFormat="false" ht="15" hidden="false" customHeight="false" outlineLevel="0" collapsed="false">
      <c r="A618" s="31" t="n">
        <v>46238</v>
      </c>
      <c r="B618" s="32" t="s">
        <v>105</v>
      </c>
      <c r="C618" s="32" t="s">
        <v>87</v>
      </c>
      <c r="D618" s="33" t="s">
        <v>104</v>
      </c>
      <c r="E618" s="34" t="n">
        <v>3</v>
      </c>
      <c r="F618" s="32"/>
      <c r="G618" s="35" t="n">
        <f aca="false">IF(A618="","",A618+7-WEEKDAY(A618))</f>
        <v>46242</v>
      </c>
      <c r="H618" s="36" t="n">
        <f aca="false">IF(A618="","",DATE(YEAR(A618),MONTH(A618),1))</f>
        <v>46235</v>
      </c>
      <c r="I618" s="37" t="str">
        <f aca="false">IF(B618="","",IFERROR(INDEX(st_ID,MATCH(B618,st_Name,0)),"Unknown"))</f>
        <v>QP-06</v>
      </c>
      <c r="J618" s="37" t="str">
        <f aca="false">IF(C618="","",IFERROR(INDEX(cl_Code,MATCH(C618,cl_Name,0)),"Unknown"))</f>
        <v>HCS</v>
      </c>
      <c r="K618" s="37" t="str">
        <f aca="false">IF(D618="","",IFERROR(INDEX(rt_Billable,MATCH(D618,rt_Code,0)),"Unknown"))</f>
        <v>Yes</v>
      </c>
      <c r="L618" s="38" t="n">
        <f aca="false">IF(K618&lt;&gt;"Yes","",IFERROR(INDEX(cr_Rate,MATCH(J618&amp;"|"&amp;D618,cr_Key,0)),INDEX(rt_Rate,MATCH(D618,rt_Code,0))))</f>
        <v>62</v>
      </c>
      <c r="M618" s="25" t="n">
        <f aca="false">IF(L618="","",ROUND(N(E618)*L618,2))</f>
        <v>186</v>
      </c>
      <c r="N618" s="39" t="n">
        <f aca="false">IF(OR(A618="",B618=""),"",SUMIFS(tl_Hours,tl_StaffID,I618,tl_Date,A618))</f>
        <v>8</v>
      </c>
      <c r="O618" s="40" t="str">
        <f aca="false">IF(A618&amp;B618&amp;D618="","",IF(OR(A618="",B618="",D618="",E618=""),"Incomplete",IF(K618="Unknown","Unknown code",IF(AND(K618="Yes",C618=""),"Billable, needs client",IF(N618&gt;MaxDayHours,"Over "&amp;MaxDayHours&amp;" hours that day","")))))</f>
        <v/>
      </c>
    </row>
    <row r="619" customFormat="false" ht="15" hidden="false" customHeight="false" outlineLevel="0" collapsed="false">
      <c r="A619" s="31" t="n">
        <v>46238</v>
      </c>
      <c r="B619" s="32" t="s">
        <v>105</v>
      </c>
      <c r="C619" s="32" t="s">
        <v>87</v>
      </c>
      <c r="D619" s="33" t="s">
        <v>89</v>
      </c>
      <c r="E619" s="34" t="n">
        <v>2</v>
      </c>
      <c r="F619" s="32"/>
      <c r="G619" s="35" t="n">
        <f aca="false">IF(A619="","",A619+7-WEEKDAY(A619))</f>
        <v>46242</v>
      </c>
      <c r="H619" s="36" t="n">
        <f aca="false">IF(A619="","",DATE(YEAR(A619),MONTH(A619),1))</f>
        <v>46235</v>
      </c>
      <c r="I619" s="37" t="str">
        <f aca="false">IF(B619="","",IFERROR(INDEX(st_ID,MATCH(B619,st_Name,0)),"Unknown"))</f>
        <v>QP-06</v>
      </c>
      <c r="J619" s="37" t="str">
        <f aca="false">IF(C619="","",IFERROR(INDEX(cl_Code,MATCH(C619,cl_Name,0)),"Unknown"))</f>
        <v>HCS</v>
      </c>
      <c r="K619" s="37" t="str">
        <f aca="false">IF(D619="","",IFERROR(INDEX(rt_Billable,MATCH(D619,rt_Code,0)),"Unknown"))</f>
        <v>Yes</v>
      </c>
      <c r="L619" s="38" t="n">
        <f aca="false">IF(K619&lt;&gt;"Yes","",IFERROR(INDEX(cr_Rate,MATCH(J619&amp;"|"&amp;D619,cr_Key,0)),INDEX(rt_Rate,MATCH(D619,rt_Code,0))))</f>
        <v>88</v>
      </c>
      <c r="M619" s="25" t="n">
        <f aca="false">IF(L619="","",ROUND(N(E619)*L619,2))</f>
        <v>176</v>
      </c>
      <c r="N619" s="39" t="n">
        <f aca="false">IF(OR(A619="",B619=""),"",SUMIFS(tl_Hours,tl_StaffID,I619,tl_Date,A619))</f>
        <v>8</v>
      </c>
      <c r="O619" s="40" t="str">
        <f aca="false">IF(A619&amp;B619&amp;D619="","",IF(OR(A619="",B619="",D619="",E619=""),"Incomplete",IF(K619="Unknown","Unknown code",IF(AND(K619="Yes",C619=""),"Billable, needs client",IF(N619&gt;MaxDayHours,"Over "&amp;MaxDayHours&amp;" hours that day","")))))</f>
        <v/>
      </c>
    </row>
    <row r="620" customFormat="false" ht="15" hidden="false" customHeight="false" outlineLevel="0" collapsed="false">
      <c r="A620" s="31" t="n">
        <v>46238</v>
      </c>
      <c r="B620" s="32" t="s">
        <v>105</v>
      </c>
      <c r="C620" s="32"/>
      <c r="D620" s="33" t="s">
        <v>96</v>
      </c>
      <c r="E620" s="34" t="n">
        <v>3</v>
      </c>
      <c r="F620" s="32"/>
      <c r="G620" s="35" t="n">
        <f aca="false">IF(A620="","",A620+7-WEEKDAY(A620))</f>
        <v>46242</v>
      </c>
      <c r="H620" s="36" t="n">
        <f aca="false">IF(A620="","",DATE(YEAR(A620),MONTH(A620),1))</f>
        <v>46235</v>
      </c>
      <c r="I620" s="37" t="str">
        <f aca="false">IF(B620="","",IFERROR(INDEX(st_ID,MATCH(B620,st_Name,0)),"Unknown"))</f>
        <v>QP-06</v>
      </c>
      <c r="J620" s="37" t="str">
        <f aca="false">IF(C620="","",IFERROR(INDEX(cl_Code,MATCH(C620,cl_Name,0)),"Unknown"))</f>
        <v/>
      </c>
      <c r="K620" s="37" t="str">
        <f aca="false">IF(D620="","",IFERROR(INDEX(rt_Billable,MATCH(D620,rt_Code,0)),"Unknown"))</f>
        <v>No</v>
      </c>
      <c r="L620" s="38" t="str">
        <f aca="false">IF(K620&lt;&gt;"Yes","",IFERROR(INDEX(cr_Rate,MATCH(J620&amp;"|"&amp;D620,cr_Key,0)),INDEX(rt_Rate,MATCH(D620,rt_Code,0))))</f>
        <v/>
      </c>
      <c r="M620" s="25" t="str">
        <f aca="false">IF(L620="","",ROUND(N(E620)*L620,2))</f>
        <v/>
      </c>
      <c r="N620" s="39" t="n">
        <f aca="false">IF(OR(A620="",B620=""),"",SUMIFS(tl_Hours,tl_StaffID,I620,tl_Date,A620))</f>
        <v>8</v>
      </c>
      <c r="O620" s="40" t="str">
        <f aca="false">IF(A620&amp;B620&amp;D620="","",IF(OR(A620="",B620="",D620="",E620=""),"Incomplete",IF(K620="Unknown","Unknown code",IF(AND(K620="Yes",C620=""),"Billable, needs client",IF(N620&gt;MaxDayHours,"Over "&amp;MaxDayHours&amp;" hours that day","")))))</f>
        <v/>
      </c>
    </row>
    <row r="621" customFormat="false" ht="15" hidden="false" customHeight="false" outlineLevel="0" collapsed="false">
      <c r="A621" s="31" t="n">
        <v>46238</v>
      </c>
      <c r="B621" s="32" t="s">
        <v>106</v>
      </c>
      <c r="C621" s="32" t="s">
        <v>87</v>
      </c>
      <c r="D621" s="33" t="s">
        <v>88</v>
      </c>
      <c r="E621" s="34" t="n">
        <v>3.25</v>
      </c>
      <c r="F621" s="32"/>
      <c r="G621" s="35" t="n">
        <f aca="false">IF(A621="","",A621+7-WEEKDAY(A621))</f>
        <v>46242</v>
      </c>
      <c r="H621" s="36" t="n">
        <f aca="false">IF(A621="","",DATE(YEAR(A621),MONTH(A621),1))</f>
        <v>46235</v>
      </c>
      <c r="I621" s="37" t="str">
        <f aca="false">IF(B621="","",IFERROR(INDEX(st_ID,MATCH(B621,st_Name,0)),"Unknown"))</f>
        <v>QP-07</v>
      </c>
      <c r="J621" s="37" t="str">
        <f aca="false">IF(C621="","",IFERROR(INDEX(cl_Code,MATCH(C621,cl_Name,0)),"Unknown"))</f>
        <v>HCS</v>
      </c>
      <c r="K621" s="37" t="str">
        <f aca="false">IF(D621="","",IFERROR(INDEX(rt_Billable,MATCH(D621,rt_Code,0)),"Unknown"))</f>
        <v>Yes</v>
      </c>
      <c r="L621" s="38" t="n">
        <f aca="false">IF(K621&lt;&gt;"Yes","",IFERROR(INDEX(cr_Rate,MATCH(J621&amp;"|"&amp;D621,cr_Key,0)),INDEX(rt_Rate,MATCH(D621,rt_Code,0))))</f>
        <v>98</v>
      </c>
      <c r="M621" s="25" t="n">
        <f aca="false">IF(L621="","",ROUND(N(E621)*L621,2))</f>
        <v>318.5</v>
      </c>
      <c r="N621" s="39" t="n">
        <f aca="false">IF(OR(A621="",B621=""),"",SUMIFS(tl_Hours,tl_StaffID,I621,tl_Date,A621))</f>
        <v>8</v>
      </c>
      <c r="O621" s="40" t="str">
        <f aca="false">IF(A621&amp;B621&amp;D621="","",IF(OR(A621="",B621="",D621="",E621=""),"Incomplete",IF(K621="Unknown","Unknown code",IF(AND(K621="Yes",C621=""),"Billable, needs client",IF(N621&gt;MaxDayHours,"Over "&amp;MaxDayHours&amp;" hours that day","")))))</f>
        <v/>
      </c>
    </row>
    <row r="622" customFormat="false" ht="15" hidden="false" customHeight="false" outlineLevel="0" collapsed="false">
      <c r="A622" s="31" t="n">
        <v>46238</v>
      </c>
      <c r="B622" s="32" t="s">
        <v>106</v>
      </c>
      <c r="C622" s="32" t="s">
        <v>87</v>
      </c>
      <c r="D622" s="33" t="s">
        <v>113</v>
      </c>
      <c r="E622" s="34" t="n">
        <v>1.75</v>
      </c>
      <c r="F622" s="32"/>
      <c r="G622" s="35" t="n">
        <f aca="false">IF(A622="","",A622+7-WEEKDAY(A622))</f>
        <v>46242</v>
      </c>
      <c r="H622" s="36" t="n">
        <f aca="false">IF(A622="","",DATE(YEAR(A622),MONTH(A622),1))</f>
        <v>46235</v>
      </c>
      <c r="I622" s="37" t="str">
        <f aca="false">IF(B622="","",IFERROR(INDEX(st_ID,MATCH(B622,st_Name,0)),"Unknown"))</f>
        <v>QP-07</v>
      </c>
      <c r="J622" s="37" t="str">
        <f aca="false">IF(C622="","",IFERROR(INDEX(cl_Code,MATCH(C622,cl_Name,0)),"Unknown"))</f>
        <v>HCS</v>
      </c>
      <c r="K622" s="37" t="str">
        <f aca="false">IF(D622="","",IFERROR(INDEX(rt_Billable,MATCH(D622,rt_Code,0)),"Unknown"))</f>
        <v>Yes</v>
      </c>
      <c r="L622" s="38" t="n">
        <f aca="false">IF(K622&lt;&gt;"Yes","",IFERROR(INDEX(cr_Rate,MATCH(J622&amp;"|"&amp;D622,cr_Key,0)),INDEX(rt_Rate,MATCH(D622,rt_Code,0))))</f>
        <v>85</v>
      </c>
      <c r="M622" s="25" t="n">
        <f aca="false">IF(L622="","",ROUND(N(E622)*L622,2))</f>
        <v>148.75</v>
      </c>
      <c r="N622" s="39" t="n">
        <f aca="false">IF(OR(A622="",B622=""),"",SUMIFS(tl_Hours,tl_StaffID,I622,tl_Date,A622))</f>
        <v>8</v>
      </c>
      <c r="O622" s="40" t="str">
        <f aca="false">IF(A622&amp;B622&amp;D622="","",IF(OR(A622="",B622="",D622="",E622=""),"Incomplete",IF(K622="Unknown","Unknown code",IF(AND(K622="Yes",C622=""),"Billable, needs client",IF(N622&gt;MaxDayHours,"Over "&amp;MaxDayHours&amp;" hours that day","")))))</f>
        <v/>
      </c>
    </row>
    <row r="623" customFormat="false" ht="15" hidden="false" customHeight="false" outlineLevel="0" collapsed="false">
      <c r="A623" s="31" t="n">
        <v>46238</v>
      </c>
      <c r="B623" s="32" t="s">
        <v>106</v>
      </c>
      <c r="C623" s="32"/>
      <c r="D623" s="33" t="s">
        <v>94</v>
      </c>
      <c r="E623" s="34" t="n">
        <v>1.5</v>
      </c>
      <c r="F623" s="32" t="s">
        <v>95</v>
      </c>
      <c r="G623" s="35" t="n">
        <f aca="false">IF(A623="","",A623+7-WEEKDAY(A623))</f>
        <v>46242</v>
      </c>
      <c r="H623" s="36" t="n">
        <f aca="false">IF(A623="","",DATE(YEAR(A623),MONTH(A623),1))</f>
        <v>46235</v>
      </c>
      <c r="I623" s="37" t="str">
        <f aca="false">IF(B623="","",IFERROR(INDEX(st_ID,MATCH(B623,st_Name,0)),"Unknown"))</f>
        <v>QP-07</v>
      </c>
      <c r="J623" s="37" t="str">
        <f aca="false">IF(C623="","",IFERROR(INDEX(cl_Code,MATCH(C623,cl_Name,0)),"Unknown"))</f>
        <v/>
      </c>
      <c r="K623" s="37" t="str">
        <f aca="false">IF(D623="","",IFERROR(INDEX(rt_Billable,MATCH(D623,rt_Code,0)),"Unknown"))</f>
        <v>No</v>
      </c>
      <c r="L623" s="38" t="str">
        <f aca="false">IF(K623&lt;&gt;"Yes","",IFERROR(INDEX(cr_Rate,MATCH(J623&amp;"|"&amp;D623,cr_Key,0)),INDEX(rt_Rate,MATCH(D623,rt_Code,0))))</f>
        <v/>
      </c>
      <c r="M623" s="25" t="str">
        <f aca="false">IF(L623="","",ROUND(N(E623)*L623,2))</f>
        <v/>
      </c>
      <c r="N623" s="39" t="n">
        <f aca="false">IF(OR(A623="",B623=""),"",SUMIFS(tl_Hours,tl_StaffID,I623,tl_Date,A623))</f>
        <v>8</v>
      </c>
      <c r="O623" s="40" t="str">
        <f aca="false">IF(A623&amp;B623&amp;D623="","",IF(OR(A623="",B623="",D623="",E623=""),"Incomplete",IF(K623="Unknown","Unknown code",IF(AND(K623="Yes",C623=""),"Billable, needs client",IF(N623&gt;MaxDayHours,"Over "&amp;MaxDayHours&amp;" hours that day","")))))</f>
        <v/>
      </c>
    </row>
    <row r="624" customFormat="false" ht="15" hidden="false" customHeight="false" outlineLevel="0" collapsed="false">
      <c r="A624" s="31" t="n">
        <v>46238</v>
      </c>
      <c r="B624" s="32" t="s">
        <v>106</v>
      </c>
      <c r="C624" s="32"/>
      <c r="D624" s="33" t="s">
        <v>96</v>
      </c>
      <c r="E624" s="34" t="n">
        <v>1.5</v>
      </c>
      <c r="F624" s="32"/>
      <c r="G624" s="35" t="n">
        <f aca="false">IF(A624="","",A624+7-WEEKDAY(A624))</f>
        <v>46242</v>
      </c>
      <c r="H624" s="36" t="n">
        <f aca="false">IF(A624="","",DATE(YEAR(A624),MONTH(A624),1))</f>
        <v>46235</v>
      </c>
      <c r="I624" s="37" t="str">
        <f aca="false">IF(B624="","",IFERROR(INDEX(st_ID,MATCH(B624,st_Name,0)),"Unknown"))</f>
        <v>QP-07</v>
      </c>
      <c r="J624" s="37" t="str">
        <f aca="false">IF(C624="","",IFERROR(INDEX(cl_Code,MATCH(C624,cl_Name,0)),"Unknown"))</f>
        <v/>
      </c>
      <c r="K624" s="37" t="str">
        <f aca="false">IF(D624="","",IFERROR(INDEX(rt_Billable,MATCH(D624,rt_Code,0)),"Unknown"))</f>
        <v>No</v>
      </c>
      <c r="L624" s="38" t="str">
        <f aca="false">IF(K624&lt;&gt;"Yes","",IFERROR(INDEX(cr_Rate,MATCH(J624&amp;"|"&amp;D624,cr_Key,0)),INDEX(rt_Rate,MATCH(D624,rt_Code,0))))</f>
        <v/>
      </c>
      <c r="M624" s="25" t="str">
        <f aca="false">IF(L624="","",ROUND(N(E624)*L624,2))</f>
        <v/>
      </c>
      <c r="N624" s="39" t="n">
        <f aca="false">IF(OR(A624="",B624=""),"",SUMIFS(tl_Hours,tl_StaffID,I624,tl_Date,A624))</f>
        <v>8</v>
      </c>
      <c r="O624" s="40" t="str">
        <f aca="false">IF(A624&amp;B624&amp;D624="","",IF(OR(A624="",B624="",D624="",E624=""),"Incomplete",IF(K624="Unknown","Unknown code",IF(AND(K624="Yes",C624=""),"Billable, needs client",IF(N624&gt;MaxDayHours,"Over "&amp;MaxDayHours&amp;" hours that day","")))))</f>
        <v/>
      </c>
    </row>
    <row r="625" customFormat="false" ht="15" hidden="false" customHeight="false" outlineLevel="0" collapsed="false">
      <c r="A625" s="31" t="n">
        <v>46238</v>
      </c>
      <c r="B625" s="32" t="s">
        <v>107</v>
      </c>
      <c r="C625" s="32"/>
      <c r="D625" s="33" t="s">
        <v>108</v>
      </c>
      <c r="E625" s="34" t="n">
        <v>6.5</v>
      </c>
      <c r="F625" s="32"/>
      <c r="G625" s="35" t="n">
        <f aca="false">IF(A625="","",A625+7-WEEKDAY(A625))</f>
        <v>46242</v>
      </c>
      <c r="H625" s="36" t="n">
        <f aca="false">IF(A625="","",DATE(YEAR(A625),MONTH(A625),1))</f>
        <v>46235</v>
      </c>
      <c r="I625" s="37" t="str">
        <f aca="false">IF(B625="","",IFERROR(INDEX(st_ID,MATCH(B625,st_Name,0)),"Unknown"))</f>
        <v>QP-08</v>
      </c>
      <c r="J625" s="37" t="str">
        <f aca="false">IF(C625="","",IFERROR(INDEX(cl_Code,MATCH(C625,cl_Name,0)),"Unknown"))</f>
        <v/>
      </c>
      <c r="K625" s="37" t="str">
        <f aca="false">IF(D625="","",IFERROR(INDEX(rt_Billable,MATCH(D625,rt_Code,0)),"Unknown"))</f>
        <v>No</v>
      </c>
      <c r="L625" s="38" t="str">
        <f aca="false">IF(K625&lt;&gt;"Yes","",IFERROR(INDEX(cr_Rate,MATCH(J625&amp;"|"&amp;D625,cr_Key,0)),INDEX(rt_Rate,MATCH(D625,rt_Code,0))))</f>
        <v/>
      </c>
      <c r="M625" s="25" t="str">
        <f aca="false">IF(L625="","",ROUND(N(E625)*L625,2))</f>
        <v/>
      </c>
      <c r="N625" s="39" t="n">
        <f aca="false">IF(OR(A625="",B625=""),"",SUMIFS(tl_Hours,tl_StaffID,I625,tl_Date,A625))</f>
        <v>8</v>
      </c>
      <c r="O625" s="40" t="str">
        <f aca="false">IF(A625&amp;B625&amp;D625="","",IF(OR(A625="",B625="",D625="",E625=""),"Incomplete",IF(K625="Unknown","Unknown code",IF(AND(K625="Yes",C625=""),"Billable, needs client",IF(N625&gt;MaxDayHours,"Over "&amp;MaxDayHours&amp;" hours that day","")))))</f>
        <v/>
      </c>
    </row>
    <row r="626" customFormat="false" ht="15" hidden="false" customHeight="false" outlineLevel="0" collapsed="false">
      <c r="A626" s="31" t="n">
        <v>46238</v>
      </c>
      <c r="B626" s="32" t="s">
        <v>107</v>
      </c>
      <c r="C626" s="32"/>
      <c r="D626" s="33" t="s">
        <v>98</v>
      </c>
      <c r="E626" s="34" t="n">
        <v>1.5</v>
      </c>
      <c r="F626" s="32"/>
      <c r="G626" s="35" t="n">
        <f aca="false">IF(A626="","",A626+7-WEEKDAY(A626))</f>
        <v>46242</v>
      </c>
      <c r="H626" s="36" t="n">
        <f aca="false">IF(A626="","",DATE(YEAR(A626),MONTH(A626),1))</f>
        <v>46235</v>
      </c>
      <c r="I626" s="37" t="str">
        <f aca="false">IF(B626="","",IFERROR(INDEX(st_ID,MATCH(B626,st_Name,0)),"Unknown"))</f>
        <v>QP-08</v>
      </c>
      <c r="J626" s="37" t="str">
        <f aca="false">IF(C626="","",IFERROR(INDEX(cl_Code,MATCH(C626,cl_Name,0)),"Unknown"))</f>
        <v/>
      </c>
      <c r="K626" s="37" t="str">
        <f aca="false">IF(D626="","",IFERROR(INDEX(rt_Billable,MATCH(D626,rt_Code,0)),"Unknown"))</f>
        <v>No</v>
      </c>
      <c r="L626" s="38" t="str">
        <f aca="false">IF(K626&lt;&gt;"Yes","",IFERROR(INDEX(cr_Rate,MATCH(J626&amp;"|"&amp;D626,cr_Key,0)),INDEX(rt_Rate,MATCH(D626,rt_Code,0))))</f>
        <v/>
      </c>
      <c r="M626" s="25" t="str">
        <f aca="false">IF(L626="","",ROUND(N(E626)*L626,2))</f>
        <v/>
      </c>
      <c r="N626" s="39" t="n">
        <f aca="false">IF(OR(A626="",B626=""),"",SUMIFS(tl_Hours,tl_StaffID,I626,tl_Date,A626))</f>
        <v>8</v>
      </c>
      <c r="O626" s="40" t="str">
        <f aca="false">IF(A626&amp;B626&amp;D626="","",IF(OR(A626="",B626="",D626="",E626=""),"Incomplete",IF(K626="Unknown","Unknown code",IF(AND(K626="Yes",C626=""),"Billable, needs client",IF(N626&gt;MaxDayHours,"Over "&amp;MaxDayHours&amp;" hours that day","")))))</f>
        <v/>
      </c>
    </row>
    <row r="627" customFormat="false" ht="15" hidden="false" customHeight="false" outlineLevel="0" collapsed="false">
      <c r="A627" s="31" t="n">
        <v>46239</v>
      </c>
      <c r="B627" s="32" t="s">
        <v>86</v>
      </c>
      <c r="C627" s="32" t="s">
        <v>87</v>
      </c>
      <c r="D627" s="33" t="s">
        <v>104</v>
      </c>
      <c r="E627" s="34" t="n">
        <v>2.5</v>
      </c>
      <c r="F627" s="32"/>
      <c r="G627" s="35" t="n">
        <f aca="false">IF(A627="","",A627+7-WEEKDAY(A627))</f>
        <v>46242</v>
      </c>
      <c r="H627" s="36" t="n">
        <f aca="false">IF(A627="","",DATE(YEAR(A627),MONTH(A627),1))</f>
        <v>46235</v>
      </c>
      <c r="I627" s="37" t="str">
        <f aca="false">IF(B627="","",IFERROR(INDEX(st_ID,MATCH(B627,st_Name,0)),"Unknown"))</f>
        <v>QP-01</v>
      </c>
      <c r="J627" s="37" t="str">
        <f aca="false">IF(C627="","",IFERROR(INDEX(cl_Code,MATCH(C627,cl_Name,0)),"Unknown"))</f>
        <v>HCS</v>
      </c>
      <c r="K627" s="37" t="str">
        <f aca="false">IF(D627="","",IFERROR(INDEX(rt_Billable,MATCH(D627,rt_Code,0)),"Unknown"))</f>
        <v>Yes</v>
      </c>
      <c r="L627" s="38" t="n">
        <f aca="false">IF(K627&lt;&gt;"Yes","",IFERROR(INDEX(cr_Rate,MATCH(J627&amp;"|"&amp;D627,cr_Key,0)),INDEX(rt_Rate,MATCH(D627,rt_Code,0))))</f>
        <v>62</v>
      </c>
      <c r="M627" s="25" t="n">
        <f aca="false">IF(L627="","",ROUND(N(E627)*L627,2))</f>
        <v>155</v>
      </c>
      <c r="N627" s="39" t="n">
        <f aca="false">IF(OR(A627="",B627=""),"",SUMIFS(tl_Hours,tl_StaffID,I627,tl_Date,A627))</f>
        <v>8</v>
      </c>
      <c r="O627" s="40" t="str">
        <f aca="false">IF(A627&amp;B627&amp;D627="","",IF(OR(A627="",B627="",D627="",E627=""),"Incomplete",IF(K627="Unknown","Unknown code",IF(AND(K627="Yes",C627=""),"Billable, needs client",IF(N627&gt;MaxDayHours,"Over "&amp;MaxDayHours&amp;" hours that day","")))))</f>
        <v/>
      </c>
    </row>
    <row r="628" customFormat="false" ht="15" hidden="false" customHeight="false" outlineLevel="0" collapsed="false">
      <c r="A628" s="31" t="n">
        <v>46239</v>
      </c>
      <c r="B628" s="32" t="s">
        <v>86</v>
      </c>
      <c r="C628" s="32" t="s">
        <v>87</v>
      </c>
      <c r="D628" s="33" t="s">
        <v>89</v>
      </c>
      <c r="E628" s="34" t="n">
        <v>0.5</v>
      </c>
      <c r="F628" s="32"/>
      <c r="G628" s="35" t="n">
        <f aca="false">IF(A628="","",A628+7-WEEKDAY(A628))</f>
        <v>46242</v>
      </c>
      <c r="H628" s="36" t="n">
        <f aca="false">IF(A628="","",DATE(YEAR(A628),MONTH(A628),1))</f>
        <v>46235</v>
      </c>
      <c r="I628" s="37" t="str">
        <f aca="false">IF(B628="","",IFERROR(INDEX(st_ID,MATCH(B628,st_Name,0)),"Unknown"))</f>
        <v>QP-01</v>
      </c>
      <c r="J628" s="37" t="str">
        <f aca="false">IF(C628="","",IFERROR(INDEX(cl_Code,MATCH(C628,cl_Name,0)),"Unknown"))</f>
        <v>HCS</v>
      </c>
      <c r="K628" s="37" t="str">
        <f aca="false">IF(D628="","",IFERROR(INDEX(rt_Billable,MATCH(D628,rt_Code,0)),"Unknown"))</f>
        <v>Yes</v>
      </c>
      <c r="L628" s="38" t="n">
        <f aca="false">IF(K628&lt;&gt;"Yes","",IFERROR(INDEX(cr_Rate,MATCH(J628&amp;"|"&amp;D628,cr_Key,0)),INDEX(rt_Rate,MATCH(D628,rt_Code,0))))</f>
        <v>88</v>
      </c>
      <c r="M628" s="25" t="n">
        <f aca="false">IF(L628="","",ROUND(N(E628)*L628,2))</f>
        <v>44</v>
      </c>
      <c r="N628" s="39" t="n">
        <f aca="false">IF(OR(A628="",B628=""),"",SUMIFS(tl_Hours,tl_StaffID,I628,tl_Date,A628))</f>
        <v>8</v>
      </c>
      <c r="O628" s="40" t="str">
        <f aca="false">IF(A628&amp;B628&amp;D628="","",IF(OR(A628="",B628="",D628="",E628=""),"Incomplete",IF(K628="Unknown","Unknown code",IF(AND(K628="Yes",C628=""),"Billable, needs client",IF(N628&gt;MaxDayHours,"Over "&amp;MaxDayHours&amp;" hours that day","")))))</f>
        <v/>
      </c>
    </row>
    <row r="629" customFormat="false" ht="15" hidden="false" customHeight="false" outlineLevel="0" collapsed="false">
      <c r="A629" s="31" t="n">
        <v>46239</v>
      </c>
      <c r="B629" s="32" t="s">
        <v>86</v>
      </c>
      <c r="C629" s="32" t="s">
        <v>112</v>
      </c>
      <c r="D629" s="33" t="s">
        <v>88</v>
      </c>
      <c r="E629" s="34" t="n">
        <v>2.5</v>
      </c>
      <c r="F629" s="32"/>
      <c r="G629" s="35" t="n">
        <f aca="false">IF(A629="","",A629+7-WEEKDAY(A629))</f>
        <v>46242</v>
      </c>
      <c r="H629" s="36" t="n">
        <f aca="false">IF(A629="","",DATE(YEAR(A629),MONTH(A629),1))</f>
        <v>46235</v>
      </c>
      <c r="I629" s="37" t="str">
        <f aca="false">IF(B629="","",IFERROR(INDEX(st_ID,MATCH(B629,st_Name,0)),"Unknown"))</f>
        <v>QP-01</v>
      </c>
      <c r="J629" s="37" t="str">
        <f aca="false">IF(C629="","",IFERROR(INDEX(cl_Code,MATCH(C629,cl_Name,0)),"Unknown"))</f>
        <v>PCA</v>
      </c>
      <c r="K629" s="37" t="str">
        <f aca="false">IF(D629="","",IFERROR(INDEX(rt_Billable,MATCH(D629,rt_Code,0)),"Unknown"))</f>
        <v>Yes</v>
      </c>
      <c r="L629" s="38" t="n">
        <f aca="false">IF(K629&lt;&gt;"Yes","",IFERROR(INDEX(cr_Rate,MATCH(J629&amp;"|"&amp;D629,cr_Key,0)),INDEX(rt_Rate,MATCH(D629,rt_Code,0))))</f>
        <v>110</v>
      </c>
      <c r="M629" s="25" t="n">
        <f aca="false">IF(L629="","",ROUND(N(E629)*L629,2))</f>
        <v>275</v>
      </c>
      <c r="N629" s="39" t="n">
        <f aca="false">IF(OR(A629="",B629=""),"",SUMIFS(tl_Hours,tl_StaffID,I629,tl_Date,A629))</f>
        <v>8</v>
      </c>
      <c r="O629" s="40" t="str">
        <f aca="false">IF(A629&amp;B629&amp;D629="","",IF(OR(A629="",B629="",D629="",E629=""),"Incomplete",IF(K629="Unknown","Unknown code",IF(AND(K629="Yes",C629=""),"Billable, needs client",IF(N629&gt;MaxDayHours,"Over "&amp;MaxDayHours&amp;" hours that day","")))))</f>
        <v/>
      </c>
    </row>
    <row r="630" customFormat="false" ht="15" hidden="false" customHeight="false" outlineLevel="0" collapsed="false">
      <c r="A630" s="31" t="n">
        <v>46239</v>
      </c>
      <c r="B630" s="32" t="s">
        <v>86</v>
      </c>
      <c r="C630" s="32" t="s">
        <v>112</v>
      </c>
      <c r="D630" s="33" t="s">
        <v>92</v>
      </c>
      <c r="E630" s="34" t="n">
        <v>0.5</v>
      </c>
      <c r="F630" s="32"/>
      <c r="G630" s="35" t="n">
        <f aca="false">IF(A630="","",A630+7-WEEKDAY(A630))</f>
        <v>46242</v>
      </c>
      <c r="H630" s="36" t="n">
        <f aca="false">IF(A630="","",DATE(YEAR(A630),MONTH(A630),1))</f>
        <v>46235</v>
      </c>
      <c r="I630" s="37" t="str">
        <f aca="false">IF(B630="","",IFERROR(INDEX(st_ID,MATCH(B630,st_Name,0)),"Unknown"))</f>
        <v>QP-01</v>
      </c>
      <c r="J630" s="37" t="str">
        <f aca="false">IF(C630="","",IFERROR(INDEX(cl_Code,MATCH(C630,cl_Name,0)),"Unknown"))</f>
        <v>PCA</v>
      </c>
      <c r="K630" s="37" t="str">
        <f aca="false">IF(D630="","",IFERROR(INDEX(rt_Billable,MATCH(D630,rt_Code,0)),"Unknown"))</f>
        <v>Yes</v>
      </c>
      <c r="L630" s="38" t="n">
        <f aca="false">IF(K630&lt;&gt;"Yes","",IFERROR(INDEX(cr_Rate,MATCH(J630&amp;"|"&amp;D630,cr_Key,0)),INDEX(rt_Rate,MATCH(D630,rt_Code,0))))</f>
        <v>150</v>
      </c>
      <c r="M630" s="25" t="n">
        <f aca="false">IF(L630="","",ROUND(N(E630)*L630,2))</f>
        <v>75</v>
      </c>
      <c r="N630" s="39" t="n">
        <f aca="false">IF(OR(A630="",B630=""),"",SUMIFS(tl_Hours,tl_StaffID,I630,tl_Date,A630))</f>
        <v>8</v>
      </c>
      <c r="O630" s="40" t="str">
        <f aca="false">IF(A630&amp;B630&amp;D630="","",IF(OR(A630="",B630="",D630="",E630=""),"Incomplete",IF(K630="Unknown","Unknown code",IF(AND(K630="Yes",C630=""),"Billable, needs client",IF(N630&gt;MaxDayHours,"Over "&amp;MaxDayHours&amp;" hours that day","")))))</f>
        <v/>
      </c>
    </row>
    <row r="631" customFormat="false" ht="15" hidden="false" customHeight="false" outlineLevel="0" collapsed="false">
      <c r="A631" s="31" t="n">
        <v>46239</v>
      </c>
      <c r="B631" s="32" t="s">
        <v>86</v>
      </c>
      <c r="C631" s="32"/>
      <c r="D631" s="33" t="s">
        <v>93</v>
      </c>
      <c r="E631" s="34" t="n">
        <v>0.5</v>
      </c>
      <c r="F631" s="32"/>
      <c r="G631" s="35" t="n">
        <f aca="false">IF(A631="","",A631+7-WEEKDAY(A631))</f>
        <v>46242</v>
      </c>
      <c r="H631" s="36" t="n">
        <f aca="false">IF(A631="","",DATE(YEAR(A631),MONTH(A631),1))</f>
        <v>46235</v>
      </c>
      <c r="I631" s="37" t="str">
        <f aca="false">IF(B631="","",IFERROR(INDEX(st_ID,MATCH(B631,st_Name,0)),"Unknown"))</f>
        <v>QP-01</v>
      </c>
      <c r="J631" s="37" t="str">
        <f aca="false">IF(C631="","",IFERROR(INDEX(cl_Code,MATCH(C631,cl_Name,0)),"Unknown"))</f>
        <v/>
      </c>
      <c r="K631" s="37" t="str">
        <f aca="false">IF(D631="","",IFERROR(INDEX(rt_Billable,MATCH(D631,rt_Code,0)),"Unknown"))</f>
        <v>No</v>
      </c>
      <c r="L631" s="38" t="str">
        <f aca="false">IF(K631&lt;&gt;"Yes","",IFERROR(INDEX(cr_Rate,MATCH(J631&amp;"|"&amp;D631,cr_Key,0)),INDEX(rt_Rate,MATCH(D631,rt_Code,0))))</f>
        <v/>
      </c>
      <c r="M631" s="25" t="str">
        <f aca="false">IF(L631="","",ROUND(N(E631)*L631,2))</f>
        <v/>
      </c>
      <c r="N631" s="39" t="n">
        <f aca="false">IF(OR(A631="",B631=""),"",SUMIFS(tl_Hours,tl_StaffID,I631,tl_Date,A631))</f>
        <v>8</v>
      </c>
      <c r="O631" s="40" t="str">
        <f aca="false">IF(A631&amp;B631&amp;D631="","",IF(OR(A631="",B631="",D631="",E631=""),"Incomplete",IF(K631="Unknown","Unknown code",IF(AND(K631="Yes",C631=""),"Billable, needs client",IF(N631&gt;MaxDayHours,"Over "&amp;MaxDayHours&amp;" hours that day","")))))</f>
        <v/>
      </c>
    </row>
    <row r="632" customFormat="false" ht="15" hidden="false" customHeight="false" outlineLevel="0" collapsed="false">
      <c r="A632" s="31" t="n">
        <v>46239</v>
      </c>
      <c r="B632" s="32" t="s">
        <v>86</v>
      </c>
      <c r="C632" s="32"/>
      <c r="D632" s="33" t="s">
        <v>96</v>
      </c>
      <c r="E632" s="34" t="n">
        <v>1.5</v>
      </c>
      <c r="F632" s="32"/>
      <c r="G632" s="35" t="n">
        <f aca="false">IF(A632="","",A632+7-WEEKDAY(A632))</f>
        <v>46242</v>
      </c>
      <c r="H632" s="36" t="n">
        <f aca="false">IF(A632="","",DATE(YEAR(A632),MONTH(A632),1))</f>
        <v>46235</v>
      </c>
      <c r="I632" s="37" t="str">
        <f aca="false">IF(B632="","",IFERROR(INDEX(st_ID,MATCH(B632,st_Name,0)),"Unknown"))</f>
        <v>QP-01</v>
      </c>
      <c r="J632" s="37" t="str">
        <f aca="false">IF(C632="","",IFERROR(INDEX(cl_Code,MATCH(C632,cl_Name,0)),"Unknown"))</f>
        <v/>
      </c>
      <c r="K632" s="37" t="str">
        <f aca="false">IF(D632="","",IFERROR(INDEX(rt_Billable,MATCH(D632,rt_Code,0)),"Unknown"))</f>
        <v>No</v>
      </c>
      <c r="L632" s="38" t="str">
        <f aca="false">IF(K632&lt;&gt;"Yes","",IFERROR(INDEX(cr_Rate,MATCH(J632&amp;"|"&amp;D632,cr_Key,0)),INDEX(rt_Rate,MATCH(D632,rt_Code,0))))</f>
        <v/>
      </c>
      <c r="M632" s="25" t="str">
        <f aca="false">IF(L632="","",ROUND(N(E632)*L632,2))</f>
        <v/>
      </c>
      <c r="N632" s="39" t="n">
        <f aca="false">IF(OR(A632="",B632=""),"",SUMIFS(tl_Hours,tl_StaffID,I632,tl_Date,A632))</f>
        <v>8</v>
      </c>
      <c r="O632" s="40" t="str">
        <f aca="false">IF(A632&amp;B632&amp;D632="","",IF(OR(A632="",B632="",D632="",E632=""),"Incomplete",IF(K632="Unknown","Unknown code",IF(AND(K632="Yes",C632=""),"Billable, needs client",IF(N632&gt;MaxDayHours,"Over "&amp;MaxDayHours&amp;" hours that day","")))))</f>
        <v/>
      </c>
    </row>
    <row r="633" customFormat="false" ht="15" hidden="false" customHeight="false" outlineLevel="0" collapsed="false">
      <c r="A633" s="31" t="n">
        <v>46239</v>
      </c>
      <c r="B633" s="32" t="s">
        <v>97</v>
      </c>
      <c r="C633" s="32" t="s">
        <v>111</v>
      </c>
      <c r="D633" s="33" t="s">
        <v>104</v>
      </c>
      <c r="E633" s="34" t="n">
        <v>2.5</v>
      </c>
      <c r="F633" s="32"/>
      <c r="G633" s="35" t="n">
        <f aca="false">IF(A633="","",A633+7-WEEKDAY(A633))</f>
        <v>46242</v>
      </c>
      <c r="H633" s="36" t="n">
        <f aca="false">IF(A633="","",DATE(YEAR(A633),MONTH(A633),1))</f>
        <v>46235</v>
      </c>
      <c r="I633" s="37" t="str">
        <f aca="false">IF(B633="","",IFERROR(INDEX(st_ID,MATCH(B633,st_Name,0)),"Unknown"))</f>
        <v>QP-02</v>
      </c>
      <c r="J633" s="37" t="str">
        <f aca="false">IF(C633="","",IFERROR(INDEX(cl_Code,MATCH(C633,cl_Name,0)),"Unknown"))</f>
        <v>WMS</v>
      </c>
      <c r="K633" s="37" t="str">
        <f aca="false">IF(D633="","",IFERROR(INDEX(rt_Billable,MATCH(D633,rt_Code,0)),"Unknown"))</f>
        <v>Yes</v>
      </c>
      <c r="L633" s="38" t="n">
        <f aca="false">IF(K633&lt;&gt;"Yes","",IFERROR(INDEX(cr_Rate,MATCH(J633&amp;"|"&amp;D633,cr_Key,0)),INDEX(rt_Rate,MATCH(D633,rt_Code,0))))</f>
        <v>70</v>
      </c>
      <c r="M633" s="25" t="n">
        <f aca="false">IF(L633="","",ROUND(N(E633)*L633,2))</f>
        <v>175</v>
      </c>
      <c r="N633" s="39" t="n">
        <f aca="false">IF(OR(A633="",B633=""),"",SUMIFS(tl_Hours,tl_StaffID,I633,tl_Date,A633))</f>
        <v>8</v>
      </c>
      <c r="O633" s="40" t="str">
        <f aca="false">IF(A633&amp;B633&amp;D633="","",IF(OR(A633="",B633="",D633="",E633=""),"Incomplete",IF(K633="Unknown","Unknown code",IF(AND(K633="Yes",C633=""),"Billable, needs client",IF(N633&gt;MaxDayHours,"Over "&amp;MaxDayHours&amp;" hours that day","")))))</f>
        <v/>
      </c>
    </row>
    <row r="634" customFormat="false" ht="15" hidden="false" customHeight="false" outlineLevel="0" collapsed="false">
      <c r="A634" s="31" t="n">
        <v>46239</v>
      </c>
      <c r="B634" s="32" t="s">
        <v>97</v>
      </c>
      <c r="C634" s="32" t="s">
        <v>111</v>
      </c>
      <c r="D634" s="33" t="s">
        <v>89</v>
      </c>
      <c r="E634" s="34" t="n">
        <v>0.25</v>
      </c>
      <c r="F634" s="32"/>
      <c r="G634" s="35" t="n">
        <f aca="false">IF(A634="","",A634+7-WEEKDAY(A634))</f>
        <v>46242</v>
      </c>
      <c r="H634" s="36" t="n">
        <f aca="false">IF(A634="","",DATE(YEAR(A634),MONTH(A634),1))</f>
        <v>46235</v>
      </c>
      <c r="I634" s="37" t="str">
        <f aca="false">IF(B634="","",IFERROR(INDEX(st_ID,MATCH(B634,st_Name,0)),"Unknown"))</f>
        <v>QP-02</v>
      </c>
      <c r="J634" s="37" t="str">
        <f aca="false">IF(C634="","",IFERROR(INDEX(cl_Code,MATCH(C634,cl_Name,0)),"Unknown"))</f>
        <v>WMS</v>
      </c>
      <c r="K634" s="37" t="str">
        <f aca="false">IF(D634="","",IFERROR(INDEX(rt_Billable,MATCH(D634,rt_Code,0)),"Unknown"))</f>
        <v>Yes</v>
      </c>
      <c r="L634" s="38" t="n">
        <f aca="false">IF(K634&lt;&gt;"Yes","",IFERROR(INDEX(cr_Rate,MATCH(J634&amp;"|"&amp;D634,cr_Key,0)),INDEX(rt_Rate,MATCH(D634,rt_Code,0))))</f>
        <v>95</v>
      </c>
      <c r="M634" s="25" t="n">
        <f aca="false">IF(L634="","",ROUND(N(E634)*L634,2))</f>
        <v>23.75</v>
      </c>
      <c r="N634" s="39" t="n">
        <f aca="false">IF(OR(A634="",B634=""),"",SUMIFS(tl_Hours,tl_StaffID,I634,tl_Date,A634))</f>
        <v>8</v>
      </c>
      <c r="O634" s="40" t="str">
        <f aca="false">IF(A634&amp;B634&amp;D634="","",IF(OR(A634="",B634="",D634="",E634=""),"Incomplete",IF(K634="Unknown","Unknown code",IF(AND(K634="Yes",C634=""),"Billable, needs client",IF(N634&gt;MaxDayHours,"Over "&amp;MaxDayHours&amp;" hours that day","")))))</f>
        <v/>
      </c>
    </row>
    <row r="635" customFormat="false" ht="15" hidden="false" customHeight="false" outlineLevel="0" collapsed="false">
      <c r="A635" s="31" t="n">
        <v>46239</v>
      </c>
      <c r="B635" s="32" t="s">
        <v>97</v>
      </c>
      <c r="C635" s="32" t="s">
        <v>90</v>
      </c>
      <c r="D635" s="33" t="s">
        <v>88</v>
      </c>
      <c r="E635" s="34" t="n">
        <v>2.25</v>
      </c>
      <c r="F635" s="32"/>
      <c r="G635" s="35" t="n">
        <f aca="false">IF(A635="","",A635+7-WEEKDAY(A635))</f>
        <v>46242</v>
      </c>
      <c r="H635" s="36" t="n">
        <f aca="false">IF(A635="","",DATE(YEAR(A635),MONTH(A635),1))</f>
        <v>46235</v>
      </c>
      <c r="I635" s="37" t="str">
        <f aca="false">IF(B635="","",IFERROR(INDEX(st_ID,MATCH(B635,st_Name,0)),"Unknown"))</f>
        <v>QP-02</v>
      </c>
      <c r="J635" s="37" t="str">
        <f aca="false">IF(C635="","",IFERROR(INDEX(cl_Code,MATCH(C635,cl_Name,0)),"Unknown"))</f>
        <v>BSE</v>
      </c>
      <c r="K635" s="37" t="str">
        <f aca="false">IF(D635="","",IFERROR(INDEX(rt_Billable,MATCH(D635,rt_Code,0)),"Unknown"))</f>
        <v>Yes</v>
      </c>
      <c r="L635" s="38" t="n">
        <f aca="false">IF(K635&lt;&gt;"Yes","",IFERROR(INDEX(cr_Rate,MATCH(J635&amp;"|"&amp;D635,cr_Key,0)),INDEX(rt_Rate,MATCH(D635,rt_Code,0))))</f>
        <v>104</v>
      </c>
      <c r="M635" s="25" t="n">
        <f aca="false">IF(L635="","",ROUND(N(E635)*L635,2))</f>
        <v>234</v>
      </c>
      <c r="N635" s="39" t="n">
        <f aca="false">IF(OR(A635="",B635=""),"",SUMIFS(tl_Hours,tl_StaffID,I635,tl_Date,A635))</f>
        <v>8</v>
      </c>
      <c r="O635" s="40" t="str">
        <f aca="false">IF(A635&amp;B635&amp;D635="","",IF(OR(A635="",B635="",D635="",E635=""),"Incomplete",IF(K635="Unknown","Unknown code",IF(AND(K635="Yes",C635=""),"Billable, needs client",IF(N635&gt;MaxDayHours,"Over "&amp;MaxDayHours&amp;" hours that day","")))))</f>
        <v/>
      </c>
    </row>
    <row r="636" customFormat="false" ht="15" hidden="false" customHeight="false" outlineLevel="0" collapsed="false">
      <c r="A636" s="31" t="n">
        <v>46239</v>
      </c>
      <c r="B636" s="32" t="s">
        <v>97</v>
      </c>
      <c r="C636" s="32" t="s">
        <v>90</v>
      </c>
      <c r="D636" s="33" t="s">
        <v>92</v>
      </c>
      <c r="E636" s="34" t="n">
        <v>0.5</v>
      </c>
      <c r="F636" s="32"/>
      <c r="G636" s="35" t="n">
        <f aca="false">IF(A636="","",A636+7-WEEKDAY(A636))</f>
        <v>46242</v>
      </c>
      <c r="H636" s="36" t="n">
        <f aca="false">IF(A636="","",DATE(YEAR(A636),MONTH(A636),1))</f>
        <v>46235</v>
      </c>
      <c r="I636" s="37" t="str">
        <f aca="false">IF(B636="","",IFERROR(INDEX(st_ID,MATCH(B636,st_Name,0)),"Unknown"))</f>
        <v>QP-02</v>
      </c>
      <c r="J636" s="37" t="str">
        <f aca="false">IF(C636="","",IFERROR(INDEX(cl_Code,MATCH(C636,cl_Name,0)),"Unknown"))</f>
        <v>BSE</v>
      </c>
      <c r="K636" s="37" t="str">
        <f aca="false">IF(D636="","",IFERROR(INDEX(rt_Billable,MATCH(D636,rt_Code,0)),"Unknown"))</f>
        <v>Yes</v>
      </c>
      <c r="L636" s="38" t="n">
        <f aca="false">IF(K636&lt;&gt;"Yes","",IFERROR(INDEX(cr_Rate,MATCH(J636&amp;"|"&amp;D636,cr_Key,0)),INDEX(rt_Rate,MATCH(D636,rt_Code,0))))</f>
        <v>145</v>
      </c>
      <c r="M636" s="25" t="n">
        <f aca="false">IF(L636="","",ROUND(N(E636)*L636,2))</f>
        <v>72.5</v>
      </c>
      <c r="N636" s="39" t="n">
        <f aca="false">IF(OR(A636="",B636=""),"",SUMIFS(tl_Hours,tl_StaffID,I636,tl_Date,A636))</f>
        <v>8</v>
      </c>
      <c r="O636" s="40" t="str">
        <f aca="false">IF(A636&amp;B636&amp;D636="","",IF(OR(A636="",B636="",D636="",E636=""),"Incomplete",IF(K636="Unknown","Unknown code",IF(AND(K636="Yes",C636=""),"Billable, needs client",IF(N636&gt;MaxDayHours,"Over "&amp;MaxDayHours&amp;" hours that day","")))))</f>
        <v/>
      </c>
    </row>
    <row r="637" customFormat="false" ht="15" hidden="false" customHeight="false" outlineLevel="0" collapsed="false">
      <c r="A637" s="31" t="n">
        <v>46239</v>
      </c>
      <c r="B637" s="32" t="s">
        <v>97</v>
      </c>
      <c r="C637" s="32"/>
      <c r="D637" s="33" t="s">
        <v>93</v>
      </c>
      <c r="E637" s="34" t="n">
        <v>0.5</v>
      </c>
      <c r="F637" s="32"/>
      <c r="G637" s="35" t="n">
        <f aca="false">IF(A637="","",A637+7-WEEKDAY(A637))</f>
        <v>46242</v>
      </c>
      <c r="H637" s="36" t="n">
        <f aca="false">IF(A637="","",DATE(YEAR(A637),MONTH(A637),1))</f>
        <v>46235</v>
      </c>
      <c r="I637" s="37" t="str">
        <f aca="false">IF(B637="","",IFERROR(INDEX(st_ID,MATCH(B637,st_Name,0)),"Unknown"))</f>
        <v>QP-02</v>
      </c>
      <c r="J637" s="37" t="str">
        <f aca="false">IF(C637="","",IFERROR(INDEX(cl_Code,MATCH(C637,cl_Name,0)),"Unknown"))</f>
        <v/>
      </c>
      <c r="K637" s="37" t="str">
        <f aca="false">IF(D637="","",IFERROR(INDEX(rt_Billable,MATCH(D637,rt_Code,0)),"Unknown"))</f>
        <v>No</v>
      </c>
      <c r="L637" s="38" t="str">
        <f aca="false">IF(K637&lt;&gt;"Yes","",IFERROR(INDEX(cr_Rate,MATCH(J637&amp;"|"&amp;D637,cr_Key,0)),INDEX(rt_Rate,MATCH(D637,rt_Code,0))))</f>
        <v/>
      </c>
      <c r="M637" s="25" t="str">
        <f aca="false">IF(L637="","",ROUND(N(E637)*L637,2))</f>
        <v/>
      </c>
      <c r="N637" s="39" t="n">
        <f aca="false">IF(OR(A637="",B637=""),"",SUMIFS(tl_Hours,tl_StaffID,I637,tl_Date,A637))</f>
        <v>8</v>
      </c>
      <c r="O637" s="40" t="str">
        <f aca="false">IF(A637&amp;B637&amp;D637="","",IF(OR(A637="",B637="",D637="",E637=""),"Incomplete",IF(K637="Unknown","Unknown code",IF(AND(K637="Yes",C637=""),"Billable, needs client",IF(N637&gt;MaxDayHours,"Over "&amp;MaxDayHours&amp;" hours that day","")))))</f>
        <v/>
      </c>
    </row>
    <row r="638" customFormat="false" ht="15" hidden="false" customHeight="false" outlineLevel="0" collapsed="false">
      <c r="A638" s="31" t="n">
        <v>46239</v>
      </c>
      <c r="B638" s="32" t="s">
        <v>97</v>
      </c>
      <c r="C638" s="32"/>
      <c r="D638" s="33" t="s">
        <v>98</v>
      </c>
      <c r="E638" s="34" t="n">
        <v>1</v>
      </c>
      <c r="F638" s="32" t="s">
        <v>99</v>
      </c>
      <c r="G638" s="35" t="n">
        <f aca="false">IF(A638="","",A638+7-WEEKDAY(A638))</f>
        <v>46242</v>
      </c>
      <c r="H638" s="36" t="n">
        <f aca="false">IF(A638="","",DATE(YEAR(A638),MONTH(A638),1))</f>
        <v>46235</v>
      </c>
      <c r="I638" s="37" t="str">
        <f aca="false">IF(B638="","",IFERROR(INDEX(st_ID,MATCH(B638,st_Name,0)),"Unknown"))</f>
        <v>QP-02</v>
      </c>
      <c r="J638" s="37" t="str">
        <f aca="false">IF(C638="","",IFERROR(INDEX(cl_Code,MATCH(C638,cl_Name,0)),"Unknown"))</f>
        <v/>
      </c>
      <c r="K638" s="37" t="str">
        <f aca="false">IF(D638="","",IFERROR(INDEX(rt_Billable,MATCH(D638,rt_Code,0)),"Unknown"))</f>
        <v>No</v>
      </c>
      <c r="L638" s="38" t="str">
        <f aca="false">IF(K638&lt;&gt;"Yes","",IFERROR(INDEX(cr_Rate,MATCH(J638&amp;"|"&amp;D638,cr_Key,0)),INDEX(rt_Rate,MATCH(D638,rt_Code,0))))</f>
        <v/>
      </c>
      <c r="M638" s="25" t="str">
        <f aca="false">IF(L638="","",ROUND(N(E638)*L638,2))</f>
        <v/>
      </c>
      <c r="N638" s="39" t="n">
        <f aca="false">IF(OR(A638="",B638=""),"",SUMIFS(tl_Hours,tl_StaffID,I638,tl_Date,A638))</f>
        <v>8</v>
      </c>
      <c r="O638" s="40" t="str">
        <f aca="false">IF(A638&amp;B638&amp;D638="","",IF(OR(A638="",B638="",D638="",E638=""),"Incomplete",IF(K638="Unknown","Unknown code",IF(AND(K638="Yes",C638=""),"Billable, needs client",IF(N638&gt;MaxDayHours,"Over "&amp;MaxDayHours&amp;" hours that day","")))))</f>
        <v/>
      </c>
    </row>
    <row r="639" customFormat="false" ht="15" hidden="false" customHeight="false" outlineLevel="0" collapsed="false">
      <c r="A639" s="31" t="n">
        <v>46239</v>
      </c>
      <c r="B639" s="32" t="s">
        <v>97</v>
      </c>
      <c r="C639" s="32"/>
      <c r="D639" s="33" t="s">
        <v>96</v>
      </c>
      <c r="E639" s="34" t="n">
        <v>1</v>
      </c>
      <c r="F639" s="32"/>
      <c r="G639" s="35" t="n">
        <f aca="false">IF(A639="","",A639+7-WEEKDAY(A639))</f>
        <v>46242</v>
      </c>
      <c r="H639" s="36" t="n">
        <f aca="false">IF(A639="","",DATE(YEAR(A639),MONTH(A639),1))</f>
        <v>46235</v>
      </c>
      <c r="I639" s="37" t="str">
        <f aca="false">IF(B639="","",IFERROR(INDEX(st_ID,MATCH(B639,st_Name,0)),"Unknown"))</f>
        <v>QP-02</v>
      </c>
      <c r="J639" s="37" t="str">
        <f aca="false">IF(C639="","",IFERROR(INDEX(cl_Code,MATCH(C639,cl_Name,0)),"Unknown"))</f>
        <v/>
      </c>
      <c r="K639" s="37" t="str">
        <f aca="false">IF(D639="","",IFERROR(INDEX(rt_Billable,MATCH(D639,rt_Code,0)),"Unknown"))</f>
        <v>No</v>
      </c>
      <c r="L639" s="38" t="str">
        <f aca="false">IF(K639&lt;&gt;"Yes","",IFERROR(INDEX(cr_Rate,MATCH(J639&amp;"|"&amp;D639,cr_Key,0)),INDEX(rt_Rate,MATCH(D639,rt_Code,0))))</f>
        <v/>
      </c>
      <c r="M639" s="25" t="str">
        <f aca="false">IF(L639="","",ROUND(N(E639)*L639,2))</f>
        <v/>
      </c>
      <c r="N639" s="39" t="n">
        <f aca="false">IF(OR(A639="",B639=""),"",SUMIFS(tl_Hours,tl_StaffID,I639,tl_Date,A639))</f>
        <v>8</v>
      </c>
      <c r="O639" s="40" t="str">
        <f aca="false">IF(A639&amp;B639&amp;D639="","",IF(OR(A639="",B639="",D639="",E639=""),"Incomplete",IF(K639="Unknown","Unknown code",IF(AND(K639="Yes",C639=""),"Billable, needs client",IF(N639&gt;MaxDayHours,"Over "&amp;MaxDayHours&amp;" hours that day","")))))</f>
        <v/>
      </c>
    </row>
    <row r="640" customFormat="false" ht="15" hidden="false" customHeight="false" outlineLevel="0" collapsed="false">
      <c r="A640" s="31" t="n">
        <v>46239</v>
      </c>
      <c r="B640" s="32" t="s">
        <v>100</v>
      </c>
      <c r="C640" s="32" t="s">
        <v>90</v>
      </c>
      <c r="D640" s="33" t="s">
        <v>88</v>
      </c>
      <c r="E640" s="34" t="n">
        <v>4</v>
      </c>
      <c r="F640" s="32"/>
      <c r="G640" s="35" t="n">
        <f aca="false">IF(A640="","",A640+7-WEEKDAY(A640))</f>
        <v>46242</v>
      </c>
      <c r="H640" s="36" t="n">
        <f aca="false">IF(A640="","",DATE(YEAR(A640),MONTH(A640),1))</f>
        <v>46235</v>
      </c>
      <c r="I640" s="37" t="str">
        <f aca="false">IF(B640="","",IFERROR(INDEX(st_ID,MATCH(B640,st_Name,0)),"Unknown"))</f>
        <v>QP-03</v>
      </c>
      <c r="J640" s="37" t="str">
        <f aca="false">IF(C640="","",IFERROR(INDEX(cl_Code,MATCH(C640,cl_Name,0)),"Unknown"))</f>
        <v>BSE</v>
      </c>
      <c r="K640" s="37" t="str">
        <f aca="false">IF(D640="","",IFERROR(INDEX(rt_Billable,MATCH(D640,rt_Code,0)),"Unknown"))</f>
        <v>Yes</v>
      </c>
      <c r="L640" s="38" t="n">
        <f aca="false">IF(K640&lt;&gt;"Yes","",IFERROR(INDEX(cr_Rate,MATCH(J640&amp;"|"&amp;D640,cr_Key,0)),INDEX(rt_Rate,MATCH(D640,rt_Code,0))))</f>
        <v>104</v>
      </c>
      <c r="M640" s="25" t="n">
        <f aca="false">IF(L640="","",ROUND(N(E640)*L640,2))</f>
        <v>416</v>
      </c>
      <c r="N640" s="39" t="n">
        <f aca="false">IF(OR(A640="",B640=""),"",SUMIFS(tl_Hours,tl_StaffID,I640,tl_Date,A640))</f>
        <v>8</v>
      </c>
      <c r="O640" s="40" t="str">
        <f aca="false">IF(A640&amp;B640&amp;D640="","",IF(OR(A640="",B640="",D640="",E640=""),"Incomplete",IF(K640="Unknown","Unknown code",IF(AND(K640="Yes",C640=""),"Billable, needs client",IF(N640&gt;MaxDayHours,"Over "&amp;MaxDayHours&amp;" hours that day","")))))</f>
        <v/>
      </c>
    </row>
    <row r="641" customFormat="false" ht="15" hidden="false" customHeight="false" outlineLevel="0" collapsed="false">
      <c r="A641" s="31" t="n">
        <v>46239</v>
      </c>
      <c r="B641" s="32" t="s">
        <v>100</v>
      </c>
      <c r="C641" s="32" t="s">
        <v>90</v>
      </c>
      <c r="D641" s="33" t="s">
        <v>92</v>
      </c>
      <c r="E641" s="34" t="n">
        <v>0.75</v>
      </c>
      <c r="F641" s="32"/>
      <c r="G641" s="35" t="n">
        <f aca="false">IF(A641="","",A641+7-WEEKDAY(A641))</f>
        <v>46242</v>
      </c>
      <c r="H641" s="36" t="n">
        <f aca="false">IF(A641="","",DATE(YEAR(A641),MONTH(A641),1))</f>
        <v>46235</v>
      </c>
      <c r="I641" s="37" t="str">
        <f aca="false">IF(B641="","",IFERROR(INDEX(st_ID,MATCH(B641,st_Name,0)),"Unknown"))</f>
        <v>QP-03</v>
      </c>
      <c r="J641" s="37" t="str">
        <f aca="false">IF(C641="","",IFERROR(INDEX(cl_Code,MATCH(C641,cl_Name,0)),"Unknown"))</f>
        <v>BSE</v>
      </c>
      <c r="K641" s="37" t="str">
        <f aca="false">IF(D641="","",IFERROR(INDEX(rt_Billable,MATCH(D641,rt_Code,0)),"Unknown"))</f>
        <v>Yes</v>
      </c>
      <c r="L641" s="38" t="n">
        <f aca="false">IF(K641&lt;&gt;"Yes","",IFERROR(INDEX(cr_Rate,MATCH(J641&amp;"|"&amp;D641,cr_Key,0)),INDEX(rt_Rate,MATCH(D641,rt_Code,0))))</f>
        <v>145</v>
      </c>
      <c r="M641" s="25" t="n">
        <f aca="false">IF(L641="","",ROUND(N(E641)*L641,2))</f>
        <v>108.75</v>
      </c>
      <c r="N641" s="39" t="n">
        <f aca="false">IF(OR(A641="",B641=""),"",SUMIFS(tl_Hours,tl_StaffID,I641,tl_Date,A641))</f>
        <v>8</v>
      </c>
      <c r="O641" s="40" t="str">
        <f aca="false">IF(A641&amp;B641&amp;D641="","",IF(OR(A641="",B641="",D641="",E641=""),"Incomplete",IF(K641="Unknown","Unknown code",IF(AND(K641="Yes",C641=""),"Billable, needs client",IF(N641&gt;MaxDayHours,"Over "&amp;MaxDayHours&amp;" hours that day","")))))</f>
        <v/>
      </c>
    </row>
    <row r="642" customFormat="false" ht="15" hidden="false" customHeight="false" outlineLevel="0" collapsed="false">
      <c r="A642" s="31" t="n">
        <v>46239</v>
      </c>
      <c r="B642" s="32" t="s">
        <v>100</v>
      </c>
      <c r="C642" s="32"/>
      <c r="D642" s="33" t="s">
        <v>98</v>
      </c>
      <c r="E642" s="34" t="n">
        <v>1</v>
      </c>
      <c r="F642" s="32" t="s">
        <v>99</v>
      </c>
      <c r="G642" s="35" t="n">
        <f aca="false">IF(A642="","",A642+7-WEEKDAY(A642))</f>
        <v>46242</v>
      </c>
      <c r="H642" s="36" t="n">
        <f aca="false">IF(A642="","",DATE(YEAR(A642),MONTH(A642),1))</f>
        <v>46235</v>
      </c>
      <c r="I642" s="37" t="str">
        <f aca="false">IF(B642="","",IFERROR(INDEX(st_ID,MATCH(B642,st_Name,0)),"Unknown"))</f>
        <v>QP-03</v>
      </c>
      <c r="J642" s="37" t="str">
        <f aca="false">IF(C642="","",IFERROR(INDEX(cl_Code,MATCH(C642,cl_Name,0)),"Unknown"))</f>
        <v/>
      </c>
      <c r="K642" s="37" t="str">
        <f aca="false">IF(D642="","",IFERROR(INDEX(rt_Billable,MATCH(D642,rt_Code,0)),"Unknown"))</f>
        <v>No</v>
      </c>
      <c r="L642" s="38" t="str">
        <f aca="false">IF(K642&lt;&gt;"Yes","",IFERROR(INDEX(cr_Rate,MATCH(J642&amp;"|"&amp;D642,cr_Key,0)),INDEX(rt_Rate,MATCH(D642,rt_Code,0))))</f>
        <v/>
      </c>
      <c r="M642" s="25" t="str">
        <f aca="false">IF(L642="","",ROUND(N(E642)*L642,2))</f>
        <v/>
      </c>
      <c r="N642" s="39" t="n">
        <f aca="false">IF(OR(A642="",B642=""),"",SUMIFS(tl_Hours,tl_StaffID,I642,tl_Date,A642))</f>
        <v>8</v>
      </c>
      <c r="O642" s="40" t="str">
        <f aca="false">IF(A642&amp;B642&amp;D642="","",IF(OR(A642="",B642="",D642="",E642=""),"Incomplete",IF(K642="Unknown","Unknown code",IF(AND(K642="Yes",C642=""),"Billable, needs client",IF(N642&gt;MaxDayHours,"Over "&amp;MaxDayHours&amp;" hours that day","")))))</f>
        <v/>
      </c>
    </row>
    <row r="643" customFormat="false" ht="15" hidden="false" customHeight="false" outlineLevel="0" collapsed="false">
      <c r="A643" s="31" t="n">
        <v>46239</v>
      </c>
      <c r="B643" s="32" t="s">
        <v>100</v>
      </c>
      <c r="C643" s="32"/>
      <c r="D643" s="33" t="s">
        <v>96</v>
      </c>
      <c r="E643" s="34" t="n">
        <v>2.25</v>
      </c>
      <c r="F643" s="32"/>
      <c r="G643" s="35" t="n">
        <f aca="false">IF(A643="","",A643+7-WEEKDAY(A643))</f>
        <v>46242</v>
      </c>
      <c r="H643" s="36" t="n">
        <f aca="false">IF(A643="","",DATE(YEAR(A643),MONTH(A643),1))</f>
        <v>46235</v>
      </c>
      <c r="I643" s="37" t="str">
        <f aca="false">IF(B643="","",IFERROR(INDEX(st_ID,MATCH(B643,st_Name,0)),"Unknown"))</f>
        <v>QP-03</v>
      </c>
      <c r="J643" s="37" t="str">
        <f aca="false">IF(C643="","",IFERROR(INDEX(cl_Code,MATCH(C643,cl_Name,0)),"Unknown"))</f>
        <v/>
      </c>
      <c r="K643" s="37" t="str">
        <f aca="false">IF(D643="","",IFERROR(INDEX(rt_Billable,MATCH(D643,rt_Code,0)),"Unknown"))</f>
        <v>No</v>
      </c>
      <c r="L643" s="38" t="str">
        <f aca="false">IF(K643&lt;&gt;"Yes","",IFERROR(INDEX(cr_Rate,MATCH(J643&amp;"|"&amp;D643,cr_Key,0)),INDEX(rt_Rate,MATCH(D643,rt_Code,0))))</f>
        <v/>
      </c>
      <c r="M643" s="25" t="str">
        <f aca="false">IF(L643="","",ROUND(N(E643)*L643,2))</f>
        <v/>
      </c>
      <c r="N643" s="39" t="n">
        <f aca="false">IF(OR(A643="",B643=""),"",SUMIFS(tl_Hours,tl_StaffID,I643,tl_Date,A643))</f>
        <v>8</v>
      </c>
      <c r="O643" s="40" t="str">
        <f aca="false">IF(A643&amp;B643&amp;D643="","",IF(OR(A643="",B643="",D643="",E643=""),"Incomplete",IF(K643="Unknown","Unknown code",IF(AND(K643="Yes",C643=""),"Billable, needs client",IF(N643&gt;MaxDayHours,"Over "&amp;MaxDayHours&amp;" hours that day","")))))</f>
        <v/>
      </c>
    </row>
    <row r="644" customFormat="false" ht="15" hidden="false" customHeight="false" outlineLevel="0" collapsed="false">
      <c r="A644" s="31" t="n">
        <v>46239</v>
      </c>
      <c r="B644" s="32" t="s">
        <v>101</v>
      </c>
      <c r="C644" s="32" t="s">
        <v>102</v>
      </c>
      <c r="D644" s="33" t="s">
        <v>104</v>
      </c>
      <c r="E644" s="34" t="n">
        <v>4.5</v>
      </c>
      <c r="F644" s="32"/>
      <c r="G644" s="35" t="n">
        <f aca="false">IF(A644="","",A644+7-WEEKDAY(A644))</f>
        <v>46242</v>
      </c>
      <c r="H644" s="36" t="n">
        <f aca="false">IF(A644="","",DATE(YEAR(A644),MONTH(A644),1))</f>
        <v>46235</v>
      </c>
      <c r="I644" s="37" t="str">
        <f aca="false">IF(B644="","",IFERROR(INDEX(st_ID,MATCH(B644,st_Name,0)),"Unknown"))</f>
        <v>QP-04</v>
      </c>
      <c r="J644" s="37" t="str">
        <f aca="false">IF(C644="","",IFERROR(INDEX(cl_Code,MATCH(C644,cl_Name,0)),"Unknown"))</f>
        <v>CLH</v>
      </c>
      <c r="K644" s="37" t="str">
        <f aca="false">IF(D644="","",IFERROR(INDEX(rt_Billable,MATCH(D644,rt_Code,0)),"Unknown"))</f>
        <v>Yes</v>
      </c>
      <c r="L644" s="38" t="n">
        <f aca="false">IF(K644&lt;&gt;"Yes","",IFERROR(INDEX(cr_Rate,MATCH(J644&amp;"|"&amp;D644,cr_Key,0)),INDEX(rt_Rate,MATCH(D644,rt_Code,0))))</f>
        <v>65</v>
      </c>
      <c r="M644" s="25" t="n">
        <f aca="false">IF(L644="","",ROUND(N(E644)*L644,2))</f>
        <v>292.5</v>
      </c>
      <c r="N644" s="39" t="n">
        <f aca="false">IF(OR(A644="",B644=""),"",SUMIFS(tl_Hours,tl_StaffID,I644,tl_Date,A644))</f>
        <v>8</v>
      </c>
      <c r="O644" s="40" t="str">
        <f aca="false">IF(A644&amp;B644&amp;D644="","",IF(OR(A644="",B644="",D644="",E644=""),"Incomplete",IF(K644="Unknown","Unknown code",IF(AND(K644="Yes",C644=""),"Billable, needs client",IF(N644&gt;MaxDayHours,"Over "&amp;MaxDayHours&amp;" hours that day","")))))</f>
        <v/>
      </c>
    </row>
    <row r="645" customFormat="false" ht="15" hidden="false" customHeight="false" outlineLevel="0" collapsed="false">
      <c r="A645" s="31" t="n">
        <v>46239</v>
      </c>
      <c r="B645" s="32" t="s">
        <v>101</v>
      </c>
      <c r="C645" s="32" t="s">
        <v>102</v>
      </c>
      <c r="D645" s="33" t="s">
        <v>92</v>
      </c>
      <c r="E645" s="34" t="n">
        <v>1.25</v>
      </c>
      <c r="F645" s="32"/>
      <c r="G645" s="35" t="n">
        <f aca="false">IF(A645="","",A645+7-WEEKDAY(A645))</f>
        <v>46242</v>
      </c>
      <c r="H645" s="36" t="n">
        <f aca="false">IF(A645="","",DATE(YEAR(A645),MONTH(A645),1))</f>
        <v>46235</v>
      </c>
      <c r="I645" s="37" t="str">
        <f aca="false">IF(B645="","",IFERROR(INDEX(st_ID,MATCH(B645,st_Name,0)),"Unknown"))</f>
        <v>QP-04</v>
      </c>
      <c r="J645" s="37" t="str">
        <f aca="false">IF(C645="","",IFERROR(INDEX(cl_Code,MATCH(C645,cl_Name,0)),"Unknown"))</f>
        <v>CLH</v>
      </c>
      <c r="K645" s="37" t="str">
        <f aca="false">IF(D645="","",IFERROR(INDEX(rt_Billable,MATCH(D645,rt_Code,0)),"Unknown"))</f>
        <v>Yes</v>
      </c>
      <c r="L645" s="38" t="n">
        <f aca="false">IF(K645&lt;&gt;"Yes","",IFERROR(INDEX(cr_Rate,MATCH(J645&amp;"|"&amp;D645,cr_Key,0)),INDEX(rt_Rate,MATCH(D645,rt_Code,0))))</f>
        <v>150</v>
      </c>
      <c r="M645" s="25" t="n">
        <f aca="false">IF(L645="","",ROUND(N(E645)*L645,2))</f>
        <v>187.5</v>
      </c>
      <c r="N645" s="39" t="n">
        <f aca="false">IF(OR(A645="",B645=""),"",SUMIFS(tl_Hours,tl_StaffID,I645,tl_Date,A645))</f>
        <v>8</v>
      </c>
      <c r="O645" s="40" t="str">
        <f aca="false">IF(A645&amp;B645&amp;D645="","",IF(OR(A645="",B645="",D645="",E645=""),"Incomplete",IF(K645="Unknown","Unknown code",IF(AND(K645="Yes",C645=""),"Billable, needs client",IF(N645&gt;MaxDayHours,"Over "&amp;MaxDayHours&amp;" hours that day","")))))</f>
        <v/>
      </c>
    </row>
    <row r="646" customFormat="false" ht="15" hidden="false" customHeight="false" outlineLevel="0" collapsed="false">
      <c r="A646" s="31" t="n">
        <v>46239</v>
      </c>
      <c r="B646" s="32" t="s">
        <v>101</v>
      </c>
      <c r="C646" s="32"/>
      <c r="D646" s="33" t="s">
        <v>98</v>
      </c>
      <c r="E646" s="34" t="n">
        <v>1</v>
      </c>
      <c r="F646" s="32" t="s">
        <v>99</v>
      </c>
      <c r="G646" s="35" t="n">
        <f aca="false">IF(A646="","",A646+7-WEEKDAY(A646))</f>
        <v>46242</v>
      </c>
      <c r="H646" s="36" t="n">
        <f aca="false">IF(A646="","",DATE(YEAR(A646),MONTH(A646),1))</f>
        <v>46235</v>
      </c>
      <c r="I646" s="37" t="str">
        <f aca="false">IF(B646="","",IFERROR(INDEX(st_ID,MATCH(B646,st_Name,0)),"Unknown"))</f>
        <v>QP-04</v>
      </c>
      <c r="J646" s="37" t="str">
        <f aca="false">IF(C646="","",IFERROR(INDEX(cl_Code,MATCH(C646,cl_Name,0)),"Unknown"))</f>
        <v/>
      </c>
      <c r="K646" s="37" t="str">
        <f aca="false">IF(D646="","",IFERROR(INDEX(rt_Billable,MATCH(D646,rt_Code,0)),"Unknown"))</f>
        <v>No</v>
      </c>
      <c r="L646" s="38" t="str">
        <f aca="false">IF(K646&lt;&gt;"Yes","",IFERROR(INDEX(cr_Rate,MATCH(J646&amp;"|"&amp;D646,cr_Key,0)),INDEX(rt_Rate,MATCH(D646,rt_Code,0))))</f>
        <v/>
      </c>
      <c r="M646" s="25" t="str">
        <f aca="false">IF(L646="","",ROUND(N(E646)*L646,2))</f>
        <v/>
      </c>
      <c r="N646" s="39" t="n">
        <f aca="false">IF(OR(A646="",B646=""),"",SUMIFS(tl_Hours,tl_StaffID,I646,tl_Date,A646))</f>
        <v>8</v>
      </c>
      <c r="O646" s="40" t="str">
        <f aca="false">IF(A646&amp;B646&amp;D646="","",IF(OR(A646="",B646="",D646="",E646=""),"Incomplete",IF(K646="Unknown","Unknown code",IF(AND(K646="Yes",C646=""),"Billable, needs client",IF(N646&gt;MaxDayHours,"Over "&amp;MaxDayHours&amp;" hours that day","")))))</f>
        <v/>
      </c>
    </row>
    <row r="647" customFormat="false" ht="15" hidden="false" customHeight="false" outlineLevel="0" collapsed="false">
      <c r="A647" s="31" t="n">
        <v>46239</v>
      </c>
      <c r="B647" s="32" t="s">
        <v>101</v>
      </c>
      <c r="C647" s="32"/>
      <c r="D647" s="33" t="s">
        <v>96</v>
      </c>
      <c r="E647" s="34" t="n">
        <v>1.25</v>
      </c>
      <c r="F647" s="32"/>
      <c r="G647" s="35" t="n">
        <f aca="false">IF(A647="","",A647+7-WEEKDAY(A647))</f>
        <v>46242</v>
      </c>
      <c r="H647" s="36" t="n">
        <f aca="false">IF(A647="","",DATE(YEAR(A647),MONTH(A647),1))</f>
        <v>46235</v>
      </c>
      <c r="I647" s="37" t="str">
        <f aca="false">IF(B647="","",IFERROR(INDEX(st_ID,MATCH(B647,st_Name,0)),"Unknown"))</f>
        <v>QP-04</v>
      </c>
      <c r="J647" s="37" t="str">
        <f aca="false">IF(C647="","",IFERROR(INDEX(cl_Code,MATCH(C647,cl_Name,0)),"Unknown"))</f>
        <v/>
      </c>
      <c r="K647" s="37" t="str">
        <f aca="false">IF(D647="","",IFERROR(INDEX(rt_Billable,MATCH(D647,rt_Code,0)),"Unknown"))</f>
        <v>No</v>
      </c>
      <c r="L647" s="38" t="str">
        <f aca="false">IF(K647&lt;&gt;"Yes","",IFERROR(INDEX(cr_Rate,MATCH(J647&amp;"|"&amp;D647,cr_Key,0)),INDEX(rt_Rate,MATCH(D647,rt_Code,0))))</f>
        <v/>
      </c>
      <c r="M647" s="25" t="str">
        <f aca="false">IF(L647="","",ROUND(N(E647)*L647,2))</f>
        <v/>
      </c>
      <c r="N647" s="39" t="n">
        <f aca="false">IF(OR(A647="",B647=""),"",SUMIFS(tl_Hours,tl_StaffID,I647,tl_Date,A647))</f>
        <v>8</v>
      </c>
      <c r="O647" s="40" t="str">
        <f aca="false">IF(A647&amp;B647&amp;D647="","",IF(OR(A647="",B647="",D647="",E647=""),"Incomplete",IF(K647="Unknown","Unknown code",IF(AND(K647="Yes",C647=""),"Billable, needs client",IF(N647&gt;MaxDayHours,"Over "&amp;MaxDayHours&amp;" hours that day","")))))</f>
        <v/>
      </c>
    </row>
    <row r="648" customFormat="false" ht="15" hidden="false" customHeight="false" outlineLevel="0" collapsed="false">
      <c r="A648" s="31" t="n">
        <v>46239</v>
      </c>
      <c r="B648" s="32" t="s">
        <v>103</v>
      </c>
      <c r="C648" s="32" t="s">
        <v>87</v>
      </c>
      <c r="D648" s="33" t="s">
        <v>104</v>
      </c>
      <c r="E648" s="34" t="n">
        <v>3.25</v>
      </c>
      <c r="F648" s="32"/>
      <c r="G648" s="35" t="n">
        <f aca="false">IF(A648="","",A648+7-WEEKDAY(A648))</f>
        <v>46242</v>
      </c>
      <c r="H648" s="36" t="n">
        <f aca="false">IF(A648="","",DATE(YEAR(A648),MONTH(A648),1))</f>
        <v>46235</v>
      </c>
      <c r="I648" s="37" t="str">
        <f aca="false">IF(B648="","",IFERROR(INDEX(st_ID,MATCH(B648,st_Name,0)),"Unknown"))</f>
        <v>QP-05</v>
      </c>
      <c r="J648" s="37" t="str">
        <f aca="false">IF(C648="","",IFERROR(INDEX(cl_Code,MATCH(C648,cl_Name,0)),"Unknown"))</f>
        <v>HCS</v>
      </c>
      <c r="K648" s="37" t="str">
        <f aca="false">IF(D648="","",IFERROR(INDEX(rt_Billable,MATCH(D648,rt_Code,0)),"Unknown"))</f>
        <v>Yes</v>
      </c>
      <c r="L648" s="38" t="n">
        <f aca="false">IF(K648&lt;&gt;"Yes","",IFERROR(INDEX(cr_Rate,MATCH(J648&amp;"|"&amp;D648,cr_Key,0)),INDEX(rt_Rate,MATCH(D648,rt_Code,0))))</f>
        <v>62</v>
      </c>
      <c r="M648" s="25" t="n">
        <f aca="false">IF(L648="","",ROUND(N(E648)*L648,2))</f>
        <v>201.5</v>
      </c>
      <c r="N648" s="39" t="n">
        <f aca="false">IF(OR(A648="",B648=""),"",SUMIFS(tl_Hours,tl_StaffID,I648,tl_Date,A648))</f>
        <v>8</v>
      </c>
      <c r="O648" s="40" t="str">
        <f aca="false">IF(A648&amp;B648&amp;D648="","",IF(OR(A648="",B648="",D648="",E648=""),"Incomplete",IF(K648="Unknown","Unknown code",IF(AND(K648="Yes",C648=""),"Billable, needs client",IF(N648&gt;MaxDayHours,"Over "&amp;MaxDayHours&amp;" hours that day","")))))</f>
        <v/>
      </c>
    </row>
    <row r="649" customFormat="false" ht="15" hidden="false" customHeight="false" outlineLevel="0" collapsed="false">
      <c r="A649" s="31" t="n">
        <v>46239</v>
      </c>
      <c r="B649" s="32" t="s">
        <v>103</v>
      </c>
      <c r="C649" s="32" t="s">
        <v>87</v>
      </c>
      <c r="D649" s="33" t="s">
        <v>92</v>
      </c>
      <c r="E649" s="34" t="n">
        <v>2.25</v>
      </c>
      <c r="F649" s="32"/>
      <c r="G649" s="35" t="n">
        <f aca="false">IF(A649="","",A649+7-WEEKDAY(A649))</f>
        <v>46242</v>
      </c>
      <c r="H649" s="36" t="n">
        <f aca="false">IF(A649="","",DATE(YEAR(A649),MONTH(A649),1))</f>
        <v>46235</v>
      </c>
      <c r="I649" s="37" t="str">
        <f aca="false">IF(B649="","",IFERROR(INDEX(st_ID,MATCH(B649,st_Name,0)),"Unknown"))</f>
        <v>QP-05</v>
      </c>
      <c r="J649" s="37" t="str">
        <f aca="false">IF(C649="","",IFERROR(INDEX(cl_Code,MATCH(C649,cl_Name,0)),"Unknown"))</f>
        <v>HCS</v>
      </c>
      <c r="K649" s="37" t="str">
        <f aca="false">IF(D649="","",IFERROR(INDEX(rt_Billable,MATCH(D649,rt_Code,0)),"Unknown"))</f>
        <v>Yes</v>
      </c>
      <c r="L649" s="38" t="n">
        <f aca="false">IF(K649&lt;&gt;"Yes","",IFERROR(INDEX(cr_Rate,MATCH(J649&amp;"|"&amp;D649,cr_Key,0)),INDEX(rt_Rate,MATCH(D649,rt_Code,0))))</f>
        <v>140</v>
      </c>
      <c r="M649" s="25" t="n">
        <f aca="false">IF(L649="","",ROUND(N(E649)*L649,2))</f>
        <v>315</v>
      </c>
      <c r="N649" s="39" t="n">
        <f aca="false">IF(OR(A649="",B649=""),"",SUMIFS(tl_Hours,tl_StaffID,I649,tl_Date,A649))</f>
        <v>8</v>
      </c>
      <c r="O649" s="40" t="str">
        <f aca="false">IF(A649&amp;B649&amp;D649="","",IF(OR(A649="",B649="",D649="",E649=""),"Incomplete",IF(K649="Unknown","Unknown code",IF(AND(K649="Yes",C649=""),"Billable, needs client",IF(N649&gt;MaxDayHours,"Over "&amp;MaxDayHours&amp;" hours that day","")))))</f>
        <v/>
      </c>
    </row>
    <row r="650" customFormat="false" ht="15" hidden="false" customHeight="false" outlineLevel="0" collapsed="false">
      <c r="A650" s="31" t="n">
        <v>46239</v>
      </c>
      <c r="B650" s="32" t="s">
        <v>103</v>
      </c>
      <c r="C650" s="32"/>
      <c r="D650" s="33" t="s">
        <v>98</v>
      </c>
      <c r="E650" s="34" t="n">
        <v>1</v>
      </c>
      <c r="F650" s="32" t="s">
        <v>99</v>
      </c>
      <c r="G650" s="35" t="n">
        <f aca="false">IF(A650="","",A650+7-WEEKDAY(A650))</f>
        <v>46242</v>
      </c>
      <c r="H650" s="36" t="n">
        <f aca="false">IF(A650="","",DATE(YEAR(A650),MONTH(A650),1))</f>
        <v>46235</v>
      </c>
      <c r="I650" s="37" t="str">
        <f aca="false">IF(B650="","",IFERROR(INDEX(st_ID,MATCH(B650,st_Name,0)),"Unknown"))</f>
        <v>QP-05</v>
      </c>
      <c r="J650" s="37" t="str">
        <f aca="false">IF(C650="","",IFERROR(INDEX(cl_Code,MATCH(C650,cl_Name,0)),"Unknown"))</f>
        <v/>
      </c>
      <c r="K650" s="37" t="str">
        <f aca="false">IF(D650="","",IFERROR(INDEX(rt_Billable,MATCH(D650,rt_Code,0)),"Unknown"))</f>
        <v>No</v>
      </c>
      <c r="L650" s="38" t="str">
        <f aca="false">IF(K650&lt;&gt;"Yes","",IFERROR(INDEX(cr_Rate,MATCH(J650&amp;"|"&amp;D650,cr_Key,0)),INDEX(rt_Rate,MATCH(D650,rt_Code,0))))</f>
        <v/>
      </c>
      <c r="M650" s="25" t="str">
        <f aca="false">IF(L650="","",ROUND(N(E650)*L650,2))</f>
        <v/>
      </c>
      <c r="N650" s="39" t="n">
        <f aca="false">IF(OR(A650="",B650=""),"",SUMIFS(tl_Hours,tl_StaffID,I650,tl_Date,A650))</f>
        <v>8</v>
      </c>
      <c r="O650" s="40" t="str">
        <f aca="false">IF(A650&amp;B650&amp;D650="","",IF(OR(A650="",B650="",D650="",E650=""),"Incomplete",IF(K650="Unknown","Unknown code",IF(AND(K650="Yes",C650=""),"Billable, needs client",IF(N650&gt;MaxDayHours,"Over "&amp;MaxDayHours&amp;" hours that day","")))))</f>
        <v/>
      </c>
    </row>
    <row r="651" customFormat="false" ht="15" hidden="false" customHeight="false" outlineLevel="0" collapsed="false">
      <c r="A651" s="31" t="n">
        <v>46239</v>
      </c>
      <c r="B651" s="32" t="s">
        <v>103</v>
      </c>
      <c r="C651" s="32"/>
      <c r="D651" s="33" t="s">
        <v>96</v>
      </c>
      <c r="E651" s="34" t="n">
        <v>1.5</v>
      </c>
      <c r="F651" s="32"/>
      <c r="G651" s="35" t="n">
        <f aca="false">IF(A651="","",A651+7-WEEKDAY(A651))</f>
        <v>46242</v>
      </c>
      <c r="H651" s="36" t="n">
        <f aca="false">IF(A651="","",DATE(YEAR(A651),MONTH(A651),1))</f>
        <v>46235</v>
      </c>
      <c r="I651" s="37" t="str">
        <f aca="false">IF(B651="","",IFERROR(INDEX(st_ID,MATCH(B651,st_Name,0)),"Unknown"))</f>
        <v>QP-05</v>
      </c>
      <c r="J651" s="37" t="str">
        <f aca="false">IF(C651="","",IFERROR(INDEX(cl_Code,MATCH(C651,cl_Name,0)),"Unknown"))</f>
        <v/>
      </c>
      <c r="K651" s="37" t="str">
        <f aca="false">IF(D651="","",IFERROR(INDEX(rt_Billable,MATCH(D651,rt_Code,0)),"Unknown"))</f>
        <v>No</v>
      </c>
      <c r="L651" s="38" t="str">
        <f aca="false">IF(K651&lt;&gt;"Yes","",IFERROR(INDEX(cr_Rate,MATCH(J651&amp;"|"&amp;D651,cr_Key,0)),INDEX(rt_Rate,MATCH(D651,rt_Code,0))))</f>
        <v/>
      </c>
      <c r="M651" s="25" t="str">
        <f aca="false">IF(L651="","",ROUND(N(E651)*L651,2))</f>
        <v/>
      </c>
      <c r="N651" s="39" t="n">
        <f aca="false">IF(OR(A651="",B651=""),"",SUMIFS(tl_Hours,tl_StaffID,I651,tl_Date,A651))</f>
        <v>8</v>
      </c>
      <c r="O651" s="40" t="str">
        <f aca="false">IF(A651&amp;B651&amp;D651="","",IF(OR(A651="",B651="",D651="",E651=""),"Incomplete",IF(K651="Unknown","Unknown code",IF(AND(K651="Yes",C651=""),"Billable, needs client",IF(N651&gt;MaxDayHours,"Over "&amp;MaxDayHours&amp;" hours that day","")))))</f>
        <v/>
      </c>
    </row>
    <row r="652" customFormat="false" ht="15" hidden="false" customHeight="false" outlineLevel="0" collapsed="false">
      <c r="A652" s="31" t="n">
        <v>46239</v>
      </c>
      <c r="B652" s="32" t="s">
        <v>105</v>
      </c>
      <c r="C652" s="32" t="s">
        <v>90</v>
      </c>
      <c r="D652" s="33" t="s">
        <v>91</v>
      </c>
      <c r="E652" s="34" t="n">
        <v>3.25</v>
      </c>
      <c r="F652" s="32"/>
      <c r="G652" s="35" t="n">
        <f aca="false">IF(A652="","",A652+7-WEEKDAY(A652))</f>
        <v>46242</v>
      </c>
      <c r="H652" s="36" t="n">
        <f aca="false">IF(A652="","",DATE(YEAR(A652),MONTH(A652),1))</f>
        <v>46235</v>
      </c>
      <c r="I652" s="37" t="str">
        <f aca="false">IF(B652="","",IFERROR(INDEX(st_ID,MATCH(B652,st_Name,0)),"Unknown"))</f>
        <v>QP-06</v>
      </c>
      <c r="J652" s="37" t="str">
        <f aca="false">IF(C652="","",IFERROR(INDEX(cl_Code,MATCH(C652,cl_Name,0)),"Unknown"))</f>
        <v>BSE</v>
      </c>
      <c r="K652" s="37" t="str">
        <f aca="false">IF(D652="","",IFERROR(INDEX(rt_Billable,MATCH(D652,rt_Code,0)),"Unknown"))</f>
        <v>Yes</v>
      </c>
      <c r="L652" s="38" t="n">
        <f aca="false">IF(K652&lt;&gt;"Yes","",IFERROR(INDEX(cr_Rate,MATCH(J652&amp;"|"&amp;D652,cr_Key,0)),INDEX(rt_Rate,MATCH(D652,rt_Code,0))))</f>
        <v>100</v>
      </c>
      <c r="M652" s="25" t="n">
        <f aca="false">IF(L652="","",ROUND(N(E652)*L652,2))</f>
        <v>325</v>
      </c>
      <c r="N652" s="39" t="n">
        <f aca="false">IF(OR(A652="",B652=""),"",SUMIFS(tl_Hours,tl_StaffID,I652,tl_Date,A652))</f>
        <v>8</v>
      </c>
      <c r="O652" s="40" t="str">
        <f aca="false">IF(A652&amp;B652&amp;D652="","",IF(OR(A652="",B652="",D652="",E652=""),"Incomplete",IF(K652="Unknown","Unknown code",IF(AND(K652="Yes",C652=""),"Billable, needs client",IF(N652&gt;MaxDayHours,"Over "&amp;MaxDayHours&amp;" hours that day","")))))</f>
        <v/>
      </c>
    </row>
    <row r="653" customFormat="false" ht="15" hidden="false" customHeight="false" outlineLevel="0" collapsed="false">
      <c r="A653" s="31" t="n">
        <v>46239</v>
      </c>
      <c r="B653" s="32" t="s">
        <v>105</v>
      </c>
      <c r="C653" s="32" t="s">
        <v>90</v>
      </c>
      <c r="D653" s="33" t="s">
        <v>89</v>
      </c>
      <c r="E653" s="34" t="n">
        <v>1.5</v>
      </c>
      <c r="F653" s="32"/>
      <c r="G653" s="35" t="n">
        <f aca="false">IF(A653="","",A653+7-WEEKDAY(A653))</f>
        <v>46242</v>
      </c>
      <c r="H653" s="36" t="n">
        <f aca="false">IF(A653="","",DATE(YEAR(A653),MONTH(A653),1))</f>
        <v>46235</v>
      </c>
      <c r="I653" s="37" t="str">
        <f aca="false">IF(B653="","",IFERROR(INDEX(st_ID,MATCH(B653,st_Name,0)),"Unknown"))</f>
        <v>QP-06</v>
      </c>
      <c r="J653" s="37" t="str">
        <f aca="false">IF(C653="","",IFERROR(INDEX(cl_Code,MATCH(C653,cl_Name,0)),"Unknown"))</f>
        <v>BSE</v>
      </c>
      <c r="K653" s="37" t="str">
        <f aca="false">IF(D653="","",IFERROR(INDEX(rt_Billable,MATCH(D653,rt_Code,0)),"Unknown"))</f>
        <v>Yes</v>
      </c>
      <c r="L653" s="38" t="n">
        <f aca="false">IF(K653&lt;&gt;"Yes","",IFERROR(INDEX(cr_Rate,MATCH(J653&amp;"|"&amp;D653,cr_Key,0)),INDEX(rt_Rate,MATCH(D653,rt_Code,0))))</f>
        <v>95</v>
      </c>
      <c r="M653" s="25" t="n">
        <f aca="false">IF(L653="","",ROUND(N(E653)*L653,2))</f>
        <v>142.5</v>
      </c>
      <c r="N653" s="39" t="n">
        <f aca="false">IF(OR(A653="",B653=""),"",SUMIFS(tl_Hours,tl_StaffID,I653,tl_Date,A653))</f>
        <v>8</v>
      </c>
      <c r="O653" s="40" t="str">
        <f aca="false">IF(A653&amp;B653&amp;D653="","",IF(OR(A653="",B653="",D653="",E653=""),"Incomplete",IF(K653="Unknown","Unknown code",IF(AND(K653="Yes",C653=""),"Billable, needs client",IF(N653&gt;MaxDayHours,"Over "&amp;MaxDayHours&amp;" hours that day","")))))</f>
        <v/>
      </c>
    </row>
    <row r="654" customFormat="false" ht="15" hidden="false" customHeight="false" outlineLevel="0" collapsed="false">
      <c r="A654" s="31" t="n">
        <v>46239</v>
      </c>
      <c r="B654" s="32" t="s">
        <v>105</v>
      </c>
      <c r="C654" s="32"/>
      <c r="D654" s="33" t="s">
        <v>98</v>
      </c>
      <c r="E654" s="34" t="n">
        <v>1</v>
      </c>
      <c r="F654" s="32" t="s">
        <v>99</v>
      </c>
      <c r="G654" s="35" t="n">
        <f aca="false">IF(A654="","",A654+7-WEEKDAY(A654))</f>
        <v>46242</v>
      </c>
      <c r="H654" s="36" t="n">
        <f aca="false">IF(A654="","",DATE(YEAR(A654),MONTH(A654),1))</f>
        <v>46235</v>
      </c>
      <c r="I654" s="37" t="str">
        <f aca="false">IF(B654="","",IFERROR(INDEX(st_ID,MATCH(B654,st_Name,0)),"Unknown"))</f>
        <v>QP-06</v>
      </c>
      <c r="J654" s="37" t="str">
        <f aca="false">IF(C654="","",IFERROR(INDEX(cl_Code,MATCH(C654,cl_Name,0)),"Unknown"))</f>
        <v/>
      </c>
      <c r="K654" s="37" t="str">
        <f aca="false">IF(D654="","",IFERROR(INDEX(rt_Billable,MATCH(D654,rt_Code,0)),"Unknown"))</f>
        <v>No</v>
      </c>
      <c r="L654" s="38" t="str">
        <f aca="false">IF(K654&lt;&gt;"Yes","",IFERROR(INDEX(cr_Rate,MATCH(J654&amp;"|"&amp;D654,cr_Key,0)),INDEX(rt_Rate,MATCH(D654,rt_Code,0))))</f>
        <v/>
      </c>
      <c r="M654" s="25" t="str">
        <f aca="false">IF(L654="","",ROUND(N(E654)*L654,2))</f>
        <v/>
      </c>
      <c r="N654" s="39" t="n">
        <f aca="false">IF(OR(A654="",B654=""),"",SUMIFS(tl_Hours,tl_StaffID,I654,tl_Date,A654))</f>
        <v>8</v>
      </c>
      <c r="O654" s="40" t="str">
        <f aca="false">IF(A654&amp;B654&amp;D654="","",IF(OR(A654="",B654="",D654="",E654=""),"Incomplete",IF(K654="Unknown","Unknown code",IF(AND(K654="Yes",C654=""),"Billable, needs client",IF(N654&gt;MaxDayHours,"Over "&amp;MaxDayHours&amp;" hours that day","")))))</f>
        <v/>
      </c>
    </row>
    <row r="655" customFormat="false" ht="15" hidden="false" customHeight="false" outlineLevel="0" collapsed="false">
      <c r="A655" s="31" t="n">
        <v>46239</v>
      </c>
      <c r="B655" s="32" t="s">
        <v>105</v>
      </c>
      <c r="C655" s="32"/>
      <c r="D655" s="33" t="s">
        <v>96</v>
      </c>
      <c r="E655" s="34" t="n">
        <v>2.25</v>
      </c>
      <c r="F655" s="32"/>
      <c r="G655" s="35" t="n">
        <f aca="false">IF(A655="","",A655+7-WEEKDAY(A655))</f>
        <v>46242</v>
      </c>
      <c r="H655" s="36" t="n">
        <f aca="false">IF(A655="","",DATE(YEAR(A655),MONTH(A655),1))</f>
        <v>46235</v>
      </c>
      <c r="I655" s="37" t="str">
        <f aca="false">IF(B655="","",IFERROR(INDEX(st_ID,MATCH(B655,st_Name,0)),"Unknown"))</f>
        <v>QP-06</v>
      </c>
      <c r="J655" s="37" t="str">
        <f aca="false">IF(C655="","",IFERROR(INDEX(cl_Code,MATCH(C655,cl_Name,0)),"Unknown"))</f>
        <v/>
      </c>
      <c r="K655" s="37" t="str">
        <f aca="false">IF(D655="","",IFERROR(INDEX(rt_Billable,MATCH(D655,rt_Code,0)),"Unknown"))</f>
        <v>No</v>
      </c>
      <c r="L655" s="38" t="str">
        <f aca="false">IF(K655&lt;&gt;"Yes","",IFERROR(INDEX(cr_Rate,MATCH(J655&amp;"|"&amp;D655,cr_Key,0)),INDEX(rt_Rate,MATCH(D655,rt_Code,0))))</f>
        <v/>
      </c>
      <c r="M655" s="25" t="str">
        <f aca="false">IF(L655="","",ROUND(N(E655)*L655,2))</f>
        <v/>
      </c>
      <c r="N655" s="39" t="n">
        <f aca="false">IF(OR(A655="",B655=""),"",SUMIFS(tl_Hours,tl_StaffID,I655,tl_Date,A655))</f>
        <v>8</v>
      </c>
      <c r="O655" s="40" t="str">
        <f aca="false">IF(A655&amp;B655&amp;D655="","",IF(OR(A655="",B655="",D655="",E655=""),"Incomplete",IF(K655="Unknown","Unknown code",IF(AND(K655="Yes",C655=""),"Billable, needs client",IF(N655&gt;MaxDayHours,"Over "&amp;MaxDayHours&amp;" hours that day","")))))</f>
        <v/>
      </c>
    </row>
    <row r="656" customFormat="false" ht="15" hidden="false" customHeight="false" outlineLevel="0" collapsed="false">
      <c r="A656" s="31" t="n">
        <v>46239</v>
      </c>
      <c r="B656" s="32" t="s">
        <v>106</v>
      </c>
      <c r="C656" s="32" t="s">
        <v>112</v>
      </c>
      <c r="D656" s="33" t="s">
        <v>104</v>
      </c>
      <c r="E656" s="34" t="n">
        <v>3.75</v>
      </c>
      <c r="F656" s="32"/>
      <c r="G656" s="35" t="n">
        <f aca="false">IF(A656="","",A656+7-WEEKDAY(A656))</f>
        <v>46242</v>
      </c>
      <c r="H656" s="36" t="n">
        <f aca="false">IF(A656="","",DATE(YEAR(A656),MONTH(A656),1))</f>
        <v>46235</v>
      </c>
      <c r="I656" s="37" t="str">
        <f aca="false">IF(B656="","",IFERROR(INDEX(st_ID,MATCH(B656,st_Name,0)),"Unknown"))</f>
        <v>QP-07</v>
      </c>
      <c r="J656" s="37" t="str">
        <f aca="false">IF(C656="","",IFERROR(INDEX(cl_Code,MATCH(C656,cl_Name,0)),"Unknown"))</f>
        <v>PCA</v>
      </c>
      <c r="K656" s="37" t="str">
        <f aca="false">IF(D656="","",IFERROR(INDEX(rt_Billable,MATCH(D656,rt_Code,0)),"Unknown"))</f>
        <v>Yes</v>
      </c>
      <c r="L656" s="38" t="n">
        <f aca="false">IF(K656&lt;&gt;"Yes","",IFERROR(INDEX(cr_Rate,MATCH(J656&amp;"|"&amp;D656,cr_Key,0)),INDEX(rt_Rate,MATCH(D656,rt_Code,0))))</f>
        <v>70</v>
      </c>
      <c r="M656" s="25" t="n">
        <f aca="false">IF(L656="","",ROUND(N(E656)*L656,2))</f>
        <v>262.5</v>
      </c>
      <c r="N656" s="39" t="n">
        <f aca="false">IF(OR(A656="",B656=""),"",SUMIFS(tl_Hours,tl_StaffID,I656,tl_Date,A656))</f>
        <v>8</v>
      </c>
      <c r="O656" s="40" t="str">
        <f aca="false">IF(A656&amp;B656&amp;D656="","",IF(OR(A656="",B656="",D656="",E656=""),"Incomplete",IF(K656="Unknown","Unknown code",IF(AND(K656="Yes",C656=""),"Billable, needs client",IF(N656&gt;MaxDayHours,"Over "&amp;MaxDayHours&amp;" hours that day","")))))</f>
        <v/>
      </c>
    </row>
    <row r="657" customFormat="false" ht="15" hidden="false" customHeight="false" outlineLevel="0" collapsed="false">
      <c r="A657" s="31" t="n">
        <v>46239</v>
      </c>
      <c r="B657" s="32" t="s">
        <v>106</v>
      </c>
      <c r="C657" s="32" t="s">
        <v>112</v>
      </c>
      <c r="D657" s="33" t="s">
        <v>89</v>
      </c>
      <c r="E657" s="34" t="n">
        <v>2</v>
      </c>
      <c r="F657" s="32"/>
      <c r="G657" s="35" t="n">
        <f aca="false">IF(A657="","",A657+7-WEEKDAY(A657))</f>
        <v>46242</v>
      </c>
      <c r="H657" s="36" t="n">
        <f aca="false">IF(A657="","",DATE(YEAR(A657),MONTH(A657),1))</f>
        <v>46235</v>
      </c>
      <c r="I657" s="37" t="str">
        <f aca="false">IF(B657="","",IFERROR(INDEX(st_ID,MATCH(B657,st_Name,0)),"Unknown"))</f>
        <v>QP-07</v>
      </c>
      <c r="J657" s="37" t="str">
        <f aca="false">IF(C657="","",IFERROR(INDEX(cl_Code,MATCH(C657,cl_Name,0)),"Unknown"))</f>
        <v>PCA</v>
      </c>
      <c r="K657" s="37" t="str">
        <f aca="false">IF(D657="","",IFERROR(INDEX(rt_Billable,MATCH(D657,rt_Code,0)),"Unknown"))</f>
        <v>Yes</v>
      </c>
      <c r="L657" s="38" t="n">
        <f aca="false">IF(K657&lt;&gt;"Yes","",IFERROR(INDEX(cr_Rate,MATCH(J657&amp;"|"&amp;D657,cr_Key,0)),INDEX(rt_Rate,MATCH(D657,rt_Code,0))))</f>
        <v>95</v>
      </c>
      <c r="M657" s="25" t="n">
        <f aca="false">IF(L657="","",ROUND(N(E657)*L657,2))</f>
        <v>190</v>
      </c>
      <c r="N657" s="39" t="n">
        <f aca="false">IF(OR(A657="",B657=""),"",SUMIFS(tl_Hours,tl_StaffID,I657,tl_Date,A657))</f>
        <v>8</v>
      </c>
      <c r="O657" s="40" t="str">
        <f aca="false">IF(A657&amp;B657&amp;D657="","",IF(OR(A657="",B657="",D657="",E657=""),"Incomplete",IF(K657="Unknown","Unknown code",IF(AND(K657="Yes",C657=""),"Billable, needs client",IF(N657&gt;MaxDayHours,"Over "&amp;MaxDayHours&amp;" hours that day","")))))</f>
        <v/>
      </c>
    </row>
    <row r="658" customFormat="false" ht="15" hidden="false" customHeight="false" outlineLevel="0" collapsed="false">
      <c r="A658" s="31" t="n">
        <v>46239</v>
      </c>
      <c r="B658" s="32" t="s">
        <v>106</v>
      </c>
      <c r="C658" s="32"/>
      <c r="D658" s="33" t="s">
        <v>98</v>
      </c>
      <c r="E658" s="34" t="n">
        <v>1</v>
      </c>
      <c r="F658" s="32" t="s">
        <v>99</v>
      </c>
      <c r="G658" s="35" t="n">
        <f aca="false">IF(A658="","",A658+7-WEEKDAY(A658))</f>
        <v>46242</v>
      </c>
      <c r="H658" s="36" t="n">
        <f aca="false">IF(A658="","",DATE(YEAR(A658),MONTH(A658),1))</f>
        <v>46235</v>
      </c>
      <c r="I658" s="37" t="str">
        <f aca="false">IF(B658="","",IFERROR(INDEX(st_ID,MATCH(B658,st_Name,0)),"Unknown"))</f>
        <v>QP-07</v>
      </c>
      <c r="J658" s="37" t="str">
        <f aca="false">IF(C658="","",IFERROR(INDEX(cl_Code,MATCH(C658,cl_Name,0)),"Unknown"))</f>
        <v/>
      </c>
      <c r="K658" s="37" t="str">
        <f aca="false">IF(D658="","",IFERROR(INDEX(rt_Billable,MATCH(D658,rt_Code,0)),"Unknown"))</f>
        <v>No</v>
      </c>
      <c r="L658" s="38" t="str">
        <f aca="false">IF(K658&lt;&gt;"Yes","",IFERROR(INDEX(cr_Rate,MATCH(J658&amp;"|"&amp;D658,cr_Key,0)),INDEX(rt_Rate,MATCH(D658,rt_Code,0))))</f>
        <v/>
      </c>
      <c r="M658" s="25" t="str">
        <f aca="false">IF(L658="","",ROUND(N(E658)*L658,2))</f>
        <v/>
      </c>
      <c r="N658" s="39" t="n">
        <f aca="false">IF(OR(A658="",B658=""),"",SUMIFS(tl_Hours,tl_StaffID,I658,tl_Date,A658))</f>
        <v>8</v>
      </c>
      <c r="O658" s="40" t="str">
        <f aca="false">IF(A658&amp;B658&amp;D658="","",IF(OR(A658="",B658="",D658="",E658=""),"Incomplete",IF(K658="Unknown","Unknown code",IF(AND(K658="Yes",C658=""),"Billable, needs client",IF(N658&gt;MaxDayHours,"Over "&amp;MaxDayHours&amp;" hours that day","")))))</f>
        <v/>
      </c>
    </row>
    <row r="659" customFormat="false" ht="15" hidden="false" customHeight="false" outlineLevel="0" collapsed="false">
      <c r="A659" s="31" t="n">
        <v>46239</v>
      </c>
      <c r="B659" s="32" t="s">
        <v>106</v>
      </c>
      <c r="C659" s="32"/>
      <c r="D659" s="33" t="s">
        <v>96</v>
      </c>
      <c r="E659" s="34" t="n">
        <v>1.25</v>
      </c>
      <c r="F659" s="32"/>
      <c r="G659" s="35" t="n">
        <f aca="false">IF(A659="","",A659+7-WEEKDAY(A659))</f>
        <v>46242</v>
      </c>
      <c r="H659" s="36" t="n">
        <f aca="false">IF(A659="","",DATE(YEAR(A659),MONTH(A659),1))</f>
        <v>46235</v>
      </c>
      <c r="I659" s="37" t="str">
        <f aca="false">IF(B659="","",IFERROR(INDEX(st_ID,MATCH(B659,st_Name,0)),"Unknown"))</f>
        <v>QP-07</v>
      </c>
      <c r="J659" s="37" t="str">
        <f aca="false">IF(C659="","",IFERROR(INDEX(cl_Code,MATCH(C659,cl_Name,0)),"Unknown"))</f>
        <v/>
      </c>
      <c r="K659" s="37" t="str">
        <f aca="false">IF(D659="","",IFERROR(INDEX(rt_Billable,MATCH(D659,rt_Code,0)),"Unknown"))</f>
        <v>No</v>
      </c>
      <c r="L659" s="38" t="str">
        <f aca="false">IF(K659&lt;&gt;"Yes","",IFERROR(INDEX(cr_Rate,MATCH(J659&amp;"|"&amp;D659,cr_Key,0)),INDEX(rt_Rate,MATCH(D659,rt_Code,0))))</f>
        <v/>
      </c>
      <c r="M659" s="25" t="str">
        <f aca="false">IF(L659="","",ROUND(N(E659)*L659,2))</f>
        <v/>
      </c>
      <c r="N659" s="39" t="n">
        <f aca="false">IF(OR(A659="",B659=""),"",SUMIFS(tl_Hours,tl_StaffID,I659,tl_Date,A659))</f>
        <v>8</v>
      </c>
      <c r="O659" s="40" t="str">
        <f aca="false">IF(A659&amp;B659&amp;D659="","",IF(OR(A659="",B659="",D659="",E659=""),"Incomplete",IF(K659="Unknown","Unknown code",IF(AND(K659="Yes",C659=""),"Billable, needs client",IF(N659&gt;MaxDayHours,"Over "&amp;MaxDayHours&amp;" hours that day","")))))</f>
        <v/>
      </c>
    </row>
    <row r="660" customFormat="false" ht="15" hidden="false" customHeight="false" outlineLevel="0" collapsed="false">
      <c r="A660" s="31" t="n">
        <v>46239</v>
      </c>
      <c r="B660" s="32" t="s">
        <v>107</v>
      </c>
      <c r="C660" s="32"/>
      <c r="D660" s="33" t="s">
        <v>108</v>
      </c>
      <c r="E660" s="34" t="n">
        <v>7</v>
      </c>
      <c r="F660" s="32"/>
      <c r="G660" s="35" t="n">
        <f aca="false">IF(A660="","",A660+7-WEEKDAY(A660))</f>
        <v>46242</v>
      </c>
      <c r="H660" s="36" t="n">
        <f aca="false">IF(A660="","",DATE(YEAR(A660),MONTH(A660),1))</f>
        <v>46235</v>
      </c>
      <c r="I660" s="37" t="str">
        <f aca="false">IF(B660="","",IFERROR(INDEX(st_ID,MATCH(B660,st_Name,0)),"Unknown"))</f>
        <v>QP-08</v>
      </c>
      <c r="J660" s="37" t="str">
        <f aca="false">IF(C660="","",IFERROR(INDEX(cl_Code,MATCH(C660,cl_Name,0)),"Unknown"))</f>
        <v/>
      </c>
      <c r="K660" s="37" t="str">
        <f aca="false">IF(D660="","",IFERROR(INDEX(rt_Billable,MATCH(D660,rt_Code,0)),"Unknown"))</f>
        <v>No</v>
      </c>
      <c r="L660" s="38" t="str">
        <f aca="false">IF(K660&lt;&gt;"Yes","",IFERROR(INDEX(cr_Rate,MATCH(J660&amp;"|"&amp;D660,cr_Key,0)),INDEX(rt_Rate,MATCH(D660,rt_Code,0))))</f>
        <v/>
      </c>
      <c r="M660" s="25" t="str">
        <f aca="false">IF(L660="","",ROUND(N(E660)*L660,2))</f>
        <v/>
      </c>
      <c r="N660" s="39" t="n">
        <f aca="false">IF(OR(A660="",B660=""),"",SUMIFS(tl_Hours,tl_StaffID,I660,tl_Date,A660))</f>
        <v>8</v>
      </c>
      <c r="O660" s="40" t="str">
        <f aca="false">IF(A660&amp;B660&amp;D660="","",IF(OR(A660="",B660="",D660="",E660=""),"Incomplete",IF(K660="Unknown","Unknown code",IF(AND(K660="Yes",C660=""),"Billable, needs client",IF(N660&gt;MaxDayHours,"Over "&amp;MaxDayHours&amp;" hours that day","")))))</f>
        <v/>
      </c>
    </row>
    <row r="661" customFormat="false" ht="15" hidden="false" customHeight="false" outlineLevel="0" collapsed="false">
      <c r="A661" s="31" t="n">
        <v>46239</v>
      </c>
      <c r="B661" s="32" t="s">
        <v>107</v>
      </c>
      <c r="C661" s="32"/>
      <c r="D661" s="33" t="s">
        <v>98</v>
      </c>
      <c r="E661" s="34" t="n">
        <v>1</v>
      </c>
      <c r="F661" s="32"/>
      <c r="G661" s="35" t="n">
        <f aca="false">IF(A661="","",A661+7-WEEKDAY(A661))</f>
        <v>46242</v>
      </c>
      <c r="H661" s="36" t="n">
        <f aca="false">IF(A661="","",DATE(YEAR(A661),MONTH(A661),1))</f>
        <v>46235</v>
      </c>
      <c r="I661" s="37" t="str">
        <f aca="false">IF(B661="","",IFERROR(INDEX(st_ID,MATCH(B661,st_Name,0)),"Unknown"))</f>
        <v>QP-08</v>
      </c>
      <c r="J661" s="37" t="str">
        <f aca="false">IF(C661="","",IFERROR(INDEX(cl_Code,MATCH(C661,cl_Name,0)),"Unknown"))</f>
        <v/>
      </c>
      <c r="K661" s="37" t="str">
        <f aca="false">IF(D661="","",IFERROR(INDEX(rt_Billable,MATCH(D661,rt_Code,0)),"Unknown"))</f>
        <v>No</v>
      </c>
      <c r="L661" s="38" t="str">
        <f aca="false">IF(K661&lt;&gt;"Yes","",IFERROR(INDEX(cr_Rate,MATCH(J661&amp;"|"&amp;D661,cr_Key,0)),INDEX(rt_Rate,MATCH(D661,rt_Code,0))))</f>
        <v/>
      </c>
      <c r="M661" s="25" t="str">
        <f aca="false">IF(L661="","",ROUND(N(E661)*L661,2))</f>
        <v/>
      </c>
      <c r="N661" s="39" t="n">
        <f aca="false">IF(OR(A661="",B661=""),"",SUMIFS(tl_Hours,tl_StaffID,I661,tl_Date,A661))</f>
        <v>8</v>
      </c>
      <c r="O661" s="40" t="str">
        <f aca="false">IF(A661&amp;B661&amp;D661="","",IF(OR(A661="",B661="",D661="",E661=""),"Incomplete",IF(K661="Unknown","Unknown code",IF(AND(K661="Yes",C661=""),"Billable, needs client",IF(N661&gt;MaxDayHours,"Over "&amp;MaxDayHours&amp;" hours that day","")))))</f>
        <v/>
      </c>
    </row>
    <row r="662" customFormat="false" ht="15" hidden="false" customHeight="false" outlineLevel="0" collapsed="false">
      <c r="A662" s="31" t="n">
        <v>46240</v>
      </c>
      <c r="B662" s="32" t="s">
        <v>86</v>
      </c>
      <c r="C662" s="32" t="s">
        <v>87</v>
      </c>
      <c r="D662" s="33" t="s">
        <v>88</v>
      </c>
      <c r="E662" s="34" t="n">
        <v>4.75</v>
      </c>
      <c r="F662" s="32"/>
      <c r="G662" s="35" t="n">
        <f aca="false">IF(A662="","",A662+7-WEEKDAY(A662))</f>
        <v>46242</v>
      </c>
      <c r="H662" s="36" t="n">
        <f aca="false">IF(A662="","",DATE(YEAR(A662),MONTH(A662),1))</f>
        <v>46235</v>
      </c>
      <c r="I662" s="37" t="str">
        <f aca="false">IF(B662="","",IFERROR(INDEX(st_ID,MATCH(B662,st_Name,0)),"Unknown"))</f>
        <v>QP-01</v>
      </c>
      <c r="J662" s="37" t="str">
        <f aca="false">IF(C662="","",IFERROR(INDEX(cl_Code,MATCH(C662,cl_Name,0)),"Unknown"))</f>
        <v>HCS</v>
      </c>
      <c r="K662" s="37" t="str">
        <f aca="false">IF(D662="","",IFERROR(INDEX(rt_Billable,MATCH(D662,rt_Code,0)),"Unknown"))</f>
        <v>Yes</v>
      </c>
      <c r="L662" s="38" t="n">
        <f aca="false">IF(K662&lt;&gt;"Yes","",IFERROR(INDEX(cr_Rate,MATCH(J662&amp;"|"&amp;D662,cr_Key,0)),INDEX(rt_Rate,MATCH(D662,rt_Code,0))))</f>
        <v>98</v>
      </c>
      <c r="M662" s="25" t="n">
        <f aca="false">IF(L662="","",ROUND(N(E662)*L662,2))</f>
        <v>465.5</v>
      </c>
      <c r="N662" s="39" t="n">
        <f aca="false">IF(OR(A662="",B662=""),"",SUMIFS(tl_Hours,tl_StaffID,I662,tl_Date,A662))</f>
        <v>8</v>
      </c>
      <c r="O662" s="40" t="str">
        <f aca="false">IF(A662&amp;B662&amp;D662="","",IF(OR(A662="",B662="",D662="",E662=""),"Incomplete",IF(K662="Unknown","Unknown code",IF(AND(K662="Yes",C662=""),"Billable, needs client",IF(N662&gt;MaxDayHours,"Over "&amp;MaxDayHours&amp;" hours that day","")))))</f>
        <v/>
      </c>
    </row>
    <row r="663" customFormat="false" ht="15" hidden="false" customHeight="false" outlineLevel="0" collapsed="false">
      <c r="A663" s="31" t="n">
        <v>46240</v>
      </c>
      <c r="B663" s="32" t="s">
        <v>86</v>
      </c>
      <c r="C663" s="32" t="s">
        <v>87</v>
      </c>
      <c r="D663" s="33" t="s">
        <v>104</v>
      </c>
      <c r="E663" s="34" t="n">
        <v>1</v>
      </c>
      <c r="F663" s="32"/>
      <c r="G663" s="35" t="n">
        <f aca="false">IF(A663="","",A663+7-WEEKDAY(A663))</f>
        <v>46242</v>
      </c>
      <c r="H663" s="36" t="n">
        <f aca="false">IF(A663="","",DATE(YEAR(A663),MONTH(A663),1))</f>
        <v>46235</v>
      </c>
      <c r="I663" s="37" t="str">
        <f aca="false">IF(B663="","",IFERROR(INDEX(st_ID,MATCH(B663,st_Name,0)),"Unknown"))</f>
        <v>QP-01</v>
      </c>
      <c r="J663" s="37" t="str">
        <f aca="false">IF(C663="","",IFERROR(INDEX(cl_Code,MATCH(C663,cl_Name,0)),"Unknown"))</f>
        <v>HCS</v>
      </c>
      <c r="K663" s="37" t="str">
        <f aca="false">IF(D663="","",IFERROR(INDEX(rt_Billable,MATCH(D663,rt_Code,0)),"Unknown"))</f>
        <v>Yes</v>
      </c>
      <c r="L663" s="38" t="n">
        <f aca="false">IF(K663&lt;&gt;"Yes","",IFERROR(INDEX(cr_Rate,MATCH(J663&amp;"|"&amp;D663,cr_Key,0)),INDEX(rt_Rate,MATCH(D663,rt_Code,0))))</f>
        <v>62</v>
      </c>
      <c r="M663" s="25" t="n">
        <f aca="false">IF(L663="","",ROUND(N(E663)*L663,2))</f>
        <v>62</v>
      </c>
      <c r="N663" s="39" t="n">
        <f aca="false">IF(OR(A663="",B663=""),"",SUMIFS(tl_Hours,tl_StaffID,I663,tl_Date,A663))</f>
        <v>8</v>
      </c>
      <c r="O663" s="40" t="str">
        <f aca="false">IF(A663&amp;B663&amp;D663="","",IF(OR(A663="",B663="",D663="",E663=""),"Incomplete",IF(K663="Unknown","Unknown code",IF(AND(K663="Yes",C663=""),"Billable, needs client",IF(N663&gt;MaxDayHours,"Over "&amp;MaxDayHours&amp;" hours that day","")))))</f>
        <v/>
      </c>
    </row>
    <row r="664" customFormat="false" ht="15" hidden="false" customHeight="false" outlineLevel="0" collapsed="false">
      <c r="A664" s="31" t="n">
        <v>46240</v>
      </c>
      <c r="B664" s="32" t="s">
        <v>86</v>
      </c>
      <c r="C664" s="32"/>
      <c r="D664" s="33" t="s">
        <v>96</v>
      </c>
      <c r="E664" s="34" t="n">
        <v>2.25</v>
      </c>
      <c r="F664" s="32"/>
      <c r="G664" s="35" t="n">
        <f aca="false">IF(A664="","",A664+7-WEEKDAY(A664))</f>
        <v>46242</v>
      </c>
      <c r="H664" s="36" t="n">
        <f aca="false">IF(A664="","",DATE(YEAR(A664),MONTH(A664),1))</f>
        <v>46235</v>
      </c>
      <c r="I664" s="37" t="str">
        <f aca="false">IF(B664="","",IFERROR(INDEX(st_ID,MATCH(B664,st_Name,0)),"Unknown"))</f>
        <v>QP-01</v>
      </c>
      <c r="J664" s="37" t="str">
        <f aca="false">IF(C664="","",IFERROR(INDEX(cl_Code,MATCH(C664,cl_Name,0)),"Unknown"))</f>
        <v/>
      </c>
      <c r="K664" s="37" t="str">
        <f aca="false">IF(D664="","",IFERROR(INDEX(rt_Billable,MATCH(D664,rt_Code,0)),"Unknown"))</f>
        <v>No</v>
      </c>
      <c r="L664" s="38" t="str">
        <f aca="false">IF(K664&lt;&gt;"Yes","",IFERROR(INDEX(cr_Rate,MATCH(J664&amp;"|"&amp;D664,cr_Key,0)),INDEX(rt_Rate,MATCH(D664,rt_Code,0))))</f>
        <v/>
      </c>
      <c r="M664" s="25" t="str">
        <f aca="false">IF(L664="","",ROUND(N(E664)*L664,2))</f>
        <v/>
      </c>
      <c r="N664" s="39" t="n">
        <f aca="false">IF(OR(A664="",B664=""),"",SUMIFS(tl_Hours,tl_StaffID,I664,tl_Date,A664))</f>
        <v>8</v>
      </c>
      <c r="O664" s="40" t="str">
        <f aca="false">IF(A664&amp;B664&amp;D664="","",IF(OR(A664="",B664="",D664="",E664=""),"Incomplete",IF(K664="Unknown","Unknown code",IF(AND(K664="Yes",C664=""),"Billable, needs client",IF(N664&gt;MaxDayHours,"Over "&amp;MaxDayHours&amp;" hours that day","")))))</f>
        <v/>
      </c>
    </row>
    <row r="665" customFormat="false" ht="15" hidden="false" customHeight="false" outlineLevel="0" collapsed="false">
      <c r="A665" s="31" t="n">
        <v>46240</v>
      </c>
      <c r="B665" s="32" t="s">
        <v>97</v>
      </c>
      <c r="C665" s="32" t="s">
        <v>87</v>
      </c>
      <c r="D665" s="33" t="s">
        <v>104</v>
      </c>
      <c r="E665" s="34" t="n">
        <v>3.75</v>
      </c>
      <c r="F665" s="32"/>
      <c r="G665" s="35" t="n">
        <f aca="false">IF(A665="","",A665+7-WEEKDAY(A665))</f>
        <v>46242</v>
      </c>
      <c r="H665" s="36" t="n">
        <f aca="false">IF(A665="","",DATE(YEAR(A665),MONTH(A665),1))</f>
        <v>46235</v>
      </c>
      <c r="I665" s="37" t="str">
        <f aca="false">IF(B665="","",IFERROR(INDEX(st_ID,MATCH(B665,st_Name,0)),"Unknown"))</f>
        <v>QP-02</v>
      </c>
      <c r="J665" s="37" t="str">
        <f aca="false">IF(C665="","",IFERROR(INDEX(cl_Code,MATCH(C665,cl_Name,0)),"Unknown"))</f>
        <v>HCS</v>
      </c>
      <c r="K665" s="37" t="str">
        <f aca="false">IF(D665="","",IFERROR(INDEX(rt_Billable,MATCH(D665,rt_Code,0)),"Unknown"))</f>
        <v>Yes</v>
      </c>
      <c r="L665" s="38" t="n">
        <f aca="false">IF(K665&lt;&gt;"Yes","",IFERROR(INDEX(cr_Rate,MATCH(J665&amp;"|"&amp;D665,cr_Key,0)),INDEX(rt_Rate,MATCH(D665,rt_Code,0))))</f>
        <v>62</v>
      </c>
      <c r="M665" s="25" t="n">
        <f aca="false">IF(L665="","",ROUND(N(E665)*L665,2))</f>
        <v>232.5</v>
      </c>
      <c r="N665" s="39" t="n">
        <f aca="false">IF(OR(A665="",B665=""),"",SUMIFS(tl_Hours,tl_StaffID,I665,tl_Date,A665))</f>
        <v>8</v>
      </c>
      <c r="O665" s="40" t="str">
        <f aca="false">IF(A665&amp;B665&amp;D665="","",IF(OR(A665="",B665="",D665="",E665=""),"Incomplete",IF(K665="Unknown","Unknown code",IF(AND(K665="Yes",C665=""),"Billable, needs client",IF(N665&gt;MaxDayHours,"Over "&amp;MaxDayHours&amp;" hours that day","")))))</f>
        <v/>
      </c>
    </row>
    <row r="666" customFormat="false" ht="15" hidden="false" customHeight="false" outlineLevel="0" collapsed="false">
      <c r="A666" s="31" t="n">
        <v>46240</v>
      </c>
      <c r="B666" s="32" t="s">
        <v>97</v>
      </c>
      <c r="C666" s="32" t="s">
        <v>87</v>
      </c>
      <c r="D666" s="33" t="s">
        <v>89</v>
      </c>
      <c r="E666" s="34" t="n">
        <v>1.75</v>
      </c>
      <c r="F666" s="32"/>
      <c r="G666" s="35" t="n">
        <f aca="false">IF(A666="","",A666+7-WEEKDAY(A666))</f>
        <v>46242</v>
      </c>
      <c r="H666" s="36" t="n">
        <f aca="false">IF(A666="","",DATE(YEAR(A666),MONTH(A666),1))</f>
        <v>46235</v>
      </c>
      <c r="I666" s="37" t="str">
        <f aca="false">IF(B666="","",IFERROR(INDEX(st_ID,MATCH(B666,st_Name,0)),"Unknown"))</f>
        <v>QP-02</v>
      </c>
      <c r="J666" s="37" t="str">
        <f aca="false">IF(C666="","",IFERROR(INDEX(cl_Code,MATCH(C666,cl_Name,0)),"Unknown"))</f>
        <v>HCS</v>
      </c>
      <c r="K666" s="37" t="str">
        <f aca="false">IF(D666="","",IFERROR(INDEX(rt_Billable,MATCH(D666,rt_Code,0)),"Unknown"))</f>
        <v>Yes</v>
      </c>
      <c r="L666" s="38" t="n">
        <f aca="false">IF(K666&lt;&gt;"Yes","",IFERROR(INDEX(cr_Rate,MATCH(J666&amp;"|"&amp;D666,cr_Key,0)),INDEX(rt_Rate,MATCH(D666,rt_Code,0))))</f>
        <v>88</v>
      </c>
      <c r="M666" s="25" t="n">
        <f aca="false">IF(L666="","",ROUND(N(E666)*L666,2))</f>
        <v>154</v>
      </c>
      <c r="N666" s="39" t="n">
        <f aca="false">IF(OR(A666="",B666=""),"",SUMIFS(tl_Hours,tl_StaffID,I666,tl_Date,A666))</f>
        <v>8</v>
      </c>
      <c r="O666" s="40" t="str">
        <f aca="false">IF(A666&amp;B666&amp;D666="","",IF(OR(A666="",B666="",D666="",E666=""),"Incomplete",IF(K666="Unknown","Unknown code",IF(AND(K666="Yes",C666=""),"Billable, needs client",IF(N666&gt;MaxDayHours,"Over "&amp;MaxDayHours&amp;" hours that day","")))))</f>
        <v/>
      </c>
    </row>
    <row r="667" customFormat="false" ht="15" hidden="false" customHeight="false" outlineLevel="0" collapsed="false">
      <c r="A667" s="31" t="n">
        <v>46240</v>
      </c>
      <c r="B667" s="32" t="s">
        <v>97</v>
      </c>
      <c r="C667" s="32"/>
      <c r="D667" s="33" t="s">
        <v>96</v>
      </c>
      <c r="E667" s="34" t="n">
        <v>2.5</v>
      </c>
      <c r="F667" s="32"/>
      <c r="G667" s="35" t="n">
        <f aca="false">IF(A667="","",A667+7-WEEKDAY(A667))</f>
        <v>46242</v>
      </c>
      <c r="H667" s="36" t="n">
        <f aca="false">IF(A667="","",DATE(YEAR(A667),MONTH(A667),1))</f>
        <v>46235</v>
      </c>
      <c r="I667" s="37" t="str">
        <f aca="false">IF(B667="","",IFERROR(INDEX(st_ID,MATCH(B667,st_Name,0)),"Unknown"))</f>
        <v>QP-02</v>
      </c>
      <c r="J667" s="37" t="str">
        <f aca="false">IF(C667="","",IFERROR(INDEX(cl_Code,MATCH(C667,cl_Name,0)),"Unknown"))</f>
        <v/>
      </c>
      <c r="K667" s="37" t="str">
        <f aca="false">IF(D667="","",IFERROR(INDEX(rt_Billable,MATCH(D667,rt_Code,0)),"Unknown"))</f>
        <v>No</v>
      </c>
      <c r="L667" s="38" t="str">
        <f aca="false">IF(K667&lt;&gt;"Yes","",IFERROR(INDEX(cr_Rate,MATCH(J667&amp;"|"&amp;D667,cr_Key,0)),INDEX(rt_Rate,MATCH(D667,rt_Code,0))))</f>
        <v/>
      </c>
      <c r="M667" s="25" t="str">
        <f aca="false">IF(L667="","",ROUND(N(E667)*L667,2))</f>
        <v/>
      </c>
      <c r="N667" s="39" t="n">
        <f aca="false">IF(OR(A667="",B667=""),"",SUMIFS(tl_Hours,tl_StaffID,I667,tl_Date,A667))</f>
        <v>8</v>
      </c>
      <c r="O667" s="40" t="str">
        <f aca="false">IF(A667&amp;B667&amp;D667="","",IF(OR(A667="",B667="",D667="",E667=""),"Incomplete",IF(K667="Unknown","Unknown code",IF(AND(K667="Yes",C667=""),"Billable, needs client",IF(N667&gt;MaxDayHours,"Over "&amp;MaxDayHours&amp;" hours that day","")))))</f>
        <v/>
      </c>
    </row>
    <row r="668" customFormat="false" ht="15" hidden="false" customHeight="false" outlineLevel="0" collapsed="false">
      <c r="A668" s="31" t="n">
        <v>46240</v>
      </c>
      <c r="B668" s="32" t="s">
        <v>100</v>
      </c>
      <c r="C668" s="32" t="s">
        <v>90</v>
      </c>
      <c r="D668" s="33" t="s">
        <v>91</v>
      </c>
      <c r="E668" s="34" t="n">
        <v>2.75</v>
      </c>
      <c r="F668" s="32"/>
      <c r="G668" s="35" t="n">
        <f aca="false">IF(A668="","",A668+7-WEEKDAY(A668))</f>
        <v>46242</v>
      </c>
      <c r="H668" s="36" t="n">
        <f aca="false">IF(A668="","",DATE(YEAR(A668),MONTH(A668),1))</f>
        <v>46235</v>
      </c>
      <c r="I668" s="37" t="str">
        <f aca="false">IF(B668="","",IFERROR(INDEX(st_ID,MATCH(B668,st_Name,0)),"Unknown"))</f>
        <v>QP-03</v>
      </c>
      <c r="J668" s="37" t="str">
        <f aca="false">IF(C668="","",IFERROR(INDEX(cl_Code,MATCH(C668,cl_Name,0)),"Unknown"))</f>
        <v>BSE</v>
      </c>
      <c r="K668" s="37" t="str">
        <f aca="false">IF(D668="","",IFERROR(INDEX(rt_Billable,MATCH(D668,rt_Code,0)),"Unknown"))</f>
        <v>Yes</v>
      </c>
      <c r="L668" s="38" t="n">
        <f aca="false">IF(K668&lt;&gt;"Yes","",IFERROR(INDEX(cr_Rate,MATCH(J668&amp;"|"&amp;D668,cr_Key,0)),INDEX(rt_Rate,MATCH(D668,rt_Code,0))))</f>
        <v>100</v>
      </c>
      <c r="M668" s="25" t="n">
        <f aca="false">IF(L668="","",ROUND(N(E668)*L668,2))</f>
        <v>275</v>
      </c>
      <c r="N668" s="39" t="n">
        <f aca="false">IF(OR(A668="",B668=""),"",SUMIFS(tl_Hours,tl_StaffID,I668,tl_Date,A668))</f>
        <v>8</v>
      </c>
      <c r="O668" s="40" t="str">
        <f aca="false">IF(A668&amp;B668&amp;D668="","",IF(OR(A668="",B668="",D668="",E668=""),"Incomplete",IF(K668="Unknown","Unknown code",IF(AND(K668="Yes",C668=""),"Billable, needs client",IF(N668&gt;MaxDayHours,"Over "&amp;MaxDayHours&amp;" hours that day","")))))</f>
        <v/>
      </c>
    </row>
    <row r="669" customFormat="false" ht="15" hidden="false" customHeight="false" outlineLevel="0" collapsed="false">
      <c r="A669" s="31" t="n">
        <v>46240</v>
      </c>
      <c r="B669" s="32" t="s">
        <v>100</v>
      </c>
      <c r="C669" s="32" t="s">
        <v>90</v>
      </c>
      <c r="D669" s="33" t="s">
        <v>92</v>
      </c>
      <c r="E669" s="34" t="n">
        <v>2.25</v>
      </c>
      <c r="F669" s="32"/>
      <c r="G669" s="35" t="n">
        <f aca="false">IF(A669="","",A669+7-WEEKDAY(A669))</f>
        <v>46242</v>
      </c>
      <c r="H669" s="36" t="n">
        <f aca="false">IF(A669="","",DATE(YEAR(A669),MONTH(A669),1))</f>
        <v>46235</v>
      </c>
      <c r="I669" s="37" t="str">
        <f aca="false">IF(B669="","",IFERROR(INDEX(st_ID,MATCH(B669,st_Name,0)),"Unknown"))</f>
        <v>QP-03</v>
      </c>
      <c r="J669" s="37" t="str">
        <f aca="false">IF(C669="","",IFERROR(INDEX(cl_Code,MATCH(C669,cl_Name,0)),"Unknown"))</f>
        <v>BSE</v>
      </c>
      <c r="K669" s="37" t="str">
        <f aca="false">IF(D669="","",IFERROR(INDEX(rt_Billable,MATCH(D669,rt_Code,0)),"Unknown"))</f>
        <v>Yes</v>
      </c>
      <c r="L669" s="38" t="n">
        <f aca="false">IF(K669&lt;&gt;"Yes","",IFERROR(INDEX(cr_Rate,MATCH(J669&amp;"|"&amp;D669,cr_Key,0)),INDEX(rt_Rate,MATCH(D669,rt_Code,0))))</f>
        <v>145</v>
      </c>
      <c r="M669" s="25" t="n">
        <f aca="false">IF(L669="","",ROUND(N(E669)*L669,2))</f>
        <v>326.25</v>
      </c>
      <c r="N669" s="39" t="n">
        <f aca="false">IF(OR(A669="",B669=""),"",SUMIFS(tl_Hours,tl_StaffID,I669,tl_Date,A669))</f>
        <v>8</v>
      </c>
      <c r="O669" s="40" t="str">
        <f aca="false">IF(A669&amp;B669&amp;D669="","",IF(OR(A669="",B669="",D669="",E669=""),"Incomplete",IF(K669="Unknown","Unknown code",IF(AND(K669="Yes",C669=""),"Billable, needs client",IF(N669&gt;MaxDayHours,"Over "&amp;MaxDayHours&amp;" hours that day","")))))</f>
        <v/>
      </c>
    </row>
    <row r="670" customFormat="false" ht="15" hidden="false" customHeight="false" outlineLevel="0" collapsed="false">
      <c r="A670" s="31" t="n">
        <v>46240</v>
      </c>
      <c r="B670" s="32" t="s">
        <v>100</v>
      </c>
      <c r="C670" s="32"/>
      <c r="D670" s="33" t="s">
        <v>96</v>
      </c>
      <c r="E670" s="34" t="n">
        <v>3</v>
      </c>
      <c r="F670" s="32"/>
      <c r="G670" s="35" t="n">
        <f aca="false">IF(A670="","",A670+7-WEEKDAY(A670))</f>
        <v>46242</v>
      </c>
      <c r="H670" s="36" t="n">
        <f aca="false">IF(A670="","",DATE(YEAR(A670),MONTH(A670),1))</f>
        <v>46235</v>
      </c>
      <c r="I670" s="37" t="str">
        <f aca="false">IF(B670="","",IFERROR(INDEX(st_ID,MATCH(B670,st_Name,0)),"Unknown"))</f>
        <v>QP-03</v>
      </c>
      <c r="J670" s="37" t="str">
        <f aca="false">IF(C670="","",IFERROR(INDEX(cl_Code,MATCH(C670,cl_Name,0)),"Unknown"))</f>
        <v/>
      </c>
      <c r="K670" s="37" t="str">
        <f aca="false">IF(D670="","",IFERROR(INDEX(rt_Billable,MATCH(D670,rt_Code,0)),"Unknown"))</f>
        <v>No</v>
      </c>
      <c r="L670" s="38" t="str">
        <f aca="false">IF(K670&lt;&gt;"Yes","",IFERROR(INDEX(cr_Rate,MATCH(J670&amp;"|"&amp;D670,cr_Key,0)),INDEX(rt_Rate,MATCH(D670,rt_Code,0))))</f>
        <v/>
      </c>
      <c r="M670" s="25" t="str">
        <f aca="false">IF(L670="","",ROUND(N(E670)*L670,2))</f>
        <v/>
      </c>
      <c r="N670" s="39" t="n">
        <f aca="false">IF(OR(A670="",B670=""),"",SUMIFS(tl_Hours,tl_StaffID,I670,tl_Date,A670))</f>
        <v>8</v>
      </c>
      <c r="O670" s="40" t="str">
        <f aca="false">IF(A670&amp;B670&amp;D670="","",IF(OR(A670="",B670="",D670="",E670=""),"Incomplete",IF(K670="Unknown","Unknown code",IF(AND(K670="Yes",C670=""),"Billable, needs client",IF(N670&gt;MaxDayHours,"Over "&amp;MaxDayHours&amp;" hours that day","")))))</f>
        <v/>
      </c>
    </row>
    <row r="671" customFormat="false" ht="15" hidden="false" customHeight="false" outlineLevel="0" collapsed="false">
      <c r="A671" s="31" t="n">
        <v>46240</v>
      </c>
      <c r="B671" s="32" t="s">
        <v>101</v>
      </c>
      <c r="C671" s="32" t="s">
        <v>102</v>
      </c>
      <c r="D671" s="33" t="s">
        <v>88</v>
      </c>
      <c r="E671" s="34" t="n">
        <v>4.25</v>
      </c>
      <c r="F671" s="32"/>
      <c r="G671" s="35" t="n">
        <f aca="false">IF(A671="","",A671+7-WEEKDAY(A671))</f>
        <v>46242</v>
      </c>
      <c r="H671" s="36" t="n">
        <f aca="false">IF(A671="","",DATE(YEAR(A671),MONTH(A671),1))</f>
        <v>46235</v>
      </c>
      <c r="I671" s="37" t="str">
        <f aca="false">IF(B671="","",IFERROR(INDEX(st_ID,MATCH(B671,st_Name,0)),"Unknown"))</f>
        <v>QP-04</v>
      </c>
      <c r="J671" s="37" t="str">
        <f aca="false">IF(C671="","",IFERROR(INDEX(cl_Code,MATCH(C671,cl_Name,0)),"Unknown"))</f>
        <v>CLH</v>
      </c>
      <c r="K671" s="37" t="str">
        <f aca="false">IF(D671="","",IFERROR(INDEX(rt_Billable,MATCH(D671,rt_Code,0)),"Unknown"))</f>
        <v>Yes</v>
      </c>
      <c r="L671" s="38" t="n">
        <f aca="false">IF(K671&lt;&gt;"Yes","",IFERROR(INDEX(cr_Rate,MATCH(J671&amp;"|"&amp;D671,cr_Key,0)),INDEX(rt_Rate,MATCH(D671,rt_Code,0))))</f>
        <v>110</v>
      </c>
      <c r="M671" s="25" t="n">
        <f aca="false">IF(L671="","",ROUND(N(E671)*L671,2))</f>
        <v>467.5</v>
      </c>
      <c r="N671" s="39" t="n">
        <f aca="false">IF(OR(A671="",B671=""),"",SUMIFS(tl_Hours,tl_StaffID,I671,tl_Date,A671))</f>
        <v>8</v>
      </c>
      <c r="O671" s="40" t="str">
        <f aca="false">IF(A671&amp;B671&amp;D671="","",IF(OR(A671="",B671="",D671="",E671=""),"Incomplete",IF(K671="Unknown","Unknown code",IF(AND(K671="Yes",C671=""),"Billable, needs client",IF(N671&gt;MaxDayHours,"Over "&amp;MaxDayHours&amp;" hours that day","")))))</f>
        <v/>
      </c>
    </row>
    <row r="672" customFormat="false" ht="15" hidden="false" customHeight="false" outlineLevel="0" collapsed="false">
      <c r="A672" s="31" t="n">
        <v>46240</v>
      </c>
      <c r="B672" s="32" t="s">
        <v>101</v>
      </c>
      <c r="C672" s="32" t="s">
        <v>102</v>
      </c>
      <c r="D672" s="33" t="s">
        <v>92</v>
      </c>
      <c r="E672" s="34" t="n">
        <v>1.75</v>
      </c>
      <c r="F672" s="32"/>
      <c r="G672" s="35" t="n">
        <f aca="false">IF(A672="","",A672+7-WEEKDAY(A672))</f>
        <v>46242</v>
      </c>
      <c r="H672" s="36" t="n">
        <f aca="false">IF(A672="","",DATE(YEAR(A672),MONTH(A672),1))</f>
        <v>46235</v>
      </c>
      <c r="I672" s="37" t="str">
        <f aca="false">IF(B672="","",IFERROR(INDEX(st_ID,MATCH(B672,st_Name,0)),"Unknown"))</f>
        <v>QP-04</v>
      </c>
      <c r="J672" s="37" t="str">
        <f aca="false">IF(C672="","",IFERROR(INDEX(cl_Code,MATCH(C672,cl_Name,0)),"Unknown"))</f>
        <v>CLH</v>
      </c>
      <c r="K672" s="37" t="str">
        <f aca="false">IF(D672="","",IFERROR(INDEX(rt_Billable,MATCH(D672,rt_Code,0)),"Unknown"))</f>
        <v>Yes</v>
      </c>
      <c r="L672" s="38" t="n">
        <f aca="false">IF(K672&lt;&gt;"Yes","",IFERROR(INDEX(cr_Rate,MATCH(J672&amp;"|"&amp;D672,cr_Key,0)),INDEX(rt_Rate,MATCH(D672,rt_Code,0))))</f>
        <v>150</v>
      </c>
      <c r="M672" s="25" t="n">
        <f aca="false">IF(L672="","",ROUND(N(E672)*L672,2))</f>
        <v>262.5</v>
      </c>
      <c r="N672" s="39" t="n">
        <f aca="false">IF(OR(A672="",B672=""),"",SUMIFS(tl_Hours,tl_StaffID,I672,tl_Date,A672))</f>
        <v>8</v>
      </c>
      <c r="O672" s="40" t="str">
        <f aca="false">IF(A672&amp;B672&amp;D672="","",IF(OR(A672="",B672="",D672="",E672=""),"Incomplete",IF(K672="Unknown","Unknown code",IF(AND(K672="Yes",C672=""),"Billable, needs client",IF(N672&gt;MaxDayHours,"Over "&amp;MaxDayHours&amp;" hours that day","")))))</f>
        <v/>
      </c>
    </row>
    <row r="673" customFormat="false" ht="15" hidden="false" customHeight="false" outlineLevel="0" collapsed="false">
      <c r="A673" s="31" t="n">
        <v>46240</v>
      </c>
      <c r="B673" s="32" t="s">
        <v>101</v>
      </c>
      <c r="C673" s="32"/>
      <c r="D673" s="33" t="s">
        <v>96</v>
      </c>
      <c r="E673" s="34" t="n">
        <v>2</v>
      </c>
      <c r="F673" s="32"/>
      <c r="G673" s="35" t="n">
        <f aca="false">IF(A673="","",A673+7-WEEKDAY(A673))</f>
        <v>46242</v>
      </c>
      <c r="H673" s="36" t="n">
        <f aca="false">IF(A673="","",DATE(YEAR(A673),MONTH(A673),1))</f>
        <v>46235</v>
      </c>
      <c r="I673" s="37" t="str">
        <f aca="false">IF(B673="","",IFERROR(INDEX(st_ID,MATCH(B673,st_Name,0)),"Unknown"))</f>
        <v>QP-04</v>
      </c>
      <c r="J673" s="37" t="str">
        <f aca="false">IF(C673="","",IFERROR(INDEX(cl_Code,MATCH(C673,cl_Name,0)),"Unknown"))</f>
        <v/>
      </c>
      <c r="K673" s="37" t="str">
        <f aca="false">IF(D673="","",IFERROR(INDEX(rt_Billable,MATCH(D673,rt_Code,0)),"Unknown"))</f>
        <v>No</v>
      </c>
      <c r="L673" s="38" t="str">
        <f aca="false">IF(K673&lt;&gt;"Yes","",IFERROR(INDEX(cr_Rate,MATCH(J673&amp;"|"&amp;D673,cr_Key,0)),INDEX(rt_Rate,MATCH(D673,rt_Code,0))))</f>
        <v/>
      </c>
      <c r="M673" s="25" t="str">
        <f aca="false">IF(L673="","",ROUND(N(E673)*L673,2))</f>
        <v/>
      </c>
      <c r="N673" s="39" t="n">
        <f aca="false">IF(OR(A673="",B673=""),"",SUMIFS(tl_Hours,tl_StaffID,I673,tl_Date,A673))</f>
        <v>8</v>
      </c>
      <c r="O673" s="40" t="str">
        <f aca="false">IF(A673&amp;B673&amp;D673="","",IF(OR(A673="",B673="",D673="",E673=""),"Incomplete",IF(K673="Unknown","Unknown code",IF(AND(K673="Yes",C673=""),"Billable, needs client",IF(N673&gt;MaxDayHours,"Over "&amp;MaxDayHours&amp;" hours that day","")))))</f>
        <v/>
      </c>
    </row>
    <row r="674" customFormat="false" ht="15" hidden="false" customHeight="false" outlineLevel="0" collapsed="false">
      <c r="A674" s="31" t="n">
        <v>46240</v>
      </c>
      <c r="B674" s="32" t="s">
        <v>103</v>
      </c>
      <c r="C674" s="32" t="s">
        <v>111</v>
      </c>
      <c r="D674" s="33" t="s">
        <v>104</v>
      </c>
      <c r="E674" s="34" t="n">
        <v>4.25</v>
      </c>
      <c r="F674" s="32"/>
      <c r="G674" s="35" t="n">
        <f aca="false">IF(A674="","",A674+7-WEEKDAY(A674))</f>
        <v>46242</v>
      </c>
      <c r="H674" s="36" t="n">
        <f aca="false">IF(A674="","",DATE(YEAR(A674),MONTH(A674),1))</f>
        <v>46235</v>
      </c>
      <c r="I674" s="37" t="str">
        <f aca="false">IF(B674="","",IFERROR(INDEX(st_ID,MATCH(B674,st_Name,0)),"Unknown"))</f>
        <v>QP-05</v>
      </c>
      <c r="J674" s="37" t="str">
        <f aca="false">IF(C674="","",IFERROR(INDEX(cl_Code,MATCH(C674,cl_Name,0)),"Unknown"))</f>
        <v>WMS</v>
      </c>
      <c r="K674" s="37" t="str">
        <f aca="false">IF(D674="","",IFERROR(INDEX(rt_Billable,MATCH(D674,rt_Code,0)),"Unknown"))</f>
        <v>Yes</v>
      </c>
      <c r="L674" s="38" t="n">
        <f aca="false">IF(K674&lt;&gt;"Yes","",IFERROR(INDEX(cr_Rate,MATCH(J674&amp;"|"&amp;D674,cr_Key,0)),INDEX(rt_Rate,MATCH(D674,rt_Code,0))))</f>
        <v>70</v>
      </c>
      <c r="M674" s="25" t="n">
        <f aca="false">IF(L674="","",ROUND(N(E674)*L674,2))</f>
        <v>297.5</v>
      </c>
      <c r="N674" s="39" t="n">
        <f aca="false">IF(OR(A674="",B674=""),"",SUMIFS(tl_Hours,tl_StaffID,I674,tl_Date,A674))</f>
        <v>8</v>
      </c>
      <c r="O674" s="40" t="str">
        <f aca="false">IF(A674&amp;B674&amp;D674="","",IF(OR(A674="",B674="",D674="",E674=""),"Incomplete",IF(K674="Unknown","Unknown code",IF(AND(K674="Yes",C674=""),"Billable, needs client",IF(N674&gt;MaxDayHours,"Over "&amp;MaxDayHours&amp;" hours that day","")))))</f>
        <v/>
      </c>
    </row>
    <row r="675" customFormat="false" ht="15" hidden="false" customHeight="false" outlineLevel="0" collapsed="false">
      <c r="A675" s="31" t="n">
        <v>46240</v>
      </c>
      <c r="B675" s="32" t="s">
        <v>103</v>
      </c>
      <c r="C675" s="32" t="s">
        <v>111</v>
      </c>
      <c r="D675" s="33" t="s">
        <v>89</v>
      </c>
      <c r="E675" s="34" t="n">
        <v>1.5</v>
      </c>
      <c r="F675" s="32"/>
      <c r="G675" s="35" t="n">
        <f aca="false">IF(A675="","",A675+7-WEEKDAY(A675))</f>
        <v>46242</v>
      </c>
      <c r="H675" s="36" t="n">
        <f aca="false">IF(A675="","",DATE(YEAR(A675),MONTH(A675),1))</f>
        <v>46235</v>
      </c>
      <c r="I675" s="37" t="str">
        <f aca="false">IF(B675="","",IFERROR(INDEX(st_ID,MATCH(B675,st_Name,0)),"Unknown"))</f>
        <v>QP-05</v>
      </c>
      <c r="J675" s="37" t="str">
        <f aca="false">IF(C675="","",IFERROR(INDEX(cl_Code,MATCH(C675,cl_Name,0)),"Unknown"))</f>
        <v>WMS</v>
      </c>
      <c r="K675" s="37" t="str">
        <f aca="false">IF(D675="","",IFERROR(INDEX(rt_Billable,MATCH(D675,rt_Code,0)),"Unknown"))</f>
        <v>Yes</v>
      </c>
      <c r="L675" s="38" t="n">
        <f aca="false">IF(K675&lt;&gt;"Yes","",IFERROR(INDEX(cr_Rate,MATCH(J675&amp;"|"&amp;D675,cr_Key,0)),INDEX(rt_Rate,MATCH(D675,rt_Code,0))))</f>
        <v>95</v>
      </c>
      <c r="M675" s="25" t="n">
        <f aca="false">IF(L675="","",ROUND(N(E675)*L675,2))</f>
        <v>142.5</v>
      </c>
      <c r="N675" s="39" t="n">
        <f aca="false">IF(OR(A675="",B675=""),"",SUMIFS(tl_Hours,tl_StaffID,I675,tl_Date,A675))</f>
        <v>8</v>
      </c>
      <c r="O675" s="40" t="str">
        <f aca="false">IF(A675&amp;B675&amp;D675="","",IF(OR(A675="",B675="",D675="",E675=""),"Incomplete",IF(K675="Unknown","Unknown code",IF(AND(K675="Yes",C675=""),"Billable, needs client",IF(N675&gt;MaxDayHours,"Over "&amp;MaxDayHours&amp;" hours that day","")))))</f>
        <v/>
      </c>
    </row>
    <row r="676" customFormat="false" ht="15" hidden="false" customHeight="false" outlineLevel="0" collapsed="false">
      <c r="A676" s="31" t="n">
        <v>46240</v>
      </c>
      <c r="B676" s="32" t="s">
        <v>103</v>
      </c>
      <c r="C676" s="32"/>
      <c r="D676" s="33" t="s">
        <v>96</v>
      </c>
      <c r="E676" s="34" t="n">
        <v>2.25</v>
      </c>
      <c r="F676" s="32"/>
      <c r="G676" s="35" t="n">
        <f aca="false">IF(A676="","",A676+7-WEEKDAY(A676))</f>
        <v>46242</v>
      </c>
      <c r="H676" s="36" t="n">
        <f aca="false">IF(A676="","",DATE(YEAR(A676),MONTH(A676),1))</f>
        <v>46235</v>
      </c>
      <c r="I676" s="37" t="str">
        <f aca="false">IF(B676="","",IFERROR(INDEX(st_ID,MATCH(B676,st_Name,0)),"Unknown"))</f>
        <v>QP-05</v>
      </c>
      <c r="J676" s="37" t="str">
        <f aca="false">IF(C676="","",IFERROR(INDEX(cl_Code,MATCH(C676,cl_Name,0)),"Unknown"))</f>
        <v/>
      </c>
      <c r="K676" s="37" t="str">
        <f aca="false">IF(D676="","",IFERROR(INDEX(rt_Billable,MATCH(D676,rt_Code,0)),"Unknown"))</f>
        <v>No</v>
      </c>
      <c r="L676" s="38" t="str">
        <f aca="false">IF(K676&lt;&gt;"Yes","",IFERROR(INDEX(cr_Rate,MATCH(J676&amp;"|"&amp;D676,cr_Key,0)),INDEX(rt_Rate,MATCH(D676,rt_Code,0))))</f>
        <v/>
      </c>
      <c r="M676" s="25" t="str">
        <f aca="false">IF(L676="","",ROUND(N(E676)*L676,2))</f>
        <v/>
      </c>
      <c r="N676" s="39" t="n">
        <f aca="false">IF(OR(A676="",B676=""),"",SUMIFS(tl_Hours,tl_StaffID,I676,tl_Date,A676))</f>
        <v>8</v>
      </c>
      <c r="O676" s="40" t="str">
        <f aca="false">IF(A676&amp;B676&amp;D676="","",IF(OR(A676="",B676="",D676="",E676=""),"Incomplete",IF(K676="Unknown","Unknown code",IF(AND(K676="Yes",C676=""),"Billable, needs client",IF(N676&gt;MaxDayHours,"Over "&amp;MaxDayHours&amp;" hours that day","")))))</f>
        <v/>
      </c>
    </row>
    <row r="677" customFormat="false" ht="15" hidden="false" customHeight="false" outlineLevel="0" collapsed="false">
      <c r="A677" s="31" t="n">
        <v>46240</v>
      </c>
      <c r="B677" s="32" t="s">
        <v>105</v>
      </c>
      <c r="C677" s="32" t="s">
        <v>90</v>
      </c>
      <c r="D677" s="33" t="s">
        <v>88</v>
      </c>
      <c r="E677" s="34" t="n">
        <v>1.75</v>
      </c>
      <c r="F677" s="32"/>
      <c r="G677" s="35" t="n">
        <f aca="false">IF(A677="","",A677+7-WEEKDAY(A677))</f>
        <v>46242</v>
      </c>
      <c r="H677" s="36" t="n">
        <f aca="false">IF(A677="","",DATE(YEAR(A677),MONTH(A677),1))</f>
        <v>46235</v>
      </c>
      <c r="I677" s="37" t="str">
        <f aca="false">IF(B677="","",IFERROR(INDEX(st_ID,MATCH(B677,st_Name,0)),"Unknown"))</f>
        <v>QP-06</v>
      </c>
      <c r="J677" s="37" t="str">
        <f aca="false">IF(C677="","",IFERROR(INDEX(cl_Code,MATCH(C677,cl_Name,0)),"Unknown"))</f>
        <v>BSE</v>
      </c>
      <c r="K677" s="37" t="str">
        <f aca="false">IF(D677="","",IFERROR(INDEX(rt_Billable,MATCH(D677,rt_Code,0)),"Unknown"))</f>
        <v>Yes</v>
      </c>
      <c r="L677" s="38" t="n">
        <f aca="false">IF(K677&lt;&gt;"Yes","",IFERROR(INDEX(cr_Rate,MATCH(J677&amp;"|"&amp;D677,cr_Key,0)),INDEX(rt_Rate,MATCH(D677,rt_Code,0))))</f>
        <v>104</v>
      </c>
      <c r="M677" s="25" t="n">
        <f aca="false">IF(L677="","",ROUND(N(E677)*L677,2))</f>
        <v>182</v>
      </c>
      <c r="N677" s="39" t="n">
        <f aca="false">IF(OR(A677="",B677=""),"",SUMIFS(tl_Hours,tl_StaffID,I677,tl_Date,A677))</f>
        <v>8</v>
      </c>
      <c r="O677" s="40" t="str">
        <f aca="false">IF(A677&amp;B677&amp;D677="","",IF(OR(A677="",B677="",D677="",E677=""),"Incomplete",IF(K677="Unknown","Unknown code",IF(AND(K677="Yes",C677=""),"Billable, needs client",IF(N677&gt;MaxDayHours,"Over "&amp;MaxDayHours&amp;" hours that day","")))))</f>
        <v/>
      </c>
    </row>
    <row r="678" customFormat="false" ht="15" hidden="false" customHeight="false" outlineLevel="0" collapsed="false">
      <c r="A678" s="31" t="n">
        <v>46240</v>
      </c>
      <c r="B678" s="32" t="s">
        <v>105</v>
      </c>
      <c r="C678" s="32" t="s">
        <v>90</v>
      </c>
      <c r="D678" s="33" t="s">
        <v>104</v>
      </c>
      <c r="E678" s="34" t="n">
        <v>1.25</v>
      </c>
      <c r="F678" s="32"/>
      <c r="G678" s="35" t="n">
        <f aca="false">IF(A678="","",A678+7-WEEKDAY(A678))</f>
        <v>46242</v>
      </c>
      <c r="H678" s="36" t="n">
        <f aca="false">IF(A678="","",DATE(YEAR(A678),MONTH(A678),1))</f>
        <v>46235</v>
      </c>
      <c r="I678" s="37" t="str">
        <f aca="false">IF(B678="","",IFERROR(INDEX(st_ID,MATCH(B678,st_Name,0)),"Unknown"))</f>
        <v>QP-06</v>
      </c>
      <c r="J678" s="37" t="str">
        <f aca="false">IF(C678="","",IFERROR(INDEX(cl_Code,MATCH(C678,cl_Name,0)),"Unknown"))</f>
        <v>BSE</v>
      </c>
      <c r="K678" s="37" t="str">
        <f aca="false">IF(D678="","",IFERROR(INDEX(rt_Billable,MATCH(D678,rt_Code,0)),"Unknown"))</f>
        <v>Yes</v>
      </c>
      <c r="L678" s="38" t="n">
        <f aca="false">IF(K678&lt;&gt;"Yes","",IFERROR(INDEX(cr_Rate,MATCH(J678&amp;"|"&amp;D678,cr_Key,0)),INDEX(rt_Rate,MATCH(D678,rt_Code,0))))</f>
        <v>70</v>
      </c>
      <c r="M678" s="25" t="n">
        <f aca="false">IF(L678="","",ROUND(N(E678)*L678,2))</f>
        <v>87.5</v>
      </c>
      <c r="N678" s="39" t="n">
        <f aca="false">IF(OR(A678="",B678=""),"",SUMIFS(tl_Hours,tl_StaffID,I678,tl_Date,A678))</f>
        <v>8</v>
      </c>
      <c r="O678" s="40" t="str">
        <f aca="false">IF(A678&amp;B678&amp;D678="","",IF(OR(A678="",B678="",D678="",E678=""),"Incomplete",IF(K678="Unknown","Unknown code",IF(AND(K678="Yes",C678=""),"Billable, needs client",IF(N678&gt;MaxDayHours,"Over "&amp;MaxDayHours&amp;" hours that day","")))))</f>
        <v/>
      </c>
    </row>
    <row r="679" customFormat="false" ht="15" hidden="false" customHeight="false" outlineLevel="0" collapsed="false">
      <c r="A679" s="31" t="n">
        <v>46240</v>
      </c>
      <c r="B679" s="32" t="s">
        <v>105</v>
      </c>
      <c r="C679" s="32" t="s">
        <v>87</v>
      </c>
      <c r="D679" s="33" t="s">
        <v>104</v>
      </c>
      <c r="E679" s="34" t="n">
        <v>2</v>
      </c>
      <c r="F679" s="32"/>
      <c r="G679" s="35" t="n">
        <f aca="false">IF(A679="","",A679+7-WEEKDAY(A679))</f>
        <v>46242</v>
      </c>
      <c r="H679" s="36" t="n">
        <f aca="false">IF(A679="","",DATE(YEAR(A679),MONTH(A679),1))</f>
        <v>46235</v>
      </c>
      <c r="I679" s="37" t="str">
        <f aca="false">IF(B679="","",IFERROR(INDEX(st_ID,MATCH(B679,st_Name,0)),"Unknown"))</f>
        <v>QP-06</v>
      </c>
      <c r="J679" s="37" t="str">
        <f aca="false">IF(C679="","",IFERROR(INDEX(cl_Code,MATCH(C679,cl_Name,0)),"Unknown"))</f>
        <v>HCS</v>
      </c>
      <c r="K679" s="37" t="str">
        <f aca="false">IF(D679="","",IFERROR(INDEX(rt_Billable,MATCH(D679,rt_Code,0)),"Unknown"))</f>
        <v>Yes</v>
      </c>
      <c r="L679" s="38" t="n">
        <f aca="false">IF(K679&lt;&gt;"Yes","",IFERROR(INDEX(cr_Rate,MATCH(J679&amp;"|"&amp;D679,cr_Key,0)),INDEX(rt_Rate,MATCH(D679,rt_Code,0))))</f>
        <v>62</v>
      </c>
      <c r="M679" s="25" t="n">
        <f aca="false">IF(L679="","",ROUND(N(E679)*L679,2))</f>
        <v>124</v>
      </c>
      <c r="N679" s="39" t="n">
        <f aca="false">IF(OR(A679="",B679=""),"",SUMIFS(tl_Hours,tl_StaffID,I679,tl_Date,A679))</f>
        <v>8</v>
      </c>
      <c r="O679" s="40" t="str">
        <f aca="false">IF(A679&amp;B679&amp;D679="","",IF(OR(A679="",B679="",D679="",E679=""),"Incomplete",IF(K679="Unknown","Unknown code",IF(AND(K679="Yes",C679=""),"Billable, needs client",IF(N679&gt;MaxDayHours,"Over "&amp;MaxDayHours&amp;" hours that day","")))))</f>
        <v/>
      </c>
    </row>
    <row r="680" customFormat="false" ht="15" hidden="false" customHeight="false" outlineLevel="0" collapsed="false">
      <c r="A680" s="31" t="n">
        <v>46240</v>
      </c>
      <c r="B680" s="32" t="s">
        <v>105</v>
      </c>
      <c r="C680" s="32" t="s">
        <v>87</v>
      </c>
      <c r="D680" s="33" t="s">
        <v>89</v>
      </c>
      <c r="E680" s="34" t="n">
        <v>1</v>
      </c>
      <c r="F680" s="32"/>
      <c r="G680" s="35" t="n">
        <f aca="false">IF(A680="","",A680+7-WEEKDAY(A680))</f>
        <v>46242</v>
      </c>
      <c r="H680" s="36" t="n">
        <f aca="false">IF(A680="","",DATE(YEAR(A680),MONTH(A680),1))</f>
        <v>46235</v>
      </c>
      <c r="I680" s="37" t="str">
        <f aca="false">IF(B680="","",IFERROR(INDEX(st_ID,MATCH(B680,st_Name,0)),"Unknown"))</f>
        <v>QP-06</v>
      </c>
      <c r="J680" s="37" t="str">
        <f aca="false">IF(C680="","",IFERROR(INDEX(cl_Code,MATCH(C680,cl_Name,0)),"Unknown"))</f>
        <v>HCS</v>
      </c>
      <c r="K680" s="37" t="str">
        <f aca="false">IF(D680="","",IFERROR(INDEX(rt_Billable,MATCH(D680,rt_Code,0)),"Unknown"))</f>
        <v>Yes</v>
      </c>
      <c r="L680" s="38" t="n">
        <f aca="false">IF(K680&lt;&gt;"Yes","",IFERROR(INDEX(cr_Rate,MATCH(J680&amp;"|"&amp;D680,cr_Key,0)),INDEX(rt_Rate,MATCH(D680,rt_Code,0))))</f>
        <v>88</v>
      </c>
      <c r="M680" s="25" t="n">
        <f aca="false">IF(L680="","",ROUND(N(E680)*L680,2))</f>
        <v>88</v>
      </c>
      <c r="N680" s="39" t="n">
        <f aca="false">IF(OR(A680="",B680=""),"",SUMIFS(tl_Hours,tl_StaffID,I680,tl_Date,A680))</f>
        <v>8</v>
      </c>
      <c r="O680" s="40" t="str">
        <f aca="false">IF(A680&amp;B680&amp;D680="","",IF(OR(A680="",B680="",D680="",E680=""),"Incomplete",IF(K680="Unknown","Unknown code",IF(AND(K680="Yes",C680=""),"Billable, needs client",IF(N680&gt;MaxDayHours,"Over "&amp;MaxDayHours&amp;" hours that day","")))))</f>
        <v/>
      </c>
    </row>
    <row r="681" customFormat="false" ht="15" hidden="false" customHeight="false" outlineLevel="0" collapsed="false">
      <c r="A681" s="31" t="n">
        <v>46240</v>
      </c>
      <c r="B681" s="32" t="s">
        <v>105</v>
      </c>
      <c r="C681" s="32"/>
      <c r="D681" s="33" t="s">
        <v>93</v>
      </c>
      <c r="E681" s="34" t="n">
        <v>0.5</v>
      </c>
      <c r="F681" s="32"/>
      <c r="G681" s="35" t="n">
        <f aca="false">IF(A681="","",A681+7-WEEKDAY(A681))</f>
        <v>46242</v>
      </c>
      <c r="H681" s="36" t="n">
        <f aca="false">IF(A681="","",DATE(YEAR(A681),MONTH(A681),1))</f>
        <v>46235</v>
      </c>
      <c r="I681" s="37" t="str">
        <f aca="false">IF(B681="","",IFERROR(INDEX(st_ID,MATCH(B681,st_Name,0)),"Unknown"))</f>
        <v>QP-06</v>
      </c>
      <c r="J681" s="37" t="str">
        <f aca="false">IF(C681="","",IFERROR(INDEX(cl_Code,MATCH(C681,cl_Name,0)),"Unknown"))</f>
        <v/>
      </c>
      <c r="K681" s="37" t="str">
        <f aca="false">IF(D681="","",IFERROR(INDEX(rt_Billable,MATCH(D681,rt_Code,0)),"Unknown"))</f>
        <v>No</v>
      </c>
      <c r="L681" s="38" t="str">
        <f aca="false">IF(K681&lt;&gt;"Yes","",IFERROR(INDEX(cr_Rate,MATCH(J681&amp;"|"&amp;D681,cr_Key,0)),INDEX(rt_Rate,MATCH(D681,rt_Code,0))))</f>
        <v/>
      </c>
      <c r="M681" s="25" t="str">
        <f aca="false">IF(L681="","",ROUND(N(E681)*L681,2))</f>
        <v/>
      </c>
      <c r="N681" s="39" t="n">
        <f aca="false">IF(OR(A681="",B681=""),"",SUMIFS(tl_Hours,tl_StaffID,I681,tl_Date,A681))</f>
        <v>8</v>
      </c>
      <c r="O681" s="40" t="str">
        <f aca="false">IF(A681&amp;B681&amp;D681="","",IF(OR(A681="",B681="",D681="",E681=""),"Incomplete",IF(K681="Unknown","Unknown code",IF(AND(K681="Yes",C681=""),"Billable, needs client",IF(N681&gt;MaxDayHours,"Over "&amp;MaxDayHours&amp;" hours that day","")))))</f>
        <v/>
      </c>
    </row>
    <row r="682" customFormat="false" ht="15" hidden="false" customHeight="false" outlineLevel="0" collapsed="false">
      <c r="A682" s="31" t="n">
        <v>46240</v>
      </c>
      <c r="B682" s="32" t="s">
        <v>105</v>
      </c>
      <c r="C682" s="32"/>
      <c r="D682" s="33" t="s">
        <v>96</v>
      </c>
      <c r="E682" s="34" t="n">
        <v>1.5</v>
      </c>
      <c r="F682" s="32"/>
      <c r="G682" s="35" t="n">
        <f aca="false">IF(A682="","",A682+7-WEEKDAY(A682))</f>
        <v>46242</v>
      </c>
      <c r="H682" s="36" t="n">
        <f aca="false">IF(A682="","",DATE(YEAR(A682),MONTH(A682),1))</f>
        <v>46235</v>
      </c>
      <c r="I682" s="37" t="str">
        <f aca="false">IF(B682="","",IFERROR(INDEX(st_ID,MATCH(B682,st_Name,0)),"Unknown"))</f>
        <v>QP-06</v>
      </c>
      <c r="J682" s="37" t="str">
        <f aca="false">IF(C682="","",IFERROR(INDEX(cl_Code,MATCH(C682,cl_Name,0)),"Unknown"))</f>
        <v/>
      </c>
      <c r="K682" s="37" t="str">
        <f aca="false">IF(D682="","",IFERROR(INDEX(rt_Billable,MATCH(D682,rt_Code,0)),"Unknown"))</f>
        <v>No</v>
      </c>
      <c r="L682" s="38" t="str">
        <f aca="false">IF(K682&lt;&gt;"Yes","",IFERROR(INDEX(cr_Rate,MATCH(J682&amp;"|"&amp;D682,cr_Key,0)),INDEX(rt_Rate,MATCH(D682,rt_Code,0))))</f>
        <v/>
      </c>
      <c r="M682" s="25" t="str">
        <f aca="false">IF(L682="","",ROUND(N(E682)*L682,2))</f>
        <v/>
      </c>
      <c r="N682" s="39" t="n">
        <f aca="false">IF(OR(A682="",B682=""),"",SUMIFS(tl_Hours,tl_StaffID,I682,tl_Date,A682))</f>
        <v>8</v>
      </c>
      <c r="O682" s="40" t="str">
        <f aca="false">IF(A682&amp;B682&amp;D682="","",IF(OR(A682="",B682="",D682="",E682=""),"Incomplete",IF(K682="Unknown","Unknown code",IF(AND(K682="Yes",C682=""),"Billable, needs client",IF(N682&gt;MaxDayHours,"Over "&amp;MaxDayHours&amp;" hours that day","")))))</f>
        <v/>
      </c>
    </row>
    <row r="683" customFormat="false" ht="15" hidden="false" customHeight="false" outlineLevel="0" collapsed="false">
      <c r="A683" s="31" t="n">
        <v>46240</v>
      </c>
      <c r="B683" s="32" t="s">
        <v>106</v>
      </c>
      <c r="C683" s="32" t="s">
        <v>87</v>
      </c>
      <c r="D683" s="33" t="s">
        <v>104</v>
      </c>
      <c r="E683" s="34" t="n">
        <v>3.5</v>
      </c>
      <c r="F683" s="32"/>
      <c r="G683" s="35" t="n">
        <f aca="false">IF(A683="","",A683+7-WEEKDAY(A683))</f>
        <v>46242</v>
      </c>
      <c r="H683" s="36" t="n">
        <f aca="false">IF(A683="","",DATE(YEAR(A683),MONTH(A683),1))</f>
        <v>46235</v>
      </c>
      <c r="I683" s="37" t="str">
        <f aca="false">IF(B683="","",IFERROR(INDEX(st_ID,MATCH(B683,st_Name,0)),"Unknown"))</f>
        <v>QP-07</v>
      </c>
      <c r="J683" s="37" t="str">
        <f aca="false">IF(C683="","",IFERROR(INDEX(cl_Code,MATCH(C683,cl_Name,0)),"Unknown"))</f>
        <v>HCS</v>
      </c>
      <c r="K683" s="37" t="str">
        <f aca="false">IF(D683="","",IFERROR(INDEX(rt_Billable,MATCH(D683,rt_Code,0)),"Unknown"))</f>
        <v>Yes</v>
      </c>
      <c r="L683" s="38" t="n">
        <f aca="false">IF(K683&lt;&gt;"Yes","",IFERROR(INDEX(cr_Rate,MATCH(J683&amp;"|"&amp;D683,cr_Key,0)),INDEX(rt_Rate,MATCH(D683,rt_Code,0))))</f>
        <v>62</v>
      </c>
      <c r="M683" s="25" t="n">
        <f aca="false">IF(L683="","",ROUND(N(E683)*L683,2))</f>
        <v>217</v>
      </c>
      <c r="N683" s="39" t="n">
        <f aca="false">IF(OR(A683="",B683=""),"",SUMIFS(tl_Hours,tl_StaffID,I683,tl_Date,A683))</f>
        <v>8</v>
      </c>
      <c r="O683" s="40" t="str">
        <f aca="false">IF(A683&amp;B683&amp;D683="","",IF(OR(A683="",B683="",D683="",E683=""),"Incomplete",IF(K683="Unknown","Unknown code",IF(AND(K683="Yes",C683=""),"Billable, needs client",IF(N683&gt;MaxDayHours,"Over "&amp;MaxDayHours&amp;" hours that day","")))))</f>
        <v/>
      </c>
    </row>
    <row r="684" customFormat="false" ht="15" hidden="false" customHeight="false" outlineLevel="0" collapsed="false">
      <c r="A684" s="31" t="n">
        <v>46240</v>
      </c>
      <c r="B684" s="32" t="s">
        <v>106</v>
      </c>
      <c r="C684" s="32" t="s">
        <v>87</v>
      </c>
      <c r="D684" s="33" t="s">
        <v>113</v>
      </c>
      <c r="E684" s="34" t="n">
        <v>1.5</v>
      </c>
      <c r="F684" s="32"/>
      <c r="G684" s="35" t="n">
        <f aca="false">IF(A684="","",A684+7-WEEKDAY(A684))</f>
        <v>46242</v>
      </c>
      <c r="H684" s="36" t="n">
        <f aca="false">IF(A684="","",DATE(YEAR(A684),MONTH(A684),1))</f>
        <v>46235</v>
      </c>
      <c r="I684" s="37" t="str">
        <f aca="false">IF(B684="","",IFERROR(INDEX(st_ID,MATCH(B684,st_Name,0)),"Unknown"))</f>
        <v>QP-07</v>
      </c>
      <c r="J684" s="37" t="str">
        <f aca="false">IF(C684="","",IFERROR(INDEX(cl_Code,MATCH(C684,cl_Name,0)),"Unknown"))</f>
        <v>HCS</v>
      </c>
      <c r="K684" s="37" t="str">
        <f aca="false">IF(D684="","",IFERROR(INDEX(rt_Billable,MATCH(D684,rt_Code,0)),"Unknown"))</f>
        <v>Yes</v>
      </c>
      <c r="L684" s="38" t="n">
        <f aca="false">IF(K684&lt;&gt;"Yes","",IFERROR(INDEX(cr_Rate,MATCH(J684&amp;"|"&amp;D684,cr_Key,0)),INDEX(rt_Rate,MATCH(D684,rt_Code,0))))</f>
        <v>85</v>
      </c>
      <c r="M684" s="25" t="n">
        <f aca="false">IF(L684="","",ROUND(N(E684)*L684,2))</f>
        <v>127.5</v>
      </c>
      <c r="N684" s="39" t="n">
        <f aca="false">IF(OR(A684="",B684=""),"",SUMIFS(tl_Hours,tl_StaffID,I684,tl_Date,A684))</f>
        <v>8</v>
      </c>
      <c r="O684" s="40" t="str">
        <f aca="false">IF(A684&amp;B684&amp;D684="","",IF(OR(A684="",B684="",D684="",E684=""),"Incomplete",IF(K684="Unknown","Unknown code",IF(AND(K684="Yes",C684=""),"Billable, needs client",IF(N684&gt;MaxDayHours,"Over "&amp;MaxDayHours&amp;" hours that day","")))))</f>
        <v/>
      </c>
    </row>
    <row r="685" customFormat="false" ht="15" hidden="false" customHeight="false" outlineLevel="0" collapsed="false">
      <c r="A685" s="31" t="n">
        <v>46240</v>
      </c>
      <c r="B685" s="32" t="s">
        <v>106</v>
      </c>
      <c r="C685" s="32"/>
      <c r="D685" s="33" t="s">
        <v>96</v>
      </c>
      <c r="E685" s="34" t="n">
        <v>3</v>
      </c>
      <c r="F685" s="32"/>
      <c r="G685" s="35" t="n">
        <f aca="false">IF(A685="","",A685+7-WEEKDAY(A685))</f>
        <v>46242</v>
      </c>
      <c r="H685" s="36" t="n">
        <f aca="false">IF(A685="","",DATE(YEAR(A685),MONTH(A685),1))</f>
        <v>46235</v>
      </c>
      <c r="I685" s="37" t="str">
        <f aca="false">IF(B685="","",IFERROR(INDEX(st_ID,MATCH(B685,st_Name,0)),"Unknown"))</f>
        <v>QP-07</v>
      </c>
      <c r="J685" s="37" t="str">
        <f aca="false">IF(C685="","",IFERROR(INDEX(cl_Code,MATCH(C685,cl_Name,0)),"Unknown"))</f>
        <v/>
      </c>
      <c r="K685" s="37" t="str">
        <f aca="false">IF(D685="","",IFERROR(INDEX(rt_Billable,MATCH(D685,rt_Code,0)),"Unknown"))</f>
        <v>No</v>
      </c>
      <c r="L685" s="38" t="str">
        <f aca="false">IF(K685&lt;&gt;"Yes","",IFERROR(INDEX(cr_Rate,MATCH(J685&amp;"|"&amp;D685,cr_Key,0)),INDEX(rt_Rate,MATCH(D685,rt_Code,0))))</f>
        <v/>
      </c>
      <c r="M685" s="25" t="str">
        <f aca="false">IF(L685="","",ROUND(N(E685)*L685,2))</f>
        <v/>
      </c>
      <c r="N685" s="39" t="n">
        <f aca="false">IF(OR(A685="",B685=""),"",SUMIFS(tl_Hours,tl_StaffID,I685,tl_Date,A685))</f>
        <v>8</v>
      </c>
      <c r="O685" s="40" t="str">
        <f aca="false">IF(A685&amp;B685&amp;D685="","",IF(OR(A685="",B685="",D685="",E685=""),"Incomplete",IF(K685="Unknown","Unknown code",IF(AND(K685="Yes",C685=""),"Billable, needs client",IF(N685&gt;MaxDayHours,"Over "&amp;MaxDayHours&amp;" hours that day","")))))</f>
        <v/>
      </c>
    </row>
    <row r="686" customFormat="false" ht="15" hidden="false" customHeight="false" outlineLevel="0" collapsed="false">
      <c r="A686" s="31" t="n">
        <v>46240</v>
      </c>
      <c r="B686" s="32" t="s">
        <v>107</v>
      </c>
      <c r="C686" s="32"/>
      <c r="D686" s="33" t="s">
        <v>108</v>
      </c>
      <c r="E686" s="34" t="n">
        <v>6</v>
      </c>
      <c r="F686" s="32"/>
      <c r="G686" s="35" t="n">
        <f aca="false">IF(A686="","",A686+7-WEEKDAY(A686))</f>
        <v>46242</v>
      </c>
      <c r="H686" s="36" t="n">
        <f aca="false">IF(A686="","",DATE(YEAR(A686),MONTH(A686),1))</f>
        <v>46235</v>
      </c>
      <c r="I686" s="37" t="str">
        <f aca="false">IF(B686="","",IFERROR(INDEX(st_ID,MATCH(B686,st_Name,0)),"Unknown"))</f>
        <v>QP-08</v>
      </c>
      <c r="J686" s="37" t="str">
        <f aca="false">IF(C686="","",IFERROR(INDEX(cl_Code,MATCH(C686,cl_Name,0)),"Unknown"))</f>
        <v/>
      </c>
      <c r="K686" s="37" t="str">
        <f aca="false">IF(D686="","",IFERROR(INDEX(rt_Billable,MATCH(D686,rt_Code,0)),"Unknown"))</f>
        <v>No</v>
      </c>
      <c r="L686" s="38" t="str">
        <f aca="false">IF(K686&lt;&gt;"Yes","",IFERROR(INDEX(cr_Rate,MATCH(J686&amp;"|"&amp;D686,cr_Key,0)),INDEX(rt_Rate,MATCH(D686,rt_Code,0))))</f>
        <v/>
      </c>
      <c r="M686" s="25" t="str">
        <f aca="false">IF(L686="","",ROUND(N(E686)*L686,2))</f>
        <v/>
      </c>
      <c r="N686" s="39" t="n">
        <f aca="false">IF(OR(A686="",B686=""),"",SUMIFS(tl_Hours,tl_StaffID,I686,tl_Date,A686))</f>
        <v>8</v>
      </c>
      <c r="O686" s="40" t="str">
        <f aca="false">IF(A686&amp;B686&amp;D686="","",IF(OR(A686="",B686="",D686="",E686=""),"Incomplete",IF(K686="Unknown","Unknown code",IF(AND(K686="Yes",C686=""),"Billable, needs client",IF(N686&gt;MaxDayHours,"Over "&amp;MaxDayHours&amp;" hours that day","")))))</f>
        <v/>
      </c>
    </row>
    <row r="687" customFormat="false" ht="15" hidden="false" customHeight="false" outlineLevel="0" collapsed="false">
      <c r="A687" s="31" t="n">
        <v>46240</v>
      </c>
      <c r="B687" s="32" t="s">
        <v>107</v>
      </c>
      <c r="C687" s="32"/>
      <c r="D687" s="33" t="s">
        <v>98</v>
      </c>
      <c r="E687" s="34" t="n">
        <v>2</v>
      </c>
      <c r="F687" s="32"/>
      <c r="G687" s="35" t="n">
        <f aca="false">IF(A687="","",A687+7-WEEKDAY(A687))</f>
        <v>46242</v>
      </c>
      <c r="H687" s="36" t="n">
        <f aca="false">IF(A687="","",DATE(YEAR(A687),MONTH(A687),1))</f>
        <v>46235</v>
      </c>
      <c r="I687" s="37" t="str">
        <f aca="false">IF(B687="","",IFERROR(INDEX(st_ID,MATCH(B687,st_Name,0)),"Unknown"))</f>
        <v>QP-08</v>
      </c>
      <c r="J687" s="37" t="str">
        <f aca="false">IF(C687="","",IFERROR(INDEX(cl_Code,MATCH(C687,cl_Name,0)),"Unknown"))</f>
        <v/>
      </c>
      <c r="K687" s="37" t="str">
        <f aca="false">IF(D687="","",IFERROR(INDEX(rt_Billable,MATCH(D687,rt_Code,0)),"Unknown"))</f>
        <v>No</v>
      </c>
      <c r="L687" s="38" t="str">
        <f aca="false">IF(K687&lt;&gt;"Yes","",IFERROR(INDEX(cr_Rate,MATCH(J687&amp;"|"&amp;D687,cr_Key,0)),INDEX(rt_Rate,MATCH(D687,rt_Code,0))))</f>
        <v/>
      </c>
      <c r="M687" s="25" t="str">
        <f aca="false">IF(L687="","",ROUND(N(E687)*L687,2))</f>
        <v/>
      </c>
      <c r="N687" s="39" t="n">
        <f aca="false">IF(OR(A687="",B687=""),"",SUMIFS(tl_Hours,tl_StaffID,I687,tl_Date,A687))</f>
        <v>8</v>
      </c>
      <c r="O687" s="40" t="str">
        <f aca="false">IF(A687&amp;B687&amp;D687="","",IF(OR(A687="",B687="",D687="",E687=""),"Incomplete",IF(K687="Unknown","Unknown code",IF(AND(K687="Yes",C687=""),"Billable, needs client",IF(N687&gt;MaxDayHours,"Over "&amp;MaxDayHours&amp;" hours that day","")))))</f>
        <v/>
      </c>
    </row>
    <row r="688" customFormat="false" ht="15" hidden="false" customHeight="false" outlineLevel="0" collapsed="false">
      <c r="A688" s="31" t="n">
        <v>46241</v>
      </c>
      <c r="B688" s="32" t="s">
        <v>86</v>
      </c>
      <c r="C688" s="32" t="s">
        <v>87</v>
      </c>
      <c r="D688" s="33" t="s">
        <v>104</v>
      </c>
      <c r="E688" s="34" t="n">
        <v>1.5</v>
      </c>
      <c r="F688" s="32"/>
      <c r="G688" s="35" t="n">
        <f aca="false">IF(A688="","",A688+7-WEEKDAY(A688))</f>
        <v>46242</v>
      </c>
      <c r="H688" s="36" t="n">
        <f aca="false">IF(A688="","",DATE(YEAR(A688),MONTH(A688),1))</f>
        <v>46235</v>
      </c>
      <c r="I688" s="37" t="str">
        <f aca="false">IF(B688="","",IFERROR(INDEX(st_ID,MATCH(B688,st_Name,0)),"Unknown"))</f>
        <v>QP-01</v>
      </c>
      <c r="J688" s="37" t="str">
        <f aca="false">IF(C688="","",IFERROR(INDEX(cl_Code,MATCH(C688,cl_Name,0)),"Unknown"))</f>
        <v>HCS</v>
      </c>
      <c r="K688" s="37" t="str">
        <f aca="false">IF(D688="","",IFERROR(INDEX(rt_Billable,MATCH(D688,rt_Code,0)),"Unknown"))</f>
        <v>Yes</v>
      </c>
      <c r="L688" s="38" t="n">
        <f aca="false">IF(K688&lt;&gt;"Yes","",IFERROR(INDEX(cr_Rate,MATCH(J688&amp;"|"&amp;D688,cr_Key,0)),INDEX(rt_Rate,MATCH(D688,rt_Code,0))))</f>
        <v>62</v>
      </c>
      <c r="M688" s="25" t="n">
        <f aca="false">IF(L688="","",ROUND(N(E688)*L688,2))</f>
        <v>93</v>
      </c>
      <c r="N688" s="39" t="n">
        <f aca="false">IF(OR(A688="",B688=""),"",SUMIFS(tl_Hours,tl_StaffID,I688,tl_Date,A688))</f>
        <v>8</v>
      </c>
      <c r="O688" s="40" t="str">
        <f aca="false">IF(A688&amp;B688&amp;D688="","",IF(OR(A688="",B688="",D688="",E688=""),"Incomplete",IF(K688="Unknown","Unknown code",IF(AND(K688="Yes",C688=""),"Billable, needs client",IF(N688&gt;MaxDayHours,"Over "&amp;MaxDayHours&amp;" hours that day","")))))</f>
        <v/>
      </c>
    </row>
    <row r="689" customFormat="false" ht="15" hidden="false" customHeight="false" outlineLevel="0" collapsed="false">
      <c r="A689" s="31" t="n">
        <v>46241</v>
      </c>
      <c r="B689" s="32" t="s">
        <v>86</v>
      </c>
      <c r="C689" s="32" t="s">
        <v>87</v>
      </c>
      <c r="D689" s="33" t="s">
        <v>88</v>
      </c>
      <c r="E689" s="34" t="n">
        <v>1</v>
      </c>
      <c r="F689" s="32"/>
      <c r="G689" s="35" t="n">
        <f aca="false">IF(A689="","",A689+7-WEEKDAY(A689))</f>
        <v>46242</v>
      </c>
      <c r="H689" s="36" t="n">
        <f aca="false">IF(A689="","",DATE(YEAR(A689),MONTH(A689),1))</f>
        <v>46235</v>
      </c>
      <c r="I689" s="37" t="str">
        <f aca="false">IF(B689="","",IFERROR(INDEX(st_ID,MATCH(B689,st_Name,0)),"Unknown"))</f>
        <v>QP-01</v>
      </c>
      <c r="J689" s="37" t="str">
        <f aca="false">IF(C689="","",IFERROR(INDEX(cl_Code,MATCH(C689,cl_Name,0)),"Unknown"))</f>
        <v>HCS</v>
      </c>
      <c r="K689" s="37" t="str">
        <f aca="false">IF(D689="","",IFERROR(INDEX(rt_Billable,MATCH(D689,rt_Code,0)),"Unknown"))</f>
        <v>Yes</v>
      </c>
      <c r="L689" s="38" t="n">
        <f aca="false">IF(K689&lt;&gt;"Yes","",IFERROR(INDEX(cr_Rate,MATCH(J689&amp;"|"&amp;D689,cr_Key,0)),INDEX(rt_Rate,MATCH(D689,rt_Code,0))))</f>
        <v>98</v>
      </c>
      <c r="M689" s="25" t="n">
        <f aca="false">IF(L689="","",ROUND(N(E689)*L689,2))</f>
        <v>98</v>
      </c>
      <c r="N689" s="39" t="n">
        <f aca="false">IF(OR(A689="",B689=""),"",SUMIFS(tl_Hours,tl_StaffID,I689,tl_Date,A689))</f>
        <v>8</v>
      </c>
      <c r="O689" s="40" t="str">
        <f aca="false">IF(A689&amp;B689&amp;D689="","",IF(OR(A689="",B689="",D689="",E689=""),"Incomplete",IF(K689="Unknown","Unknown code",IF(AND(K689="Yes",C689=""),"Billable, needs client",IF(N689&gt;MaxDayHours,"Over "&amp;MaxDayHours&amp;" hours that day","")))))</f>
        <v/>
      </c>
    </row>
    <row r="690" customFormat="false" ht="15" hidden="false" customHeight="false" outlineLevel="0" collapsed="false">
      <c r="A690" s="31" t="n">
        <v>46241</v>
      </c>
      <c r="B690" s="32" t="s">
        <v>86</v>
      </c>
      <c r="C690" s="32" t="s">
        <v>90</v>
      </c>
      <c r="D690" s="33" t="s">
        <v>91</v>
      </c>
      <c r="E690" s="34" t="n">
        <v>1.75</v>
      </c>
      <c r="F690" s="32"/>
      <c r="G690" s="35" t="n">
        <f aca="false">IF(A690="","",A690+7-WEEKDAY(A690))</f>
        <v>46242</v>
      </c>
      <c r="H690" s="36" t="n">
        <f aca="false">IF(A690="","",DATE(YEAR(A690),MONTH(A690),1))</f>
        <v>46235</v>
      </c>
      <c r="I690" s="37" t="str">
        <f aca="false">IF(B690="","",IFERROR(INDEX(st_ID,MATCH(B690,st_Name,0)),"Unknown"))</f>
        <v>QP-01</v>
      </c>
      <c r="J690" s="37" t="str">
        <f aca="false">IF(C690="","",IFERROR(INDEX(cl_Code,MATCH(C690,cl_Name,0)),"Unknown"))</f>
        <v>BSE</v>
      </c>
      <c r="K690" s="37" t="str">
        <f aca="false">IF(D690="","",IFERROR(INDEX(rt_Billable,MATCH(D690,rt_Code,0)),"Unknown"))</f>
        <v>Yes</v>
      </c>
      <c r="L690" s="38" t="n">
        <f aca="false">IF(K690&lt;&gt;"Yes","",IFERROR(INDEX(cr_Rate,MATCH(J690&amp;"|"&amp;D690,cr_Key,0)),INDEX(rt_Rate,MATCH(D690,rt_Code,0))))</f>
        <v>100</v>
      </c>
      <c r="M690" s="25" t="n">
        <f aca="false">IF(L690="","",ROUND(N(E690)*L690,2))</f>
        <v>175</v>
      </c>
      <c r="N690" s="39" t="n">
        <f aca="false">IF(OR(A690="",B690=""),"",SUMIFS(tl_Hours,tl_StaffID,I690,tl_Date,A690))</f>
        <v>8</v>
      </c>
      <c r="O690" s="40" t="str">
        <f aca="false">IF(A690&amp;B690&amp;D690="","",IF(OR(A690="",B690="",D690="",E690=""),"Incomplete",IF(K690="Unknown","Unknown code",IF(AND(K690="Yes",C690=""),"Billable, needs client",IF(N690&gt;MaxDayHours,"Over "&amp;MaxDayHours&amp;" hours that day","")))))</f>
        <v/>
      </c>
    </row>
    <row r="691" customFormat="false" ht="15" hidden="false" customHeight="false" outlineLevel="0" collapsed="false">
      <c r="A691" s="31" t="n">
        <v>46241</v>
      </c>
      <c r="B691" s="32" t="s">
        <v>86</v>
      </c>
      <c r="C691" s="32" t="s">
        <v>90</v>
      </c>
      <c r="D691" s="33" t="s">
        <v>104</v>
      </c>
      <c r="E691" s="34" t="n">
        <v>0.75</v>
      </c>
      <c r="F691" s="32"/>
      <c r="G691" s="35" t="n">
        <f aca="false">IF(A691="","",A691+7-WEEKDAY(A691))</f>
        <v>46242</v>
      </c>
      <c r="H691" s="36" t="n">
        <f aca="false">IF(A691="","",DATE(YEAR(A691),MONTH(A691),1))</f>
        <v>46235</v>
      </c>
      <c r="I691" s="37" t="str">
        <f aca="false">IF(B691="","",IFERROR(INDEX(st_ID,MATCH(B691,st_Name,0)),"Unknown"))</f>
        <v>QP-01</v>
      </c>
      <c r="J691" s="37" t="str">
        <f aca="false">IF(C691="","",IFERROR(INDEX(cl_Code,MATCH(C691,cl_Name,0)),"Unknown"))</f>
        <v>BSE</v>
      </c>
      <c r="K691" s="37" t="str">
        <f aca="false">IF(D691="","",IFERROR(INDEX(rt_Billable,MATCH(D691,rt_Code,0)),"Unknown"))</f>
        <v>Yes</v>
      </c>
      <c r="L691" s="38" t="n">
        <f aca="false">IF(K691&lt;&gt;"Yes","",IFERROR(INDEX(cr_Rate,MATCH(J691&amp;"|"&amp;D691,cr_Key,0)),INDEX(rt_Rate,MATCH(D691,rt_Code,0))))</f>
        <v>70</v>
      </c>
      <c r="M691" s="25" t="n">
        <f aca="false">IF(L691="","",ROUND(N(E691)*L691,2))</f>
        <v>52.5</v>
      </c>
      <c r="N691" s="39" t="n">
        <f aca="false">IF(OR(A691="",B691=""),"",SUMIFS(tl_Hours,tl_StaffID,I691,tl_Date,A691))</f>
        <v>8</v>
      </c>
      <c r="O691" s="40" t="str">
        <f aca="false">IF(A691&amp;B691&amp;D691="","",IF(OR(A691="",B691="",D691="",E691=""),"Incomplete",IF(K691="Unknown","Unknown code",IF(AND(K691="Yes",C691=""),"Billable, needs client",IF(N691&gt;MaxDayHours,"Over "&amp;MaxDayHours&amp;" hours that day","")))))</f>
        <v/>
      </c>
    </row>
    <row r="692" customFormat="false" ht="15" hidden="false" customHeight="false" outlineLevel="0" collapsed="false">
      <c r="A692" s="31" t="n">
        <v>46241</v>
      </c>
      <c r="B692" s="32" t="s">
        <v>86</v>
      </c>
      <c r="C692" s="32"/>
      <c r="D692" s="33" t="s">
        <v>93</v>
      </c>
      <c r="E692" s="34" t="n">
        <v>0.5</v>
      </c>
      <c r="F692" s="32"/>
      <c r="G692" s="35" t="n">
        <f aca="false">IF(A692="","",A692+7-WEEKDAY(A692))</f>
        <v>46242</v>
      </c>
      <c r="H692" s="36" t="n">
        <f aca="false">IF(A692="","",DATE(YEAR(A692),MONTH(A692),1))</f>
        <v>46235</v>
      </c>
      <c r="I692" s="37" t="str">
        <f aca="false">IF(B692="","",IFERROR(INDEX(st_ID,MATCH(B692,st_Name,0)),"Unknown"))</f>
        <v>QP-01</v>
      </c>
      <c r="J692" s="37" t="str">
        <f aca="false">IF(C692="","",IFERROR(INDEX(cl_Code,MATCH(C692,cl_Name,0)),"Unknown"))</f>
        <v/>
      </c>
      <c r="K692" s="37" t="str">
        <f aca="false">IF(D692="","",IFERROR(INDEX(rt_Billable,MATCH(D692,rt_Code,0)),"Unknown"))</f>
        <v>No</v>
      </c>
      <c r="L692" s="38" t="str">
        <f aca="false">IF(K692&lt;&gt;"Yes","",IFERROR(INDEX(cr_Rate,MATCH(J692&amp;"|"&amp;D692,cr_Key,0)),INDEX(rt_Rate,MATCH(D692,rt_Code,0))))</f>
        <v/>
      </c>
      <c r="M692" s="25" t="str">
        <f aca="false">IF(L692="","",ROUND(N(E692)*L692,2))</f>
        <v/>
      </c>
      <c r="N692" s="39" t="n">
        <f aca="false">IF(OR(A692="",B692=""),"",SUMIFS(tl_Hours,tl_StaffID,I692,tl_Date,A692))</f>
        <v>8</v>
      </c>
      <c r="O692" s="40" t="str">
        <f aca="false">IF(A692&amp;B692&amp;D692="","",IF(OR(A692="",B692="",D692="",E692=""),"Incomplete",IF(K692="Unknown","Unknown code",IF(AND(K692="Yes",C692=""),"Billable, needs client",IF(N692&gt;MaxDayHours,"Over "&amp;MaxDayHours&amp;" hours that day","")))))</f>
        <v/>
      </c>
    </row>
    <row r="693" customFormat="false" ht="15" hidden="false" customHeight="false" outlineLevel="0" collapsed="false">
      <c r="A693" s="31" t="n">
        <v>46241</v>
      </c>
      <c r="B693" s="32" t="s">
        <v>86</v>
      </c>
      <c r="C693" s="32"/>
      <c r="D693" s="33" t="s">
        <v>94</v>
      </c>
      <c r="E693" s="34" t="n">
        <v>1.5</v>
      </c>
      <c r="F693" s="32" t="s">
        <v>95</v>
      </c>
      <c r="G693" s="35" t="n">
        <f aca="false">IF(A693="","",A693+7-WEEKDAY(A693))</f>
        <v>46242</v>
      </c>
      <c r="H693" s="36" t="n">
        <f aca="false">IF(A693="","",DATE(YEAR(A693),MONTH(A693),1))</f>
        <v>46235</v>
      </c>
      <c r="I693" s="37" t="str">
        <f aca="false">IF(B693="","",IFERROR(INDEX(st_ID,MATCH(B693,st_Name,0)),"Unknown"))</f>
        <v>QP-01</v>
      </c>
      <c r="J693" s="37" t="str">
        <f aca="false">IF(C693="","",IFERROR(INDEX(cl_Code,MATCH(C693,cl_Name,0)),"Unknown"))</f>
        <v/>
      </c>
      <c r="K693" s="37" t="str">
        <f aca="false">IF(D693="","",IFERROR(INDEX(rt_Billable,MATCH(D693,rt_Code,0)),"Unknown"))</f>
        <v>No</v>
      </c>
      <c r="L693" s="38" t="str">
        <f aca="false">IF(K693&lt;&gt;"Yes","",IFERROR(INDEX(cr_Rate,MATCH(J693&amp;"|"&amp;D693,cr_Key,0)),INDEX(rt_Rate,MATCH(D693,rt_Code,0))))</f>
        <v/>
      </c>
      <c r="M693" s="25" t="str">
        <f aca="false">IF(L693="","",ROUND(N(E693)*L693,2))</f>
        <v/>
      </c>
      <c r="N693" s="39" t="n">
        <f aca="false">IF(OR(A693="",B693=""),"",SUMIFS(tl_Hours,tl_StaffID,I693,tl_Date,A693))</f>
        <v>8</v>
      </c>
      <c r="O693" s="40" t="str">
        <f aca="false">IF(A693&amp;B693&amp;D693="","",IF(OR(A693="",B693="",D693="",E693=""),"Incomplete",IF(K693="Unknown","Unknown code",IF(AND(K693="Yes",C693=""),"Billable, needs client",IF(N693&gt;MaxDayHours,"Over "&amp;MaxDayHours&amp;" hours that day","")))))</f>
        <v/>
      </c>
    </row>
    <row r="694" customFormat="false" ht="15" hidden="false" customHeight="false" outlineLevel="0" collapsed="false">
      <c r="A694" s="31" t="n">
        <v>46241</v>
      </c>
      <c r="B694" s="32" t="s">
        <v>86</v>
      </c>
      <c r="C694" s="32"/>
      <c r="D694" s="33" t="s">
        <v>96</v>
      </c>
      <c r="E694" s="34" t="n">
        <v>1</v>
      </c>
      <c r="F694" s="32"/>
      <c r="G694" s="35" t="n">
        <f aca="false">IF(A694="","",A694+7-WEEKDAY(A694))</f>
        <v>46242</v>
      </c>
      <c r="H694" s="36" t="n">
        <f aca="false">IF(A694="","",DATE(YEAR(A694),MONTH(A694),1))</f>
        <v>46235</v>
      </c>
      <c r="I694" s="37" t="str">
        <f aca="false">IF(B694="","",IFERROR(INDEX(st_ID,MATCH(B694,st_Name,0)),"Unknown"))</f>
        <v>QP-01</v>
      </c>
      <c r="J694" s="37" t="str">
        <f aca="false">IF(C694="","",IFERROR(INDEX(cl_Code,MATCH(C694,cl_Name,0)),"Unknown"))</f>
        <v/>
      </c>
      <c r="K694" s="37" t="str">
        <f aca="false">IF(D694="","",IFERROR(INDEX(rt_Billable,MATCH(D694,rt_Code,0)),"Unknown"))</f>
        <v>No</v>
      </c>
      <c r="L694" s="38" t="str">
        <f aca="false">IF(K694&lt;&gt;"Yes","",IFERROR(INDEX(cr_Rate,MATCH(J694&amp;"|"&amp;D694,cr_Key,0)),INDEX(rt_Rate,MATCH(D694,rt_Code,0))))</f>
        <v/>
      </c>
      <c r="M694" s="25" t="str">
        <f aca="false">IF(L694="","",ROUND(N(E694)*L694,2))</f>
        <v/>
      </c>
      <c r="N694" s="39" t="n">
        <f aca="false">IF(OR(A694="",B694=""),"",SUMIFS(tl_Hours,tl_StaffID,I694,tl_Date,A694))</f>
        <v>8</v>
      </c>
      <c r="O694" s="40" t="str">
        <f aca="false">IF(A694&amp;B694&amp;D694="","",IF(OR(A694="",B694="",D694="",E694=""),"Incomplete",IF(K694="Unknown","Unknown code",IF(AND(K694="Yes",C694=""),"Billable, needs client",IF(N694&gt;MaxDayHours,"Over "&amp;MaxDayHours&amp;" hours that day","")))))</f>
        <v/>
      </c>
    </row>
    <row r="695" customFormat="false" ht="15" hidden="false" customHeight="false" outlineLevel="0" collapsed="false">
      <c r="A695" s="31" t="n">
        <v>46241</v>
      </c>
      <c r="B695" s="32" t="s">
        <v>97</v>
      </c>
      <c r="C695" s="32" t="s">
        <v>111</v>
      </c>
      <c r="D695" s="33" t="s">
        <v>104</v>
      </c>
      <c r="E695" s="34" t="n">
        <v>4.5</v>
      </c>
      <c r="F695" s="32"/>
      <c r="G695" s="35" t="n">
        <f aca="false">IF(A695="","",A695+7-WEEKDAY(A695))</f>
        <v>46242</v>
      </c>
      <c r="H695" s="36" t="n">
        <f aca="false">IF(A695="","",DATE(YEAR(A695),MONTH(A695),1))</f>
        <v>46235</v>
      </c>
      <c r="I695" s="37" t="str">
        <f aca="false">IF(B695="","",IFERROR(INDEX(st_ID,MATCH(B695,st_Name,0)),"Unknown"))</f>
        <v>QP-02</v>
      </c>
      <c r="J695" s="37" t="str">
        <f aca="false">IF(C695="","",IFERROR(INDEX(cl_Code,MATCH(C695,cl_Name,0)),"Unknown"))</f>
        <v>WMS</v>
      </c>
      <c r="K695" s="37" t="str">
        <f aca="false">IF(D695="","",IFERROR(INDEX(rt_Billable,MATCH(D695,rt_Code,0)),"Unknown"))</f>
        <v>Yes</v>
      </c>
      <c r="L695" s="38" t="n">
        <f aca="false">IF(K695&lt;&gt;"Yes","",IFERROR(INDEX(cr_Rate,MATCH(J695&amp;"|"&amp;D695,cr_Key,0)),INDEX(rt_Rate,MATCH(D695,rt_Code,0))))</f>
        <v>70</v>
      </c>
      <c r="M695" s="25" t="n">
        <f aca="false">IF(L695="","",ROUND(N(E695)*L695,2))</f>
        <v>315</v>
      </c>
      <c r="N695" s="39" t="n">
        <f aca="false">IF(OR(A695="",B695=""),"",SUMIFS(tl_Hours,tl_StaffID,I695,tl_Date,A695))</f>
        <v>8</v>
      </c>
      <c r="O695" s="40" t="str">
        <f aca="false">IF(A695&amp;B695&amp;D695="","",IF(OR(A695="",B695="",D695="",E695=""),"Incomplete",IF(K695="Unknown","Unknown code",IF(AND(K695="Yes",C695=""),"Billable, needs client",IF(N695&gt;MaxDayHours,"Over "&amp;MaxDayHours&amp;" hours that day","")))))</f>
        <v/>
      </c>
    </row>
    <row r="696" customFormat="false" ht="15" hidden="false" customHeight="false" outlineLevel="0" collapsed="false">
      <c r="A696" s="31" t="n">
        <v>46241</v>
      </c>
      <c r="B696" s="32" t="s">
        <v>97</v>
      </c>
      <c r="C696" s="32" t="s">
        <v>111</v>
      </c>
      <c r="D696" s="33" t="s">
        <v>89</v>
      </c>
      <c r="E696" s="34" t="n">
        <v>1.25</v>
      </c>
      <c r="F696" s="32"/>
      <c r="G696" s="35" t="n">
        <f aca="false">IF(A696="","",A696+7-WEEKDAY(A696))</f>
        <v>46242</v>
      </c>
      <c r="H696" s="36" t="n">
        <f aca="false">IF(A696="","",DATE(YEAR(A696),MONTH(A696),1))</f>
        <v>46235</v>
      </c>
      <c r="I696" s="37" t="str">
        <f aca="false">IF(B696="","",IFERROR(INDEX(st_ID,MATCH(B696,st_Name,0)),"Unknown"))</f>
        <v>QP-02</v>
      </c>
      <c r="J696" s="37" t="str">
        <f aca="false">IF(C696="","",IFERROR(INDEX(cl_Code,MATCH(C696,cl_Name,0)),"Unknown"))</f>
        <v>WMS</v>
      </c>
      <c r="K696" s="37" t="str">
        <f aca="false">IF(D696="","",IFERROR(INDEX(rt_Billable,MATCH(D696,rt_Code,0)),"Unknown"))</f>
        <v>Yes</v>
      </c>
      <c r="L696" s="38" t="n">
        <f aca="false">IF(K696&lt;&gt;"Yes","",IFERROR(INDEX(cr_Rate,MATCH(J696&amp;"|"&amp;D696,cr_Key,0)),INDEX(rt_Rate,MATCH(D696,rt_Code,0))))</f>
        <v>95</v>
      </c>
      <c r="M696" s="25" t="n">
        <f aca="false">IF(L696="","",ROUND(N(E696)*L696,2))</f>
        <v>118.75</v>
      </c>
      <c r="N696" s="39" t="n">
        <f aca="false">IF(OR(A696="",B696=""),"",SUMIFS(tl_Hours,tl_StaffID,I696,tl_Date,A696))</f>
        <v>8</v>
      </c>
      <c r="O696" s="40" t="str">
        <f aca="false">IF(A696&amp;B696&amp;D696="","",IF(OR(A696="",B696="",D696="",E696=""),"Incomplete",IF(K696="Unknown","Unknown code",IF(AND(K696="Yes",C696=""),"Billable, needs client",IF(N696&gt;MaxDayHours,"Over "&amp;MaxDayHours&amp;" hours that day","")))))</f>
        <v/>
      </c>
    </row>
    <row r="697" customFormat="false" ht="15" hidden="false" customHeight="false" outlineLevel="0" collapsed="false">
      <c r="A697" s="31" t="n">
        <v>46241</v>
      </c>
      <c r="B697" s="32" t="s">
        <v>97</v>
      </c>
      <c r="C697" s="32"/>
      <c r="D697" s="33" t="s">
        <v>96</v>
      </c>
      <c r="E697" s="34" t="n">
        <v>2.25</v>
      </c>
      <c r="F697" s="32"/>
      <c r="G697" s="35" t="n">
        <f aca="false">IF(A697="","",A697+7-WEEKDAY(A697))</f>
        <v>46242</v>
      </c>
      <c r="H697" s="36" t="n">
        <f aca="false">IF(A697="","",DATE(YEAR(A697),MONTH(A697),1))</f>
        <v>46235</v>
      </c>
      <c r="I697" s="37" t="str">
        <f aca="false">IF(B697="","",IFERROR(INDEX(st_ID,MATCH(B697,st_Name,0)),"Unknown"))</f>
        <v>QP-02</v>
      </c>
      <c r="J697" s="37" t="str">
        <f aca="false">IF(C697="","",IFERROR(INDEX(cl_Code,MATCH(C697,cl_Name,0)),"Unknown"))</f>
        <v/>
      </c>
      <c r="K697" s="37" t="str">
        <f aca="false">IF(D697="","",IFERROR(INDEX(rt_Billable,MATCH(D697,rt_Code,0)),"Unknown"))</f>
        <v>No</v>
      </c>
      <c r="L697" s="38" t="str">
        <f aca="false">IF(K697&lt;&gt;"Yes","",IFERROR(INDEX(cr_Rate,MATCH(J697&amp;"|"&amp;D697,cr_Key,0)),INDEX(rt_Rate,MATCH(D697,rt_Code,0))))</f>
        <v/>
      </c>
      <c r="M697" s="25" t="str">
        <f aca="false">IF(L697="","",ROUND(N(E697)*L697,2))</f>
        <v/>
      </c>
      <c r="N697" s="39" t="n">
        <f aca="false">IF(OR(A697="",B697=""),"",SUMIFS(tl_Hours,tl_StaffID,I697,tl_Date,A697))</f>
        <v>8</v>
      </c>
      <c r="O697" s="40" t="str">
        <f aca="false">IF(A697&amp;B697&amp;D697="","",IF(OR(A697="",B697="",D697="",E697=""),"Incomplete",IF(K697="Unknown","Unknown code",IF(AND(K697="Yes",C697=""),"Billable, needs client",IF(N697&gt;MaxDayHours,"Over "&amp;MaxDayHours&amp;" hours that day","")))))</f>
        <v/>
      </c>
    </row>
    <row r="698" customFormat="false" ht="15" hidden="false" customHeight="false" outlineLevel="0" collapsed="false">
      <c r="A698" s="31" t="n">
        <v>46241</v>
      </c>
      <c r="B698" s="32" t="s">
        <v>101</v>
      </c>
      <c r="C698" s="32" t="s">
        <v>87</v>
      </c>
      <c r="D698" s="33" t="s">
        <v>88</v>
      </c>
      <c r="E698" s="34" t="n">
        <v>1.75</v>
      </c>
      <c r="F698" s="32"/>
      <c r="G698" s="35" t="n">
        <f aca="false">IF(A698="","",A698+7-WEEKDAY(A698))</f>
        <v>46242</v>
      </c>
      <c r="H698" s="36" t="n">
        <f aca="false">IF(A698="","",DATE(YEAR(A698),MONTH(A698),1))</f>
        <v>46235</v>
      </c>
      <c r="I698" s="37" t="str">
        <f aca="false">IF(B698="","",IFERROR(INDEX(st_ID,MATCH(B698,st_Name,0)),"Unknown"))</f>
        <v>QP-04</v>
      </c>
      <c r="J698" s="37" t="str">
        <f aca="false">IF(C698="","",IFERROR(INDEX(cl_Code,MATCH(C698,cl_Name,0)),"Unknown"))</f>
        <v>HCS</v>
      </c>
      <c r="K698" s="37" t="str">
        <f aca="false">IF(D698="","",IFERROR(INDEX(rt_Billable,MATCH(D698,rt_Code,0)),"Unknown"))</f>
        <v>Yes</v>
      </c>
      <c r="L698" s="38" t="n">
        <f aca="false">IF(K698&lt;&gt;"Yes","",IFERROR(INDEX(cr_Rate,MATCH(J698&amp;"|"&amp;D698,cr_Key,0)),INDEX(rt_Rate,MATCH(D698,rt_Code,0))))</f>
        <v>98</v>
      </c>
      <c r="M698" s="25" t="n">
        <f aca="false">IF(L698="","",ROUND(N(E698)*L698,2))</f>
        <v>171.5</v>
      </c>
      <c r="N698" s="39" t="n">
        <f aca="false">IF(OR(A698="",B698=""),"",SUMIFS(tl_Hours,tl_StaffID,I698,tl_Date,A698))</f>
        <v>8</v>
      </c>
      <c r="O698" s="40" t="str">
        <f aca="false">IF(A698&amp;B698&amp;D698="","",IF(OR(A698="",B698="",D698="",E698=""),"Incomplete",IF(K698="Unknown","Unknown code",IF(AND(K698="Yes",C698=""),"Billable, needs client",IF(N698&gt;MaxDayHours,"Over "&amp;MaxDayHours&amp;" hours that day","")))))</f>
        <v/>
      </c>
    </row>
    <row r="699" customFormat="false" ht="15" hidden="false" customHeight="false" outlineLevel="0" collapsed="false">
      <c r="A699" s="31" t="n">
        <v>46241</v>
      </c>
      <c r="B699" s="32" t="s">
        <v>101</v>
      </c>
      <c r="C699" s="32" t="s">
        <v>87</v>
      </c>
      <c r="D699" s="33" t="s">
        <v>104</v>
      </c>
      <c r="E699" s="34" t="n">
        <v>1</v>
      </c>
      <c r="F699" s="32"/>
      <c r="G699" s="35" t="n">
        <f aca="false">IF(A699="","",A699+7-WEEKDAY(A699))</f>
        <v>46242</v>
      </c>
      <c r="H699" s="36" t="n">
        <f aca="false">IF(A699="","",DATE(YEAR(A699),MONTH(A699),1))</f>
        <v>46235</v>
      </c>
      <c r="I699" s="37" t="str">
        <f aca="false">IF(B699="","",IFERROR(INDEX(st_ID,MATCH(B699,st_Name,0)),"Unknown"))</f>
        <v>QP-04</v>
      </c>
      <c r="J699" s="37" t="str">
        <f aca="false">IF(C699="","",IFERROR(INDEX(cl_Code,MATCH(C699,cl_Name,0)),"Unknown"))</f>
        <v>HCS</v>
      </c>
      <c r="K699" s="37" t="str">
        <f aca="false">IF(D699="","",IFERROR(INDEX(rt_Billable,MATCH(D699,rt_Code,0)),"Unknown"))</f>
        <v>Yes</v>
      </c>
      <c r="L699" s="38" t="n">
        <f aca="false">IF(K699&lt;&gt;"Yes","",IFERROR(INDEX(cr_Rate,MATCH(J699&amp;"|"&amp;D699,cr_Key,0)),INDEX(rt_Rate,MATCH(D699,rt_Code,0))))</f>
        <v>62</v>
      </c>
      <c r="M699" s="25" t="n">
        <f aca="false">IF(L699="","",ROUND(N(E699)*L699,2))</f>
        <v>62</v>
      </c>
      <c r="N699" s="39" t="n">
        <f aca="false">IF(OR(A699="",B699=""),"",SUMIFS(tl_Hours,tl_StaffID,I699,tl_Date,A699))</f>
        <v>8</v>
      </c>
      <c r="O699" s="40" t="str">
        <f aca="false">IF(A699&amp;B699&amp;D699="","",IF(OR(A699="",B699="",D699="",E699=""),"Incomplete",IF(K699="Unknown","Unknown code",IF(AND(K699="Yes",C699=""),"Billable, needs client",IF(N699&gt;MaxDayHours,"Over "&amp;MaxDayHours&amp;" hours that day","")))))</f>
        <v/>
      </c>
    </row>
    <row r="700" customFormat="false" ht="15" hidden="false" customHeight="false" outlineLevel="0" collapsed="false">
      <c r="A700" s="31" t="n">
        <v>46241</v>
      </c>
      <c r="B700" s="32" t="s">
        <v>101</v>
      </c>
      <c r="C700" s="32" t="s">
        <v>112</v>
      </c>
      <c r="D700" s="33" t="s">
        <v>88</v>
      </c>
      <c r="E700" s="34" t="n">
        <v>1.5</v>
      </c>
      <c r="F700" s="32"/>
      <c r="G700" s="35" t="n">
        <f aca="false">IF(A700="","",A700+7-WEEKDAY(A700))</f>
        <v>46242</v>
      </c>
      <c r="H700" s="36" t="n">
        <f aca="false">IF(A700="","",DATE(YEAR(A700),MONTH(A700),1))</f>
        <v>46235</v>
      </c>
      <c r="I700" s="37" t="str">
        <f aca="false">IF(B700="","",IFERROR(INDEX(st_ID,MATCH(B700,st_Name,0)),"Unknown"))</f>
        <v>QP-04</v>
      </c>
      <c r="J700" s="37" t="str">
        <f aca="false">IF(C700="","",IFERROR(INDEX(cl_Code,MATCH(C700,cl_Name,0)),"Unknown"))</f>
        <v>PCA</v>
      </c>
      <c r="K700" s="37" t="str">
        <f aca="false">IF(D700="","",IFERROR(INDEX(rt_Billable,MATCH(D700,rt_Code,0)),"Unknown"))</f>
        <v>Yes</v>
      </c>
      <c r="L700" s="38" t="n">
        <f aca="false">IF(K700&lt;&gt;"Yes","",IFERROR(INDEX(cr_Rate,MATCH(J700&amp;"|"&amp;D700,cr_Key,0)),INDEX(rt_Rate,MATCH(D700,rt_Code,0))))</f>
        <v>110</v>
      </c>
      <c r="M700" s="25" t="n">
        <f aca="false">IF(L700="","",ROUND(N(E700)*L700,2))</f>
        <v>165</v>
      </c>
      <c r="N700" s="39" t="n">
        <f aca="false">IF(OR(A700="",B700=""),"",SUMIFS(tl_Hours,tl_StaffID,I700,tl_Date,A700))</f>
        <v>8</v>
      </c>
      <c r="O700" s="40" t="str">
        <f aca="false">IF(A700&amp;B700&amp;D700="","",IF(OR(A700="",B700="",D700="",E700=""),"Incomplete",IF(K700="Unknown","Unknown code",IF(AND(K700="Yes",C700=""),"Billable, needs client",IF(N700&gt;MaxDayHours,"Over "&amp;MaxDayHours&amp;" hours that day","")))))</f>
        <v/>
      </c>
    </row>
    <row r="701" customFormat="false" ht="15" hidden="false" customHeight="false" outlineLevel="0" collapsed="false">
      <c r="A701" s="31" t="n">
        <v>46241</v>
      </c>
      <c r="B701" s="32" t="s">
        <v>101</v>
      </c>
      <c r="C701" s="32" t="s">
        <v>112</v>
      </c>
      <c r="D701" s="33" t="s">
        <v>104</v>
      </c>
      <c r="E701" s="34" t="n">
        <v>1.25</v>
      </c>
      <c r="F701" s="32"/>
      <c r="G701" s="35" t="n">
        <f aca="false">IF(A701="","",A701+7-WEEKDAY(A701))</f>
        <v>46242</v>
      </c>
      <c r="H701" s="36" t="n">
        <f aca="false">IF(A701="","",DATE(YEAR(A701),MONTH(A701),1))</f>
        <v>46235</v>
      </c>
      <c r="I701" s="37" t="str">
        <f aca="false">IF(B701="","",IFERROR(INDEX(st_ID,MATCH(B701,st_Name,0)),"Unknown"))</f>
        <v>QP-04</v>
      </c>
      <c r="J701" s="37" t="str">
        <f aca="false">IF(C701="","",IFERROR(INDEX(cl_Code,MATCH(C701,cl_Name,0)),"Unknown"))</f>
        <v>PCA</v>
      </c>
      <c r="K701" s="37" t="str">
        <f aca="false">IF(D701="","",IFERROR(INDEX(rt_Billable,MATCH(D701,rt_Code,0)),"Unknown"))</f>
        <v>Yes</v>
      </c>
      <c r="L701" s="38" t="n">
        <f aca="false">IF(K701&lt;&gt;"Yes","",IFERROR(INDEX(cr_Rate,MATCH(J701&amp;"|"&amp;D701,cr_Key,0)),INDEX(rt_Rate,MATCH(D701,rt_Code,0))))</f>
        <v>70</v>
      </c>
      <c r="M701" s="25" t="n">
        <f aca="false">IF(L701="","",ROUND(N(E701)*L701,2))</f>
        <v>87.5</v>
      </c>
      <c r="N701" s="39" t="n">
        <f aca="false">IF(OR(A701="",B701=""),"",SUMIFS(tl_Hours,tl_StaffID,I701,tl_Date,A701))</f>
        <v>8</v>
      </c>
      <c r="O701" s="40" t="str">
        <f aca="false">IF(A701&amp;B701&amp;D701="","",IF(OR(A701="",B701="",D701="",E701=""),"Incomplete",IF(K701="Unknown","Unknown code",IF(AND(K701="Yes",C701=""),"Billable, needs client",IF(N701&gt;MaxDayHours,"Over "&amp;MaxDayHours&amp;" hours that day","")))))</f>
        <v/>
      </c>
    </row>
    <row r="702" customFormat="false" ht="15" hidden="false" customHeight="false" outlineLevel="0" collapsed="false">
      <c r="A702" s="31" t="n">
        <v>46241</v>
      </c>
      <c r="B702" s="32" t="s">
        <v>101</v>
      </c>
      <c r="C702" s="32"/>
      <c r="D702" s="33" t="s">
        <v>93</v>
      </c>
      <c r="E702" s="34" t="n">
        <v>0.5</v>
      </c>
      <c r="F702" s="32"/>
      <c r="G702" s="35" t="n">
        <f aca="false">IF(A702="","",A702+7-WEEKDAY(A702))</f>
        <v>46242</v>
      </c>
      <c r="H702" s="36" t="n">
        <f aca="false">IF(A702="","",DATE(YEAR(A702),MONTH(A702),1))</f>
        <v>46235</v>
      </c>
      <c r="I702" s="37" t="str">
        <f aca="false">IF(B702="","",IFERROR(INDEX(st_ID,MATCH(B702,st_Name,0)),"Unknown"))</f>
        <v>QP-04</v>
      </c>
      <c r="J702" s="37" t="str">
        <f aca="false">IF(C702="","",IFERROR(INDEX(cl_Code,MATCH(C702,cl_Name,0)),"Unknown"))</f>
        <v/>
      </c>
      <c r="K702" s="37" t="str">
        <f aca="false">IF(D702="","",IFERROR(INDEX(rt_Billable,MATCH(D702,rt_Code,0)),"Unknown"))</f>
        <v>No</v>
      </c>
      <c r="L702" s="38" t="str">
        <f aca="false">IF(K702&lt;&gt;"Yes","",IFERROR(INDEX(cr_Rate,MATCH(J702&amp;"|"&amp;D702,cr_Key,0)),INDEX(rt_Rate,MATCH(D702,rt_Code,0))))</f>
        <v/>
      </c>
      <c r="M702" s="25" t="str">
        <f aca="false">IF(L702="","",ROUND(N(E702)*L702,2))</f>
        <v/>
      </c>
      <c r="N702" s="39" t="n">
        <f aca="false">IF(OR(A702="",B702=""),"",SUMIFS(tl_Hours,tl_StaffID,I702,tl_Date,A702))</f>
        <v>8</v>
      </c>
      <c r="O702" s="40" t="str">
        <f aca="false">IF(A702&amp;B702&amp;D702="","",IF(OR(A702="",B702="",D702="",E702=""),"Incomplete",IF(K702="Unknown","Unknown code",IF(AND(K702="Yes",C702=""),"Billable, needs client",IF(N702&gt;MaxDayHours,"Over "&amp;MaxDayHours&amp;" hours that day","")))))</f>
        <v/>
      </c>
    </row>
    <row r="703" customFormat="false" ht="15" hidden="false" customHeight="false" outlineLevel="0" collapsed="false">
      <c r="A703" s="31" t="n">
        <v>46241</v>
      </c>
      <c r="B703" s="32" t="s">
        <v>101</v>
      </c>
      <c r="C703" s="32"/>
      <c r="D703" s="33" t="s">
        <v>96</v>
      </c>
      <c r="E703" s="34" t="n">
        <v>2</v>
      </c>
      <c r="F703" s="32"/>
      <c r="G703" s="35" t="n">
        <f aca="false">IF(A703="","",A703+7-WEEKDAY(A703))</f>
        <v>46242</v>
      </c>
      <c r="H703" s="36" t="n">
        <f aca="false">IF(A703="","",DATE(YEAR(A703),MONTH(A703),1))</f>
        <v>46235</v>
      </c>
      <c r="I703" s="37" t="str">
        <f aca="false">IF(B703="","",IFERROR(INDEX(st_ID,MATCH(B703,st_Name,0)),"Unknown"))</f>
        <v>QP-04</v>
      </c>
      <c r="J703" s="37" t="str">
        <f aca="false">IF(C703="","",IFERROR(INDEX(cl_Code,MATCH(C703,cl_Name,0)),"Unknown"))</f>
        <v/>
      </c>
      <c r="K703" s="37" t="str">
        <f aca="false">IF(D703="","",IFERROR(INDEX(rt_Billable,MATCH(D703,rt_Code,0)),"Unknown"))</f>
        <v>No</v>
      </c>
      <c r="L703" s="38" t="str">
        <f aca="false">IF(K703&lt;&gt;"Yes","",IFERROR(INDEX(cr_Rate,MATCH(J703&amp;"|"&amp;D703,cr_Key,0)),INDEX(rt_Rate,MATCH(D703,rt_Code,0))))</f>
        <v/>
      </c>
      <c r="M703" s="25" t="str">
        <f aca="false">IF(L703="","",ROUND(N(E703)*L703,2))</f>
        <v/>
      </c>
      <c r="N703" s="39" t="n">
        <f aca="false">IF(OR(A703="",B703=""),"",SUMIFS(tl_Hours,tl_StaffID,I703,tl_Date,A703))</f>
        <v>8</v>
      </c>
      <c r="O703" s="40" t="str">
        <f aca="false">IF(A703&amp;B703&amp;D703="","",IF(OR(A703="",B703="",D703="",E703=""),"Incomplete",IF(K703="Unknown","Unknown code",IF(AND(K703="Yes",C703=""),"Billable, needs client",IF(N703&gt;MaxDayHours,"Over "&amp;MaxDayHours&amp;" hours that day","")))))</f>
        <v/>
      </c>
    </row>
    <row r="704" customFormat="false" ht="15" hidden="false" customHeight="false" outlineLevel="0" collapsed="false">
      <c r="A704" s="31" t="n">
        <v>46241</v>
      </c>
      <c r="B704" s="32" t="s">
        <v>103</v>
      </c>
      <c r="C704" s="32" t="s">
        <v>87</v>
      </c>
      <c r="D704" s="33" t="s">
        <v>104</v>
      </c>
      <c r="E704" s="34" t="n">
        <v>1.75</v>
      </c>
      <c r="F704" s="32"/>
      <c r="G704" s="35" t="n">
        <f aca="false">IF(A704="","",A704+7-WEEKDAY(A704))</f>
        <v>46242</v>
      </c>
      <c r="H704" s="36" t="n">
        <f aca="false">IF(A704="","",DATE(YEAR(A704),MONTH(A704),1))</f>
        <v>46235</v>
      </c>
      <c r="I704" s="37" t="str">
        <f aca="false">IF(B704="","",IFERROR(INDEX(st_ID,MATCH(B704,st_Name,0)),"Unknown"))</f>
        <v>QP-05</v>
      </c>
      <c r="J704" s="37" t="str">
        <f aca="false">IF(C704="","",IFERROR(INDEX(cl_Code,MATCH(C704,cl_Name,0)),"Unknown"))</f>
        <v>HCS</v>
      </c>
      <c r="K704" s="37" t="str">
        <f aca="false">IF(D704="","",IFERROR(INDEX(rt_Billable,MATCH(D704,rt_Code,0)),"Unknown"))</f>
        <v>Yes</v>
      </c>
      <c r="L704" s="38" t="n">
        <f aca="false">IF(K704&lt;&gt;"Yes","",IFERROR(INDEX(cr_Rate,MATCH(J704&amp;"|"&amp;D704,cr_Key,0)),INDEX(rt_Rate,MATCH(D704,rt_Code,0))))</f>
        <v>62</v>
      </c>
      <c r="M704" s="25" t="n">
        <f aca="false">IF(L704="","",ROUND(N(E704)*L704,2))</f>
        <v>108.5</v>
      </c>
      <c r="N704" s="39" t="n">
        <f aca="false">IF(OR(A704="",B704=""),"",SUMIFS(tl_Hours,tl_StaffID,I704,tl_Date,A704))</f>
        <v>8</v>
      </c>
      <c r="O704" s="40" t="str">
        <f aca="false">IF(A704&amp;B704&amp;D704="","",IF(OR(A704="",B704="",D704="",E704=""),"Incomplete",IF(K704="Unknown","Unknown code",IF(AND(K704="Yes",C704=""),"Billable, needs client",IF(N704&gt;MaxDayHours,"Over "&amp;MaxDayHours&amp;" hours that day","")))))</f>
        <v/>
      </c>
    </row>
    <row r="705" customFormat="false" ht="15" hidden="false" customHeight="false" outlineLevel="0" collapsed="false">
      <c r="A705" s="31" t="n">
        <v>46241</v>
      </c>
      <c r="B705" s="32" t="s">
        <v>103</v>
      </c>
      <c r="C705" s="32" t="s">
        <v>87</v>
      </c>
      <c r="D705" s="33" t="s">
        <v>89</v>
      </c>
      <c r="E705" s="34" t="n">
        <v>0.5</v>
      </c>
      <c r="F705" s="32"/>
      <c r="G705" s="35" t="n">
        <f aca="false">IF(A705="","",A705+7-WEEKDAY(A705))</f>
        <v>46242</v>
      </c>
      <c r="H705" s="36" t="n">
        <f aca="false">IF(A705="","",DATE(YEAR(A705),MONTH(A705),1))</f>
        <v>46235</v>
      </c>
      <c r="I705" s="37" t="str">
        <f aca="false">IF(B705="","",IFERROR(INDEX(st_ID,MATCH(B705,st_Name,0)),"Unknown"))</f>
        <v>QP-05</v>
      </c>
      <c r="J705" s="37" t="str">
        <f aca="false">IF(C705="","",IFERROR(INDEX(cl_Code,MATCH(C705,cl_Name,0)),"Unknown"))</f>
        <v>HCS</v>
      </c>
      <c r="K705" s="37" t="str">
        <f aca="false">IF(D705="","",IFERROR(INDEX(rt_Billable,MATCH(D705,rt_Code,0)),"Unknown"))</f>
        <v>Yes</v>
      </c>
      <c r="L705" s="38" t="n">
        <f aca="false">IF(K705&lt;&gt;"Yes","",IFERROR(INDEX(cr_Rate,MATCH(J705&amp;"|"&amp;D705,cr_Key,0)),INDEX(rt_Rate,MATCH(D705,rt_Code,0))))</f>
        <v>88</v>
      </c>
      <c r="M705" s="25" t="n">
        <f aca="false">IF(L705="","",ROUND(N(E705)*L705,2))</f>
        <v>44</v>
      </c>
      <c r="N705" s="39" t="n">
        <f aca="false">IF(OR(A705="",B705=""),"",SUMIFS(tl_Hours,tl_StaffID,I705,tl_Date,A705))</f>
        <v>8</v>
      </c>
      <c r="O705" s="40" t="str">
        <f aca="false">IF(A705&amp;B705&amp;D705="","",IF(OR(A705="",B705="",D705="",E705=""),"Incomplete",IF(K705="Unknown","Unknown code",IF(AND(K705="Yes",C705=""),"Billable, needs client",IF(N705&gt;MaxDayHours,"Over "&amp;MaxDayHours&amp;" hours that day","")))))</f>
        <v/>
      </c>
    </row>
    <row r="706" customFormat="false" ht="15" hidden="false" customHeight="false" outlineLevel="0" collapsed="false">
      <c r="A706" s="31" t="n">
        <v>46241</v>
      </c>
      <c r="B706" s="32" t="s">
        <v>103</v>
      </c>
      <c r="C706" s="32" t="s">
        <v>90</v>
      </c>
      <c r="D706" s="33" t="s">
        <v>88</v>
      </c>
      <c r="E706" s="34" t="n">
        <v>1.5</v>
      </c>
      <c r="F706" s="32"/>
      <c r="G706" s="35" t="n">
        <f aca="false">IF(A706="","",A706+7-WEEKDAY(A706))</f>
        <v>46242</v>
      </c>
      <c r="H706" s="36" t="n">
        <f aca="false">IF(A706="","",DATE(YEAR(A706),MONTH(A706),1))</f>
        <v>46235</v>
      </c>
      <c r="I706" s="37" t="str">
        <f aca="false">IF(B706="","",IFERROR(INDEX(st_ID,MATCH(B706,st_Name,0)),"Unknown"))</f>
        <v>QP-05</v>
      </c>
      <c r="J706" s="37" t="str">
        <f aca="false">IF(C706="","",IFERROR(INDEX(cl_Code,MATCH(C706,cl_Name,0)),"Unknown"))</f>
        <v>BSE</v>
      </c>
      <c r="K706" s="37" t="str">
        <f aca="false">IF(D706="","",IFERROR(INDEX(rt_Billable,MATCH(D706,rt_Code,0)),"Unknown"))</f>
        <v>Yes</v>
      </c>
      <c r="L706" s="38" t="n">
        <f aca="false">IF(K706&lt;&gt;"Yes","",IFERROR(INDEX(cr_Rate,MATCH(J706&amp;"|"&amp;D706,cr_Key,0)),INDEX(rt_Rate,MATCH(D706,rt_Code,0))))</f>
        <v>104</v>
      </c>
      <c r="M706" s="25" t="n">
        <f aca="false">IF(L706="","",ROUND(N(E706)*L706,2))</f>
        <v>156</v>
      </c>
      <c r="N706" s="39" t="n">
        <f aca="false">IF(OR(A706="",B706=""),"",SUMIFS(tl_Hours,tl_StaffID,I706,tl_Date,A706))</f>
        <v>8</v>
      </c>
      <c r="O706" s="40" t="str">
        <f aca="false">IF(A706&amp;B706&amp;D706="","",IF(OR(A706="",B706="",D706="",E706=""),"Incomplete",IF(K706="Unknown","Unknown code",IF(AND(K706="Yes",C706=""),"Billable, needs client",IF(N706&gt;MaxDayHours,"Over "&amp;MaxDayHours&amp;" hours that day","")))))</f>
        <v/>
      </c>
    </row>
    <row r="707" customFormat="false" ht="15" hidden="false" customHeight="false" outlineLevel="0" collapsed="false">
      <c r="A707" s="31" t="n">
        <v>46241</v>
      </c>
      <c r="B707" s="32" t="s">
        <v>103</v>
      </c>
      <c r="C707" s="32" t="s">
        <v>90</v>
      </c>
      <c r="D707" s="33" t="s">
        <v>89</v>
      </c>
      <c r="E707" s="34" t="n">
        <v>0.75</v>
      </c>
      <c r="F707" s="32"/>
      <c r="G707" s="35" t="n">
        <f aca="false">IF(A707="","",A707+7-WEEKDAY(A707))</f>
        <v>46242</v>
      </c>
      <c r="H707" s="36" t="n">
        <f aca="false">IF(A707="","",DATE(YEAR(A707),MONTH(A707),1))</f>
        <v>46235</v>
      </c>
      <c r="I707" s="37" t="str">
        <f aca="false">IF(B707="","",IFERROR(INDEX(st_ID,MATCH(B707,st_Name,0)),"Unknown"))</f>
        <v>QP-05</v>
      </c>
      <c r="J707" s="37" t="str">
        <f aca="false">IF(C707="","",IFERROR(INDEX(cl_Code,MATCH(C707,cl_Name,0)),"Unknown"))</f>
        <v>BSE</v>
      </c>
      <c r="K707" s="37" t="str">
        <f aca="false">IF(D707="","",IFERROR(INDEX(rt_Billable,MATCH(D707,rt_Code,0)),"Unknown"))</f>
        <v>Yes</v>
      </c>
      <c r="L707" s="38" t="n">
        <f aca="false">IF(K707&lt;&gt;"Yes","",IFERROR(INDEX(cr_Rate,MATCH(J707&amp;"|"&amp;D707,cr_Key,0)),INDEX(rt_Rate,MATCH(D707,rt_Code,0))))</f>
        <v>95</v>
      </c>
      <c r="M707" s="25" t="n">
        <f aca="false">IF(L707="","",ROUND(N(E707)*L707,2))</f>
        <v>71.25</v>
      </c>
      <c r="N707" s="39" t="n">
        <f aca="false">IF(OR(A707="",B707=""),"",SUMIFS(tl_Hours,tl_StaffID,I707,tl_Date,A707))</f>
        <v>8</v>
      </c>
      <c r="O707" s="40" t="str">
        <f aca="false">IF(A707&amp;B707&amp;D707="","",IF(OR(A707="",B707="",D707="",E707=""),"Incomplete",IF(K707="Unknown","Unknown code",IF(AND(K707="Yes",C707=""),"Billable, needs client",IF(N707&gt;MaxDayHours,"Over "&amp;MaxDayHours&amp;" hours that day","")))))</f>
        <v/>
      </c>
    </row>
    <row r="708" customFormat="false" ht="15" hidden="false" customHeight="false" outlineLevel="0" collapsed="false">
      <c r="A708" s="31" t="n">
        <v>46241</v>
      </c>
      <c r="B708" s="32" t="s">
        <v>103</v>
      </c>
      <c r="C708" s="32"/>
      <c r="D708" s="33" t="s">
        <v>93</v>
      </c>
      <c r="E708" s="34" t="n">
        <v>0.5</v>
      </c>
      <c r="F708" s="32"/>
      <c r="G708" s="35" t="n">
        <f aca="false">IF(A708="","",A708+7-WEEKDAY(A708))</f>
        <v>46242</v>
      </c>
      <c r="H708" s="36" t="n">
        <f aca="false">IF(A708="","",DATE(YEAR(A708),MONTH(A708),1))</f>
        <v>46235</v>
      </c>
      <c r="I708" s="37" t="str">
        <f aca="false">IF(B708="","",IFERROR(INDEX(st_ID,MATCH(B708,st_Name,0)),"Unknown"))</f>
        <v>QP-05</v>
      </c>
      <c r="J708" s="37" t="str">
        <f aca="false">IF(C708="","",IFERROR(INDEX(cl_Code,MATCH(C708,cl_Name,0)),"Unknown"))</f>
        <v/>
      </c>
      <c r="K708" s="37" t="str">
        <f aca="false">IF(D708="","",IFERROR(INDEX(rt_Billable,MATCH(D708,rt_Code,0)),"Unknown"))</f>
        <v>No</v>
      </c>
      <c r="L708" s="38" t="str">
        <f aca="false">IF(K708&lt;&gt;"Yes","",IFERROR(INDEX(cr_Rate,MATCH(J708&amp;"|"&amp;D708,cr_Key,0)),INDEX(rt_Rate,MATCH(D708,rt_Code,0))))</f>
        <v/>
      </c>
      <c r="M708" s="25" t="str">
        <f aca="false">IF(L708="","",ROUND(N(E708)*L708,2))</f>
        <v/>
      </c>
      <c r="N708" s="39" t="n">
        <f aca="false">IF(OR(A708="",B708=""),"",SUMIFS(tl_Hours,tl_StaffID,I708,tl_Date,A708))</f>
        <v>8</v>
      </c>
      <c r="O708" s="40" t="str">
        <f aca="false">IF(A708&amp;B708&amp;D708="","",IF(OR(A708="",B708="",D708="",E708=""),"Incomplete",IF(K708="Unknown","Unknown code",IF(AND(K708="Yes",C708=""),"Billable, needs client",IF(N708&gt;MaxDayHours,"Over "&amp;MaxDayHours&amp;" hours that day","")))))</f>
        <v/>
      </c>
    </row>
    <row r="709" customFormat="false" ht="15" hidden="false" customHeight="false" outlineLevel="0" collapsed="false">
      <c r="A709" s="31" t="n">
        <v>46241</v>
      </c>
      <c r="B709" s="32" t="s">
        <v>103</v>
      </c>
      <c r="C709" s="32"/>
      <c r="D709" s="33" t="s">
        <v>96</v>
      </c>
      <c r="E709" s="34" t="n">
        <v>3</v>
      </c>
      <c r="F709" s="32"/>
      <c r="G709" s="35" t="n">
        <f aca="false">IF(A709="","",A709+7-WEEKDAY(A709))</f>
        <v>46242</v>
      </c>
      <c r="H709" s="36" t="n">
        <f aca="false">IF(A709="","",DATE(YEAR(A709),MONTH(A709),1))</f>
        <v>46235</v>
      </c>
      <c r="I709" s="37" t="str">
        <f aca="false">IF(B709="","",IFERROR(INDEX(st_ID,MATCH(B709,st_Name,0)),"Unknown"))</f>
        <v>QP-05</v>
      </c>
      <c r="J709" s="37" t="str">
        <f aca="false">IF(C709="","",IFERROR(INDEX(cl_Code,MATCH(C709,cl_Name,0)),"Unknown"))</f>
        <v/>
      </c>
      <c r="K709" s="37" t="str">
        <f aca="false">IF(D709="","",IFERROR(INDEX(rt_Billable,MATCH(D709,rt_Code,0)),"Unknown"))</f>
        <v>No</v>
      </c>
      <c r="L709" s="38" t="str">
        <f aca="false">IF(K709&lt;&gt;"Yes","",IFERROR(INDEX(cr_Rate,MATCH(J709&amp;"|"&amp;D709,cr_Key,0)),INDEX(rt_Rate,MATCH(D709,rt_Code,0))))</f>
        <v/>
      </c>
      <c r="M709" s="25" t="str">
        <f aca="false">IF(L709="","",ROUND(N(E709)*L709,2))</f>
        <v/>
      </c>
      <c r="N709" s="39" t="n">
        <f aca="false">IF(OR(A709="",B709=""),"",SUMIFS(tl_Hours,tl_StaffID,I709,tl_Date,A709))</f>
        <v>8</v>
      </c>
      <c r="O709" s="40" t="str">
        <f aca="false">IF(A709&amp;B709&amp;D709="","",IF(OR(A709="",B709="",D709="",E709=""),"Incomplete",IF(K709="Unknown","Unknown code",IF(AND(K709="Yes",C709=""),"Billable, needs client",IF(N709&gt;MaxDayHours,"Over "&amp;MaxDayHours&amp;" hours that day","")))))</f>
        <v/>
      </c>
    </row>
    <row r="710" customFormat="false" ht="15" hidden="false" customHeight="false" outlineLevel="0" collapsed="false">
      <c r="A710" s="31" t="n">
        <v>46241</v>
      </c>
      <c r="B710" s="32" t="s">
        <v>105</v>
      </c>
      <c r="C710" s="32" t="s">
        <v>87</v>
      </c>
      <c r="D710" s="33" t="s">
        <v>88</v>
      </c>
      <c r="E710" s="34" t="n">
        <v>2.75</v>
      </c>
      <c r="F710" s="32"/>
      <c r="G710" s="35" t="n">
        <f aca="false">IF(A710="","",A710+7-WEEKDAY(A710))</f>
        <v>46242</v>
      </c>
      <c r="H710" s="36" t="n">
        <f aca="false">IF(A710="","",DATE(YEAR(A710),MONTH(A710),1))</f>
        <v>46235</v>
      </c>
      <c r="I710" s="37" t="str">
        <f aca="false">IF(B710="","",IFERROR(INDEX(st_ID,MATCH(B710,st_Name,0)),"Unknown"))</f>
        <v>QP-06</v>
      </c>
      <c r="J710" s="37" t="str">
        <f aca="false">IF(C710="","",IFERROR(INDEX(cl_Code,MATCH(C710,cl_Name,0)),"Unknown"))</f>
        <v>HCS</v>
      </c>
      <c r="K710" s="37" t="str">
        <f aca="false">IF(D710="","",IFERROR(INDEX(rt_Billable,MATCH(D710,rt_Code,0)),"Unknown"))</f>
        <v>Yes</v>
      </c>
      <c r="L710" s="38" t="n">
        <f aca="false">IF(K710&lt;&gt;"Yes","",IFERROR(INDEX(cr_Rate,MATCH(J710&amp;"|"&amp;D710,cr_Key,0)),INDEX(rt_Rate,MATCH(D710,rt_Code,0))))</f>
        <v>98</v>
      </c>
      <c r="M710" s="25" t="n">
        <f aca="false">IF(L710="","",ROUND(N(E710)*L710,2))</f>
        <v>269.5</v>
      </c>
      <c r="N710" s="39" t="n">
        <f aca="false">IF(OR(A710="",B710=""),"",SUMIFS(tl_Hours,tl_StaffID,I710,tl_Date,A710))</f>
        <v>8</v>
      </c>
      <c r="O710" s="40" t="str">
        <f aca="false">IF(A710&amp;B710&amp;D710="","",IF(OR(A710="",B710="",D710="",E710=""),"Incomplete",IF(K710="Unknown","Unknown code",IF(AND(K710="Yes",C710=""),"Billable, needs client",IF(N710&gt;MaxDayHours,"Over "&amp;MaxDayHours&amp;" hours that day","")))))</f>
        <v/>
      </c>
    </row>
    <row r="711" customFormat="false" ht="15" hidden="false" customHeight="false" outlineLevel="0" collapsed="false">
      <c r="A711" s="31" t="n">
        <v>46241</v>
      </c>
      <c r="B711" s="32" t="s">
        <v>105</v>
      </c>
      <c r="C711" s="32" t="s">
        <v>87</v>
      </c>
      <c r="D711" s="33" t="s">
        <v>89</v>
      </c>
      <c r="E711" s="34" t="n">
        <v>2.5</v>
      </c>
      <c r="F711" s="32"/>
      <c r="G711" s="35" t="n">
        <f aca="false">IF(A711="","",A711+7-WEEKDAY(A711))</f>
        <v>46242</v>
      </c>
      <c r="H711" s="36" t="n">
        <f aca="false">IF(A711="","",DATE(YEAR(A711),MONTH(A711),1))</f>
        <v>46235</v>
      </c>
      <c r="I711" s="37" t="str">
        <f aca="false">IF(B711="","",IFERROR(INDEX(st_ID,MATCH(B711,st_Name,0)),"Unknown"))</f>
        <v>QP-06</v>
      </c>
      <c r="J711" s="37" t="str">
        <f aca="false">IF(C711="","",IFERROR(INDEX(cl_Code,MATCH(C711,cl_Name,0)),"Unknown"))</f>
        <v>HCS</v>
      </c>
      <c r="K711" s="37" t="str">
        <f aca="false">IF(D711="","",IFERROR(INDEX(rt_Billable,MATCH(D711,rt_Code,0)),"Unknown"))</f>
        <v>Yes</v>
      </c>
      <c r="L711" s="38" t="n">
        <f aca="false">IF(K711&lt;&gt;"Yes","",IFERROR(INDEX(cr_Rate,MATCH(J711&amp;"|"&amp;D711,cr_Key,0)),INDEX(rt_Rate,MATCH(D711,rt_Code,0))))</f>
        <v>88</v>
      </c>
      <c r="M711" s="25" t="n">
        <f aca="false">IF(L711="","",ROUND(N(E711)*L711,2))</f>
        <v>220</v>
      </c>
      <c r="N711" s="39" t="n">
        <f aca="false">IF(OR(A711="",B711=""),"",SUMIFS(tl_Hours,tl_StaffID,I711,tl_Date,A711))</f>
        <v>8</v>
      </c>
      <c r="O711" s="40" t="str">
        <f aca="false">IF(A711&amp;B711&amp;D711="","",IF(OR(A711="",B711="",D711="",E711=""),"Incomplete",IF(K711="Unknown","Unknown code",IF(AND(K711="Yes",C711=""),"Billable, needs client",IF(N711&gt;MaxDayHours,"Over "&amp;MaxDayHours&amp;" hours that day","")))))</f>
        <v/>
      </c>
    </row>
    <row r="712" customFormat="false" ht="15" hidden="false" customHeight="false" outlineLevel="0" collapsed="false">
      <c r="A712" s="31" t="n">
        <v>46241</v>
      </c>
      <c r="B712" s="32" t="s">
        <v>105</v>
      </c>
      <c r="C712" s="32"/>
      <c r="D712" s="33" t="s">
        <v>96</v>
      </c>
      <c r="E712" s="34" t="n">
        <v>2.75</v>
      </c>
      <c r="F712" s="32"/>
      <c r="G712" s="35" t="n">
        <f aca="false">IF(A712="","",A712+7-WEEKDAY(A712))</f>
        <v>46242</v>
      </c>
      <c r="H712" s="36" t="n">
        <f aca="false">IF(A712="","",DATE(YEAR(A712),MONTH(A712),1))</f>
        <v>46235</v>
      </c>
      <c r="I712" s="37" t="str">
        <f aca="false">IF(B712="","",IFERROR(INDEX(st_ID,MATCH(B712,st_Name,0)),"Unknown"))</f>
        <v>QP-06</v>
      </c>
      <c r="J712" s="37" t="str">
        <f aca="false">IF(C712="","",IFERROR(INDEX(cl_Code,MATCH(C712,cl_Name,0)),"Unknown"))</f>
        <v/>
      </c>
      <c r="K712" s="37" t="str">
        <f aca="false">IF(D712="","",IFERROR(INDEX(rt_Billable,MATCH(D712,rt_Code,0)),"Unknown"))</f>
        <v>No</v>
      </c>
      <c r="L712" s="38" t="str">
        <f aca="false">IF(K712&lt;&gt;"Yes","",IFERROR(INDEX(cr_Rate,MATCH(J712&amp;"|"&amp;D712,cr_Key,0)),INDEX(rt_Rate,MATCH(D712,rt_Code,0))))</f>
        <v/>
      </c>
      <c r="M712" s="25" t="str">
        <f aca="false">IF(L712="","",ROUND(N(E712)*L712,2))</f>
        <v/>
      </c>
      <c r="N712" s="39" t="n">
        <f aca="false">IF(OR(A712="",B712=""),"",SUMIFS(tl_Hours,tl_StaffID,I712,tl_Date,A712))</f>
        <v>8</v>
      </c>
      <c r="O712" s="40" t="str">
        <f aca="false">IF(A712&amp;B712&amp;D712="","",IF(OR(A712="",B712="",D712="",E712=""),"Incomplete",IF(K712="Unknown","Unknown code",IF(AND(K712="Yes",C712=""),"Billable, needs client",IF(N712&gt;MaxDayHours,"Over "&amp;MaxDayHours&amp;" hours that day","")))))</f>
        <v/>
      </c>
    </row>
    <row r="713" customFormat="false" ht="15" hidden="false" customHeight="false" outlineLevel="0" collapsed="false">
      <c r="A713" s="31" t="n">
        <v>46241</v>
      </c>
      <c r="B713" s="32" t="s">
        <v>106</v>
      </c>
      <c r="C713" s="32" t="s">
        <v>102</v>
      </c>
      <c r="D713" s="33" t="s">
        <v>88</v>
      </c>
      <c r="E713" s="34" t="n">
        <v>2.5</v>
      </c>
      <c r="F713" s="32"/>
      <c r="G713" s="35" t="n">
        <f aca="false">IF(A713="","",A713+7-WEEKDAY(A713))</f>
        <v>46242</v>
      </c>
      <c r="H713" s="36" t="n">
        <f aca="false">IF(A713="","",DATE(YEAR(A713),MONTH(A713),1))</f>
        <v>46235</v>
      </c>
      <c r="I713" s="37" t="str">
        <f aca="false">IF(B713="","",IFERROR(INDEX(st_ID,MATCH(B713,st_Name,0)),"Unknown"))</f>
        <v>QP-07</v>
      </c>
      <c r="J713" s="37" t="str">
        <f aca="false">IF(C713="","",IFERROR(INDEX(cl_Code,MATCH(C713,cl_Name,0)),"Unknown"))</f>
        <v>CLH</v>
      </c>
      <c r="K713" s="37" t="str">
        <f aca="false">IF(D713="","",IFERROR(INDEX(rt_Billable,MATCH(D713,rt_Code,0)),"Unknown"))</f>
        <v>Yes</v>
      </c>
      <c r="L713" s="38" t="n">
        <f aca="false">IF(K713&lt;&gt;"Yes","",IFERROR(INDEX(cr_Rate,MATCH(J713&amp;"|"&amp;D713,cr_Key,0)),INDEX(rt_Rate,MATCH(D713,rt_Code,0))))</f>
        <v>110</v>
      </c>
      <c r="M713" s="25" t="n">
        <f aca="false">IF(L713="","",ROUND(N(E713)*L713,2))</f>
        <v>275</v>
      </c>
      <c r="N713" s="39" t="n">
        <f aca="false">IF(OR(A713="",B713=""),"",SUMIFS(tl_Hours,tl_StaffID,I713,tl_Date,A713))</f>
        <v>8</v>
      </c>
      <c r="O713" s="40" t="str">
        <f aca="false">IF(A713&amp;B713&amp;D713="","",IF(OR(A713="",B713="",D713="",E713=""),"Incomplete",IF(K713="Unknown","Unknown code",IF(AND(K713="Yes",C713=""),"Billable, needs client",IF(N713&gt;MaxDayHours,"Over "&amp;MaxDayHours&amp;" hours that day","")))))</f>
        <v/>
      </c>
    </row>
    <row r="714" customFormat="false" ht="15" hidden="false" customHeight="false" outlineLevel="0" collapsed="false">
      <c r="A714" s="31" t="n">
        <v>46241</v>
      </c>
      <c r="B714" s="32" t="s">
        <v>106</v>
      </c>
      <c r="C714" s="32" t="s">
        <v>102</v>
      </c>
      <c r="D714" s="33" t="s">
        <v>113</v>
      </c>
      <c r="E714" s="34" t="n">
        <v>0.5</v>
      </c>
      <c r="F714" s="32"/>
      <c r="G714" s="35" t="n">
        <f aca="false">IF(A714="","",A714+7-WEEKDAY(A714))</f>
        <v>46242</v>
      </c>
      <c r="H714" s="36" t="n">
        <f aca="false">IF(A714="","",DATE(YEAR(A714),MONTH(A714),1))</f>
        <v>46235</v>
      </c>
      <c r="I714" s="37" t="str">
        <f aca="false">IF(B714="","",IFERROR(INDEX(st_ID,MATCH(B714,st_Name,0)),"Unknown"))</f>
        <v>QP-07</v>
      </c>
      <c r="J714" s="37" t="str">
        <f aca="false">IF(C714="","",IFERROR(INDEX(cl_Code,MATCH(C714,cl_Name,0)),"Unknown"))</f>
        <v>CLH</v>
      </c>
      <c r="K714" s="37" t="str">
        <f aca="false">IF(D714="","",IFERROR(INDEX(rt_Billable,MATCH(D714,rt_Code,0)),"Unknown"))</f>
        <v>Yes</v>
      </c>
      <c r="L714" s="38" t="n">
        <f aca="false">IF(K714&lt;&gt;"Yes","",IFERROR(INDEX(cr_Rate,MATCH(J714&amp;"|"&amp;D714,cr_Key,0)),INDEX(rt_Rate,MATCH(D714,rt_Code,0))))</f>
        <v>75</v>
      </c>
      <c r="M714" s="25" t="n">
        <f aca="false">IF(L714="","",ROUND(N(E714)*L714,2))</f>
        <v>37.5</v>
      </c>
      <c r="N714" s="39" t="n">
        <f aca="false">IF(OR(A714="",B714=""),"",SUMIFS(tl_Hours,tl_StaffID,I714,tl_Date,A714))</f>
        <v>8</v>
      </c>
      <c r="O714" s="40" t="str">
        <f aca="false">IF(A714&amp;B714&amp;D714="","",IF(OR(A714="",B714="",D714="",E714=""),"Incomplete",IF(K714="Unknown","Unknown code",IF(AND(K714="Yes",C714=""),"Billable, needs client",IF(N714&gt;MaxDayHours,"Over "&amp;MaxDayHours&amp;" hours that day","")))))</f>
        <v/>
      </c>
    </row>
    <row r="715" customFormat="false" ht="15" hidden="false" customHeight="false" outlineLevel="0" collapsed="false">
      <c r="A715" s="31" t="n">
        <v>46241</v>
      </c>
      <c r="B715" s="32" t="s">
        <v>106</v>
      </c>
      <c r="C715" s="32" t="s">
        <v>112</v>
      </c>
      <c r="D715" s="33" t="s">
        <v>88</v>
      </c>
      <c r="E715" s="34" t="n">
        <v>2.5</v>
      </c>
      <c r="F715" s="32"/>
      <c r="G715" s="35" t="n">
        <f aca="false">IF(A715="","",A715+7-WEEKDAY(A715))</f>
        <v>46242</v>
      </c>
      <c r="H715" s="36" t="n">
        <f aca="false">IF(A715="","",DATE(YEAR(A715),MONTH(A715),1))</f>
        <v>46235</v>
      </c>
      <c r="I715" s="37" t="str">
        <f aca="false">IF(B715="","",IFERROR(INDEX(st_ID,MATCH(B715,st_Name,0)),"Unknown"))</f>
        <v>QP-07</v>
      </c>
      <c r="J715" s="37" t="str">
        <f aca="false">IF(C715="","",IFERROR(INDEX(cl_Code,MATCH(C715,cl_Name,0)),"Unknown"))</f>
        <v>PCA</v>
      </c>
      <c r="K715" s="37" t="str">
        <f aca="false">IF(D715="","",IFERROR(INDEX(rt_Billable,MATCH(D715,rt_Code,0)),"Unknown"))</f>
        <v>Yes</v>
      </c>
      <c r="L715" s="38" t="n">
        <f aca="false">IF(K715&lt;&gt;"Yes","",IFERROR(INDEX(cr_Rate,MATCH(J715&amp;"|"&amp;D715,cr_Key,0)),INDEX(rt_Rate,MATCH(D715,rt_Code,0))))</f>
        <v>110</v>
      </c>
      <c r="M715" s="25" t="n">
        <f aca="false">IF(L715="","",ROUND(N(E715)*L715,2))</f>
        <v>275</v>
      </c>
      <c r="N715" s="39" t="n">
        <f aca="false">IF(OR(A715="",B715=""),"",SUMIFS(tl_Hours,tl_StaffID,I715,tl_Date,A715))</f>
        <v>8</v>
      </c>
      <c r="O715" s="40" t="str">
        <f aca="false">IF(A715&amp;B715&amp;D715="","",IF(OR(A715="",B715="",D715="",E715=""),"Incomplete",IF(K715="Unknown","Unknown code",IF(AND(K715="Yes",C715=""),"Billable, needs client",IF(N715&gt;MaxDayHours,"Over "&amp;MaxDayHours&amp;" hours that day","")))))</f>
        <v/>
      </c>
    </row>
    <row r="716" customFormat="false" ht="15" hidden="false" customHeight="false" outlineLevel="0" collapsed="false">
      <c r="A716" s="31" t="n">
        <v>46241</v>
      </c>
      <c r="B716" s="32" t="s">
        <v>106</v>
      </c>
      <c r="C716" s="32" t="s">
        <v>112</v>
      </c>
      <c r="D716" s="33" t="s">
        <v>104</v>
      </c>
      <c r="E716" s="34" t="n">
        <v>0.5</v>
      </c>
      <c r="F716" s="32"/>
      <c r="G716" s="35" t="n">
        <f aca="false">IF(A716="","",A716+7-WEEKDAY(A716))</f>
        <v>46242</v>
      </c>
      <c r="H716" s="36" t="n">
        <f aca="false">IF(A716="","",DATE(YEAR(A716),MONTH(A716),1))</f>
        <v>46235</v>
      </c>
      <c r="I716" s="37" t="str">
        <f aca="false">IF(B716="","",IFERROR(INDEX(st_ID,MATCH(B716,st_Name,0)),"Unknown"))</f>
        <v>QP-07</v>
      </c>
      <c r="J716" s="37" t="str">
        <f aca="false">IF(C716="","",IFERROR(INDEX(cl_Code,MATCH(C716,cl_Name,0)),"Unknown"))</f>
        <v>PCA</v>
      </c>
      <c r="K716" s="37" t="str">
        <f aca="false">IF(D716="","",IFERROR(INDEX(rt_Billable,MATCH(D716,rt_Code,0)),"Unknown"))</f>
        <v>Yes</v>
      </c>
      <c r="L716" s="38" t="n">
        <f aca="false">IF(K716&lt;&gt;"Yes","",IFERROR(INDEX(cr_Rate,MATCH(J716&amp;"|"&amp;D716,cr_Key,0)),INDEX(rt_Rate,MATCH(D716,rt_Code,0))))</f>
        <v>70</v>
      </c>
      <c r="M716" s="25" t="n">
        <f aca="false">IF(L716="","",ROUND(N(E716)*L716,2))</f>
        <v>35</v>
      </c>
      <c r="N716" s="39" t="n">
        <f aca="false">IF(OR(A716="",B716=""),"",SUMIFS(tl_Hours,tl_StaffID,I716,tl_Date,A716))</f>
        <v>8</v>
      </c>
      <c r="O716" s="40" t="str">
        <f aca="false">IF(A716&amp;B716&amp;D716="","",IF(OR(A716="",B716="",D716="",E716=""),"Incomplete",IF(K716="Unknown","Unknown code",IF(AND(K716="Yes",C716=""),"Billable, needs client",IF(N716&gt;MaxDayHours,"Over "&amp;MaxDayHours&amp;" hours that day","")))))</f>
        <v/>
      </c>
    </row>
    <row r="717" customFormat="false" ht="15" hidden="false" customHeight="false" outlineLevel="0" collapsed="false">
      <c r="A717" s="31" t="n">
        <v>46241</v>
      </c>
      <c r="B717" s="32" t="s">
        <v>106</v>
      </c>
      <c r="C717" s="32"/>
      <c r="D717" s="33" t="s">
        <v>93</v>
      </c>
      <c r="E717" s="34" t="n">
        <v>0.5</v>
      </c>
      <c r="F717" s="32"/>
      <c r="G717" s="35" t="n">
        <f aca="false">IF(A717="","",A717+7-WEEKDAY(A717))</f>
        <v>46242</v>
      </c>
      <c r="H717" s="36" t="n">
        <f aca="false">IF(A717="","",DATE(YEAR(A717),MONTH(A717),1))</f>
        <v>46235</v>
      </c>
      <c r="I717" s="37" t="str">
        <f aca="false">IF(B717="","",IFERROR(INDEX(st_ID,MATCH(B717,st_Name,0)),"Unknown"))</f>
        <v>QP-07</v>
      </c>
      <c r="J717" s="37" t="str">
        <f aca="false">IF(C717="","",IFERROR(INDEX(cl_Code,MATCH(C717,cl_Name,0)),"Unknown"))</f>
        <v/>
      </c>
      <c r="K717" s="37" t="str">
        <f aca="false">IF(D717="","",IFERROR(INDEX(rt_Billable,MATCH(D717,rt_Code,0)),"Unknown"))</f>
        <v>No</v>
      </c>
      <c r="L717" s="38" t="str">
        <f aca="false">IF(K717&lt;&gt;"Yes","",IFERROR(INDEX(cr_Rate,MATCH(J717&amp;"|"&amp;D717,cr_Key,0)),INDEX(rt_Rate,MATCH(D717,rt_Code,0))))</f>
        <v/>
      </c>
      <c r="M717" s="25" t="str">
        <f aca="false">IF(L717="","",ROUND(N(E717)*L717,2))</f>
        <v/>
      </c>
      <c r="N717" s="39" t="n">
        <f aca="false">IF(OR(A717="",B717=""),"",SUMIFS(tl_Hours,tl_StaffID,I717,tl_Date,A717))</f>
        <v>8</v>
      </c>
      <c r="O717" s="40" t="str">
        <f aca="false">IF(A717&amp;B717&amp;D717="","",IF(OR(A717="",B717="",D717="",E717=""),"Incomplete",IF(K717="Unknown","Unknown code",IF(AND(K717="Yes",C717=""),"Billable, needs client",IF(N717&gt;MaxDayHours,"Over "&amp;MaxDayHours&amp;" hours that day","")))))</f>
        <v/>
      </c>
    </row>
    <row r="718" customFormat="false" ht="15" hidden="false" customHeight="false" outlineLevel="0" collapsed="false">
      <c r="A718" s="31" t="n">
        <v>46241</v>
      </c>
      <c r="B718" s="32" t="s">
        <v>106</v>
      </c>
      <c r="C718" s="32"/>
      <c r="D718" s="33" t="s">
        <v>96</v>
      </c>
      <c r="E718" s="34" t="n">
        <v>1.5</v>
      </c>
      <c r="F718" s="32"/>
      <c r="G718" s="35" t="n">
        <f aca="false">IF(A718="","",A718+7-WEEKDAY(A718))</f>
        <v>46242</v>
      </c>
      <c r="H718" s="36" t="n">
        <f aca="false">IF(A718="","",DATE(YEAR(A718),MONTH(A718),1))</f>
        <v>46235</v>
      </c>
      <c r="I718" s="37" t="str">
        <f aca="false">IF(B718="","",IFERROR(INDEX(st_ID,MATCH(B718,st_Name,0)),"Unknown"))</f>
        <v>QP-07</v>
      </c>
      <c r="J718" s="37" t="str">
        <f aca="false">IF(C718="","",IFERROR(INDEX(cl_Code,MATCH(C718,cl_Name,0)),"Unknown"))</f>
        <v/>
      </c>
      <c r="K718" s="37" t="str">
        <f aca="false">IF(D718="","",IFERROR(INDEX(rt_Billable,MATCH(D718,rt_Code,0)),"Unknown"))</f>
        <v>No</v>
      </c>
      <c r="L718" s="38" t="str">
        <f aca="false">IF(K718&lt;&gt;"Yes","",IFERROR(INDEX(cr_Rate,MATCH(J718&amp;"|"&amp;D718,cr_Key,0)),INDEX(rt_Rate,MATCH(D718,rt_Code,0))))</f>
        <v/>
      </c>
      <c r="M718" s="25" t="str">
        <f aca="false">IF(L718="","",ROUND(N(E718)*L718,2))</f>
        <v/>
      </c>
      <c r="N718" s="39" t="n">
        <f aca="false">IF(OR(A718="",B718=""),"",SUMIFS(tl_Hours,tl_StaffID,I718,tl_Date,A718))</f>
        <v>8</v>
      </c>
      <c r="O718" s="40" t="str">
        <f aca="false">IF(A718&amp;B718&amp;D718="","",IF(OR(A718="",B718="",D718="",E718=""),"Incomplete",IF(K718="Unknown","Unknown code",IF(AND(K718="Yes",C718=""),"Billable, needs client",IF(N718&gt;MaxDayHours,"Over "&amp;MaxDayHours&amp;" hours that day","")))))</f>
        <v/>
      </c>
    </row>
    <row r="719" customFormat="false" ht="15" hidden="false" customHeight="false" outlineLevel="0" collapsed="false">
      <c r="A719" s="31" t="n">
        <v>46241</v>
      </c>
      <c r="B719" s="32" t="s">
        <v>107</v>
      </c>
      <c r="C719" s="32"/>
      <c r="D719" s="33" t="s">
        <v>108</v>
      </c>
      <c r="E719" s="34" t="n">
        <v>7</v>
      </c>
      <c r="F719" s="32"/>
      <c r="G719" s="35" t="n">
        <f aca="false">IF(A719="","",A719+7-WEEKDAY(A719))</f>
        <v>46242</v>
      </c>
      <c r="H719" s="36" t="n">
        <f aca="false">IF(A719="","",DATE(YEAR(A719),MONTH(A719),1))</f>
        <v>46235</v>
      </c>
      <c r="I719" s="37" t="str">
        <f aca="false">IF(B719="","",IFERROR(INDEX(st_ID,MATCH(B719,st_Name,0)),"Unknown"))</f>
        <v>QP-08</v>
      </c>
      <c r="J719" s="37" t="str">
        <f aca="false">IF(C719="","",IFERROR(INDEX(cl_Code,MATCH(C719,cl_Name,0)),"Unknown"))</f>
        <v/>
      </c>
      <c r="K719" s="37" t="str">
        <f aca="false">IF(D719="","",IFERROR(INDEX(rt_Billable,MATCH(D719,rt_Code,0)),"Unknown"))</f>
        <v>No</v>
      </c>
      <c r="L719" s="38" t="str">
        <f aca="false">IF(K719&lt;&gt;"Yes","",IFERROR(INDEX(cr_Rate,MATCH(J719&amp;"|"&amp;D719,cr_Key,0)),INDEX(rt_Rate,MATCH(D719,rt_Code,0))))</f>
        <v/>
      </c>
      <c r="M719" s="25" t="str">
        <f aca="false">IF(L719="","",ROUND(N(E719)*L719,2))</f>
        <v/>
      </c>
      <c r="N719" s="39" t="n">
        <f aca="false">IF(OR(A719="",B719=""),"",SUMIFS(tl_Hours,tl_StaffID,I719,tl_Date,A719))</f>
        <v>8</v>
      </c>
      <c r="O719" s="40" t="str">
        <f aca="false">IF(A719&amp;B719&amp;D719="","",IF(OR(A719="",B719="",D719="",E719=""),"Incomplete",IF(K719="Unknown","Unknown code",IF(AND(K719="Yes",C719=""),"Billable, needs client",IF(N719&gt;MaxDayHours,"Over "&amp;MaxDayHours&amp;" hours that day","")))))</f>
        <v/>
      </c>
    </row>
    <row r="720" customFormat="false" ht="15" hidden="false" customHeight="false" outlineLevel="0" collapsed="false">
      <c r="A720" s="31" t="n">
        <v>46241</v>
      </c>
      <c r="B720" s="32" t="s">
        <v>107</v>
      </c>
      <c r="C720" s="32"/>
      <c r="D720" s="33" t="s">
        <v>98</v>
      </c>
      <c r="E720" s="34" t="n">
        <v>1</v>
      </c>
      <c r="F720" s="32"/>
      <c r="G720" s="35" t="n">
        <f aca="false">IF(A720="","",A720+7-WEEKDAY(A720))</f>
        <v>46242</v>
      </c>
      <c r="H720" s="36" t="n">
        <f aca="false">IF(A720="","",DATE(YEAR(A720),MONTH(A720),1))</f>
        <v>46235</v>
      </c>
      <c r="I720" s="37" t="str">
        <f aca="false">IF(B720="","",IFERROR(INDEX(st_ID,MATCH(B720,st_Name,0)),"Unknown"))</f>
        <v>QP-08</v>
      </c>
      <c r="J720" s="37" t="str">
        <f aca="false">IF(C720="","",IFERROR(INDEX(cl_Code,MATCH(C720,cl_Name,0)),"Unknown"))</f>
        <v/>
      </c>
      <c r="K720" s="37" t="str">
        <f aca="false">IF(D720="","",IFERROR(INDEX(rt_Billable,MATCH(D720,rt_Code,0)),"Unknown"))</f>
        <v>No</v>
      </c>
      <c r="L720" s="38" t="str">
        <f aca="false">IF(K720&lt;&gt;"Yes","",IFERROR(INDEX(cr_Rate,MATCH(J720&amp;"|"&amp;D720,cr_Key,0)),INDEX(rt_Rate,MATCH(D720,rt_Code,0))))</f>
        <v/>
      </c>
      <c r="M720" s="25" t="str">
        <f aca="false">IF(L720="","",ROUND(N(E720)*L720,2))</f>
        <v/>
      </c>
      <c r="N720" s="39" t="n">
        <f aca="false">IF(OR(A720="",B720=""),"",SUMIFS(tl_Hours,tl_StaffID,I720,tl_Date,A720))</f>
        <v>8</v>
      </c>
      <c r="O720" s="40" t="str">
        <f aca="false">IF(A720&amp;B720&amp;D720="","",IF(OR(A720="",B720="",D720="",E720=""),"Incomplete",IF(K720="Unknown","Unknown code",IF(AND(K720="Yes",C720=""),"Billable, needs client",IF(N720&gt;MaxDayHours,"Over "&amp;MaxDayHours&amp;" hours that day","")))))</f>
        <v/>
      </c>
    </row>
    <row r="721" customFormat="false" ht="15" hidden="false" customHeight="false" outlineLevel="0" collapsed="false">
      <c r="A721" s="31" t="n">
        <v>46244</v>
      </c>
      <c r="B721" s="32" t="s">
        <v>86</v>
      </c>
      <c r="C721" s="32" t="s">
        <v>90</v>
      </c>
      <c r="D721" s="33" t="s">
        <v>88</v>
      </c>
      <c r="E721" s="34" t="n">
        <v>3.75</v>
      </c>
      <c r="F721" s="32"/>
      <c r="G721" s="35" t="n">
        <f aca="false">IF(A721="","",A721+7-WEEKDAY(A721))</f>
        <v>46249</v>
      </c>
      <c r="H721" s="36" t="n">
        <f aca="false">IF(A721="","",DATE(YEAR(A721),MONTH(A721),1))</f>
        <v>46235</v>
      </c>
      <c r="I721" s="37" t="str">
        <f aca="false">IF(B721="","",IFERROR(INDEX(st_ID,MATCH(B721,st_Name,0)),"Unknown"))</f>
        <v>QP-01</v>
      </c>
      <c r="J721" s="37" t="str">
        <f aca="false">IF(C721="","",IFERROR(INDEX(cl_Code,MATCH(C721,cl_Name,0)),"Unknown"))</f>
        <v>BSE</v>
      </c>
      <c r="K721" s="37" t="str">
        <f aca="false">IF(D721="","",IFERROR(INDEX(rt_Billable,MATCH(D721,rt_Code,0)),"Unknown"))</f>
        <v>Yes</v>
      </c>
      <c r="L721" s="38" t="n">
        <f aca="false">IF(K721&lt;&gt;"Yes","",IFERROR(INDEX(cr_Rate,MATCH(J721&amp;"|"&amp;D721,cr_Key,0)),INDEX(rt_Rate,MATCH(D721,rt_Code,0))))</f>
        <v>104</v>
      </c>
      <c r="M721" s="25" t="n">
        <f aca="false">IF(L721="","",ROUND(N(E721)*L721,2))</f>
        <v>390</v>
      </c>
      <c r="N721" s="39" t="n">
        <f aca="false">IF(OR(A721="",B721=""),"",SUMIFS(tl_Hours,tl_StaffID,I721,tl_Date,A721))</f>
        <v>8</v>
      </c>
      <c r="O721" s="40" t="str">
        <f aca="false">IF(A721&amp;B721&amp;D721="","",IF(OR(A721="",B721="",D721="",E721=""),"Incomplete",IF(K721="Unknown","Unknown code",IF(AND(K721="Yes",C721=""),"Billable, needs client",IF(N721&gt;MaxDayHours,"Over "&amp;MaxDayHours&amp;" hours that day","")))))</f>
        <v/>
      </c>
    </row>
    <row r="722" customFormat="false" ht="15" hidden="false" customHeight="false" outlineLevel="0" collapsed="false">
      <c r="A722" s="31" t="n">
        <v>46244</v>
      </c>
      <c r="B722" s="32" t="s">
        <v>86</v>
      </c>
      <c r="C722" s="32" t="s">
        <v>90</v>
      </c>
      <c r="D722" s="33" t="s">
        <v>89</v>
      </c>
      <c r="E722" s="34" t="n">
        <v>2.25</v>
      </c>
      <c r="F722" s="32"/>
      <c r="G722" s="35" t="n">
        <f aca="false">IF(A722="","",A722+7-WEEKDAY(A722))</f>
        <v>46249</v>
      </c>
      <c r="H722" s="36" t="n">
        <f aca="false">IF(A722="","",DATE(YEAR(A722),MONTH(A722),1))</f>
        <v>46235</v>
      </c>
      <c r="I722" s="37" t="str">
        <f aca="false">IF(B722="","",IFERROR(INDEX(st_ID,MATCH(B722,st_Name,0)),"Unknown"))</f>
        <v>QP-01</v>
      </c>
      <c r="J722" s="37" t="str">
        <f aca="false">IF(C722="","",IFERROR(INDEX(cl_Code,MATCH(C722,cl_Name,0)),"Unknown"))</f>
        <v>BSE</v>
      </c>
      <c r="K722" s="37" t="str">
        <f aca="false">IF(D722="","",IFERROR(INDEX(rt_Billable,MATCH(D722,rt_Code,0)),"Unknown"))</f>
        <v>Yes</v>
      </c>
      <c r="L722" s="38" t="n">
        <f aca="false">IF(K722&lt;&gt;"Yes","",IFERROR(INDEX(cr_Rate,MATCH(J722&amp;"|"&amp;D722,cr_Key,0)),INDEX(rt_Rate,MATCH(D722,rt_Code,0))))</f>
        <v>95</v>
      </c>
      <c r="M722" s="25" t="n">
        <f aca="false">IF(L722="","",ROUND(N(E722)*L722,2))</f>
        <v>213.75</v>
      </c>
      <c r="N722" s="39" t="n">
        <f aca="false">IF(OR(A722="",B722=""),"",SUMIFS(tl_Hours,tl_StaffID,I722,tl_Date,A722))</f>
        <v>8</v>
      </c>
      <c r="O722" s="40" t="str">
        <f aca="false">IF(A722&amp;B722&amp;D722="","",IF(OR(A722="",B722="",D722="",E722=""),"Incomplete",IF(K722="Unknown","Unknown code",IF(AND(K722="Yes",C722=""),"Billable, needs client",IF(N722&gt;MaxDayHours,"Over "&amp;MaxDayHours&amp;" hours that day","")))))</f>
        <v/>
      </c>
    </row>
    <row r="723" customFormat="false" ht="15" hidden="false" customHeight="false" outlineLevel="0" collapsed="false">
      <c r="A723" s="31" t="n">
        <v>46244</v>
      </c>
      <c r="B723" s="32" t="s">
        <v>86</v>
      </c>
      <c r="C723" s="32"/>
      <c r="D723" s="33" t="s">
        <v>96</v>
      </c>
      <c r="E723" s="34" t="n">
        <v>2</v>
      </c>
      <c r="F723" s="32"/>
      <c r="G723" s="35" t="n">
        <f aca="false">IF(A723="","",A723+7-WEEKDAY(A723))</f>
        <v>46249</v>
      </c>
      <c r="H723" s="36" t="n">
        <f aca="false">IF(A723="","",DATE(YEAR(A723),MONTH(A723),1))</f>
        <v>46235</v>
      </c>
      <c r="I723" s="37" t="str">
        <f aca="false">IF(B723="","",IFERROR(INDEX(st_ID,MATCH(B723,st_Name,0)),"Unknown"))</f>
        <v>QP-01</v>
      </c>
      <c r="J723" s="37" t="str">
        <f aca="false">IF(C723="","",IFERROR(INDEX(cl_Code,MATCH(C723,cl_Name,0)),"Unknown"))</f>
        <v/>
      </c>
      <c r="K723" s="37" t="str">
        <f aca="false">IF(D723="","",IFERROR(INDEX(rt_Billable,MATCH(D723,rt_Code,0)),"Unknown"))</f>
        <v>No</v>
      </c>
      <c r="L723" s="38" t="str">
        <f aca="false">IF(K723&lt;&gt;"Yes","",IFERROR(INDEX(cr_Rate,MATCH(J723&amp;"|"&amp;D723,cr_Key,0)),INDEX(rt_Rate,MATCH(D723,rt_Code,0))))</f>
        <v/>
      </c>
      <c r="M723" s="25" t="str">
        <f aca="false">IF(L723="","",ROUND(N(E723)*L723,2))</f>
        <v/>
      </c>
      <c r="N723" s="39" t="n">
        <f aca="false">IF(OR(A723="",B723=""),"",SUMIFS(tl_Hours,tl_StaffID,I723,tl_Date,A723))</f>
        <v>8</v>
      </c>
      <c r="O723" s="40" t="str">
        <f aca="false">IF(A723&amp;B723&amp;D723="","",IF(OR(A723="",B723="",D723="",E723=""),"Incomplete",IF(K723="Unknown","Unknown code",IF(AND(K723="Yes",C723=""),"Billable, needs client",IF(N723&gt;MaxDayHours,"Over "&amp;MaxDayHours&amp;" hours that day","")))))</f>
        <v/>
      </c>
    </row>
    <row r="724" customFormat="false" ht="15" hidden="false" customHeight="false" outlineLevel="0" collapsed="false">
      <c r="A724" s="31" t="n">
        <v>46244</v>
      </c>
      <c r="B724" s="32" t="s">
        <v>97</v>
      </c>
      <c r="C724" s="32" t="s">
        <v>87</v>
      </c>
      <c r="D724" s="33" t="s">
        <v>104</v>
      </c>
      <c r="E724" s="34" t="n">
        <v>3.5</v>
      </c>
      <c r="F724" s="32"/>
      <c r="G724" s="35" t="n">
        <f aca="false">IF(A724="","",A724+7-WEEKDAY(A724))</f>
        <v>46249</v>
      </c>
      <c r="H724" s="36" t="n">
        <f aca="false">IF(A724="","",DATE(YEAR(A724),MONTH(A724),1))</f>
        <v>46235</v>
      </c>
      <c r="I724" s="37" t="str">
        <f aca="false">IF(B724="","",IFERROR(INDEX(st_ID,MATCH(B724,st_Name,0)),"Unknown"))</f>
        <v>QP-02</v>
      </c>
      <c r="J724" s="37" t="str">
        <f aca="false">IF(C724="","",IFERROR(INDEX(cl_Code,MATCH(C724,cl_Name,0)),"Unknown"))</f>
        <v>HCS</v>
      </c>
      <c r="K724" s="37" t="str">
        <f aca="false">IF(D724="","",IFERROR(INDEX(rt_Billable,MATCH(D724,rt_Code,0)),"Unknown"))</f>
        <v>Yes</v>
      </c>
      <c r="L724" s="38" t="n">
        <f aca="false">IF(K724&lt;&gt;"Yes","",IFERROR(INDEX(cr_Rate,MATCH(J724&amp;"|"&amp;D724,cr_Key,0)),INDEX(rt_Rate,MATCH(D724,rt_Code,0))))</f>
        <v>62</v>
      </c>
      <c r="M724" s="25" t="n">
        <f aca="false">IF(L724="","",ROUND(N(E724)*L724,2))</f>
        <v>217</v>
      </c>
      <c r="N724" s="39" t="n">
        <f aca="false">IF(OR(A724="",B724=""),"",SUMIFS(tl_Hours,tl_StaffID,I724,tl_Date,A724))</f>
        <v>8</v>
      </c>
      <c r="O724" s="40" t="str">
        <f aca="false">IF(A724&amp;B724&amp;D724="","",IF(OR(A724="",B724="",D724="",E724=""),"Incomplete",IF(K724="Unknown","Unknown code",IF(AND(K724="Yes",C724=""),"Billable, needs client",IF(N724&gt;MaxDayHours,"Over "&amp;MaxDayHours&amp;" hours that day","")))))</f>
        <v/>
      </c>
    </row>
    <row r="725" customFormat="false" ht="15" hidden="false" customHeight="false" outlineLevel="0" collapsed="false">
      <c r="A725" s="31" t="n">
        <v>46244</v>
      </c>
      <c r="B725" s="32" t="s">
        <v>97</v>
      </c>
      <c r="C725" s="32" t="s">
        <v>87</v>
      </c>
      <c r="D725" s="33" t="s">
        <v>89</v>
      </c>
      <c r="E725" s="34" t="n">
        <v>2.25</v>
      </c>
      <c r="F725" s="32"/>
      <c r="G725" s="35" t="n">
        <f aca="false">IF(A725="","",A725+7-WEEKDAY(A725))</f>
        <v>46249</v>
      </c>
      <c r="H725" s="36" t="n">
        <f aca="false">IF(A725="","",DATE(YEAR(A725),MONTH(A725),1))</f>
        <v>46235</v>
      </c>
      <c r="I725" s="37" t="str">
        <f aca="false">IF(B725="","",IFERROR(INDEX(st_ID,MATCH(B725,st_Name,0)),"Unknown"))</f>
        <v>QP-02</v>
      </c>
      <c r="J725" s="37" t="str">
        <f aca="false">IF(C725="","",IFERROR(INDEX(cl_Code,MATCH(C725,cl_Name,0)),"Unknown"))</f>
        <v>HCS</v>
      </c>
      <c r="K725" s="37" t="str">
        <f aca="false">IF(D725="","",IFERROR(INDEX(rt_Billable,MATCH(D725,rt_Code,0)),"Unknown"))</f>
        <v>Yes</v>
      </c>
      <c r="L725" s="38" t="n">
        <f aca="false">IF(K725&lt;&gt;"Yes","",IFERROR(INDEX(cr_Rate,MATCH(J725&amp;"|"&amp;D725,cr_Key,0)),INDEX(rt_Rate,MATCH(D725,rt_Code,0))))</f>
        <v>88</v>
      </c>
      <c r="M725" s="25" t="n">
        <f aca="false">IF(L725="","",ROUND(N(E725)*L725,2))</f>
        <v>198</v>
      </c>
      <c r="N725" s="39" t="n">
        <f aca="false">IF(OR(A725="",B725=""),"",SUMIFS(tl_Hours,tl_StaffID,I725,tl_Date,A725))</f>
        <v>8</v>
      </c>
      <c r="O725" s="40" t="str">
        <f aca="false">IF(A725&amp;B725&amp;D725="","",IF(OR(A725="",B725="",D725="",E725=""),"Incomplete",IF(K725="Unknown","Unknown code",IF(AND(K725="Yes",C725=""),"Billable, needs client",IF(N725&gt;MaxDayHours,"Over "&amp;MaxDayHours&amp;" hours that day","")))))</f>
        <v/>
      </c>
    </row>
    <row r="726" customFormat="false" ht="15" hidden="false" customHeight="false" outlineLevel="0" collapsed="false">
      <c r="A726" s="31" t="n">
        <v>46244</v>
      </c>
      <c r="B726" s="32" t="s">
        <v>97</v>
      </c>
      <c r="C726" s="32"/>
      <c r="D726" s="33" t="s">
        <v>96</v>
      </c>
      <c r="E726" s="34" t="n">
        <v>2.25</v>
      </c>
      <c r="F726" s="32"/>
      <c r="G726" s="35" t="n">
        <f aca="false">IF(A726="","",A726+7-WEEKDAY(A726))</f>
        <v>46249</v>
      </c>
      <c r="H726" s="36" t="n">
        <f aca="false">IF(A726="","",DATE(YEAR(A726),MONTH(A726),1))</f>
        <v>46235</v>
      </c>
      <c r="I726" s="37" t="str">
        <f aca="false">IF(B726="","",IFERROR(INDEX(st_ID,MATCH(B726,st_Name,0)),"Unknown"))</f>
        <v>QP-02</v>
      </c>
      <c r="J726" s="37" t="str">
        <f aca="false">IF(C726="","",IFERROR(INDEX(cl_Code,MATCH(C726,cl_Name,0)),"Unknown"))</f>
        <v/>
      </c>
      <c r="K726" s="37" t="str">
        <f aca="false">IF(D726="","",IFERROR(INDEX(rt_Billable,MATCH(D726,rt_Code,0)),"Unknown"))</f>
        <v>No</v>
      </c>
      <c r="L726" s="38" t="str">
        <f aca="false">IF(K726&lt;&gt;"Yes","",IFERROR(INDEX(cr_Rate,MATCH(J726&amp;"|"&amp;D726,cr_Key,0)),INDEX(rt_Rate,MATCH(D726,rt_Code,0))))</f>
        <v/>
      </c>
      <c r="M726" s="25" t="str">
        <f aca="false">IF(L726="","",ROUND(N(E726)*L726,2))</f>
        <v/>
      </c>
      <c r="N726" s="39" t="n">
        <f aca="false">IF(OR(A726="",B726=""),"",SUMIFS(tl_Hours,tl_StaffID,I726,tl_Date,A726))</f>
        <v>8</v>
      </c>
      <c r="O726" s="40" t="str">
        <f aca="false">IF(A726&amp;B726&amp;D726="","",IF(OR(A726="",B726="",D726="",E726=""),"Incomplete",IF(K726="Unknown","Unknown code",IF(AND(K726="Yes",C726=""),"Billable, needs client",IF(N726&gt;MaxDayHours,"Over "&amp;MaxDayHours&amp;" hours that day","")))))</f>
        <v/>
      </c>
    </row>
    <row r="727" customFormat="false" ht="15" hidden="false" customHeight="false" outlineLevel="0" collapsed="false">
      <c r="A727" s="31" t="n">
        <v>46244</v>
      </c>
      <c r="B727" s="32" t="s">
        <v>101</v>
      </c>
      <c r="C727" s="32" t="s">
        <v>112</v>
      </c>
      <c r="D727" s="33" t="s">
        <v>104</v>
      </c>
      <c r="E727" s="34" t="n">
        <v>2.25</v>
      </c>
      <c r="F727" s="32"/>
      <c r="G727" s="35" t="n">
        <f aca="false">IF(A727="","",A727+7-WEEKDAY(A727))</f>
        <v>46249</v>
      </c>
      <c r="H727" s="36" t="n">
        <f aca="false">IF(A727="","",DATE(YEAR(A727),MONTH(A727),1))</f>
        <v>46235</v>
      </c>
      <c r="I727" s="37" t="str">
        <f aca="false">IF(B727="","",IFERROR(INDEX(st_ID,MATCH(B727,st_Name,0)),"Unknown"))</f>
        <v>QP-04</v>
      </c>
      <c r="J727" s="37" t="str">
        <f aca="false">IF(C727="","",IFERROR(INDEX(cl_Code,MATCH(C727,cl_Name,0)),"Unknown"))</f>
        <v>PCA</v>
      </c>
      <c r="K727" s="37" t="str">
        <f aca="false">IF(D727="","",IFERROR(INDEX(rt_Billable,MATCH(D727,rt_Code,0)),"Unknown"))</f>
        <v>Yes</v>
      </c>
      <c r="L727" s="38" t="n">
        <f aca="false">IF(K727&lt;&gt;"Yes","",IFERROR(INDEX(cr_Rate,MATCH(J727&amp;"|"&amp;D727,cr_Key,0)),INDEX(rt_Rate,MATCH(D727,rt_Code,0))))</f>
        <v>70</v>
      </c>
      <c r="M727" s="25" t="n">
        <f aca="false">IF(L727="","",ROUND(N(E727)*L727,2))</f>
        <v>157.5</v>
      </c>
      <c r="N727" s="39" t="n">
        <f aca="false">IF(OR(A727="",B727=""),"",SUMIFS(tl_Hours,tl_StaffID,I727,tl_Date,A727))</f>
        <v>8</v>
      </c>
      <c r="O727" s="40" t="str">
        <f aca="false">IF(A727&amp;B727&amp;D727="","",IF(OR(A727="",B727="",D727="",E727=""),"Incomplete",IF(K727="Unknown","Unknown code",IF(AND(K727="Yes",C727=""),"Billable, needs client",IF(N727&gt;MaxDayHours,"Over "&amp;MaxDayHours&amp;" hours that day","")))))</f>
        <v/>
      </c>
    </row>
    <row r="728" customFormat="false" ht="15" hidden="false" customHeight="false" outlineLevel="0" collapsed="false">
      <c r="A728" s="31" t="n">
        <v>46244</v>
      </c>
      <c r="B728" s="32" t="s">
        <v>101</v>
      </c>
      <c r="C728" s="32" t="s">
        <v>112</v>
      </c>
      <c r="D728" s="33" t="s">
        <v>89</v>
      </c>
      <c r="E728" s="34" t="n">
        <v>0.25</v>
      </c>
      <c r="F728" s="32"/>
      <c r="G728" s="35" t="n">
        <f aca="false">IF(A728="","",A728+7-WEEKDAY(A728))</f>
        <v>46249</v>
      </c>
      <c r="H728" s="36" t="n">
        <f aca="false">IF(A728="","",DATE(YEAR(A728),MONTH(A728),1))</f>
        <v>46235</v>
      </c>
      <c r="I728" s="37" t="str">
        <f aca="false">IF(B728="","",IFERROR(INDEX(st_ID,MATCH(B728,st_Name,0)),"Unknown"))</f>
        <v>QP-04</v>
      </c>
      <c r="J728" s="37" t="str">
        <f aca="false">IF(C728="","",IFERROR(INDEX(cl_Code,MATCH(C728,cl_Name,0)),"Unknown"))</f>
        <v>PCA</v>
      </c>
      <c r="K728" s="37" t="str">
        <f aca="false">IF(D728="","",IFERROR(INDEX(rt_Billable,MATCH(D728,rt_Code,0)),"Unknown"))</f>
        <v>Yes</v>
      </c>
      <c r="L728" s="38" t="n">
        <f aca="false">IF(K728&lt;&gt;"Yes","",IFERROR(INDEX(cr_Rate,MATCH(J728&amp;"|"&amp;D728,cr_Key,0)),INDEX(rt_Rate,MATCH(D728,rt_Code,0))))</f>
        <v>95</v>
      </c>
      <c r="M728" s="25" t="n">
        <f aca="false">IF(L728="","",ROUND(N(E728)*L728,2))</f>
        <v>23.75</v>
      </c>
      <c r="N728" s="39" t="n">
        <f aca="false">IF(OR(A728="",B728=""),"",SUMIFS(tl_Hours,tl_StaffID,I728,tl_Date,A728))</f>
        <v>8</v>
      </c>
      <c r="O728" s="40" t="str">
        <f aca="false">IF(A728&amp;B728&amp;D728="","",IF(OR(A728="",B728="",D728="",E728=""),"Incomplete",IF(K728="Unknown","Unknown code",IF(AND(K728="Yes",C728=""),"Billable, needs client",IF(N728&gt;MaxDayHours,"Over "&amp;MaxDayHours&amp;" hours that day","")))))</f>
        <v/>
      </c>
    </row>
    <row r="729" customFormat="false" ht="15" hidden="false" customHeight="false" outlineLevel="0" collapsed="false">
      <c r="A729" s="31" t="n">
        <v>46244</v>
      </c>
      <c r="B729" s="32" t="s">
        <v>101</v>
      </c>
      <c r="C729" s="32" t="s">
        <v>102</v>
      </c>
      <c r="D729" s="33" t="s">
        <v>104</v>
      </c>
      <c r="E729" s="34" t="n">
        <v>2</v>
      </c>
      <c r="F729" s="32"/>
      <c r="G729" s="35" t="n">
        <f aca="false">IF(A729="","",A729+7-WEEKDAY(A729))</f>
        <v>46249</v>
      </c>
      <c r="H729" s="36" t="n">
        <f aca="false">IF(A729="","",DATE(YEAR(A729),MONTH(A729),1))</f>
        <v>46235</v>
      </c>
      <c r="I729" s="37" t="str">
        <f aca="false">IF(B729="","",IFERROR(INDEX(st_ID,MATCH(B729,st_Name,0)),"Unknown"))</f>
        <v>QP-04</v>
      </c>
      <c r="J729" s="37" t="str">
        <f aca="false">IF(C729="","",IFERROR(INDEX(cl_Code,MATCH(C729,cl_Name,0)),"Unknown"))</f>
        <v>CLH</v>
      </c>
      <c r="K729" s="37" t="str">
        <f aca="false">IF(D729="","",IFERROR(INDEX(rt_Billable,MATCH(D729,rt_Code,0)),"Unknown"))</f>
        <v>Yes</v>
      </c>
      <c r="L729" s="38" t="n">
        <f aca="false">IF(K729&lt;&gt;"Yes","",IFERROR(INDEX(cr_Rate,MATCH(J729&amp;"|"&amp;D729,cr_Key,0)),INDEX(rt_Rate,MATCH(D729,rt_Code,0))))</f>
        <v>65</v>
      </c>
      <c r="M729" s="25" t="n">
        <f aca="false">IF(L729="","",ROUND(N(E729)*L729,2))</f>
        <v>130</v>
      </c>
      <c r="N729" s="39" t="n">
        <f aca="false">IF(OR(A729="",B729=""),"",SUMIFS(tl_Hours,tl_StaffID,I729,tl_Date,A729))</f>
        <v>8</v>
      </c>
      <c r="O729" s="40" t="str">
        <f aca="false">IF(A729&amp;B729&amp;D729="","",IF(OR(A729="",B729="",D729="",E729=""),"Incomplete",IF(K729="Unknown","Unknown code",IF(AND(K729="Yes",C729=""),"Billable, needs client",IF(N729&gt;MaxDayHours,"Over "&amp;MaxDayHours&amp;" hours that day","")))))</f>
        <v/>
      </c>
    </row>
    <row r="730" customFormat="false" ht="15" hidden="false" customHeight="false" outlineLevel="0" collapsed="false">
      <c r="A730" s="31" t="n">
        <v>46244</v>
      </c>
      <c r="B730" s="32" t="s">
        <v>101</v>
      </c>
      <c r="C730" s="32" t="s">
        <v>102</v>
      </c>
      <c r="D730" s="33" t="s">
        <v>89</v>
      </c>
      <c r="E730" s="34" t="n">
        <v>0.5</v>
      </c>
      <c r="F730" s="32"/>
      <c r="G730" s="35" t="n">
        <f aca="false">IF(A730="","",A730+7-WEEKDAY(A730))</f>
        <v>46249</v>
      </c>
      <c r="H730" s="36" t="n">
        <f aca="false">IF(A730="","",DATE(YEAR(A730),MONTH(A730),1))</f>
        <v>46235</v>
      </c>
      <c r="I730" s="37" t="str">
        <f aca="false">IF(B730="","",IFERROR(INDEX(st_ID,MATCH(B730,st_Name,0)),"Unknown"))</f>
        <v>QP-04</v>
      </c>
      <c r="J730" s="37" t="str">
        <f aca="false">IF(C730="","",IFERROR(INDEX(cl_Code,MATCH(C730,cl_Name,0)),"Unknown"))</f>
        <v>CLH</v>
      </c>
      <c r="K730" s="37" t="str">
        <f aca="false">IF(D730="","",IFERROR(INDEX(rt_Billable,MATCH(D730,rt_Code,0)),"Unknown"))</f>
        <v>Yes</v>
      </c>
      <c r="L730" s="38" t="n">
        <f aca="false">IF(K730&lt;&gt;"Yes","",IFERROR(INDEX(cr_Rate,MATCH(J730&amp;"|"&amp;D730,cr_Key,0)),INDEX(rt_Rate,MATCH(D730,rt_Code,0))))</f>
        <v>95</v>
      </c>
      <c r="M730" s="25" t="n">
        <f aca="false">IF(L730="","",ROUND(N(E730)*L730,2))</f>
        <v>47.5</v>
      </c>
      <c r="N730" s="39" t="n">
        <f aca="false">IF(OR(A730="",B730=""),"",SUMIFS(tl_Hours,tl_StaffID,I730,tl_Date,A730))</f>
        <v>8</v>
      </c>
      <c r="O730" s="40" t="str">
        <f aca="false">IF(A730&amp;B730&amp;D730="","",IF(OR(A730="",B730="",D730="",E730=""),"Incomplete",IF(K730="Unknown","Unknown code",IF(AND(K730="Yes",C730=""),"Billable, needs client",IF(N730&gt;MaxDayHours,"Over "&amp;MaxDayHours&amp;" hours that day","")))))</f>
        <v/>
      </c>
    </row>
    <row r="731" customFormat="false" ht="15" hidden="false" customHeight="false" outlineLevel="0" collapsed="false">
      <c r="A731" s="31" t="n">
        <v>46244</v>
      </c>
      <c r="B731" s="32" t="s">
        <v>101</v>
      </c>
      <c r="C731" s="32"/>
      <c r="D731" s="33" t="s">
        <v>93</v>
      </c>
      <c r="E731" s="34" t="n">
        <v>0.5</v>
      </c>
      <c r="F731" s="32"/>
      <c r="G731" s="35" t="n">
        <f aca="false">IF(A731="","",A731+7-WEEKDAY(A731))</f>
        <v>46249</v>
      </c>
      <c r="H731" s="36" t="n">
        <f aca="false">IF(A731="","",DATE(YEAR(A731),MONTH(A731),1))</f>
        <v>46235</v>
      </c>
      <c r="I731" s="37" t="str">
        <f aca="false">IF(B731="","",IFERROR(INDEX(st_ID,MATCH(B731,st_Name,0)),"Unknown"))</f>
        <v>QP-04</v>
      </c>
      <c r="J731" s="37" t="str">
        <f aca="false">IF(C731="","",IFERROR(INDEX(cl_Code,MATCH(C731,cl_Name,0)),"Unknown"))</f>
        <v/>
      </c>
      <c r="K731" s="37" t="str">
        <f aca="false">IF(D731="","",IFERROR(INDEX(rt_Billable,MATCH(D731,rt_Code,0)),"Unknown"))</f>
        <v>No</v>
      </c>
      <c r="L731" s="38" t="str">
        <f aca="false">IF(K731&lt;&gt;"Yes","",IFERROR(INDEX(cr_Rate,MATCH(J731&amp;"|"&amp;D731,cr_Key,0)),INDEX(rt_Rate,MATCH(D731,rt_Code,0))))</f>
        <v/>
      </c>
      <c r="M731" s="25" t="str">
        <f aca="false">IF(L731="","",ROUND(N(E731)*L731,2))</f>
        <v/>
      </c>
      <c r="N731" s="39" t="n">
        <f aca="false">IF(OR(A731="",B731=""),"",SUMIFS(tl_Hours,tl_StaffID,I731,tl_Date,A731))</f>
        <v>8</v>
      </c>
      <c r="O731" s="40" t="str">
        <f aca="false">IF(A731&amp;B731&amp;D731="","",IF(OR(A731="",B731="",D731="",E731=""),"Incomplete",IF(K731="Unknown","Unknown code",IF(AND(K731="Yes",C731=""),"Billable, needs client",IF(N731&gt;MaxDayHours,"Over "&amp;MaxDayHours&amp;" hours that day","")))))</f>
        <v/>
      </c>
    </row>
    <row r="732" customFormat="false" ht="15" hidden="false" customHeight="false" outlineLevel="0" collapsed="false">
      <c r="A732" s="31" t="n">
        <v>46244</v>
      </c>
      <c r="B732" s="32" t="s">
        <v>101</v>
      </c>
      <c r="C732" s="32"/>
      <c r="D732" s="33" t="s">
        <v>96</v>
      </c>
      <c r="E732" s="34" t="n">
        <v>2.5</v>
      </c>
      <c r="F732" s="32"/>
      <c r="G732" s="35" t="n">
        <f aca="false">IF(A732="","",A732+7-WEEKDAY(A732))</f>
        <v>46249</v>
      </c>
      <c r="H732" s="36" t="n">
        <f aca="false">IF(A732="","",DATE(YEAR(A732),MONTH(A732),1))</f>
        <v>46235</v>
      </c>
      <c r="I732" s="37" t="str">
        <f aca="false">IF(B732="","",IFERROR(INDEX(st_ID,MATCH(B732,st_Name,0)),"Unknown"))</f>
        <v>QP-04</v>
      </c>
      <c r="J732" s="37" t="str">
        <f aca="false">IF(C732="","",IFERROR(INDEX(cl_Code,MATCH(C732,cl_Name,0)),"Unknown"))</f>
        <v/>
      </c>
      <c r="K732" s="37" t="str">
        <f aca="false">IF(D732="","",IFERROR(INDEX(rt_Billable,MATCH(D732,rt_Code,0)),"Unknown"))</f>
        <v>No</v>
      </c>
      <c r="L732" s="38" t="str">
        <f aca="false">IF(K732&lt;&gt;"Yes","",IFERROR(INDEX(cr_Rate,MATCH(J732&amp;"|"&amp;D732,cr_Key,0)),INDEX(rt_Rate,MATCH(D732,rt_Code,0))))</f>
        <v/>
      </c>
      <c r="M732" s="25" t="str">
        <f aca="false">IF(L732="","",ROUND(N(E732)*L732,2))</f>
        <v/>
      </c>
      <c r="N732" s="39" t="n">
        <f aca="false">IF(OR(A732="",B732=""),"",SUMIFS(tl_Hours,tl_StaffID,I732,tl_Date,A732))</f>
        <v>8</v>
      </c>
      <c r="O732" s="40" t="str">
        <f aca="false">IF(A732&amp;B732&amp;D732="","",IF(OR(A732="",B732="",D732="",E732=""),"Incomplete",IF(K732="Unknown","Unknown code",IF(AND(K732="Yes",C732=""),"Billable, needs client",IF(N732&gt;MaxDayHours,"Over "&amp;MaxDayHours&amp;" hours that day","")))))</f>
        <v/>
      </c>
    </row>
    <row r="733" customFormat="false" ht="15" hidden="false" customHeight="false" outlineLevel="0" collapsed="false">
      <c r="A733" s="31" t="n">
        <v>46244</v>
      </c>
      <c r="B733" s="32" t="s">
        <v>103</v>
      </c>
      <c r="C733" s="32" t="s">
        <v>111</v>
      </c>
      <c r="D733" s="33" t="s">
        <v>104</v>
      </c>
      <c r="E733" s="34" t="n">
        <v>3</v>
      </c>
      <c r="F733" s="32"/>
      <c r="G733" s="35" t="n">
        <f aca="false">IF(A733="","",A733+7-WEEKDAY(A733))</f>
        <v>46249</v>
      </c>
      <c r="H733" s="36" t="n">
        <f aca="false">IF(A733="","",DATE(YEAR(A733),MONTH(A733),1))</f>
        <v>46235</v>
      </c>
      <c r="I733" s="37" t="str">
        <f aca="false">IF(B733="","",IFERROR(INDEX(st_ID,MATCH(B733,st_Name,0)),"Unknown"))</f>
        <v>QP-05</v>
      </c>
      <c r="J733" s="37" t="str">
        <f aca="false">IF(C733="","",IFERROR(INDEX(cl_Code,MATCH(C733,cl_Name,0)),"Unknown"))</f>
        <v>WMS</v>
      </c>
      <c r="K733" s="37" t="str">
        <f aca="false">IF(D733="","",IFERROR(INDEX(rt_Billable,MATCH(D733,rt_Code,0)),"Unknown"))</f>
        <v>Yes</v>
      </c>
      <c r="L733" s="38" t="n">
        <f aca="false">IF(K733&lt;&gt;"Yes","",IFERROR(INDEX(cr_Rate,MATCH(J733&amp;"|"&amp;D733,cr_Key,0)),INDEX(rt_Rate,MATCH(D733,rt_Code,0))))</f>
        <v>70</v>
      </c>
      <c r="M733" s="25" t="n">
        <f aca="false">IF(L733="","",ROUND(N(E733)*L733,2))</f>
        <v>210</v>
      </c>
      <c r="N733" s="39" t="n">
        <f aca="false">IF(OR(A733="",B733=""),"",SUMIFS(tl_Hours,tl_StaffID,I733,tl_Date,A733))</f>
        <v>8</v>
      </c>
      <c r="O733" s="40" t="str">
        <f aca="false">IF(A733&amp;B733&amp;D733="","",IF(OR(A733="",B733="",D733="",E733=""),"Incomplete",IF(K733="Unknown","Unknown code",IF(AND(K733="Yes",C733=""),"Billable, needs client",IF(N733&gt;MaxDayHours,"Over "&amp;MaxDayHours&amp;" hours that day","")))))</f>
        <v/>
      </c>
    </row>
    <row r="734" customFormat="false" ht="15" hidden="false" customHeight="false" outlineLevel="0" collapsed="false">
      <c r="A734" s="31" t="n">
        <v>46244</v>
      </c>
      <c r="B734" s="32" t="s">
        <v>103</v>
      </c>
      <c r="C734" s="32" t="s">
        <v>111</v>
      </c>
      <c r="D734" s="33" t="s">
        <v>88</v>
      </c>
      <c r="E734" s="34" t="n">
        <v>2.25</v>
      </c>
      <c r="F734" s="32"/>
      <c r="G734" s="35" t="n">
        <f aca="false">IF(A734="","",A734+7-WEEKDAY(A734))</f>
        <v>46249</v>
      </c>
      <c r="H734" s="36" t="n">
        <f aca="false">IF(A734="","",DATE(YEAR(A734),MONTH(A734),1))</f>
        <v>46235</v>
      </c>
      <c r="I734" s="37" t="str">
        <f aca="false">IF(B734="","",IFERROR(INDEX(st_ID,MATCH(B734,st_Name,0)),"Unknown"))</f>
        <v>QP-05</v>
      </c>
      <c r="J734" s="37" t="str">
        <f aca="false">IF(C734="","",IFERROR(INDEX(cl_Code,MATCH(C734,cl_Name,0)),"Unknown"))</f>
        <v>WMS</v>
      </c>
      <c r="K734" s="37" t="str">
        <f aca="false">IF(D734="","",IFERROR(INDEX(rt_Billable,MATCH(D734,rt_Code,0)),"Unknown"))</f>
        <v>Yes</v>
      </c>
      <c r="L734" s="38" t="n">
        <f aca="false">IF(K734&lt;&gt;"Yes","",IFERROR(INDEX(cr_Rate,MATCH(J734&amp;"|"&amp;D734,cr_Key,0)),INDEX(rt_Rate,MATCH(D734,rt_Code,0))))</f>
        <v>110</v>
      </c>
      <c r="M734" s="25" t="n">
        <f aca="false">IF(L734="","",ROUND(N(E734)*L734,2))</f>
        <v>247.5</v>
      </c>
      <c r="N734" s="39" t="n">
        <f aca="false">IF(OR(A734="",B734=""),"",SUMIFS(tl_Hours,tl_StaffID,I734,tl_Date,A734))</f>
        <v>8</v>
      </c>
      <c r="O734" s="40" t="str">
        <f aca="false">IF(A734&amp;B734&amp;D734="","",IF(OR(A734="",B734="",D734="",E734=""),"Incomplete",IF(K734="Unknown","Unknown code",IF(AND(K734="Yes",C734=""),"Billable, needs client",IF(N734&gt;MaxDayHours,"Over "&amp;MaxDayHours&amp;" hours that day","")))))</f>
        <v/>
      </c>
    </row>
    <row r="735" customFormat="false" ht="15" hidden="false" customHeight="false" outlineLevel="0" collapsed="false">
      <c r="A735" s="31" t="n">
        <v>46244</v>
      </c>
      <c r="B735" s="32" t="s">
        <v>103</v>
      </c>
      <c r="C735" s="32"/>
      <c r="D735" s="33" t="s">
        <v>96</v>
      </c>
      <c r="E735" s="34" t="n">
        <v>2.75</v>
      </c>
      <c r="F735" s="32"/>
      <c r="G735" s="35" t="n">
        <f aca="false">IF(A735="","",A735+7-WEEKDAY(A735))</f>
        <v>46249</v>
      </c>
      <c r="H735" s="36" t="n">
        <f aca="false">IF(A735="","",DATE(YEAR(A735),MONTH(A735),1))</f>
        <v>46235</v>
      </c>
      <c r="I735" s="37" t="str">
        <f aca="false">IF(B735="","",IFERROR(INDEX(st_ID,MATCH(B735,st_Name,0)),"Unknown"))</f>
        <v>QP-05</v>
      </c>
      <c r="J735" s="37" t="str">
        <f aca="false">IF(C735="","",IFERROR(INDEX(cl_Code,MATCH(C735,cl_Name,0)),"Unknown"))</f>
        <v/>
      </c>
      <c r="K735" s="37" t="str">
        <f aca="false">IF(D735="","",IFERROR(INDEX(rt_Billable,MATCH(D735,rt_Code,0)),"Unknown"))</f>
        <v>No</v>
      </c>
      <c r="L735" s="38" t="str">
        <f aca="false">IF(K735&lt;&gt;"Yes","",IFERROR(INDEX(cr_Rate,MATCH(J735&amp;"|"&amp;D735,cr_Key,0)),INDEX(rt_Rate,MATCH(D735,rt_Code,0))))</f>
        <v/>
      </c>
      <c r="M735" s="25" t="str">
        <f aca="false">IF(L735="","",ROUND(N(E735)*L735,2))</f>
        <v/>
      </c>
      <c r="N735" s="39" t="n">
        <f aca="false">IF(OR(A735="",B735=""),"",SUMIFS(tl_Hours,tl_StaffID,I735,tl_Date,A735))</f>
        <v>8</v>
      </c>
      <c r="O735" s="40" t="str">
        <f aca="false">IF(A735&amp;B735&amp;D735="","",IF(OR(A735="",B735="",D735="",E735=""),"Incomplete",IF(K735="Unknown","Unknown code",IF(AND(K735="Yes",C735=""),"Billable, needs client",IF(N735&gt;MaxDayHours,"Over "&amp;MaxDayHours&amp;" hours that day","")))))</f>
        <v/>
      </c>
    </row>
    <row r="736" customFormat="false" ht="15" hidden="false" customHeight="false" outlineLevel="0" collapsed="false">
      <c r="A736" s="31" t="n">
        <v>46244</v>
      </c>
      <c r="B736" s="32" t="s">
        <v>105</v>
      </c>
      <c r="C736" s="32" t="s">
        <v>90</v>
      </c>
      <c r="D736" s="33" t="s">
        <v>88</v>
      </c>
      <c r="E736" s="34" t="n">
        <v>3</v>
      </c>
      <c r="F736" s="32"/>
      <c r="G736" s="35" t="n">
        <f aca="false">IF(A736="","",A736+7-WEEKDAY(A736))</f>
        <v>46249</v>
      </c>
      <c r="H736" s="36" t="n">
        <f aca="false">IF(A736="","",DATE(YEAR(A736),MONTH(A736),1))</f>
        <v>46235</v>
      </c>
      <c r="I736" s="37" t="str">
        <f aca="false">IF(B736="","",IFERROR(INDEX(st_ID,MATCH(B736,st_Name,0)),"Unknown"))</f>
        <v>QP-06</v>
      </c>
      <c r="J736" s="37" t="str">
        <f aca="false">IF(C736="","",IFERROR(INDEX(cl_Code,MATCH(C736,cl_Name,0)),"Unknown"))</f>
        <v>BSE</v>
      </c>
      <c r="K736" s="37" t="str">
        <f aca="false">IF(D736="","",IFERROR(INDEX(rt_Billable,MATCH(D736,rt_Code,0)),"Unknown"))</f>
        <v>Yes</v>
      </c>
      <c r="L736" s="38" t="n">
        <f aca="false">IF(K736&lt;&gt;"Yes","",IFERROR(INDEX(cr_Rate,MATCH(J736&amp;"|"&amp;D736,cr_Key,0)),INDEX(rt_Rate,MATCH(D736,rt_Code,0))))</f>
        <v>104</v>
      </c>
      <c r="M736" s="25" t="n">
        <f aca="false">IF(L736="","",ROUND(N(E736)*L736,2))</f>
        <v>312</v>
      </c>
      <c r="N736" s="39" t="n">
        <f aca="false">IF(OR(A736="",B736=""),"",SUMIFS(tl_Hours,tl_StaffID,I736,tl_Date,A736))</f>
        <v>8</v>
      </c>
      <c r="O736" s="40" t="str">
        <f aca="false">IF(A736&amp;B736&amp;D736="","",IF(OR(A736="",B736="",D736="",E736=""),"Incomplete",IF(K736="Unknown","Unknown code",IF(AND(K736="Yes",C736=""),"Billable, needs client",IF(N736&gt;MaxDayHours,"Over "&amp;MaxDayHours&amp;" hours that day","")))))</f>
        <v/>
      </c>
    </row>
    <row r="737" customFormat="false" ht="15" hidden="false" customHeight="false" outlineLevel="0" collapsed="false">
      <c r="A737" s="31" t="n">
        <v>46244</v>
      </c>
      <c r="B737" s="32" t="s">
        <v>105</v>
      </c>
      <c r="C737" s="32" t="s">
        <v>90</v>
      </c>
      <c r="D737" s="33" t="s">
        <v>104</v>
      </c>
      <c r="E737" s="34" t="n">
        <v>2.5</v>
      </c>
      <c r="F737" s="32"/>
      <c r="G737" s="35" t="n">
        <f aca="false">IF(A737="","",A737+7-WEEKDAY(A737))</f>
        <v>46249</v>
      </c>
      <c r="H737" s="36" t="n">
        <f aca="false">IF(A737="","",DATE(YEAR(A737),MONTH(A737),1))</f>
        <v>46235</v>
      </c>
      <c r="I737" s="37" t="str">
        <f aca="false">IF(B737="","",IFERROR(INDEX(st_ID,MATCH(B737,st_Name,0)),"Unknown"))</f>
        <v>QP-06</v>
      </c>
      <c r="J737" s="37" t="str">
        <f aca="false">IF(C737="","",IFERROR(INDEX(cl_Code,MATCH(C737,cl_Name,0)),"Unknown"))</f>
        <v>BSE</v>
      </c>
      <c r="K737" s="37" t="str">
        <f aca="false">IF(D737="","",IFERROR(INDEX(rt_Billable,MATCH(D737,rt_Code,0)),"Unknown"))</f>
        <v>Yes</v>
      </c>
      <c r="L737" s="38" t="n">
        <f aca="false">IF(K737&lt;&gt;"Yes","",IFERROR(INDEX(cr_Rate,MATCH(J737&amp;"|"&amp;D737,cr_Key,0)),INDEX(rt_Rate,MATCH(D737,rt_Code,0))))</f>
        <v>70</v>
      </c>
      <c r="M737" s="25" t="n">
        <f aca="false">IF(L737="","",ROUND(N(E737)*L737,2))</f>
        <v>175</v>
      </c>
      <c r="N737" s="39" t="n">
        <f aca="false">IF(OR(A737="",B737=""),"",SUMIFS(tl_Hours,tl_StaffID,I737,tl_Date,A737))</f>
        <v>8</v>
      </c>
      <c r="O737" s="40" t="str">
        <f aca="false">IF(A737&amp;B737&amp;D737="","",IF(OR(A737="",B737="",D737="",E737=""),"Incomplete",IF(K737="Unknown","Unknown code",IF(AND(K737="Yes",C737=""),"Billable, needs client",IF(N737&gt;MaxDayHours,"Over "&amp;MaxDayHours&amp;" hours that day","")))))</f>
        <v/>
      </c>
    </row>
    <row r="738" customFormat="false" ht="15" hidden="false" customHeight="false" outlineLevel="0" collapsed="false">
      <c r="A738" s="31" t="n">
        <v>46244</v>
      </c>
      <c r="B738" s="32" t="s">
        <v>105</v>
      </c>
      <c r="C738" s="32"/>
      <c r="D738" s="33" t="s">
        <v>94</v>
      </c>
      <c r="E738" s="34" t="n">
        <v>1.5</v>
      </c>
      <c r="F738" s="32" t="s">
        <v>95</v>
      </c>
      <c r="G738" s="35" t="n">
        <f aca="false">IF(A738="","",A738+7-WEEKDAY(A738))</f>
        <v>46249</v>
      </c>
      <c r="H738" s="36" t="n">
        <f aca="false">IF(A738="","",DATE(YEAR(A738),MONTH(A738),1))</f>
        <v>46235</v>
      </c>
      <c r="I738" s="37" t="str">
        <f aca="false">IF(B738="","",IFERROR(INDEX(st_ID,MATCH(B738,st_Name,0)),"Unknown"))</f>
        <v>QP-06</v>
      </c>
      <c r="J738" s="37" t="str">
        <f aca="false">IF(C738="","",IFERROR(INDEX(cl_Code,MATCH(C738,cl_Name,0)),"Unknown"))</f>
        <v/>
      </c>
      <c r="K738" s="37" t="str">
        <f aca="false">IF(D738="","",IFERROR(INDEX(rt_Billable,MATCH(D738,rt_Code,0)),"Unknown"))</f>
        <v>No</v>
      </c>
      <c r="L738" s="38" t="str">
        <f aca="false">IF(K738&lt;&gt;"Yes","",IFERROR(INDEX(cr_Rate,MATCH(J738&amp;"|"&amp;D738,cr_Key,0)),INDEX(rt_Rate,MATCH(D738,rt_Code,0))))</f>
        <v/>
      </c>
      <c r="M738" s="25" t="str">
        <f aca="false">IF(L738="","",ROUND(N(E738)*L738,2))</f>
        <v/>
      </c>
      <c r="N738" s="39" t="n">
        <f aca="false">IF(OR(A738="",B738=""),"",SUMIFS(tl_Hours,tl_StaffID,I738,tl_Date,A738))</f>
        <v>8</v>
      </c>
      <c r="O738" s="40" t="str">
        <f aca="false">IF(A738&amp;B738&amp;D738="","",IF(OR(A738="",B738="",D738="",E738=""),"Incomplete",IF(K738="Unknown","Unknown code",IF(AND(K738="Yes",C738=""),"Billable, needs client",IF(N738&gt;MaxDayHours,"Over "&amp;MaxDayHours&amp;" hours that day","")))))</f>
        <v/>
      </c>
    </row>
    <row r="739" customFormat="false" ht="15" hidden="false" customHeight="false" outlineLevel="0" collapsed="false">
      <c r="A739" s="31" t="n">
        <v>46244</v>
      </c>
      <c r="B739" s="32" t="s">
        <v>105</v>
      </c>
      <c r="C739" s="32"/>
      <c r="D739" s="33" t="s">
        <v>96</v>
      </c>
      <c r="E739" s="34" t="n">
        <v>1</v>
      </c>
      <c r="F739" s="32"/>
      <c r="G739" s="35" t="n">
        <f aca="false">IF(A739="","",A739+7-WEEKDAY(A739))</f>
        <v>46249</v>
      </c>
      <c r="H739" s="36" t="n">
        <f aca="false">IF(A739="","",DATE(YEAR(A739),MONTH(A739),1))</f>
        <v>46235</v>
      </c>
      <c r="I739" s="37" t="str">
        <f aca="false">IF(B739="","",IFERROR(INDEX(st_ID,MATCH(B739,st_Name,0)),"Unknown"))</f>
        <v>QP-06</v>
      </c>
      <c r="J739" s="37" t="str">
        <f aca="false">IF(C739="","",IFERROR(INDEX(cl_Code,MATCH(C739,cl_Name,0)),"Unknown"))</f>
        <v/>
      </c>
      <c r="K739" s="37" t="str">
        <f aca="false">IF(D739="","",IFERROR(INDEX(rt_Billable,MATCH(D739,rt_Code,0)),"Unknown"))</f>
        <v>No</v>
      </c>
      <c r="L739" s="38" t="str">
        <f aca="false">IF(K739&lt;&gt;"Yes","",IFERROR(INDEX(cr_Rate,MATCH(J739&amp;"|"&amp;D739,cr_Key,0)),INDEX(rt_Rate,MATCH(D739,rt_Code,0))))</f>
        <v/>
      </c>
      <c r="M739" s="25" t="str">
        <f aca="false">IF(L739="","",ROUND(N(E739)*L739,2))</f>
        <v/>
      </c>
      <c r="N739" s="39" t="n">
        <f aca="false">IF(OR(A739="",B739=""),"",SUMIFS(tl_Hours,tl_StaffID,I739,tl_Date,A739))</f>
        <v>8</v>
      </c>
      <c r="O739" s="40" t="str">
        <f aca="false">IF(A739&amp;B739&amp;D739="","",IF(OR(A739="",B739="",D739="",E739=""),"Incomplete",IF(K739="Unknown","Unknown code",IF(AND(K739="Yes",C739=""),"Billable, needs client",IF(N739&gt;MaxDayHours,"Over "&amp;MaxDayHours&amp;" hours that day","")))))</f>
        <v/>
      </c>
    </row>
    <row r="740" customFormat="false" ht="15" hidden="false" customHeight="false" outlineLevel="0" collapsed="false">
      <c r="A740" s="31" t="n">
        <v>46244</v>
      </c>
      <c r="B740" s="32" t="s">
        <v>106</v>
      </c>
      <c r="C740" s="32" t="s">
        <v>87</v>
      </c>
      <c r="D740" s="33" t="s">
        <v>88</v>
      </c>
      <c r="E740" s="34" t="n">
        <v>2.25</v>
      </c>
      <c r="F740" s="32"/>
      <c r="G740" s="35" t="n">
        <f aca="false">IF(A740="","",A740+7-WEEKDAY(A740))</f>
        <v>46249</v>
      </c>
      <c r="H740" s="36" t="n">
        <f aca="false">IF(A740="","",DATE(YEAR(A740),MONTH(A740),1))</f>
        <v>46235</v>
      </c>
      <c r="I740" s="37" t="str">
        <f aca="false">IF(B740="","",IFERROR(INDEX(st_ID,MATCH(B740,st_Name,0)),"Unknown"))</f>
        <v>QP-07</v>
      </c>
      <c r="J740" s="37" t="str">
        <f aca="false">IF(C740="","",IFERROR(INDEX(cl_Code,MATCH(C740,cl_Name,0)),"Unknown"))</f>
        <v>HCS</v>
      </c>
      <c r="K740" s="37" t="str">
        <f aca="false">IF(D740="","",IFERROR(INDEX(rt_Billable,MATCH(D740,rt_Code,0)),"Unknown"))</f>
        <v>Yes</v>
      </c>
      <c r="L740" s="38" t="n">
        <f aca="false">IF(K740&lt;&gt;"Yes","",IFERROR(INDEX(cr_Rate,MATCH(J740&amp;"|"&amp;D740,cr_Key,0)),INDEX(rt_Rate,MATCH(D740,rt_Code,0))))</f>
        <v>98</v>
      </c>
      <c r="M740" s="25" t="n">
        <f aca="false">IF(L740="","",ROUND(N(E740)*L740,2))</f>
        <v>220.5</v>
      </c>
      <c r="N740" s="39" t="n">
        <f aca="false">IF(OR(A740="",B740=""),"",SUMIFS(tl_Hours,tl_StaffID,I740,tl_Date,A740))</f>
        <v>8</v>
      </c>
      <c r="O740" s="40" t="str">
        <f aca="false">IF(A740&amp;B740&amp;D740="","",IF(OR(A740="",B740="",D740="",E740=""),"Incomplete",IF(K740="Unknown","Unknown code",IF(AND(K740="Yes",C740=""),"Billable, needs client",IF(N740&gt;MaxDayHours,"Over "&amp;MaxDayHours&amp;" hours that day","")))))</f>
        <v/>
      </c>
    </row>
    <row r="741" customFormat="false" ht="15" hidden="false" customHeight="false" outlineLevel="0" collapsed="false">
      <c r="A741" s="31" t="n">
        <v>46244</v>
      </c>
      <c r="B741" s="32" t="s">
        <v>106</v>
      </c>
      <c r="C741" s="32" t="s">
        <v>87</v>
      </c>
      <c r="D741" s="33" t="s">
        <v>89</v>
      </c>
      <c r="E741" s="34" t="n">
        <v>0.75</v>
      </c>
      <c r="F741" s="32"/>
      <c r="G741" s="35" t="n">
        <f aca="false">IF(A741="","",A741+7-WEEKDAY(A741))</f>
        <v>46249</v>
      </c>
      <c r="H741" s="36" t="n">
        <f aca="false">IF(A741="","",DATE(YEAR(A741),MONTH(A741),1))</f>
        <v>46235</v>
      </c>
      <c r="I741" s="37" t="str">
        <f aca="false">IF(B741="","",IFERROR(INDEX(st_ID,MATCH(B741,st_Name,0)),"Unknown"))</f>
        <v>QP-07</v>
      </c>
      <c r="J741" s="37" t="str">
        <f aca="false">IF(C741="","",IFERROR(INDEX(cl_Code,MATCH(C741,cl_Name,0)),"Unknown"))</f>
        <v>HCS</v>
      </c>
      <c r="K741" s="37" t="str">
        <f aca="false">IF(D741="","",IFERROR(INDEX(rt_Billable,MATCH(D741,rt_Code,0)),"Unknown"))</f>
        <v>Yes</v>
      </c>
      <c r="L741" s="38" t="n">
        <f aca="false">IF(K741&lt;&gt;"Yes","",IFERROR(INDEX(cr_Rate,MATCH(J741&amp;"|"&amp;D741,cr_Key,0)),INDEX(rt_Rate,MATCH(D741,rt_Code,0))))</f>
        <v>88</v>
      </c>
      <c r="M741" s="25" t="n">
        <f aca="false">IF(L741="","",ROUND(N(E741)*L741,2))</f>
        <v>66</v>
      </c>
      <c r="N741" s="39" t="n">
        <f aca="false">IF(OR(A741="",B741=""),"",SUMIFS(tl_Hours,tl_StaffID,I741,tl_Date,A741))</f>
        <v>8</v>
      </c>
      <c r="O741" s="40" t="str">
        <f aca="false">IF(A741&amp;B741&amp;D741="","",IF(OR(A741="",B741="",D741="",E741=""),"Incomplete",IF(K741="Unknown","Unknown code",IF(AND(K741="Yes",C741=""),"Billable, needs client",IF(N741&gt;MaxDayHours,"Over "&amp;MaxDayHours&amp;" hours that day","")))))</f>
        <v/>
      </c>
    </row>
    <row r="742" customFormat="false" ht="15" hidden="false" customHeight="false" outlineLevel="0" collapsed="false">
      <c r="A742" s="31" t="n">
        <v>46244</v>
      </c>
      <c r="B742" s="32" t="s">
        <v>106</v>
      </c>
      <c r="C742" s="32" t="s">
        <v>112</v>
      </c>
      <c r="D742" s="33" t="s">
        <v>88</v>
      </c>
      <c r="E742" s="34" t="n">
        <v>1.75</v>
      </c>
      <c r="F742" s="32"/>
      <c r="G742" s="35" t="n">
        <f aca="false">IF(A742="","",A742+7-WEEKDAY(A742))</f>
        <v>46249</v>
      </c>
      <c r="H742" s="36" t="n">
        <f aca="false">IF(A742="","",DATE(YEAR(A742),MONTH(A742),1))</f>
        <v>46235</v>
      </c>
      <c r="I742" s="37" t="str">
        <f aca="false">IF(B742="","",IFERROR(INDEX(st_ID,MATCH(B742,st_Name,0)),"Unknown"))</f>
        <v>QP-07</v>
      </c>
      <c r="J742" s="37" t="str">
        <f aca="false">IF(C742="","",IFERROR(INDEX(cl_Code,MATCH(C742,cl_Name,0)),"Unknown"))</f>
        <v>PCA</v>
      </c>
      <c r="K742" s="37" t="str">
        <f aca="false">IF(D742="","",IFERROR(INDEX(rt_Billable,MATCH(D742,rt_Code,0)),"Unknown"))</f>
        <v>Yes</v>
      </c>
      <c r="L742" s="38" t="n">
        <f aca="false">IF(K742&lt;&gt;"Yes","",IFERROR(INDEX(cr_Rate,MATCH(J742&amp;"|"&amp;D742,cr_Key,0)),INDEX(rt_Rate,MATCH(D742,rt_Code,0))))</f>
        <v>110</v>
      </c>
      <c r="M742" s="25" t="n">
        <f aca="false">IF(L742="","",ROUND(N(E742)*L742,2))</f>
        <v>192.5</v>
      </c>
      <c r="N742" s="39" t="n">
        <f aca="false">IF(OR(A742="",B742=""),"",SUMIFS(tl_Hours,tl_StaffID,I742,tl_Date,A742))</f>
        <v>8</v>
      </c>
      <c r="O742" s="40" t="str">
        <f aca="false">IF(A742&amp;B742&amp;D742="","",IF(OR(A742="",B742="",D742="",E742=""),"Incomplete",IF(K742="Unknown","Unknown code",IF(AND(K742="Yes",C742=""),"Billable, needs client",IF(N742&gt;MaxDayHours,"Over "&amp;MaxDayHours&amp;" hours that day","")))))</f>
        <v/>
      </c>
    </row>
    <row r="743" customFormat="false" ht="15" hidden="false" customHeight="false" outlineLevel="0" collapsed="false">
      <c r="A743" s="31" t="n">
        <v>46244</v>
      </c>
      <c r="B743" s="32" t="s">
        <v>106</v>
      </c>
      <c r="C743" s="32" t="s">
        <v>112</v>
      </c>
      <c r="D743" s="33" t="s">
        <v>104</v>
      </c>
      <c r="E743" s="34" t="n">
        <v>1.25</v>
      </c>
      <c r="F743" s="32"/>
      <c r="G743" s="35" t="n">
        <f aca="false">IF(A743="","",A743+7-WEEKDAY(A743))</f>
        <v>46249</v>
      </c>
      <c r="H743" s="36" t="n">
        <f aca="false">IF(A743="","",DATE(YEAR(A743),MONTH(A743),1))</f>
        <v>46235</v>
      </c>
      <c r="I743" s="37" t="str">
        <f aca="false">IF(B743="","",IFERROR(INDEX(st_ID,MATCH(B743,st_Name,0)),"Unknown"))</f>
        <v>QP-07</v>
      </c>
      <c r="J743" s="37" t="str">
        <f aca="false">IF(C743="","",IFERROR(INDEX(cl_Code,MATCH(C743,cl_Name,0)),"Unknown"))</f>
        <v>PCA</v>
      </c>
      <c r="K743" s="37" t="str">
        <f aca="false">IF(D743="","",IFERROR(INDEX(rt_Billable,MATCH(D743,rt_Code,0)),"Unknown"))</f>
        <v>Yes</v>
      </c>
      <c r="L743" s="38" t="n">
        <f aca="false">IF(K743&lt;&gt;"Yes","",IFERROR(INDEX(cr_Rate,MATCH(J743&amp;"|"&amp;D743,cr_Key,0)),INDEX(rt_Rate,MATCH(D743,rt_Code,0))))</f>
        <v>70</v>
      </c>
      <c r="M743" s="25" t="n">
        <f aca="false">IF(L743="","",ROUND(N(E743)*L743,2))</f>
        <v>87.5</v>
      </c>
      <c r="N743" s="39" t="n">
        <f aca="false">IF(OR(A743="",B743=""),"",SUMIFS(tl_Hours,tl_StaffID,I743,tl_Date,A743))</f>
        <v>8</v>
      </c>
      <c r="O743" s="40" t="str">
        <f aca="false">IF(A743&amp;B743&amp;D743="","",IF(OR(A743="",B743="",D743="",E743=""),"Incomplete",IF(K743="Unknown","Unknown code",IF(AND(K743="Yes",C743=""),"Billable, needs client",IF(N743&gt;MaxDayHours,"Over "&amp;MaxDayHours&amp;" hours that day","")))))</f>
        <v/>
      </c>
    </row>
    <row r="744" customFormat="false" ht="15" hidden="false" customHeight="false" outlineLevel="0" collapsed="false">
      <c r="A744" s="31" t="n">
        <v>46244</v>
      </c>
      <c r="B744" s="32" t="s">
        <v>106</v>
      </c>
      <c r="C744" s="32"/>
      <c r="D744" s="33" t="s">
        <v>93</v>
      </c>
      <c r="E744" s="34" t="n">
        <v>0.5</v>
      </c>
      <c r="F744" s="32"/>
      <c r="G744" s="35" t="n">
        <f aca="false">IF(A744="","",A744+7-WEEKDAY(A744))</f>
        <v>46249</v>
      </c>
      <c r="H744" s="36" t="n">
        <f aca="false">IF(A744="","",DATE(YEAR(A744),MONTH(A744),1))</f>
        <v>46235</v>
      </c>
      <c r="I744" s="37" t="str">
        <f aca="false">IF(B744="","",IFERROR(INDEX(st_ID,MATCH(B744,st_Name,0)),"Unknown"))</f>
        <v>QP-07</v>
      </c>
      <c r="J744" s="37" t="str">
        <f aca="false">IF(C744="","",IFERROR(INDEX(cl_Code,MATCH(C744,cl_Name,0)),"Unknown"))</f>
        <v/>
      </c>
      <c r="K744" s="37" t="str">
        <f aca="false">IF(D744="","",IFERROR(INDEX(rt_Billable,MATCH(D744,rt_Code,0)),"Unknown"))</f>
        <v>No</v>
      </c>
      <c r="L744" s="38" t="str">
        <f aca="false">IF(K744&lt;&gt;"Yes","",IFERROR(INDEX(cr_Rate,MATCH(J744&amp;"|"&amp;D744,cr_Key,0)),INDEX(rt_Rate,MATCH(D744,rt_Code,0))))</f>
        <v/>
      </c>
      <c r="M744" s="25" t="str">
        <f aca="false">IF(L744="","",ROUND(N(E744)*L744,2))</f>
        <v/>
      </c>
      <c r="N744" s="39" t="n">
        <f aca="false">IF(OR(A744="",B744=""),"",SUMIFS(tl_Hours,tl_StaffID,I744,tl_Date,A744))</f>
        <v>8</v>
      </c>
      <c r="O744" s="40" t="str">
        <f aca="false">IF(A744&amp;B744&amp;D744="","",IF(OR(A744="",B744="",D744="",E744=""),"Incomplete",IF(K744="Unknown","Unknown code",IF(AND(K744="Yes",C744=""),"Billable, needs client",IF(N744&gt;MaxDayHours,"Over "&amp;MaxDayHours&amp;" hours that day","")))))</f>
        <v/>
      </c>
    </row>
    <row r="745" customFormat="false" ht="15" hidden="false" customHeight="false" outlineLevel="0" collapsed="false">
      <c r="A745" s="31" t="n">
        <v>46244</v>
      </c>
      <c r="B745" s="32" t="s">
        <v>106</v>
      </c>
      <c r="C745" s="32"/>
      <c r="D745" s="33" t="s">
        <v>96</v>
      </c>
      <c r="E745" s="34" t="n">
        <v>1.5</v>
      </c>
      <c r="F745" s="32"/>
      <c r="G745" s="35" t="n">
        <f aca="false">IF(A745="","",A745+7-WEEKDAY(A745))</f>
        <v>46249</v>
      </c>
      <c r="H745" s="36" t="n">
        <f aca="false">IF(A745="","",DATE(YEAR(A745),MONTH(A745),1))</f>
        <v>46235</v>
      </c>
      <c r="I745" s="37" t="str">
        <f aca="false">IF(B745="","",IFERROR(INDEX(st_ID,MATCH(B745,st_Name,0)),"Unknown"))</f>
        <v>QP-07</v>
      </c>
      <c r="J745" s="37" t="str">
        <f aca="false">IF(C745="","",IFERROR(INDEX(cl_Code,MATCH(C745,cl_Name,0)),"Unknown"))</f>
        <v/>
      </c>
      <c r="K745" s="37" t="str">
        <f aca="false">IF(D745="","",IFERROR(INDEX(rt_Billable,MATCH(D745,rt_Code,0)),"Unknown"))</f>
        <v>No</v>
      </c>
      <c r="L745" s="38" t="str">
        <f aca="false">IF(K745&lt;&gt;"Yes","",IFERROR(INDEX(cr_Rate,MATCH(J745&amp;"|"&amp;D745,cr_Key,0)),INDEX(rt_Rate,MATCH(D745,rt_Code,0))))</f>
        <v/>
      </c>
      <c r="M745" s="25" t="str">
        <f aca="false">IF(L745="","",ROUND(N(E745)*L745,2))</f>
        <v/>
      </c>
      <c r="N745" s="39" t="n">
        <f aca="false">IF(OR(A745="",B745=""),"",SUMIFS(tl_Hours,tl_StaffID,I745,tl_Date,A745))</f>
        <v>8</v>
      </c>
      <c r="O745" s="40" t="str">
        <f aca="false">IF(A745&amp;B745&amp;D745="","",IF(OR(A745="",B745="",D745="",E745=""),"Incomplete",IF(K745="Unknown","Unknown code",IF(AND(K745="Yes",C745=""),"Billable, needs client",IF(N745&gt;MaxDayHours,"Over "&amp;MaxDayHours&amp;" hours that day","")))))</f>
        <v/>
      </c>
    </row>
    <row r="746" customFormat="false" ht="15" hidden="false" customHeight="false" outlineLevel="0" collapsed="false">
      <c r="A746" s="31" t="n">
        <v>46244</v>
      </c>
      <c r="B746" s="32" t="s">
        <v>107</v>
      </c>
      <c r="C746" s="32"/>
      <c r="D746" s="33" t="s">
        <v>108</v>
      </c>
      <c r="E746" s="34" t="n">
        <v>6</v>
      </c>
      <c r="F746" s="32"/>
      <c r="G746" s="35" t="n">
        <f aca="false">IF(A746="","",A746+7-WEEKDAY(A746))</f>
        <v>46249</v>
      </c>
      <c r="H746" s="36" t="n">
        <f aca="false">IF(A746="","",DATE(YEAR(A746),MONTH(A746),1))</f>
        <v>46235</v>
      </c>
      <c r="I746" s="37" t="str">
        <f aca="false">IF(B746="","",IFERROR(INDEX(st_ID,MATCH(B746,st_Name,0)),"Unknown"))</f>
        <v>QP-08</v>
      </c>
      <c r="J746" s="37" t="str">
        <f aca="false">IF(C746="","",IFERROR(INDEX(cl_Code,MATCH(C746,cl_Name,0)),"Unknown"))</f>
        <v/>
      </c>
      <c r="K746" s="37" t="str">
        <f aca="false">IF(D746="","",IFERROR(INDEX(rt_Billable,MATCH(D746,rt_Code,0)),"Unknown"))</f>
        <v>No</v>
      </c>
      <c r="L746" s="38" t="str">
        <f aca="false">IF(K746&lt;&gt;"Yes","",IFERROR(INDEX(cr_Rate,MATCH(J746&amp;"|"&amp;D746,cr_Key,0)),INDEX(rt_Rate,MATCH(D746,rt_Code,0))))</f>
        <v/>
      </c>
      <c r="M746" s="25" t="str">
        <f aca="false">IF(L746="","",ROUND(N(E746)*L746,2))</f>
        <v/>
      </c>
      <c r="N746" s="39" t="n">
        <f aca="false">IF(OR(A746="",B746=""),"",SUMIFS(tl_Hours,tl_StaffID,I746,tl_Date,A746))</f>
        <v>8</v>
      </c>
      <c r="O746" s="40" t="str">
        <f aca="false">IF(A746&amp;B746&amp;D746="","",IF(OR(A746="",B746="",D746="",E746=""),"Incomplete",IF(K746="Unknown","Unknown code",IF(AND(K746="Yes",C746=""),"Billable, needs client",IF(N746&gt;MaxDayHours,"Over "&amp;MaxDayHours&amp;" hours that day","")))))</f>
        <v/>
      </c>
    </row>
    <row r="747" customFormat="false" ht="15" hidden="false" customHeight="false" outlineLevel="0" collapsed="false">
      <c r="A747" s="31" t="n">
        <v>46244</v>
      </c>
      <c r="B747" s="32" t="s">
        <v>107</v>
      </c>
      <c r="C747" s="32"/>
      <c r="D747" s="33" t="s">
        <v>98</v>
      </c>
      <c r="E747" s="34" t="n">
        <v>2</v>
      </c>
      <c r="F747" s="32"/>
      <c r="G747" s="35" t="n">
        <f aca="false">IF(A747="","",A747+7-WEEKDAY(A747))</f>
        <v>46249</v>
      </c>
      <c r="H747" s="36" t="n">
        <f aca="false">IF(A747="","",DATE(YEAR(A747),MONTH(A747),1))</f>
        <v>46235</v>
      </c>
      <c r="I747" s="37" t="str">
        <f aca="false">IF(B747="","",IFERROR(INDEX(st_ID,MATCH(B747,st_Name,0)),"Unknown"))</f>
        <v>QP-08</v>
      </c>
      <c r="J747" s="37" t="str">
        <f aca="false">IF(C747="","",IFERROR(INDEX(cl_Code,MATCH(C747,cl_Name,0)),"Unknown"))</f>
        <v/>
      </c>
      <c r="K747" s="37" t="str">
        <f aca="false">IF(D747="","",IFERROR(INDEX(rt_Billable,MATCH(D747,rt_Code,0)),"Unknown"))</f>
        <v>No</v>
      </c>
      <c r="L747" s="38" t="str">
        <f aca="false">IF(K747&lt;&gt;"Yes","",IFERROR(INDEX(cr_Rate,MATCH(J747&amp;"|"&amp;D747,cr_Key,0)),INDEX(rt_Rate,MATCH(D747,rt_Code,0))))</f>
        <v/>
      </c>
      <c r="M747" s="25" t="str">
        <f aca="false">IF(L747="","",ROUND(N(E747)*L747,2))</f>
        <v/>
      </c>
      <c r="N747" s="39" t="n">
        <f aca="false">IF(OR(A747="",B747=""),"",SUMIFS(tl_Hours,tl_StaffID,I747,tl_Date,A747))</f>
        <v>8</v>
      </c>
      <c r="O747" s="40" t="str">
        <f aca="false">IF(A747&amp;B747&amp;D747="","",IF(OR(A747="",B747="",D747="",E747=""),"Incomplete",IF(K747="Unknown","Unknown code",IF(AND(K747="Yes",C747=""),"Billable, needs client",IF(N747&gt;MaxDayHours,"Over "&amp;MaxDayHours&amp;" hours that day","")))))</f>
        <v/>
      </c>
    </row>
    <row r="748" customFormat="false" ht="15" hidden="false" customHeight="false" outlineLevel="0" collapsed="false">
      <c r="A748" s="31" t="n">
        <v>46245</v>
      </c>
      <c r="B748" s="32" t="s">
        <v>86</v>
      </c>
      <c r="C748" s="32" t="s">
        <v>90</v>
      </c>
      <c r="D748" s="33" t="s">
        <v>91</v>
      </c>
      <c r="E748" s="34" t="n">
        <v>3.75</v>
      </c>
      <c r="F748" s="32"/>
      <c r="G748" s="35" t="n">
        <f aca="false">IF(A748="","",A748+7-WEEKDAY(A748))</f>
        <v>46249</v>
      </c>
      <c r="H748" s="36" t="n">
        <f aca="false">IF(A748="","",DATE(YEAR(A748),MONTH(A748),1))</f>
        <v>46235</v>
      </c>
      <c r="I748" s="37" t="str">
        <f aca="false">IF(B748="","",IFERROR(INDEX(st_ID,MATCH(B748,st_Name,0)),"Unknown"))</f>
        <v>QP-01</v>
      </c>
      <c r="J748" s="37" t="str">
        <f aca="false">IF(C748="","",IFERROR(INDEX(cl_Code,MATCH(C748,cl_Name,0)),"Unknown"))</f>
        <v>BSE</v>
      </c>
      <c r="K748" s="37" t="str">
        <f aca="false">IF(D748="","",IFERROR(INDEX(rt_Billable,MATCH(D748,rt_Code,0)),"Unknown"))</f>
        <v>Yes</v>
      </c>
      <c r="L748" s="38" t="n">
        <f aca="false">IF(K748&lt;&gt;"Yes","",IFERROR(INDEX(cr_Rate,MATCH(J748&amp;"|"&amp;D748,cr_Key,0)),INDEX(rt_Rate,MATCH(D748,rt_Code,0))))</f>
        <v>100</v>
      </c>
      <c r="M748" s="25" t="n">
        <f aca="false">IF(L748="","",ROUND(N(E748)*L748,2))</f>
        <v>375</v>
      </c>
      <c r="N748" s="39" t="n">
        <f aca="false">IF(OR(A748="",B748=""),"",SUMIFS(tl_Hours,tl_StaffID,I748,tl_Date,A748))</f>
        <v>8</v>
      </c>
      <c r="O748" s="40" t="str">
        <f aca="false">IF(A748&amp;B748&amp;D748="","",IF(OR(A748="",B748="",D748="",E748=""),"Incomplete",IF(K748="Unknown","Unknown code",IF(AND(K748="Yes",C748=""),"Billable, needs client",IF(N748&gt;MaxDayHours,"Over "&amp;MaxDayHours&amp;" hours that day","")))))</f>
        <v/>
      </c>
    </row>
    <row r="749" customFormat="false" ht="15" hidden="false" customHeight="false" outlineLevel="0" collapsed="false">
      <c r="A749" s="31" t="n">
        <v>46245</v>
      </c>
      <c r="B749" s="32" t="s">
        <v>86</v>
      </c>
      <c r="C749" s="32" t="s">
        <v>90</v>
      </c>
      <c r="D749" s="33" t="s">
        <v>92</v>
      </c>
      <c r="E749" s="34" t="n">
        <v>1.5</v>
      </c>
      <c r="F749" s="32"/>
      <c r="G749" s="35" t="n">
        <f aca="false">IF(A749="","",A749+7-WEEKDAY(A749))</f>
        <v>46249</v>
      </c>
      <c r="H749" s="36" t="n">
        <f aca="false">IF(A749="","",DATE(YEAR(A749),MONTH(A749),1))</f>
        <v>46235</v>
      </c>
      <c r="I749" s="37" t="str">
        <f aca="false">IF(B749="","",IFERROR(INDEX(st_ID,MATCH(B749,st_Name,0)),"Unknown"))</f>
        <v>QP-01</v>
      </c>
      <c r="J749" s="37" t="str">
        <f aca="false">IF(C749="","",IFERROR(INDEX(cl_Code,MATCH(C749,cl_Name,0)),"Unknown"))</f>
        <v>BSE</v>
      </c>
      <c r="K749" s="37" t="str">
        <f aca="false">IF(D749="","",IFERROR(INDEX(rt_Billable,MATCH(D749,rt_Code,0)),"Unknown"))</f>
        <v>Yes</v>
      </c>
      <c r="L749" s="38" t="n">
        <f aca="false">IF(K749&lt;&gt;"Yes","",IFERROR(INDEX(cr_Rate,MATCH(J749&amp;"|"&amp;D749,cr_Key,0)),INDEX(rt_Rate,MATCH(D749,rt_Code,0))))</f>
        <v>145</v>
      </c>
      <c r="M749" s="25" t="n">
        <f aca="false">IF(L749="","",ROUND(N(E749)*L749,2))</f>
        <v>217.5</v>
      </c>
      <c r="N749" s="39" t="n">
        <f aca="false">IF(OR(A749="",B749=""),"",SUMIFS(tl_Hours,tl_StaffID,I749,tl_Date,A749))</f>
        <v>8</v>
      </c>
      <c r="O749" s="40" t="str">
        <f aca="false">IF(A749&amp;B749&amp;D749="","",IF(OR(A749="",B749="",D749="",E749=""),"Incomplete",IF(K749="Unknown","Unknown code",IF(AND(K749="Yes",C749=""),"Billable, needs client",IF(N749&gt;MaxDayHours,"Over "&amp;MaxDayHours&amp;" hours that day","")))))</f>
        <v/>
      </c>
    </row>
    <row r="750" customFormat="false" ht="15" hidden="false" customHeight="false" outlineLevel="0" collapsed="false">
      <c r="A750" s="31" t="n">
        <v>46245</v>
      </c>
      <c r="B750" s="32" t="s">
        <v>86</v>
      </c>
      <c r="C750" s="32"/>
      <c r="D750" s="33" t="s">
        <v>96</v>
      </c>
      <c r="E750" s="34" t="n">
        <v>2.75</v>
      </c>
      <c r="F750" s="32"/>
      <c r="G750" s="35" t="n">
        <f aca="false">IF(A750="","",A750+7-WEEKDAY(A750))</f>
        <v>46249</v>
      </c>
      <c r="H750" s="36" t="n">
        <f aca="false">IF(A750="","",DATE(YEAR(A750),MONTH(A750),1))</f>
        <v>46235</v>
      </c>
      <c r="I750" s="37" t="str">
        <f aca="false">IF(B750="","",IFERROR(INDEX(st_ID,MATCH(B750,st_Name,0)),"Unknown"))</f>
        <v>QP-01</v>
      </c>
      <c r="J750" s="37" t="str">
        <f aca="false">IF(C750="","",IFERROR(INDEX(cl_Code,MATCH(C750,cl_Name,0)),"Unknown"))</f>
        <v/>
      </c>
      <c r="K750" s="37" t="str">
        <f aca="false">IF(D750="","",IFERROR(INDEX(rt_Billable,MATCH(D750,rt_Code,0)),"Unknown"))</f>
        <v>No</v>
      </c>
      <c r="L750" s="38" t="str">
        <f aca="false">IF(K750&lt;&gt;"Yes","",IFERROR(INDEX(cr_Rate,MATCH(J750&amp;"|"&amp;D750,cr_Key,0)),INDEX(rt_Rate,MATCH(D750,rt_Code,0))))</f>
        <v/>
      </c>
      <c r="M750" s="25" t="str">
        <f aca="false">IF(L750="","",ROUND(N(E750)*L750,2))</f>
        <v/>
      </c>
      <c r="N750" s="39" t="n">
        <f aca="false">IF(OR(A750="",B750=""),"",SUMIFS(tl_Hours,tl_StaffID,I750,tl_Date,A750))</f>
        <v>8</v>
      </c>
      <c r="O750" s="40" t="str">
        <f aca="false">IF(A750&amp;B750&amp;D750="","",IF(OR(A750="",B750="",D750="",E750=""),"Incomplete",IF(K750="Unknown","Unknown code",IF(AND(K750="Yes",C750=""),"Billable, needs client",IF(N750&gt;MaxDayHours,"Over "&amp;MaxDayHours&amp;" hours that day","")))))</f>
        <v/>
      </c>
    </row>
    <row r="751" customFormat="false" ht="15" hidden="false" customHeight="false" outlineLevel="0" collapsed="false">
      <c r="A751" s="31" t="n">
        <v>46245</v>
      </c>
      <c r="B751" s="32" t="s">
        <v>97</v>
      </c>
      <c r="C751" s="32" t="s">
        <v>90</v>
      </c>
      <c r="D751" s="33" t="s">
        <v>91</v>
      </c>
      <c r="E751" s="34" t="n">
        <v>3.5</v>
      </c>
      <c r="F751" s="32"/>
      <c r="G751" s="35" t="n">
        <f aca="false">IF(A751="","",A751+7-WEEKDAY(A751))</f>
        <v>46249</v>
      </c>
      <c r="H751" s="36" t="n">
        <f aca="false">IF(A751="","",DATE(YEAR(A751),MONTH(A751),1))</f>
        <v>46235</v>
      </c>
      <c r="I751" s="37" t="str">
        <f aca="false">IF(B751="","",IFERROR(INDEX(st_ID,MATCH(B751,st_Name,0)),"Unknown"))</f>
        <v>QP-02</v>
      </c>
      <c r="J751" s="37" t="str">
        <f aca="false">IF(C751="","",IFERROR(INDEX(cl_Code,MATCH(C751,cl_Name,0)),"Unknown"))</f>
        <v>BSE</v>
      </c>
      <c r="K751" s="37" t="str">
        <f aca="false">IF(D751="","",IFERROR(INDEX(rt_Billable,MATCH(D751,rt_Code,0)),"Unknown"))</f>
        <v>Yes</v>
      </c>
      <c r="L751" s="38" t="n">
        <f aca="false">IF(K751&lt;&gt;"Yes","",IFERROR(INDEX(cr_Rate,MATCH(J751&amp;"|"&amp;D751,cr_Key,0)),INDEX(rt_Rate,MATCH(D751,rt_Code,0))))</f>
        <v>100</v>
      </c>
      <c r="M751" s="25" t="n">
        <f aca="false">IF(L751="","",ROUND(N(E751)*L751,2))</f>
        <v>350</v>
      </c>
      <c r="N751" s="39" t="n">
        <f aca="false">IF(OR(A751="",B751=""),"",SUMIFS(tl_Hours,tl_StaffID,I751,tl_Date,A751))</f>
        <v>8</v>
      </c>
      <c r="O751" s="40" t="str">
        <f aca="false">IF(A751&amp;B751&amp;D751="","",IF(OR(A751="",B751="",D751="",E751=""),"Incomplete",IF(K751="Unknown","Unknown code",IF(AND(K751="Yes",C751=""),"Billable, needs client",IF(N751&gt;MaxDayHours,"Over "&amp;MaxDayHours&amp;" hours that day","")))))</f>
        <v/>
      </c>
    </row>
    <row r="752" customFormat="false" ht="15" hidden="false" customHeight="false" outlineLevel="0" collapsed="false">
      <c r="A752" s="31" t="n">
        <v>46245</v>
      </c>
      <c r="B752" s="32" t="s">
        <v>97</v>
      </c>
      <c r="C752" s="32" t="s">
        <v>90</v>
      </c>
      <c r="D752" s="33" t="s">
        <v>92</v>
      </c>
      <c r="E752" s="34" t="n">
        <v>2.5</v>
      </c>
      <c r="F752" s="32"/>
      <c r="G752" s="35" t="n">
        <f aca="false">IF(A752="","",A752+7-WEEKDAY(A752))</f>
        <v>46249</v>
      </c>
      <c r="H752" s="36" t="n">
        <f aca="false">IF(A752="","",DATE(YEAR(A752),MONTH(A752),1))</f>
        <v>46235</v>
      </c>
      <c r="I752" s="37" t="str">
        <f aca="false">IF(B752="","",IFERROR(INDEX(st_ID,MATCH(B752,st_Name,0)),"Unknown"))</f>
        <v>QP-02</v>
      </c>
      <c r="J752" s="37" t="str">
        <f aca="false">IF(C752="","",IFERROR(INDEX(cl_Code,MATCH(C752,cl_Name,0)),"Unknown"))</f>
        <v>BSE</v>
      </c>
      <c r="K752" s="37" t="str">
        <f aca="false">IF(D752="","",IFERROR(INDEX(rt_Billable,MATCH(D752,rt_Code,0)),"Unknown"))</f>
        <v>Yes</v>
      </c>
      <c r="L752" s="38" t="n">
        <f aca="false">IF(K752&lt;&gt;"Yes","",IFERROR(INDEX(cr_Rate,MATCH(J752&amp;"|"&amp;D752,cr_Key,0)),INDEX(rt_Rate,MATCH(D752,rt_Code,0))))</f>
        <v>145</v>
      </c>
      <c r="M752" s="25" t="n">
        <f aca="false">IF(L752="","",ROUND(N(E752)*L752,2))</f>
        <v>362.5</v>
      </c>
      <c r="N752" s="39" t="n">
        <f aca="false">IF(OR(A752="",B752=""),"",SUMIFS(tl_Hours,tl_StaffID,I752,tl_Date,A752))</f>
        <v>8</v>
      </c>
      <c r="O752" s="40" t="str">
        <f aca="false">IF(A752&amp;B752&amp;D752="","",IF(OR(A752="",B752="",D752="",E752=""),"Incomplete",IF(K752="Unknown","Unknown code",IF(AND(K752="Yes",C752=""),"Billable, needs client",IF(N752&gt;MaxDayHours,"Over "&amp;MaxDayHours&amp;" hours that day","")))))</f>
        <v/>
      </c>
    </row>
    <row r="753" customFormat="false" ht="15" hidden="false" customHeight="false" outlineLevel="0" collapsed="false">
      <c r="A753" s="31" t="n">
        <v>46245</v>
      </c>
      <c r="B753" s="32" t="s">
        <v>97</v>
      </c>
      <c r="C753" s="32"/>
      <c r="D753" s="33" t="s">
        <v>96</v>
      </c>
      <c r="E753" s="34" t="n">
        <v>2</v>
      </c>
      <c r="F753" s="32"/>
      <c r="G753" s="35" t="n">
        <f aca="false">IF(A753="","",A753+7-WEEKDAY(A753))</f>
        <v>46249</v>
      </c>
      <c r="H753" s="36" t="n">
        <f aca="false">IF(A753="","",DATE(YEAR(A753),MONTH(A753),1))</f>
        <v>46235</v>
      </c>
      <c r="I753" s="37" t="str">
        <f aca="false">IF(B753="","",IFERROR(INDEX(st_ID,MATCH(B753,st_Name,0)),"Unknown"))</f>
        <v>QP-02</v>
      </c>
      <c r="J753" s="37" t="str">
        <f aca="false">IF(C753="","",IFERROR(INDEX(cl_Code,MATCH(C753,cl_Name,0)),"Unknown"))</f>
        <v/>
      </c>
      <c r="K753" s="37" t="str">
        <f aca="false">IF(D753="","",IFERROR(INDEX(rt_Billable,MATCH(D753,rt_Code,0)),"Unknown"))</f>
        <v>No</v>
      </c>
      <c r="L753" s="38" t="str">
        <f aca="false">IF(K753&lt;&gt;"Yes","",IFERROR(INDEX(cr_Rate,MATCH(J753&amp;"|"&amp;D753,cr_Key,0)),INDEX(rt_Rate,MATCH(D753,rt_Code,0))))</f>
        <v/>
      </c>
      <c r="M753" s="25" t="str">
        <f aca="false">IF(L753="","",ROUND(N(E753)*L753,2))</f>
        <v/>
      </c>
      <c r="N753" s="39" t="n">
        <f aca="false">IF(OR(A753="",B753=""),"",SUMIFS(tl_Hours,tl_StaffID,I753,tl_Date,A753))</f>
        <v>8</v>
      </c>
      <c r="O753" s="40" t="str">
        <f aca="false">IF(A753&amp;B753&amp;D753="","",IF(OR(A753="",B753="",D753="",E753=""),"Incomplete",IF(K753="Unknown","Unknown code",IF(AND(K753="Yes",C753=""),"Billable, needs client",IF(N753&gt;MaxDayHours,"Over "&amp;MaxDayHours&amp;" hours that day","")))))</f>
        <v/>
      </c>
    </row>
    <row r="754" customFormat="false" ht="15" hidden="false" customHeight="false" outlineLevel="0" collapsed="false">
      <c r="A754" s="31" t="n">
        <v>46245</v>
      </c>
      <c r="B754" s="32" t="s">
        <v>100</v>
      </c>
      <c r="C754" s="32" t="s">
        <v>90</v>
      </c>
      <c r="D754" s="33" t="s">
        <v>88</v>
      </c>
      <c r="E754" s="34" t="n">
        <v>3.25</v>
      </c>
      <c r="F754" s="32"/>
      <c r="G754" s="35" t="n">
        <f aca="false">IF(A754="","",A754+7-WEEKDAY(A754))</f>
        <v>46249</v>
      </c>
      <c r="H754" s="36" t="n">
        <f aca="false">IF(A754="","",DATE(YEAR(A754),MONTH(A754),1))</f>
        <v>46235</v>
      </c>
      <c r="I754" s="37" t="str">
        <f aca="false">IF(B754="","",IFERROR(INDEX(st_ID,MATCH(B754,st_Name,0)),"Unknown"))</f>
        <v>QP-03</v>
      </c>
      <c r="J754" s="37" t="str">
        <f aca="false">IF(C754="","",IFERROR(INDEX(cl_Code,MATCH(C754,cl_Name,0)),"Unknown"))</f>
        <v>BSE</v>
      </c>
      <c r="K754" s="37" t="str">
        <f aca="false">IF(D754="","",IFERROR(INDEX(rt_Billable,MATCH(D754,rt_Code,0)),"Unknown"))</f>
        <v>Yes</v>
      </c>
      <c r="L754" s="38" t="n">
        <f aca="false">IF(K754&lt;&gt;"Yes","",IFERROR(INDEX(cr_Rate,MATCH(J754&amp;"|"&amp;D754,cr_Key,0)),INDEX(rt_Rate,MATCH(D754,rt_Code,0))))</f>
        <v>104</v>
      </c>
      <c r="M754" s="25" t="n">
        <f aca="false">IF(L754="","",ROUND(N(E754)*L754,2))</f>
        <v>338</v>
      </c>
      <c r="N754" s="39" t="n">
        <f aca="false">IF(OR(A754="",B754=""),"",SUMIFS(tl_Hours,tl_StaffID,I754,tl_Date,A754))</f>
        <v>8</v>
      </c>
      <c r="O754" s="40" t="str">
        <f aca="false">IF(A754&amp;B754&amp;D754="","",IF(OR(A754="",B754="",D754="",E754=""),"Incomplete",IF(K754="Unknown","Unknown code",IF(AND(K754="Yes",C754=""),"Billable, needs client",IF(N754&gt;MaxDayHours,"Over "&amp;MaxDayHours&amp;" hours that day","")))))</f>
        <v/>
      </c>
    </row>
    <row r="755" customFormat="false" ht="15" hidden="false" customHeight="false" outlineLevel="0" collapsed="false">
      <c r="A755" s="31" t="n">
        <v>46245</v>
      </c>
      <c r="B755" s="32" t="s">
        <v>100</v>
      </c>
      <c r="C755" s="32" t="s">
        <v>90</v>
      </c>
      <c r="D755" s="33" t="s">
        <v>89</v>
      </c>
      <c r="E755" s="34" t="n">
        <v>1.25</v>
      </c>
      <c r="F755" s="32"/>
      <c r="G755" s="35" t="n">
        <f aca="false">IF(A755="","",A755+7-WEEKDAY(A755))</f>
        <v>46249</v>
      </c>
      <c r="H755" s="36" t="n">
        <f aca="false">IF(A755="","",DATE(YEAR(A755),MONTH(A755),1))</f>
        <v>46235</v>
      </c>
      <c r="I755" s="37" t="str">
        <f aca="false">IF(B755="","",IFERROR(INDEX(st_ID,MATCH(B755,st_Name,0)),"Unknown"))</f>
        <v>QP-03</v>
      </c>
      <c r="J755" s="37" t="str">
        <f aca="false">IF(C755="","",IFERROR(INDEX(cl_Code,MATCH(C755,cl_Name,0)),"Unknown"))</f>
        <v>BSE</v>
      </c>
      <c r="K755" s="37" t="str">
        <f aca="false">IF(D755="","",IFERROR(INDEX(rt_Billable,MATCH(D755,rt_Code,0)),"Unknown"))</f>
        <v>Yes</v>
      </c>
      <c r="L755" s="38" t="n">
        <f aca="false">IF(K755&lt;&gt;"Yes","",IFERROR(INDEX(cr_Rate,MATCH(J755&amp;"|"&amp;D755,cr_Key,0)),INDEX(rt_Rate,MATCH(D755,rt_Code,0))))</f>
        <v>95</v>
      </c>
      <c r="M755" s="25" t="n">
        <f aca="false">IF(L755="","",ROUND(N(E755)*L755,2))</f>
        <v>118.75</v>
      </c>
      <c r="N755" s="39" t="n">
        <f aca="false">IF(OR(A755="",B755=""),"",SUMIFS(tl_Hours,tl_StaffID,I755,tl_Date,A755))</f>
        <v>8</v>
      </c>
      <c r="O755" s="40" t="str">
        <f aca="false">IF(A755&amp;B755&amp;D755="","",IF(OR(A755="",B755="",D755="",E755=""),"Incomplete",IF(K755="Unknown","Unknown code",IF(AND(K755="Yes",C755=""),"Billable, needs client",IF(N755&gt;MaxDayHours,"Over "&amp;MaxDayHours&amp;" hours that day","")))))</f>
        <v/>
      </c>
    </row>
    <row r="756" customFormat="false" ht="15" hidden="false" customHeight="false" outlineLevel="0" collapsed="false">
      <c r="A756" s="31" t="n">
        <v>46245</v>
      </c>
      <c r="B756" s="32" t="s">
        <v>100</v>
      </c>
      <c r="C756" s="32"/>
      <c r="D756" s="33" t="s">
        <v>94</v>
      </c>
      <c r="E756" s="34" t="n">
        <v>1.5</v>
      </c>
      <c r="F756" s="32" t="s">
        <v>95</v>
      </c>
      <c r="G756" s="35" t="n">
        <f aca="false">IF(A756="","",A756+7-WEEKDAY(A756))</f>
        <v>46249</v>
      </c>
      <c r="H756" s="36" t="n">
        <f aca="false">IF(A756="","",DATE(YEAR(A756),MONTH(A756),1))</f>
        <v>46235</v>
      </c>
      <c r="I756" s="37" t="str">
        <f aca="false">IF(B756="","",IFERROR(INDEX(st_ID,MATCH(B756,st_Name,0)),"Unknown"))</f>
        <v>QP-03</v>
      </c>
      <c r="J756" s="37" t="str">
        <f aca="false">IF(C756="","",IFERROR(INDEX(cl_Code,MATCH(C756,cl_Name,0)),"Unknown"))</f>
        <v/>
      </c>
      <c r="K756" s="37" t="str">
        <f aca="false">IF(D756="","",IFERROR(INDEX(rt_Billable,MATCH(D756,rt_Code,0)),"Unknown"))</f>
        <v>No</v>
      </c>
      <c r="L756" s="38" t="str">
        <f aca="false">IF(K756&lt;&gt;"Yes","",IFERROR(INDEX(cr_Rate,MATCH(J756&amp;"|"&amp;D756,cr_Key,0)),INDEX(rt_Rate,MATCH(D756,rt_Code,0))))</f>
        <v/>
      </c>
      <c r="M756" s="25" t="str">
        <f aca="false">IF(L756="","",ROUND(N(E756)*L756,2))</f>
        <v/>
      </c>
      <c r="N756" s="39" t="n">
        <f aca="false">IF(OR(A756="",B756=""),"",SUMIFS(tl_Hours,tl_StaffID,I756,tl_Date,A756))</f>
        <v>8</v>
      </c>
      <c r="O756" s="40" t="str">
        <f aca="false">IF(A756&amp;B756&amp;D756="","",IF(OR(A756="",B756="",D756="",E756=""),"Incomplete",IF(K756="Unknown","Unknown code",IF(AND(K756="Yes",C756=""),"Billable, needs client",IF(N756&gt;MaxDayHours,"Over "&amp;MaxDayHours&amp;" hours that day","")))))</f>
        <v/>
      </c>
    </row>
    <row r="757" customFormat="false" ht="15" hidden="false" customHeight="false" outlineLevel="0" collapsed="false">
      <c r="A757" s="31" t="n">
        <v>46245</v>
      </c>
      <c r="B757" s="32" t="s">
        <v>100</v>
      </c>
      <c r="C757" s="32"/>
      <c r="D757" s="33" t="s">
        <v>96</v>
      </c>
      <c r="E757" s="34" t="n">
        <v>2</v>
      </c>
      <c r="F757" s="32"/>
      <c r="G757" s="35" t="n">
        <f aca="false">IF(A757="","",A757+7-WEEKDAY(A757))</f>
        <v>46249</v>
      </c>
      <c r="H757" s="36" t="n">
        <f aca="false">IF(A757="","",DATE(YEAR(A757),MONTH(A757),1))</f>
        <v>46235</v>
      </c>
      <c r="I757" s="37" t="str">
        <f aca="false">IF(B757="","",IFERROR(INDEX(st_ID,MATCH(B757,st_Name,0)),"Unknown"))</f>
        <v>QP-03</v>
      </c>
      <c r="J757" s="37" t="str">
        <f aca="false">IF(C757="","",IFERROR(INDEX(cl_Code,MATCH(C757,cl_Name,0)),"Unknown"))</f>
        <v/>
      </c>
      <c r="K757" s="37" t="str">
        <f aca="false">IF(D757="","",IFERROR(INDEX(rt_Billable,MATCH(D757,rt_Code,0)),"Unknown"))</f>
        <v>No</v>
      </c>
      <c r="L757" s="38" t="str">
        <f aca="false">IF(K757&lt;&gt;"Yes","",IFERROR(INDEX(cr_Rate,MATCH(J757&amp;"|"&amp;D757,cr_Key,0)),INDEX(rt_Rate,MATCH(D757,rt_Code,0))))</f>
        <v/>
      </c>
      <c r="M757" s="25" t="str">
        <f aca="false">IF(L757="","",ROUND(N(E757)*L757,2))</f>
        <v/>
      </c>
      <c r="N757" s="39" t="n">
        <f aca="false">IF(OR(A757="",B757=""),"",SUMIFS(tl_Hours,tl_StaffID,I757,tl_Date,A757))</f>
        <v>8</v>
      </c>
      <c r="O757" s="40" t="str">
        <f aca="false">IF(A757&amp;B757&amp;D757="","",IF(OR(A757="",B757="",D757="",E757=""),"Incomplete",IF(K757="Unknown","Unknown code",IF(AND(K757="Yes",C757=""),"Billable, needs client",IF(N757&gt;MaxDayHours,"Over "&amp;MaxDayHours&amp;" hours that day","")))))</f>
        <v/>
      </c>
    </row>
    <row r="758" customFormat="false" ht="15" hidden="false" customHeight="false" outlineLevel="0" collapsed="false">
      <c r="A758" s="31" t="n">
        <v>46245</v>
      </c>
      <c r="B758" s="32" t="s">
        <v>101</v>
      </c>
      <c r="C758" s="32" t="s">
        <v>102</v>
      </c>
      <c r="D758" s="33" t="s">
        <v>88</v>
      </c>
      <c r="E758" s="34" t="n">
        <v>2.5</v>
      </c>
      <c r="F758" s="32"/>
      <c r="G758" s="35" t="n">
        <f aca="false">IF(A758="","",A758+7-WEEKDAY(A758))</f>
        <v>46249</v>
      </c>
      <c r="H758" s="36" t="n">
        <f aca="false">IF(A758="","",DATE(YEAR(A758),MONTH(A758),1))</f>
        <v>46235</v>
      </c>
      <c r="I758" s="37" t="str">
        <f aca="false">IF(B758="","",IFERROR(INDEX(st_ID,MATCH(B758,st_Name,0)),"Unknown"))</f>
        <v>QP-04</v>
      </c>
      <c r="J758" s="37" t="str">
        <f aca="false">IF(C758="","",IFERROR(INDEX(cl_Code,MATCH(C758,cl_Name,0)),"Unknown"))</f>
        <v>CLH</v>
      </c>
      <c r="K758" s="37" t="str">
        <f aca="false">IF(D758="","",IFERROR(INDEX(rt_Billable,MATCH(D758,rt_Code,0)),"Unknown"))</f>
        <v>Yes</v>
      </c>
      <c r="L758" s="38" t="n">
        <f aca="false">IF(K758&lt;&gt;"Yes","",IFERROR(INDEX(cr_Rate,MATCH(J758&amp;"|"&amp;D758,cr_Key,0)),INDEX(rt_Rate,MATCH(D758,rt_Code,0))))</f>
        <v>110</v>
      </c>
      <c r="M758" s="25" t="n">
        <f aca="false">IF(L758="","",ROUND(N(E758)*L758,2))</f>
        <v>275</v>
      </c>
      <c r="N758" s="39" t="n">
        <f aca="false">IF(OR(A758="",B758=""),"",SUMIFS(tl_Hours,tl_StaffID,I758,tl_Date,A758))</f>
        <v>8</v>
      </c>
      <c r="O758" s="40" t="str">
        <f aca="false">IF(A758&amp;B758&amp;D758="","",IF(OR(A758="",B758="",D758="",E758=""),"Incomplete",IF(K758="Unknown","Unknown code",IF(AND(K758="Yes",C758=""),"Billable, needs client",IF(N758&gt;MaxDayHours,"Over "&amp;MaxDayHours&amp;" hours that day","")))))</f>
        <v/>
      </c>
    </row>
    <row r="759" customFormat="false" ht="15" hidden="false" customHeight="false" outlineLevel="0" collapsed="false">
      <c r="A759" s="31" t="n">
        <v>46245</v>
      </c>
      <c r="B759" s="32" t="s">
        <v>101</v>
      </c>
      <c r="C759" s="32" t="s">
        <v>102</v>
      </c>
      <c r="D759" s="33" t="s">
        <v>92</v>
      </c>
      <c r="E759" s="34" t="n">
        <v>0.5</v>
      </c>
      <c r="F759" s="32"/>
      <c r="G759" s="35" t="n">
        <f aca="false">IF(A759="","",A759+7-WEEKDAY(A759))</f>
        <v>46249</v>
      </c>
      <c r="H759" s="36" t="n">
        <f aca="false">IF(A759="","",DATE(YEAR(A759),MONTH(A759),1))</f>
        <v>46235</v>
      </c>
      <c r="I759" s="37" t="str">
        <f aca="false">IF(B759="","",IFERROR(INDEX(st_ID,MATCH(B759,st_Name,0)),"Unknown"))</f>
        <v>QP-04</v>
      </c>
      <c r="J759" s="37" t="str">
        <f aca="false">IF(C759="","",IFERROR(INDEX(cl_Code,MATCH(C759,cl_Name,0)),"Unknown"))</f>
        <v>CLH</v>
      </c>
      <c r="K759" s="37" t="str">
        <f aca="false">IF(D759="","",IFERROR(INDEX(rt_Billable,MATCH(D759,rt_Code,0)),"Unknown"))</f>
        <v>Yes</v>
      </c>
      <c r="L759" s="38" t="n">
        <f aca="false">IF(K759&lt;&gt;"Yes","",IFERROR(INDEX(cr_Rate,MATCH(J759&amp;"|"&amp;D759,cr_Key,0)),INDEX(rt_Rate,MATCH(D759,rt_Code,0))))</f>
        <v>150</v>
      </c>
      <c r="M759" s="25" t="n">
        <f aca="false">IF(L759="","",ROUND(N(E759)*L759,2))</f>
        <v>75</v>
      </c>
      <c r="N759" s="39" t="n">
        <f aca="false">IF(OR(A759="",B759=""),"",SUMIFS(tl_Hours,tl_StaffID,I759,tl_Date,A759))</f>
        <v>8</v>
      </c>
      <c r="O759" s="40" t="str">
        <f aca="false">IF(A759&amp;B759&amp;D759="","",IF(OR(A759="",B759="",D759="",E759=""),"Incomplete",IF(K759="Unknown","Unknown code",IF(AND(K759="Yes",C759=""),"Billable, needs client",IF(N759&gt;MaxDayHours,"Over "&amp;MaxDayHours&amp;" hours that day","")))))</f>
        <v/>
      </c>
    </row>
    <row r="760" customFormat="false" ht="15" hidden="false" customHeight="false" outlineLevel="0" collapsed="false">
      <c r="A760" s="31" t="n">
        <v>46245</v>
      </c>
      <c r="B760" s="32" t="s">
        <v>101</v>
      </c>
      <c r="C760" s="32" t="s">
        <v>87</v>
      </c>
      <c r="D760" s="33" t="s">
        <v>104</v>
      </c>
      <c r="E760" s="34" t="n">
        <v>2</v>
      </c>
      <c r="F760" s="32"/>
      <c r="G760" s="35" t="n">
        <f aca="false">IF(A760="","",A760+7-WEEKDAY(A760))</f>
        <v>46249</v>
      </c>
      <c r="H760" s="36" t="n">
        <f aca="false">IF(A760="","",DATE(YEAR(A760),MONTH(A760),1))</f>
        <v>46235</v>
      </c>
      <c r="I760" s="37" t="str">
        <f aca="false">IF(B760="","",IFERROR(INDEX(st_ID,MATCH(B760,st_Name,0)),"Unknown"))</f>
        <v>QP-04</v>
      </c>
      <c r="J760" s="37" t="str">
        <f aca="false">IF(C760="","",IFERROR(INDEX(cl_Code,MATCH(C760,cl_Name,0)),"Unknown"))</f>
        <v>HCS</v>
      </c>
      <c r="K760" s="37" t="str">
        <f aca="false">IF(D760="","",IFERROR(INDEX(rt_Billable,MATCH(D760,rt_Code,0)),"Unknown"))</f>
        <v>Yes</v>
      </c>
      <c r="L760" s="38" t="n">
        <f aca="false">IF(K760&lt;&gt;"Yes","",IFERROR(INDEX(cr_Rate,MATCH(J760&amp;"|"&amp;D760,cr_Key,0)),INDEX(rt_Rate,MATCH(D760,rt_Code,0))))</f>
        <v>62</v>
      </c>
      <c r="M760" s="25" t="n">
        <f aca="false">IF(L760="","",ROUND(N(E760)*L760,2))</f>
        <v>124</v>
      </c>
      <c r="N760" s="39" t="n">
        <f aca="false">IF(OR(A760="",B760=""),"",SUMIFS(tl_Hours,tl_StaffID,I760,tl_Date,A760))</f>
        <v>8</v>
      </c>
      <c r="O760" s="40" t="str">
        <f aca="false">IF(A760&amp;B760&amp;D760="","",IF(OR(A760="",B760="",D760="",E760=""),"Incomplete",IF(K760="Unknown","Unknown code",IF(AND(K760="Yes",C760=""),"Billable, needs client",IF(N760&gt;MaxDayHours,"Over "&amp;MaxDayHours&amp;" hours that day","")))))</f>
        <v/>
      </c>
    </row>
    <row r="761" customFormat="false" ht="15" hidden="false" customHeight="false" outlineLevel="0" collapsed="false">
      <c r="A761" s="31" t="n">
        <v>46245</v>
      </c>
      <c r="B761" s="32" t="s">
        <v>101</v>
      </c>
      <c r="C761" s="32" t="s">
        <v>87</v>
      </c>
      <c r="D761" s="33" t="s">
        <v>92</v>
      </c>
      <c r="E761" s="34" t="n">
        <v>1</v>
      </c>
      <c r="F761" s="32"/>
      <c r="G761" s="35" t="n">
        <f aca="false">IF(A761="","",A761+7-WEEKDAY(A761))</f>
        <v>46249</v>
      </c>
      <c r="H761" s="36" t="n">
        <f aca="false">IF(A761="","",DATE(YEAR(A761),MONTH(A761),1))</f>
        <v>46235</v>
      </c>
      <c r="I761" s="37" t="str">
        <f aca="false">IF(B761="","",IFERROR(INDEX(st_ID,MATCH(B761,st_Name,0)),"Unknown"))</f>
        <v>QP-04</v>
      </c>
      <c r="J761" s="37" t="str">
        <f aca="false">IF(C761="","",IFERROR(INDEX(cl_Code,MATCH(C761,cl_Name,0)),"Unknown"))</f>
        <v>HCS</v>
      </c>
      <c r="K761" s="37" t="str">
        <f aca="false">IF(D761="","",IFERROR(INDEX(rt_Billable,MATCH(D761,rt_Code,0)),"Unknown"))</f>
        <v>Yes</v>
      </c>
      <c r="L761" s="38" t="n">
        <f aca="false">IF(K761&lt;&gt;"Yes","",IFERROR(INDEX(cr_Rate,MATCH(J761&amp;"|"&amp;D761,cr_Key,0)),INDEX(rt_Rate,MATCH(D761,rt_Code,0))))</f>
        <v>140</v>
      </c>
      <c r="M761" s="25" t="n">
        <f aca="false">IF(L761="","",ROUND(N(E761)*L761,2))</f>
        <v>140</v>
      </c>
      <c r="N761" s="39" t="n">
        <f aca="false">IF(OR(A761="",B761=""),"",SUMIFS(tl_Hours,tl_StaffID,I761,tl_Date,A761))</f>
        <v>8</v>
      </c>
      <c r="O761" s="40" t="str">
        <f aca="false">IF(A761&amp;B761&amp;D761="","",IF(OR(A761="",B761="",D761="",E761=""),"Incomplete",IF(K761="Unknown","Unknown code",IF(AND(K761="Yes",C761=""),"Billable, needs client",IF(N761&gt;MaxDayHours,"Over "&amp;MaxDayHours&amp;" hours that day","")))))</f>
        <v/>
      </c>
    </row>
    <row r="762" customFormat="false" ht="15" hidden="false" customHeight="false" outlineLevel="0" collapsed="false">
      <c r="A762" s="31" t="n">
        <v>46245</v>
      </c>
      <c r="B762" s="32" t="s">
        <v>101</v>
      </c>
      <c r="C762" s="32"/>
      <c r="D762" s="33" t="s">
        <v>93</v>
      </c>
      <c r="E762" s="34" t="n">
        <v>0.5</v>
      </c>
      <c r="F762" s="32"/>
      <c r="G762" s="35" t="n">
        <f aca="false">IF(A762="","",A762+7-WEEKDAY(A762))</f>
        <v>46249</v>
      </c>
      <c r="H762" s="36" t="n">
        <f aca="false">IF(A762="","",DATE(YEAR(A762),MONTH(A762),1))</f>
        <v>46235</v>
      </c>
      <c r="I762" s="37" t="str">
        <f aca="false">IF(B762="","",IFERROR(INDEX(st_ID,MATCH(B762,st_Name,0)),"Unknown"))</f>
        <v>QP-04</v>
      </c>
      <c r="J762" s="37" t="str">
        <f aca="false">IF(C762="","",IFERROR(INDEX(cl_Code,MATCH(C762,cl_Name,0)),"Unknown"))</f>
        <v/>
      </c>
      <c r="K762" s="37" t="str">
        <f aca="false">IF(D762="","",IFERROR(INDEX(rt_Billable,MATCH(D762,rt_Code,0)),"Unknown"))</f>
        <v>No</v>
      </c>
      <c r="L762" s="38" t="str">
        <f aca="false">IF(K762&lt;&gt;"Yes","",IFERROR(INDEX(cr_Rate,MATCH(J762&amp;"|"&amp;D762,cr_Key,0)),INDEX(rt_Rate,MATCH(D762,rt_Code,0))))</f>
        <v/>
      </c>
      <c r="M762" s="25" t="str">
        <f aca="false">IF(L762="","",ROUND(N(E762)*L762,2))</f>
        <v/>
      </c>
      <c r="N762" s="39" t="n">
        <f aca="false">IF(OR(A762="",B762=""),"",SUMIFS(tl_Hours,tl_StaffID,I762,tl_Date,A762))</f>
        <v>8</v>
      </c>
      <c r="O762" s="40" t="str">
        <f aca="false">IF(A762&amp;B762&amp;D762="","",IF(OR(A762="",B762="",D762="",E762=""),"Incomplete",IF(K762="Unknown","Unknown code",IF(AND(K762="Yes",C762=""),"Billable, needs client",IF(N762&gt;MaxDayHours,"Over "&amp;MaxDayHours&amp;" hours that day","")))))</f>
        <v/>
      </c>
    </row>
    <row r="763" customFormat="false" ht="15" hidden="false" customHeight="false" outlineLevel="0" collapsed="false">
      <c r="A763" s="31" t="n">
        <v>46245</v>
      </c>
      <c r="B763" s="32" t="s">
        <v>101</v>
      </c>
      <c r="C763" s="32"/>
      <c r="D763" s="33" t="s">
        <v>96</v>
      </c>
      <c r="E763" s="34" t="n">
        <v>1.5</v>
      </c>
      <c r="F763" s="32"/>
      <c r="G763" s="35" t="n">
        <f aca="false">IF(A763="","",A763+7-WEEKDAY(A763))</f>
        <v>46249</v>
      </c>
      <c r="H763" s="36" t="n">
        <f aca="false">IF(A763="","",DATE(YEAR(A763),MONTH(A763),1))</f>
        <v>46235</v>
      </c>
      <c r="I763" s="37" t="str">
        <f aca="false">IF(B763="","",IFERROR(INDEX(st_ID,MATCH(B763,st_Name,0)),"Unknown"))</f>
        <v>QP-04</v>
      </c>
      <c r="J763" s="37" t="str">
        <f aca="false">IF(C763="","",IFERROR(INDEX(cl_Code,MATCH(C763,cl_Name,0)),"Unknown"))</f>
        <v/>
      </c>
      <c r="K763" s="37" t="str">
        <f aca="false">IF(D763="","",IFERROR(INDEX(rt_Billable,MATCH(D763,rt_Code,0)),"Unknown"))</f>
        <v>No</v>
      </c>
      <c r="L763" s="38" t="str">
        <f aca="false">IF(K763&lt;&gt;"Yes","",IFERROR(INDEX(cr_Rate,MATCH(J763&amp;"|"&amp;D763,cr_Key,0)),INDEX(rt_Rate,MATCH(D763,rt_Code,0))))</f>
        <v/>
      </c>
      <c r="M763" s="25" t="str">
        <f aca="false">IF(L763="","",ROUND(N(E763)*L763,2))</f>
        <v/>
      </c>
      <c r="N763" s="39" t="n">
        <f aca="false">IF(OR(A763="",B763=""),"",SUMIFS(tl_Hours,tl_StaffID,I763,tl_Date,A763))</f>
        <v>8</v>
      </c>
      <c r="O763" s="40" t="str">
        <f aca="false">IF(A763&amp;B763&amp;D763="","",IF(OR(A763="",B763="",D763="",E763=""),"Incomplete",IF(K763="Unknown","Unknown code",IF(AND(K763="Yes",C763=""),"Billable, needs client",IF(N763&gt;MaxDayHours,"Over "&amp;MaxDayHours&amp;" hours that day","")))))</f>
        <v/>
      </c>
    </row>
    <row r="764" customFormat="false" ht="15" hidden="false" customHeight="false" outlineLevel="0" collapsed="false">
      <c r="A764" s="31" t="n">
        <v>46245</v>
      </c>
      <c r="B764" s="32" t="s">
        <v>103</v>
      </c>
      <c r="C764" s="32" t="s">
        <v>90</v>
      </c>
      <c r="D764" s="33" t="s">
        <v>88</v>
      </c>
      <c r="E764" s="34" t="n">
        <v>3.75</v>
      </c>
      <c r="F764" s="32"/>
      <c r="G764" s="35" t="n">
        <f aca="false">IF(A764="","",A764+7-WEEKDAY(A764))</f>
        <v>46249</v>
      </c>
      <c r="H764" s="36" t="n">
        <f aca="false">IF(A764="","",DATE(YEAR(A764),MONTH(A764),1))</f>
        <v>46235</v>
      </c>
      <c r="I764" s="37" t="str">
        <f aca="false">IF(B764="","",IFERROR(INDEX(st_ID,MATCH(B764,st_Name,0)),"Unknown"))</f>
        <v>QP-05</v>
      </c>
      <c r="J764" s="37" t="str">
        <f aca="false">IF(C764="","",IFERROR(INDEX(cl_Code,MATCH(C764,cl_Name,0)),"Unknown"))</f>
        <v>BSE</v>
      </c>
      <c r="K764" s="37" t="str">
        <f aca="false">IF(D764="","",IFERROR(INDEX(rt_Billable,MATCH(D764,rt_Code,0)),"Unknown"))</f>
        <v>Yes</v>
      </c>
      <c r="L764" s="38" t="n">
        <f aca="false">IF(K764&lt;&gt;"Yes","",IFERROR(INDEX(cr_Rate,MATCH(J764&amp;"|"&amp;D764,cr_Key,0)),INDEX(rt_Rate,MATCH(D764,rt_Code,0))))</f>
        <v>104</v>
      </c>
      <c r="M764" s="25" t="n">
        <f aca="false">IF(L764="","",ROUND(N(E764)*L764,2))</f>
        <v>390</v>
      </c>
      <c r="N764" s="39" t="n">
        <f aca="false">IF(OR(A764="",B764=""),"",SUMIFS(tl_Hours,tl_StaffID,I764,tl_Date,A764))</f>
        <v>8</v>
      </c>
      <c r="O764" s="40" t="str">
        <f aca="false">IF(A764&amp;B764&amp;D764="","",IF(OR(A764="",B764="",D764="",E764=""),"Incomplete",IF(K764="Unknown","Unknown code",IF(AND(K764="Yes",C764=""),"Billable, needs client",IF(N764&gt;MaxDayHours,"Over "&amp;MaxDayHours&amp;" hours that day","")))))</f>
        <v/>
      </c>
    </row>
    <row r="765" customFormat="false" ht="15" hidden="false" customHeight="false" outlineLevel="0" collapsed="false">
      <c r="A765" s="31" t="n">
        <v>46245</v>
      </c>
      <c r="B765" s="32" t="s">
        <v>103</v>
      </c>
      <c r="C765" s="32" t="s">
        <v>90</v>
      </c>
      <c r="D765" s="33" t="s">
        <v>89</v>
      </c>
      <c r="E765" s="34" t="n">
        <v>2</v>
      </c>
      <c r="F765" s="32"/>
      <c r="G765" s="35" t="n">
        <f aca="false">IF(A765="","",A765+7-WEEKDAY(A765))</f>
        <v>46249</v>
      </c>
      <c r="H765" s="36" t="n">
        <f aca="false">IF(A765="","",DATE(YEAR(A765),MONTH(A765),1))</f>
        <v>46235</v>
      </c>
      <c r="I765" s="37" t="str">
        <f aca="false">IF(B765="","",IFERROR(INDEX(st_ID,MATCH(B765,st_Name,0)),"Unknown"))</f>
        <v>QP-05</v>
      </c>
      <c r="J765" s="37" t="str">
        <f aca="false">IF(C765="","",IFERROR(INDEX(cl_Code,MATCH(C765,cl_Name,0)),"Unknown"))</f>
        <v>BSE</v>
      </c>
      <c r="K765" s="37" t="str">
        <f aca="false">IF(D765="","",IFERROR(INDEX(rt_Billable,MATCH(D765,rt_Code,0)),"Unknown"))</f>
        <v>Yes</v>
      </c>
      <c r="L765" s="38" t="n">
        <f aca="false">IF(K765&lt;&gt;"Yes","",IFERROR(INDEX(cr_Rate,MATCH(J765&amp;"|"&amp;D765,cr_Key,0)),INDEX(rt_Rate,MATCH(D765,rt_Code,0))))</f>
        <v>95</v>
      </c>
      <c r="M765" s="25" t="n">
        <f aca="false">IF(L765="","",ROUND(N(E765)*L765,2))</f>
        <v>190</v>
      </c>
      <c r="N765" s="39" t="n">
        <f aca="false">IF(OR(A765="",B765=""),"",SUMIFS(tl_Hours,tl_StaffID,I765,tl_Date,A765))</f>
        <v>8</v>
      </c>
      <c r="O765" s="40" t="str">
        <f aca="false">IF(A765&amp;B765&amp;D765="","",IF(OR(A765="",B765="",D765="",E765=""),"Incomplete",IF(K765="Unknown","Unknown code",IF(AND(K765="Yes",C765=""),"Billable, needs client",IF(N765&gt;MaxDayHours,"Over "&amp;MaxDayHours&amp;" hours that day","")))))</f>
        <v/>
      </c>
    </row>
    <row r="766" customFormat="false" ht="15" hidden="false" customHeight="false" outlineLevel="0" collapsed="false">
      <c r="A766" s="31" t="n">
        <v>46245</v>
      </c>
      <c r="B766" s="32" t="s">
        <v>103</v>
      </c>
      <c r="C766" s="32"/>
      <c r="D766" s="33" t="s">
        <v>96</v>
      </c>
      <c r="E766" s="34" t="n">
        <v>2.25</v>
      </c>
      <c r="F766" s="32"/>
      <c r="G766" s="35" t="n">
        <f aca="false">IF(A766="","",A766+7-WEEKDAY(A766))</f>
        <v>46249</v>
      </c>
      <c r="H766" s="36" t="n">
        <f aca="false">IF(A766="","",DATE(YEAR(A766),MONTH(A766),1))</f>
        <v>46235</v>
      </c>
      <c r="I766" s="37" t="str">
        <f aca="false">IF(B766="","",IFERROR(INDEX(st_ID,MATCH(B766,st_Name,0)),"Unknown"))</f>
        <v>QP-05</v>
      </c>
      <c r="J766" s="37" t="str">
        <f aca="false">IF(C766="","",IFERROR(INDEX(cl_Code,MATCH(C766,cl_Name,0)),"Unknown"))</f>
        <v/>
      </c>
      <c r="K766" s="37" t="str">
        <f aca="false">IF(D766="","",IFERROR(INDEX(rt_Billable,MATCH(D766,rt_Code,0)),"Unknown"))</f>
        <v>No</v>
      </c>
      <c r="L766" s="38" t="str">
        <f aca="false">IF(K766&lt;&gt;"Yes","",IFERROR(INDEX(cr_Rate,MATCH(J766&amp;"|"&amp;D766,cr_Key,0)),INDEX(rt_Rate,MATCH(D766,rt_Code,0))))</f>
        <v/>
      </c>
      <c r="M766" s="25" t="str">
        <f aca="false">IF(L766="","",ROUND(N(E766)*L766,2))</f>
        <v/>
      </c>
      <c r="N766" s="39" t="n">
        <f aca="false">IF(OR(A766="",B766=""),"",SUMIFS(tl_Hours,tl_StaffID,I766,tl_Date,A766))</f>
        <v>8</v>
      </c>
      <c r="O766" s="40" t="str">
        <f aca="false">IF(A766&amp;B766&amp;D766="","",IF(OR(A766="",B766="",D766="",E766=""),"Incomplete",IF(K766="Unknown","Unknown code",IF(AND(K766="Yes",C766=""),"Billable, needs client",IF(N766&gt;MaxDayHours,"Over "&amp;MaxDayHours&amp;" hours that day","")))))</f>
        <v/>
      </c>
    </row>
    <row r="767" customFormat="false" ht="15" hidden="false" customHeight="false" outlineLevel="0" collapsed="false">
      <c r="A767" s="31" t="n">
        <v>46245</v>
      </c>
      <c r="B767" s="32" t="s">
        <v>105</v>
      </c>
      <c r="C767" s="32" t="s">
        <v>87</v>
      </c>
      <c r="D767" s="33" t="s">
        <v>88</v>
      </c>
      <c r="E767" s="34" t="n">
        <v>2.25</v>
      </c>
      <c r="F767" s="32"/>
      <c r="G767" s="35" t="n">
        <f aca="false">IF(A767="","",A767+7-WEEKDAY(A767))</f>
        <v>46249</v>
      </c>
      <c r="H767" s="36" t="n">
        <f aca="false">IF(A767="","",DATE(YEAR(A767),MONTH(A767),1))</f>
        <v>46235</v>
      </c>
      <c r="I767" s="37" t="str">
        <f aca="false">IF(B767="","",IFERROR(INDEX(st_ID,MATCH(B767,st_Name,0)),"Unknown"))</f>
        <v>QP-06</v>
      </c>
      <c r="J767" s="37" t="str">
        <f aca="false">IF(C767="","",IFERROR(INDEX(cl_Code,MATCH(C767,cl_Name,0)),"Unknown"))</f>
        <v>HCS</v>
      </c>
      <c r="K767" s="37" t="str">
        <f aca="false">IF(D767="","",IFERROR(INDEX(rt_Billable,MATCH(D767,rt_Code,0)),"Unknown"))</f>
        <v>Yes</v>
      </c>
      <c r="L767" s="38" t="n">
        <f aca="false">IF(K767&lt;&gt;"Yes","",IFERROR(INDEX(cr_Rate,MATCH(J767&amp;"|"&amp;D767,cr_Key,0)),INDEX(rt_Rate,MATCH(D767,rt_Code,0))))</f>
        <v>98</v>
      </c>
      <c r="M767" s="25" t="n">
        <f aca="false">IF(L767="","",ROUND(N(E767)*L767,2))</f>
        <v>220.5</v>
      </c>
      <c r="N767" s="39" t="n">
        <f aca="false">IF(OR(A767="",B767=""),"",SUMIFS(tl_Hours,tl_StaffID,I767,tl_Date,A767))</f>
        <v>8</v>
      </c>
      <c r="O767" s="40" t="str">
        <f aca="false">IF(A767&amp;B767&amp;D767="","",IF(OR(A767="",B767="",D767="",E767=""),"Incomplete",IF(K767="Unknown","Unknown code",IF(AND(K767="Yes",C767=""),"Billable, needs client",IF(N767&gt;MaxDayHours,"Over "&amp;MaxDayHours&amp;" hours that day","")))))</f>
        <v/>
      </c>
    </row>
    <row r="768" customFormat="false" ht="15" hidden="false" customHeight="false" outlineLevel="0" collapsed="false">
      <c r="A768" s="31" t="n">
        <v>46245</v>
      </c>
      <c r="B768" s="32" t="s">
        <v>105</v>
      </c>
      <c r="C768" s="32" t="s">
        <v>87</v>
      </c>
      <c r="D768" s="33" t="s">
        <v>92</v>
      </c>
      <c r="E768" s="34" t="n">
        <v>0.5</v>
      </c>
      <c r="F768" s="32"/>
      <c r="G768" s="35" t="n">
        <f aca="false">IF(A768="","",A768+7-WEEKDAY(A768))</f>
        <v>46249</v>
      </c>
      <c r="H768" s="36" t="n">
        <f aca="false">IF(A768="","",DATE(YEAR(A768),MONTH(A768),1))</f>
        <v>46235</v>
      </c>
      <c r="I768" s="37" t="str">
        <f aca="false">IF(B768="","",IFERROR(INDEX(st_ID,MATCH(B768,st_Name,0)),"Unknown"))</f>
        <v>QP-06</v>
      </c>
      <c r="J768" s="37" t="str">
        <f aca="false">IF(C768="","",IFERROR(INDEX(cl_Code,MATCH(C768,cl_Name,0)),"Unknown"))</f>
        <v>HCS</v>
      </c>
      <c r="K768" s="37" t="str">
        <f aca="false">IF(D768="","",IFERROR(INDEX(rt_Billable,MATCH(D768,rt_Code,0)),"Unknown"))</f>
        <v>Yes</v>
      </c>
      <c r="L768" s="38" t="n">
        <f aca="false">IF(K768&lt;&gt;"Yes","",IFERROR(INDEX(cr_Rate,MATCH(J768&amp;"|"&amp;D768,cr_Key,0)),INDEX(rt_Rate,MATCH(D768,rt_Code,0))))</f>
        <v>140</v>
      </c>
      <c r="M768" s="25" t="n">
        <f aca="false">IF(L768="","",ROUND(N(E768)*L768,2))</f>
        <v>70</v>
      </c>
      <c r="N768" s="39" t="n">
        <f aca="false">IF(OR(A768="",B768=""),"",SUMIFS(tl_Hours,tl_StaffID,I768,tl_Date,A768))</f>
        <v>8</v>
      </c>
      <c r="O768" s="40" t="str">
        <f aca="false">IF(A768&amp;B768&amp;D768="","",IF(OR(A768="",B768="",D768="",E768=""),"Incomplete",IF(K768="Unknown","Unknown code",IF(AND(K768="Yes",C768=""),"Billable, needs client",IF(N768&gt;MaxDayHours,"Over "&amp;MaxDayHours&amp;" hours that day","")))))</f>
        <v/>
      </c>
    </row>
    <row r="769" customFormat="false" ht="15" hidden="false" customHeight="false" outlineLevel="0" collapsed="false">
      <c r="A769" s="31" t="n">
        <v>46245</v>
      </c>
      <c r="B769" s="32" t="s">
        <v>105</v>
      </c>
      <c r="C769" s="32" t="s">
        <v>90</v>
      </c>
      <c r="D769" s="33" t="s">
        <v>91</v>
      </c>
      <c r="E769" s="34" t="n">
        <v>2</v>
      </c>
      <c r="F769" s="32"/>
      <c r="G769" s="35" t="n">
        <f aca="false">IF(A769="","",A769+7-WEEKDAY(A769))</f>
        <v>46249</v>
      </c>
      <c r="H769" s="36" t="n">
        <f aca="false">IF(A769="","",DATE(YEAR(A769),MONTH(A769),1))</f>
        <v>46235</v>
      </c>
      <c r="I769" s="37" t="str">
        <f aca="false">IF(B769="","",IFERROR(INDEX(st_ID,MATCH(B769,st_Name,0)),"Unknown"))</f>
        <v>QP-06</v>
      </c>
      <c r="J769" s="37" t="str">
        <f aca="false">IF(C769="","",IFERROR(INDEX(cl_Code,MATCH(C769,cl_Name,0)),"Unknown"))</f>
        <v>BSE</v>
      </c>
      <c r="K769" s="37" t="str">
        <f aca="false">IF(D769="","",IFERROR(INDEX(rt_Billable,MATCH(D769,rt_Code,0)),"Unknown"))</f>
        <v>Yes</v>
      </c>
      <c r="L769" s="38" t="n">
        <f aca="false">IF(K769&lt;&gt;"Yes","",IFERROR(INDEX(cr_Rate,MATCH(J769&amp;"|"&amp;D769,cr_Key,0)),INDEX(rt_Rate,MATCH(D769,rt_Code,0))))</f>
        <v>100</v>
      </c>
      <c r="M769" s="25" t="n">
        <f aca="false">IF(L769="","",ROUND(N(E769)*L769,2))</f>
        <v>200</v>
      </c>
      <c r="N769" s="39" t="n">
        <f aca="false">IF(OR(A769="",B769=""),"",SUMIFS(tl_Hours,tl_StaffID,I769,tl_Date,A769))</f>
        <v>8</v>
      </c>
      <c r="O769" s="40" t="str">
        <f aca="false">IF(A769&amp;B769&amp;D769="","",IF(OR(A769="",B769="",D769="",E769=""),"Incomplete",IF(K769="Unknown","Unknown code",IF(AND(K769="Yes",C769=""),"Billable, needs client",IF(N769&gt;MaxDayHours,"Over "&amp;MaxDayHours&amp;" hours that day","")))))</f>
        <v/>
      </c>
    </row>
    <row r="770" customFormat="false" ht="15" hidden="false" customHeight="false" outlineLevel="0" collapsed="false">
      <c r="A770" s="31" t="n">
        <v>46245</v>
      </c>
      <c r="B770" s="32" t="s">
        <v>105</v>
      </c>
      <c r="C770" s="32" t="s">
        <v>90</v>
      </c>
      <c r="D770" s="33" t="s">
        <v>89</v>
      </c>
      <c r="E770" s="34" t="n">
        <v>0.75</v>
      </c>
      <c r="F770" s="32"/>
      <c r="G770" s="35" t="n">
        <f aca="false">IF(A770="","",A770+7-WEEKDAY(A770))</f>
        <v>46249</v>
      </c>
      <c r="H770" s="36" t="n">
        <f aca="false">IF(A770="","",DATE(YEAR(A770),MONTH(A770),1))</f>
        <v>46235</v>
      </c>
      <c r="I770" s="37" t="str">
        <f aca="false">IF(B770="","",IFERROR(INDEX(st_ID,MATCH(B770,st_Name,0)),"Unknown"))</f>
        <v>QP-06</v>
      </c>
      <c r="J770" s="37" t="str">
        <f aca="false">IF(C770="","",IFERROR(INDEX(cl_Code,MATCH(C770,cl_Name,0)),"Unknown"))</f>
        <v>BSE</v>
      </c>
      <c r="K770" s="37" t="str">
        <f aca="false">IF(D770="","",IFERROR(INDEX(rt_Billable,MATCH(D770,rt_Code,0)),"Unknown"))</f>
        <v>Yes</v>
      </c>
      <c r="L770" s="38" t="n">
        <f aca="false">IF(K770&lt;&gt;"Yes","",IFERROR(INDEX(cr_Rate,MATCH(J770&amp;"|"&amp;D770,cr_Key,0)),INDEX(rt_Rate,MATCH(D770,rt_Code,0))))</f>
        <v>95</v>
      </c>
      <c r="M770" s="25" t="n">
        <f aca="false">IF(L770="","",ROUND(N(E770)*L770,2))</f>
        <v>71.25</v>
      </c>
      <c r="N770" s="39" t="n">
        <f aca="false">IF(OR(A770="",B770=""),"",SUMIFS(tl_Hours,tl_StaffID,I770,tl_Date,A770))</f>
        <v>8</v>
      </c>
      <c r="O770" s="40" t="str">
        <f aca="false">IF(A770&amp;B770&amp;D770="","",IF(OR(A770="",B770="",D770="",E770=""),"Incomplete",IF(K770="Unknown","Unknown code",IF(AND(K770="Yes",C770=""),"Billable, needs client",IF(N770&gt;MaxDayHours,"Over "&amp;MaxDayHours&amp;" hours that day","")))))</f>
        <v/>
      </c>
    </row>
    <row r="771" customFormat="false" ht="15" hidden="false" customHeight="false" outlineLevel="0" collapsed="false">
      <c r="A771" s="31" t="n">
        <v>46245</v>
      </c>
      <c r="B771" s="32" t="s">
        <v>105</v>
      </c>
      <c r="C771" s="32"/>
      <c r="D771" s="33" t="s">
        <v>93</v>
      </c>
      <c r="E771" s="34" t="n">
        <v>0.5</v>
      </c>
      <c r="F771" s="32"/>
      <c r="G771" s="35" t="n">
        <f aca="false">IF(A771="","",A771+7-WEEKDAY(A771))</f>
        <v>46249</v>
      </c>
      <c r="H771" s="36" t="n">
        <f aca="false">IF(A771="","",DATE(YEAR(A771),MONTH(A771),1))</f>
        <v>46235</v>
      </c>
      <c r="I771" s="37" t="str">
        <f aca="false">IF(B771="","",IFERROR(INDEX(st_ID,MATCH(B771,st_Name,0)),"Unknown"))</f>
        <v>QP-06</v>
      </c>
      <c r="J771" s="37" t="str">
        <f aca="false">IF(C771="","",IFERROR(INDEX(cl_Code,MATCH(C771,cl_Name,0)),"Unknown"))</f>
        <v/>
      </c>
      <c r="K771" s="37" t="str">
        <f aca="false">IF(D771="","",IFERROR(INDEX(rt_Billable,MATCH(D771,rt_Code,0)),"Unknown"))</f>
        <v>No</v>
      </c>
      <c r="L771" s="38" t="str">
        <f aca="false">IF(K771&lt;&gt;"Yes","",IFERROR(INDEX(cr_Rate,MATCH(J771&amp;"|"&amp;D771,cr_Key,0)),INDEX(rt_Rate,MATCH(D771,rt_Code,0))))</f>
        <v/>
      </c>
      <c r="M771" s="25" t="str">
        <f aca="false">IF(L771="","",ROUND(N(E771)*L771,2))</f>
        <v/>
      </c>
      <c r="N771" s="39" t="n">
        <f aca="false">IF(OR(A771="",B771=""),"",SUMIFS(tl_Hours,tl_StaffID,I771,tl_Date,A771))</f>
        <v>8</v>
      </c>
      <c r="O771" s="40" t="str">
        <f aca="false">IF(A771&amp;B771&amp;D771="","",IF(OR(A771="",B771="",D771="",E771=""),"Incomplete",IF(K771="Unknown","Unknown code",IF(AND(K771="Yes",C771=""),"Billable, needs client",IF(N771&gt;MaxDayHours,"Over "&amp;MaxDayHours&amp;" hours that day","")))))</f>
        <v/>
      </c>
    </row>
    <row r="772" customFormat="false" ht="15" hidden="false" customHeight="false" outlineLevel="0" collapsed="false">
      <c r="A772" s="31" t="n">
        <v>46245</v>
      </c>
      <c r="B772" s="32" t="s">
        <v>105</v>
      </c>
      <c r="C772" s="32"/>
      <c r="D772" s="33" t="s">
        <v>96</v>
      </c>
      <c r="E772" s="34" t="n">
        <v>2</v>
      </c>
      <c r="F772" s="32"/>
      <c r="G772" s="35" t="n">
        <f aca="false">IF(A772="","",A772+7-WEEKDAY(A772))</f>
        <v>46249</v>
      </c>
      <c r="H772" s="36" t="n">
        <f aca="false">IF(A772="","",DATE(YEAR(A772),MONTH(A772),1))</f>
        <v>46235</v>
      </c>
      <c r="I772" s="37" t="str">
        <f aca="false">IF(B772="","",IFERROR(INDEX(st_ID,MATCH(B772,st_Name,0)),"Unknown"))</f>
        <v>QP-06</v>
      </c>
      <c r="J772" s="37" t="str">
        <f aca="false">IF(C772="","",IFERROR(INDEX(cl_Code,MATCH(C772,cl_Name,0)),"Unknown"))</f>
        <v/>
      </c>
      <c r="K772" s="37" t="str">
        <f aca="false">IF(D772="","",IFERROR(INDEX(rt_Billable,MATCH(D772,rt_Code,0)),"Unknown"))</f>
        <v>No</v>
      </c>
      <c r="L772" s="38" t="str">
        <f aca="false">IF(K772&lt;&gt;"Yes","",IFERROR(INDEX(cr_Rate,MATCH(J772&amp;"|"&amp;D772,cr_Key,0)),INDEX(rt_Rate,MATCH(D772,rt_Code,0))))</f>
        <v/>
      </c>
      <c r="M772" s="25" t="str">
        <f aca="false">IF(L772="","",ROUND(N(E772)*L772,2))</f>
        <v/>
      </c>
      <c r="N772" s="39" t="n">
        <f aca="false">IF(OR(A772="",B772=""),"",SUMIFS(tl_Hours,tl_StaffID,I772,tl_Date,A772))</f>
        <v>8</v>
      </c>
      <c r="O772" s="40" t="str">
        <f aca="false">IF(A772&amp;B772&amp;D772="","",IF(OR(A772="",B772="",D772="",E772=""),"Incomplete",IF(K772="Unknown","Unknown code",IF(AND(K772="Yes",C772=""),"Billable, needs client",IF(N772&gt;MaxDayHours,"Over "&amp;MaxDayHours&amp;" hours that day","")))))</f>
        <v/>
      </c>
    </row>
    <row r="773" customFormat="false" ht="15" hidden="false" customHeight="false" outlineLevel="0" collapsed="false">
      <c r="A773" s="31" t="n">
        <v>46245</v>
      </c>
      <c r="B773" s="32" t="s">
        <v>106</v>
      </c>
      <c r="C773" s="32" t="s">
        <v>112</v>
      </c>
      <c r="D773" s="33" t="s">
        <v>88</v>
      </c>
      <c r="E773" s="34" t="n">
        <v>2.25</v>
      </c>
      <c r="F773" s="32"/>
      <c r="G773" s="35" t="n">
        <f aca="false">IF(A773="","",A773+7-WEEKDAY(A773))</f>
        <v>46249</v>
      </c>
      <c r="H773" s="36" t="n">
        <f aca="false">IF(A773="","",DATE(YEAR(A773),MONTH(A773),1))</f>
        <v>46235</v>
      </c>
      <c r="I773" s="37" t="str">
        <f aca="false">IF(B773="","",IFERROR(INDEX(st_ID,MATCH(B773,st_Name,0)),"Unknown"))</f>
        <v>QP-07</v>
      </c>
      <c r="J773" s="37" t="str">
        <f aca="false">IF(C773="","",IFERROR(INDEX(cl_Code,MATCH(C773,cl_Name,0)),"Unknown"))</f>
        <v>PCA</v>
      </c>
      <c r="K773" s="37" t="str">
        <f aca="false">IF(D773="","",IFERROR(INDEX(rt_Billable,MATCH(D773,rt_Code,0)),"Unknown"))</f>
        <v>Yes</v>
      </c>
      <c r="L773" s="38" t="n">
        <f aca="false">IF(K773&lt;&gt;"Yes","",IFERROR(INDEX(cr_Rate,MATCH(J773&amp;"|"&amp;D773,cr_Key,0)),INDEX(rt_Rate,MATCH(D773,rt_Code,0))))</f>
        <v>110</v>
      </c>
      <c r="M773" s="25" t="n">
        <f aca="false">IF(L773="","",ROUND(N(E773)*L773,2))</f>
        <v>247.5</v>
      </c>
      <c r="N773" s="39" t="n">
        <f aca="false">IF(OR(A773="",B773=""),"",SUMIFS(tl_Hours,tl_StaffID,I773,tl_Date,A773))</f>
        <v>8</v>
      </c>
      <c r="O773" s="40" t="str">
        <f aca="false">IF(A773&amp;B773&amp;D773="","",IF(OR(A773="",B773="",D773="",E773=""),"Incomplete",IF(K773="Unknown","Unknown code",IF(AND(K773="Yes",C773=""),"Billable, needs client",IF(N773&gt;MaxDayHours,"Over "&amp;MaxDayHours&amp;" hours that day","")))))</f>
        <v/>
      </c>
    </row>
    <row r="774" customFormat="false" ht="15" hidden="false" customHeight="false" outlineLevel="0" collapsed="false">
      <c r="A774" s="31" t="n">
        <v>46245</v>
      </c>
      <c r="B774" s="32" t="s">
        <v>106</v>
      </c>
      <c r="C774" s="32" t="s">
        <v>112</v>
      </c>
      <c r="D774" s="33" t="s">
        <v>104</v>
      </c>
      <c r="E774" s="34" t="n">
        <v>0.75</v>
      </c>
      <c r="F774" s="32"/>
      <c r="G774" s="35" t="n">
        <f aca="false">IF(A774="","",A774+7-WEEKDAY(A774))</f>
        <v>46249</v>
      </c>
      <c r="H774" s="36" t="n">
        <f aca="false">IF(A774="","",DATE(YEAR(A774),MONTH(A774),1))</f>
        <v>46235</v>
      </c>
      <c r="I774" s="37" t="str">
        <f aca="false">IF(B774="","",IFERROR(INDEX(st_ID,MATCH(B774,st_Name,0)),"Unknown"))</f>
        <v>QP-07</v>
      </c>
      <c r="J774" s="37" t="str">
        <f aca="false">IF(C774="","",IFERROR(INDEX(cl_Code,MATCH(C774,cl_Name,0)),"Unknown"))</f>
        <v>PCA</v>
      </c>
      <c r="K774" s="37" t="str">
        <f aca="false">IF(D774="","",IFERROR(INDEX(rt_Billable,MATCH(D774,rt_Code,0)),"Unknown"))</f>
        <v>Yes</v>
      </c>
      <c r="L774" s="38" t="n">
        <f aca="false">IF(K774&lt;&gt;"Yes","",IFERROR(INDEX(cr_Rate,MATCH(J774&amp;"|"&amp;D774,cr_Key,0)),INDEX(rt_Rate,MATCH(D774,rt_Code,0))))</f>
        <v>70</v>
      </c>
      <c r="M774" s="25" t="n">
        <f aca="false">IF(L774="","",ROUND(N(E774)*L774,2))</f>
        <v>52.5</v>
      </c>
      <c r="N774" s="39" t="n">
        <f aca="false">IF(OR(A774="",B774=""),"",SUMIFS(tl_Hours,tl_StaffID,I774,tl_Date,A774))</f>
        <v>8</v>
      </c>
      <c r="O774" s="40" t="str">
        <f aca="false">IF(A774&amp;B774&amp;D774="","",IF(OR(A774="",B774="",D774="",E774=""),"Incomplete",IF(K774="Unknown","Unknown code",IF(AND(K774="Yes",C774=""),"Billable, needs client",IF(N774&gt;MaxDayHours,"Over "&amp;MaxDayHours&amp;" hours that day","")))))</f>
        <v/>
      </c>
    </row>
    <row r="775" customFormat="false" ht="15" hidden="false" customHeight="false" outlineLevel="0" collapsed="false">
      <c r="A775" s="31" t="n">
        <v>46245</v>
      </c>
      <c r="B775" s="32" t="s">
        <v>106</v>
      </c>
      <c r="C775" s="32" t="s">
        <v>102</v>
      </c>
      <c r="D775" s="33" t="s">
        <v>104</v>
      </c>
      <c r="E775" s="34" t="n">
        <v>2</v>
      </c>
      <c r="F775" s="32"/>
      <c r="G775" s="35" t="n">
        <f aca="false">IF(A775="","",A775+7-WEEKDAY(A775))</f>
        <v>46249</v>
      </c>
      <c r="H775" s="36" t="n">
        <f aca="false">IF(A775="","",DATE(YEAR(A775),MONTH(A775),1))</f>
        <v>46235</v>
      </c>
      <c r="I775" s="37" t="str">
        <f aca="false">IF(B775="","",IFERROR(INDEX(st_ID,MATCH(B775,st_Name,0)),"Unknown"))</f>
        <v>QP-07</v>
      </c>
      <c r="J775" s="37" t="str">
        <f aca="false">IF(C775="","",IFERROR(INDEX(cl_Code,MATCH(C775,cl_Name,0)),"Unknown"))</f>
        <v>CLH</v>
      </c>
      <c r="K775" s="37" t="str">
        <f aca="false">IF(D775="","",IFERROR(INDEX(rt_Billable,MATCH(D775,rt_Code,0)),"Unknown"))</f>
        <v>Yes</v>
      </c>
      <c r="L775" s="38" t="n">
        <f aca="false">IF(K775&lt;&gt;"Yes","",IFERROR(INDEX(cr_Rate,MATCH(J775&amp;"|"&amp;D775,cr_Key,0)),INDEX(rt_Rate,MATCH(D775,rt_Code,0))))</f>
        <v>65</v>
      </c>
      <c r="M775" s="25" t="n">
        <f aca="false">IF(L775="","",ROUND(N(E775)*L775,2))</f>
        <v>130</v>
      </c>
      <c r="N775" s="39" t="n">
        <f aca="false">IF(OR(A775="",B775=""),"",SUMIFS(tl_Hours,tl_StaffID,I775,tl_Date,A775))</f>
        <v>8</v>
      </c>
      <c r="O775" s="40" t="str">
        <f aca="false">IF(A775&amp;B775&amp;D775="","",IF(OR(A775="",B775="",D775="",E775=""),"Incomplete",IF(K775="Unknown","Unknown code",IF(AND(K775="Yes",C775=""),"Billable, needs client",IF(N775&gt;MaxDayHours,"Over "&amp;MaxDayHours&amp;" hours that day","")))))</f>
        <v/>
      </c>
    </row>
    <row r="776" customFormat="false" ht="15" hidden="false" customHeight="false" outlineLevel="0" collapsed="false">
      <c r="A776" s="31" t="n">
        <v>46245</v>
      </c>
      <c r="B776" s="32" t="s">
        <v>106</v>
      </c>
      <c r="C776" s="32" t="s">
        <v>102</v>
      </c>
      <c r="D776" s="33" t="s">
        <v>113</v>
      </c>
      <c r="E776" s="34" t="n">
        <v>1</v>
      </c>
      <c r="F776" s="32"/>
      <c r="G776" s="35" t="n">
        <f aca="false">IF(A776="","",A776+7-WEEKDAY(A776))</f>
        <v>46249</v>
      </c>
      <c r="H776" s="36" t="n">
        <f aca="false">IF(A776="","",DATE(YEAR(A776),MONTH(A776),1))</f>
        <v>46235</v>
      </c>
      <c r="I776" s="37" t="str">
        <f aca="false">IF(B776="","",IFERROR(INDEX(st_ID,MATCH(B776,st_Name,0)),"Unknown"))</f>
        <v>QP-07</v>
      </c>
      <c r="J776" s="37" t="str">
        <f aca="false">IF(C776="","",IFERROR(INDEX(cl_Code,MATCH(C776,cl_Name,0)),"Unknown"))</f>
        <v>CLH</v>
      </c>
      <c r="K776" s="37" t="str">
        <f aca="false">IF(D776="","",IFERROR(INDEX(rt_Billable,MATCH(D776,rt_Code,0)),"Unknown"))</f>
        <v>Yes</v>
      </c>
      <c r="L776" s="38" t="n">
        <f aca="false">IF(K776&lt;&gt;"Yes","",IFERROR(INDEX(cr_Rate,MATCH(J776&amp;"|"&amp;D776,cr_Key,0)),INDEX(rt_Rate,MATCH(D776,rt_Code,0))))</f>
        <v>75</v>
      </c>
      <c r="M776" s="25" t="n">
        <f aca="false">IF(L776="","",ROUND(N(E776)*L776,2))</f>
        <v>75</v>
      </c>
      <c r="N776" s="39" t="n">
        <f aca="false">IF(OR(A776="",B776=""),"",SUMIFS(tl_Hours,tl_StaffID,I776,tl_Date,A776))</f>
        <v>8</v>
      </c>
      <c r="O776" s="40" t="str">
        <f aca="false">IF(A776&amp;B776&amp;D776="","",IF(OR(A776="",B776="",D776="",E776=""),"Incomplete",IF(K776="Unknown","Unknown code",IF(AND(K776="Yes",C776=""),"Billable, needs client",IF(N776&gt;MaxDayHours,"Over "&amp;MaxDayHours&amp;" hours that day","")))))</f>
        <v/>
      </c>
    </row>
    <row r="777" customFormat="false" ht="15" hidden="false" customHeight="false" outlineLevel="0" collapsed="false">
      <c r="A777" s="31" t="n">
        <v>46245</v>
      </c>
      <c r="B777" s="32" t="s">
        <v>106</v>
      </c>
      <c r="C777" s="32"/>
      <c r="D777" s="33" t="s">
        <v>93</v>
      </c>
      <c r="E777" s="34" t="n">
        <v>0.5</v>
      </c>
      <c r="F777" s="32"/>
      <c r="G777" s="35" t="n">
        <f aca="false">IF(A777="","",A777+7-WEEKDAY(A777))</f>
        <v>46249</v>
      </c>
      <c r="H777" s="36" t="n">
        <f aca="false">IF(A777="","",DATE(YEAR(A777),MONTH(A777),1))</f>
        <v>46235</v>
      </c>
      <c r="I777" s="37" t="str">
        <f aca="false">IF(B777="","",IFERROR(INDEX(st_ID,MATCH(B777,st_Name,0)),"Unknown"))</f>
        <v>QP-07</v>
      </c>
      <c r="J777" s="37" t="str">
        <f aca="false">IF(C777="","",IFERROR(INDEX(cl_Code,MATCH(C777,cl_Name,0)),"Unknown"))</f>
        <v/>
      </c>
      <c r="K777" s="37" t="str">
        <f aca="false">IF(D777="","",IFERROR(INDEX(rt_Billable,MATCH(D777,rt_Code,0)),"Unknown"))</f>
        <v>No</v>
      </c>
      <c r="L777" s="38" t="str">
        <f aca="false">IF(K777&lt;&gt;"Yes","",IFERROR(INDEX(cr_Rate,MATCH(J777&amp;"|"&amp;D777,cr_Key,0)),INDEX(rt_Rate,MATCH(D777,rt_Code,0))))</f>
        <v/>
      </c>
      <c r="M777" s="25" t="str">
        <f aca="false">IF(L777="","",ROUND(N(E777)*L777,2))</f>
        <v/>
      </c>
      <c r="N777" s="39" t="n">
        <f aca="false">IF(OR(A777="",B777=""),"",SUMIFS(tl_Hours,tl_StaffID,I777,tl_Date,A777))</f>
        <v>8</v>
      </c>
      <c r="O777" s="40" t="str">
        <f aca="false">IF(A777&amp;B777&amp;D777="","",IF(OR(A777="",B777="",D777="",E777=""),"Incomplete",IF(K777="Unknown","Unknown code",IF(AND(K777="Yes",C777=""),"Billable, needs client",IF(N777&gt;MaxDayHours,"Over "&amp;MaxDayHours&amp;" hours that day","")))))</f>
        <v/>
      </c>
    </row>
    <row r="778" customFormat="false" ht="15" hidden="false" customHeight="false" outlineLevel="0" collapsed="false">
      <c r="A778" s="31" t="n">
        <v>46245</v>
      </c>
      <c r="B778" s="32" t="s">
        <v>106</v>
      </c>
      <c r="C778" s="32"/>
      <c r="D778" s="33" t="s">
        <v>96</v>
      </c>
      <c r="E778" s="34" t="n">
        <v>1.5</v>
      </c>
      <c r="F778" s="32"/>
      <c r="G778" s="35" t="n">
        <f aca="false">IF(A778="","",A778+7-WEEKDAY(A778))</f>
        <v>46249</v>
      </c>
      <c r="H778" s="36" t="n">
        <f aca="false">IF(A778="","",DATE(YEAR(A778),MONTH(A778),1))</f>
        <v>46235</v>
      </c>
      <c r="I778" s="37" t="str">
        <f aca="false">IF(B778="","",IFERROR(INDEX(st_ID,MATCH(B778,st_Name,0)),"Unknown"))</f>
        <v>QP-07</v>
      </c>
      <c r="J778" s="37" t="str">
        <f aca="false">IF(C778="","",IFERROR(INDEX(cl_Code,MATCH(C778,cl_Name,0)),"Unknown"))</f>
        <v/>
      </c>
      <c r="K778" s="37" t="str">
        <f aca="false">IF(D778="","",IFERROR(INDEX(rt_Billable,MATCH(D778,rt_Code,0)),"Unknown"))</f>
        <v>No</v>
      </c>
      <c r="L778" s="38" t="str">
        <f aca="false">IF(K778&lt;&gt;"Yes","",IFERROR(INDEX(cr_Rate,MATCH(J778&amp;"|"&amp;D778,cr_Key,0)),INDEX(rt_Rate,MATCH(D778,rt_Code,0))))</f>
        <v/>
      </c>
      <c r="M778" s="25" t="str">
        <f aca="false">IF(L778="","",ROUND(N(E778)*L778,2))</f>
        <v/>
      </c>
      <c r="N778" s="39" t="n">
        <f aca="false">IF(OR(A778="",B778=""),"",SUMIFS(tl_Hours,tl_StaffID,I778,tl_Date,A778))</f>
        <v>8</v>
      </c>
      <c r="O778" s="40" t="str">
        <f aca="false">IF(A778&amp;B778&amp;D778="","",IF(OR(A778="",B778="",D778="",E778=""),"Incomplete",IF(K778="Unknown","Unknown code",IF(AND(K778="Yes",C778=""),"Billable, needs client",IF(N778&gt;MaxDayHours,"Over "&amp;MaxDayHours&amp;" hours that day","")))))</f>
        <v/>
      </c>
    </row>
    <row r="779" customFormat="false" ht="15" hidden="false" customHeight="false" outlineLevel="0" collapsed="false">
      <c r="A779" s="31" t="n">
        <v>46245</v>
      </c>
      <c r="B779" s="32" t="s">
        <v>107</v>
      </c>
      <c r="C779" s="32"/>
      <c r="D779" s="33" t="s">
        <v>108</v>
      </c>
      <c r="E779" s="34" t="n">
        <v>6.5</v>
      </c>
      <c r="F779" s="32"/>
      <c r="G779" s="35" t="n">
        <f aca="false">IF(A779="","",A779+7-WEEKDAY(A779))</f>
        <v>46249</v>
      </c>
      <c r="H779" s="36" t="n">
        <f aca="false">IF(A779="","",DATE(YEAR(A779),MONTH(A779),1))</f>
        <v>46235</v>
      </c>
      <c r="I779" s="37" t="str">
        <f aca="false">IF(B779="","",IFERROR(INDEX(st_ID,MATCH(B779,st_Name,0)),"Unknown"))</f>
        <v>QP-08</v>
      </c>
      <c r="J779" s="37" t="str">
        <f aca="false">IF(C779="","",IFERROR(INDEX(cl_Code,MATCH(C779,cl_Name,0)),"Unknown"))</f>
        <v/>
      </c>
      <c r="K779" s="37" t="str">
        <f aca="false">IF(D779="","",IFERROR(INDEX(rt_Billable,MATCH(D779,rt_Code,0)),"Unknown"))</f>
        <v>No</v>
      </c>
      <c r="L779" s="38" t="str">
        <f aca="false">IF(K779&lt;&gt;"Yes","",IFERROR(INDEX(cr_Rate,MATCH(J779&amp;"|"&amp;D779,cr_Key,0)),INDEX(rt_Rate,MATCH(D779,rt_Code,0))))</f>
        <v/>
      </c>
      <c r="M779" s="25" t="str">
        <f aca="false">IF(L779="","",ROUND(N(E779)*L779,2))</f>
        <v/>
      </c>
      <c r="N779" s="39" t="n">
        <f aca="false">IF(OR(A779="",B779=""),"",SUMIFS(tl_Hours,tl_StaffID,I779,tl_Date,A779))</f>
        <v>8</v>
      </c>
      <c r="O779" s="40" t="str">
        <f aca="false">IF(A779&amp;B779&amp;D779="","",IF(OR(A779="",B779="",D779="",E779=""),"Incomplete",IF(K779="Unknown","Unknown code",IF(AND(K779="Yes",C779=""),"Billable, needs client",IF(N779&gt;MaxDayHours,"Over "&amp;MaxDayHours&amp;" hours that day","")))))</f>
        <v/>
      </c>
    </row>
    <row r="780" customFormat="false" ht="15" hidden="false" customHeight="false" outlineLevel="0" collapsed="false">
      <c r="A780" s="31" t="n">
        <v>46245</v>
      </c>
      <c r="B780" s="32" t="s">
        <v>107</v>
      </c>
      <c r="C780" s="32"/>
      <c r="D780" s="33" t="s">
        <v>98</v>
      </c>
      <c r="E780" s="34" t="n">
        <v>1.5</v>
      </c>
      <c r="F780" s="32"/>
      <c r="G780" s="35" t="n">
        <f aca="false">IF(A780="","",A780+7-WEEKDAY(A780))</f>
        <v>46249</v>
      </c>
      <c r="H780" s="36" t="n">
        <f aca="false">IF(A780="","",DATE(YEAR(A780),MONTH(A780),1))</f>
        <v>46235</v>
      </c>
      <c r="I780" s="37" t="str">
        <f aca="false">IF(B780="","",IFERROR(INDEX(st_ID,MATCH(B780,st_Name,0)),"Unknown"))</f>
        <v>QP-08</v>
      </c>
      <c r="J780" s="37" t="str">
        <f aca="false">IF(C780="","",IFERROR(INDEX(cl_Code,MATCH(C780,cl_Name,0)),"Unknown"))</f>
        <v/>
      </c>
      <c r="K780" s="37" t="str">
        <f aca="false">IF(D780="","",IFERROR(INDEX(rt_Billable,MATCH(D780,rt_Code,0)),"Unknown"))</f>
        <v>No</v>
      </c>
      <c r="L780" s="38" t="str">
        <f aca="false">IF(K780&lt;&gt;"Yes","",IFERROR(INDEX(cr_Rate,MATCH(J780&amp;"|"&amp;D780,cr_Key,0)),INDEX(rt_Rate,MATCH(D780,rt_Code,0))))</f>
        <v/>
      </c>
      <c r="M780" s="25" t="str">
        <f aca="false">IF(L780="","",ROUND(N(E780)*L780,2))</f>
        <v/>
      </c>
      <c r="N780" s="39" t="n">
        <f aca="false">IF(OR(A780="",B780=""),"",SUMIFS(tl_Hours,tl_StaffID,I780,tl_Date,A780))</f>
        <v>8</v>
      </c>
      <c r="O780" s="40" t="str">
        <f aca="false">IF(A780&amp;B780&amp;D780="","",IF(OR(A780="",B780="",D780="",E780=""),"Incomplete",IF(K780="Unknown","Unknown code",IF(AND(K780="Yes",C780=""),"Billable, needs client",IF(N780&gt;MaxDayHours,"Over "&amp;MaxDayHours&amp;" hours that day","")))))</f>
        <v/>
      </c>
    </row>
    <row r="781" customFormat="false" ht="15" hidden="false" customHeight="false" outlineLevel="0" collapsed="false">
      <c r="A781" s="31" t="n">
        <v>46246</v>
      </c>
      <c r="B781" s="32" t="s">
        <v>86</v>
      </c>
      <c r="C781" s="32" t="s">
        <v>112</v>
      </c>
      <c r="D781" s="33" t="s">
        <v>104</v>
      </c>
      <c r="E781" s="34" t="n">
        <v>4</v>
      </c>
      <c r="F781" s="32"/>
      <c r="G781" s="35" t="n">
        <f aca="false">IF(A781="","",A781+7-WEEKDAY(A781))</f>
        <v>46249</v>
      </c>
      <c r="H781" s="36" t="n">
        <f aca="false">IF(A781="","",DATE(YEAR(A781),MONTH(A781),1))</f>
        <v>46235</v>
      </c>
      <c r="I781" s="37" t="str">
        <f aca="false">IF(B781="","",IFERROR(INDEX(st_ID,MATCH(B781,st_Name,0)),"Unknown"))</f>
        <v>QP-01</v>
      </c>
      <c r="J781" s="37" t="str">
        <f aca="false">IF(C781="","",IFERROR(INDEX(cl_Code,MATCH(C781,cl_Name,0)),"Unknown"))</f>
        <v>PCA</v>
      </c>
      <c r="K781" s="37" t="str">
        <f aca="false">IF(D781="","",IFERROR(INDEX(rt_Billable,MATCH(D781,rt_Code,0)),"Unknown"))</f>
        <v>Yes</v>
      </c>
      <c r="L781" s="38" t="n">
        <f aca="false">IF(K781&lt;&gt;"Yes","",IFERROR(INDEX(cr_Rate,MATCH(J781&amp;"|"&amp;D781,cr_Key,0)),INDEX(rt_Rate,MATCH(D781,rt_Code,0))))</f>
        <v>70</v>
      </c>
      <c r="M781" s="25" t="n">
        <f aca="false">IF(L781="","",ROUND(N(E781)*L781,2))</f>
        <v>280</v>
      </c>
      <c r="N781" s="39" t="n">
        <f aca="false">IF(OR(A781="",B781=""),"",SUMIFS(tl_Hours,tl_StaffID,I781,tl_Date,A781))</f>
        <v>8</v>
      </c>
      <c r="O781" s="40" t="str">
        <f aca="false">IF(A781&amp;B781&amp;D781="","",IF(OR(A781="",B781="",D781="",E781=""),"Incomplete",IF(K781="Unknown","Unknown code",IF(AND(K781="Yes",C781=""),"Billable, needs client",IF(N781&gt;MaxDayHours,"Over "&amp;MaxDayHours&amp;" hours that day","")))))</f>
        <v/>
      </c>
    </row>
    <row r="782" customFormat="false" ht="15" hidden="false" customHeight="false" outlineLevel="0" collapsed="false">
      <c r="A782" s="31" t="n">
        <v>46246</v>
      </c>
      <c r="B782" s="32" t="s">
        <v>86</v>
      </c>
      <c r="C782" s="32" t="s">
        <v>112</v>
      </c>
      <c r="D782" s="33" t="s">
        <v>92</v>
      </c>
      <c r="E782" s="34" t="n">
        <v>2</v>
      </c>
      <c r="F782" s="32"/>
      <c r="G782" s="35" t="n">
        <f aca="false">IF(A782="","",A782+7-WEEKDAY(A782))</f>
        <v>46249</v>
      </c>
      <c r="H782" s="36" t="n">
        <f aca="false">IF(A782="","",DATE(YEAR(A782),MONTH(A782),1))</f>
        <v>46235</v>
      </c>
      <c r="I782" s="37" t="str">
        <f aca="false">IF(B782="","",IFERROR(INDEX(st_ID,MATCH(B782,st_Name,0)),"Unknown"))</f>
        <v>QP-01</v>
      </c>
      <c r="J782" s="37" t="str">
        <f aca="false">IF(C782="","",IFERROR(INDEX(cl_Code,MATCH(C782,cl_Name,0)),"Unknown"))</f>
        <v>PCA</v>
      </c>
      <c r="K782" s="37" t="str">
        <f aca="false">IF(D782="","",IFERROR(INDEX(rt_Billable,MATCH(D782,rt_Code,0)),"Unknown"))</f>
        <v>Yes</v>
      </c>
      <c r="L782" s="38" t="n">
        <f aca="false">IF(K782&lt;&gt;"Yes","",IFERROR(INDEX(cr_Rate,MATCH(J782&amp;"|"&amp;D782,cr_Key,0)),INDEX(rt_Rate,MATCH(D782,rt_Code,0))))</f>
        <v>150</v>
      </c>
      <c r="M782" s="25" t="n">
        <f aca="false">IF(L782="","",ROUND(N(E782)*L782,2))</f>
        <v>300</v>
      </c>
      <c r="N782" s="39" t="n">
        <f aca="false">IF(OR(A782="",B782=""),"",SUMIFS(tl_Hours,tl_StaffID,I782,tl_Date,A782))</f>
        <v>8</v>
      </c>
      <c r="O782" s="40" t="str">
        <f aca="false">IF(A782&amp;B782&amp;D782="","",IF(OR(A782="",B782="",D782="",E782=""),"Incomplete",IF(K782="Unknown","Unknown code",IF(AND(K782="Yes",C782=""),"Billable, needs client",IF(N782&gt;MaxDayHours,"Over "&amp;MaxDayHours&amp;" hours that day","")))))</f>
        <v/>
      </c>
    </row>
    <row r="783" customFormat="false" ht="15" hidden="false" customHeight="false" outlineLevel="0" collapsed="false">
      <c r="A783" s="31" t="n">
        <v>46246</v>
      </c>
      <c r="B783" s="32" t="s">
        <v>86</v>
      </c>
      <c r="C783" s="32"/>
      <c r="D783" s="33" t="s">
        <v>98</v>
      </c>
      <c r="E783" s="34" t="n">
        <v>1</v>
      </c>
      <c r="F783" s="32" t="s">
        <v>99</v>
      </c>
      <c r="G783" s="35" t="n">
        <f aca="false">IF(A783="","",A783+7-WEEKDAY(A783))</f>
        <v>46249</v>
      </c>
      <c r="H783" s="36" t="n">
        <f aca="false">IF(A783="","",DATE(YEAR(A783),MONTH(A783),1))</f>
        <v>46235</v>
      </c>
      <c r="I783" s="37" t="str">
        <f aca="false">IF(B783="","",IFERROR(INDEX(st_ID,MATCH(B783,st_Name,0)),"Unknown"))</f>
        <v>QP-01</v>
      </c>
      <c r="J783" s="37" t="str">
        <f aca="false">IF(C783="","",IFERROR(INDEX(cl_Code,MATCH(C783,cl_Name,0)),"Unknown"))</f>
        <v/>
      </c>
      <c r="K783" s="37" t="str">
        <f aca="false">IF(D783="","",IFERROR(INDEX(rt_Billable,MATCH(D783,rt_Code,0)),"Unknown"))</f>
        <v>No</v>
      </c>
      <c r="L783" s="38" t="str">
        <f aca="false">IF(K783&lt;&gt;"Yes","",IFERROR(INDEX(cr_Rate,MATCH(J783&amp;"|"&amp;D783,cr_Key,0)),INDEX(rt_Rate,MATCH(D783,rt_Code,0))))</f>
        <v/>
      </c>
      <c r="M783" s="25" t="str">
        <f aca="false">IF(L783="","",ROUND(N(E783)*L783,2))</f>
        <v/>
      </c>
      <c r="N783" s="39" t="n">
        <f aca="false">IF(OR(A783="",B783=""),"",SUMIFS(tl_Hours,tl_StaffID,I783,tl_Date,A783))</f>
        <v>8</v>
      </c>
      <c r="O783" s="40" t="str">
        <f aca="false">IF(A783&amp;B783&amp;D783="","",IF(OR(A783="",B783="",D783="",E783=""),"Incomplete",IF(K783="Unknown","Unknown code",IF(AND(K783="Yes",C783=""),"Billable, needs client",IF(N783&gt;MaxDayHours,"Over "&amp;MaxDayHours&amp;" hours that day","")))))</f>
        <v/>
      </c>
    </row>
    <row r="784" customFormat="false" ht="15" hidden="false" customHeight="false" outlineLevel="0" collapsed="false">
      <c r="A784" s="31" t="n">
        <v>46246</v>
      </c>
      <c r="B784" s="32" t="s">
        <v>86</v>
      </c>
      <c r="C784" s="32"/>
      <c r="D784" s="33" t="s">
        <v>96</v>
      </c>
      <c r="E784" s="34" t="n">
        <v>1</v>
      </c>
      <c r="F784" s="32"/>
      <c r="G784" s="35" t="n">
        <f aca="false">IF(A784="","",A784+7-WEEKDAY(A784))</f>
        <v>46249</v>
      </c>
      <c r="H784" s="36" t="n">
        <f aca="false">IF(A784="","",DATE(YEAR(A784),MONTH(A784),1))</f>
        <v>46235</v>
      </c>
      <c r="I784" s="37" t="str">
        <f aca="false">IF(B784="","",IFERROR(INDEX(st_ID,MATCH(B784,st_Name,0)),"Unknown"))</f>
        <v>QP-01</v>
      </c>
      <c r="J784" s="37" t="str">
        <f aca="false">IF(C784="","",IFERROR(INDEX(cl_Code,MATCH(C784,cl_Name,0)),"Unknown"))</f>
        <v/>
      </c>
      <c r="K784" s="37" t="str">
        <f aca="false">IF(D784="","",IFERROR(INDEX(rt_Billable,MATCH(D784,rt_Code,0)),"Unknown"))</f>
        <v>No</v>
      </c>
      <c r="L784" s="38" t="str">
        <f aca="false">IF(K784&lt;&gt;"Yes","",IFERROR(INDEX(cr_Rate,MATCH(J784&amp;"|"&amp;D784,cr_Key,0)),INDEX(rt_Rate,MATCH(D784,rt_Code,0))))</f>
        <v/>
      </c>
      <c r="M784" s="25" t="str">
        <f aca="false">IF(L784="","",ROUND(N(E784)*L784,2))</f>
        <v/>
      </c>
      <c r="N784" s="39" t="n">
        <f aca="false">IF(OR(A784="",B784=""),"",SUMIFS(tl_Hours,tl_StaffID,I784,tl_Date,A784))</f>
        <v>8</v>
      </c>
      <c r="O784" s="40" t="str">
        <f aca="false">IF(A784&amp;B784&amp;D784="","",IF(OR(A784="",B784="",D784="",E784=""),"Incomplete",IF(K784="Unknown","Unknown code",IF(AND(K784="Yes",C784=""),"Billable, needs client",IF(N784&gt;MaxDayHours,"Over "&amp;MaxDayHours&amp;" hours that day","")))))</f>
        <v/>
      </c>
    </row>
    <row r="785" customFormat="false" ht="15" hidden="false" customHeight="false" outlineLevel="0" collapsed="false">
      <c r="A785" s="31" t="n">
        <v>46246</v>
      </c>
      <c r="B785" s="32" t="s">
        <v>97</v>
      </c>
      <c r="C785" s="32"/>
      <c r="D785" s="33" t="s">
        <v>109</v>
      </c>
      <c r="E785" s="34" t="n">
        <v>8</v>
      </c>
      <c r="F785" s="32"/>
      <c r="G785" s="35" t="n">
        <f aca="false">IF(A785="","",A785+7-WEEKDAY(A785))</f>
        <v>46249</v>
      </c>
      <c r="H785" s="36" t="n">
        <f aca="false">IF(A785="","",DATE(YEAR(A785),MONTH(A785),1))</f>
        <v>46235</v>
      </c>
      <c r="I785" s="37" t="str">
        <f aca="false">IF(B785="","",IFERROR(INDEX(st_ID,MATCH(B785,st_Name,0)),"Unknown"))</f>
        <v>QP-02</v>
      </c>
      <c r="J785" s="37" t="str">
        <f aca="false">IF(C785="","",IFERROR(INDEX(cl_Code,MATCH(C785,cl_Name,0)),"Unknown"))</f>
        <v/>
      </c>
      <c r="K785" s="37" t="str">
        <f aca="false">IF(D785="","",IFERROR(INDEX(rt_Billable,MATCH(D785,rt_Code,0)),"Unknown"))</f>
        <v>No</v>
      </c>
      <c r="L785" s="38" t="str">
        <f aca="false">IF(K785&lt;&gt;"Yes","",IFERROR(INDEX(cr_Rate,MATCH(J785&amp;"|"&amp;D785,cr_Key,0)),INDEX(rt_Rate,MATCH(D785,rt_Code,0))))</f>
        <v/>
      </c>
      <c r="M785" s="25" t="str">
        <f aca="false">IF(L785="","",ROUND(N(E785)*L785,2))</f>
        <v/>
      </c>
      <c r="N785" s="39" t="n">
        <f aca="false">IF(OR(A785="",B785=""),"",SUMIFS(tl_Hours,tl_StaffID,I785,tl_Date,A785))</f>
        <v>8</v>
      </c>
      <c r="O785" s="40" t="str">
        <f aca="false">IF(A785&amp;B785&amp;D785="","",IF(OR(A785="",B785="",D785="",E785=""),"Incomplete",IF(K785="Unknown","Unknown code",IF(AND(K785="Yes",C785=""),"Billable, needs client",IF(N785&gt;MaxDayHours,"Over "&amp;MaxDayHours&amp;" hours that day","")))))</f>
        <v/>
      </c>
    </row>
    <row r="786" customFormat="false" ht="15" hidden="false" customHeight="false" outlineLevel="0" collapsed="false">
      <c r="A786" s="31" t="n">
        <v>46246</v>
      </c>
      <c r="B786" s="32" t="s">
        <v>100</v>
      </c>
      <c r="C786" s="32" t="s">
        <v>90</v>
      </c>
      <c r="D786" s="33" t="s">
        <v>88</v>
      </c>
      <c r="E786" s="34" t="n">
        <v>3</v>
      </c>
      <c r="F786" s="32"/>
      <c r="G786" s="35" t="n">
        <f aca="false">IF(A786="","",A786+7-WEEKDAY(A786))</f>
        <v>46249</v>
      </c>
      <c r="H786" s="36" t="n">
        <f aca="false">IF(A786="","",DATE(YEAR(A786),MONTH(A786),1))</f>
        <v>46235</v>
      </c>
      <c r="I786" s="37" t="str">
        <f aca="false">IF(B786="","",IFERROR(INDEX(st_ID,MATCH(B786,st_Name,0)),"Unknown"))</f>
        <v>QP-03</v>
      </c>
      <c r="J786" s="37" t="str">
        <f aca="false">IF(C786="","",IFERROR(INDEX(cl_Code,MATCH(C786,cl_Name,0)),"Unknown"))</f>
        <v>BSE</v>
      </c>
      <c r="K786" s="37" t="str">
        <f aca="false">IF(D786="","",IFERROR(INDEX(rt_Billable,MATCH(D786,rt_Code,0)),"Unknown"))</f>
        <v>Yes</v>
      </c>
      <c r="L786" s="38" t="n">
        <f aca="false">IF(K786&lt;&gt;"Yes","",IFERROR(INDEX(cr_Rate,MATCH(J786&amp;"|"&amp;D786,cr_Key,0)),INDEX(rt_Rate,MATCH(D786,rt_Code,0))))</f>
        <v>104</v>
      </c>
      <c r="M786" s="25" t="n">
        <f aca="false">IF(L786="","",ROUND(N(E786)*L786,2))</f>
        <v>312</v>
      </c>
      <c r="N786" s="39" t="n">
        <f aca="false">IF(OR(A786="",B786=""),"",SUMIFS(tl_Hours,tl_StaffID,I786,tl_Date,A786))</f>
        <v>8</v>
      </c>
      <c r="O786" s="40" t="str">
        <f aca="false">IF(A786&amp;B786&amp;D786="","",IF(OR(A786="",B786="",D786="",E786=""),"Incomplete",IF(K786="Unknown","Unknown code",IF(AND(K786="Yes",C786=""),"Billable, needs client",IF(N786&gt;MaxDayHours,"Over "&amp;MaxDayHours&amp;" hours that day","")))))</f>
        <v/>
      </c>
    </row>
    <row r="787" customFormat="false" ht="15" hidden="false" customHeight="false" outlineLevel="0" collapsed="false">
      <c r="A787" s="31" t="n">
        <v>46246</v>
      </c>
      <c r="B787" s="32" t="s">
        <v>100</v>
      </c>
      <c r="C787" s="32" t="s">
        <v>90</v>
      </c>
      <c r="D787" s="33" t="s">
        <v>92</v>
      </c>
      <c r="E787" s="34" t="n">
        <v>1.5</v>
      </c>
      <c r="F787" s="32"/>
      <c r="G787" s="35" t="n">
        <f aca="false">IF(A787="","",A787+7-WEEKDAY(A787))</f>
        <v>46249</v>
      </c>
      <c r="H787" s="36" t="n">
        <f aca="false">IF(A787="","",DATE(YEAR(A787),MONTH(A787),1))</f>
        <v>46235</v>
      </c>
      <c r="I787" s="37" t="str">
        <f aca="false">IF(B787="","",IFERROR(INDEX(st_ID,MATCH(B787,st_Name,0)),"Unknown"))</f>
        <v>QP-03</v>
      </c>
      <c r="J787" s="37" t="str">
        <f aca="false">IF(C787="","",IFERROR(INDEX(cl_Code,MATCH(C787,cl_Name,0)),"Unknown"))</f>
        <v>BSE</v>
      </c>
      <c r="K787" s="37" t="str">
        <f aca="false">IF(D787="","",IFERROR(INDEX(rt_Billable,MATCH(D787,rt_Code,0)),"Unknown"))</f>
        <v>Yes</v>
      </c>
      <c r="L787" s="38" t="n">
        <f aca="false">IF(K787&lt;&gt;"Yes","",IFERROR(INDEX(cr_Rate,MATCH(J787&amp;"|"&amp;D787,cr_Key,0)),INDEX(rt_Rate,MATCH(D787,rt_Code,0))))</f>
        <v>145</v>
      </c>
      <c r="M787" s="25" t="n">
        <f aca="false">IF(L787="","",ROUND(N(E787)*L787,2))</f>
        <v>217.5</v>
      </c>
      <c r="N787" s="39" t="n">
        <f aca="false">IF(OR(A787="",B787=""),"",SUMIFS(tl_Hours,tl_StaffID,I787,tl_Date,A787))</f>
        <v>8</v>
      </c>
      <c r="O787" s="40" t="str">
        <f aca="false">IF(A787&amp;B787&amp;D787="","",IF(OR(A787="",B787="",D787="",E787=""),"Incomplete",IF(K787="Unknown","Unknown code",IF(AND(K787="Yes",C787=""),"Billable, needs client",IF(N787&gt;MaxDayHours,"Over "&amp;MaxDayHours&amp;" hours that day","")))))</f>
        <v/>
      </c>
    </row>
    <row r="788" customFormat="false" ht="15" hidden="false" customHeight="false" outlineLevel="0" collapsed="false">
      <c r="A788" s="31" t="n">
        <v>46246</v>
      </c>
      <c r="B788" s="32" t="s">
        <v>100</v>
      </c>
      <c r="C788" s="32"/>
      <c r="D788" s="33" t="s">
        <v>98</v>
      </c>
      <c r="E788" s="34" t="n">
        <v>1</v>
      </c>
      <c r="F788" s="32" t="s">
        <v>99</v>
      </c>
      <c r="G788" s="35" t="n">
        <f aca="false">IF(A788="","",A788+7-WEEKDAY(A788))</f>
        <v>46249</v>
      </c>
      <c r="H788" s="36" t="n">
        <f aca="false">IF(A788="","",DATE(YEAR(A788),MONTH(A788),1))</f>
        <v>46235</v>
      </c>
      <c r="I788" s="37" t="str">
        <f aca="false">IF(B788="","",IFERROR(INDEX(st_ID,MATCH(B788,st_Name,0)),"Unknown"))</f>
        <v>QP-03</v>
      </c>
      <c r="J788" s="37" t="str">
        <f aca="false">IF(C788="","",IFERROR(INDEX(cl_Code,MATCH(C788,cl_Name,0)),"Unknown"))</f>
        <v/>
      </c>
      <c r="K788" s="37" t="str">
        <f aca="false">IF(D788="","",IFERROR(INDEX(rt_Billable,MATCH(D788,rt_Code,0)),"Unknown"))</f>
        <v>No</v>
      </c>
      <c r="L788" s="38" t="str">
        <f aca="false">IF(K788&lt;&gt;"Yes","",IFERROR(INDEX(cr_Rate,MATCH(J788&amp;"|"&amp;D788,cr_Key,0)),INDEX(rt_Rate,MATCH(D788,rt_Code,0))))</f>
        <v/>
      </c>
      <c r="M788" s="25" t="str">
        <f aca="false">IF(L788="","",ROUND(N(E788)*L788,2))</f>
        <v/>
      </c>
      <c r="N788" s="39" t="n">
        <f aca="false">IF(OR(A788="",B788=""),"",SUMIFS(tl_Hours,tl_StaffID,I788,tl_Date,A788))</f>
        <v>8</v>
      </c>
      <c r="O788" s="40" t="str">
        <f aca="false">IF(A788&amp;B788&amp;D788="","",IF(OR(A788="",B788="",D788="",E788=""),"Incomplete",IF(K788="Unknown","Unknown code",IF(AND(K788="Yes",C788=""),"Billable, needs client",IF(N788&gt;MaxDayHours,"Over "&amp;MaxDayHours&amp;" hours that day","")))))</f>
        <v/>
      </c>
    </row>
    <row r="789" customFormat="false" ht="15" hidden="false" customHeight="false" outlineLevel="0" collapsed="false">
      <c r="A789" s="31" t="n">
        <v>46246</v>
      </c>
      <c r="B789" s="32" t="s">
        <v>100</v>
      </c>
      <c r="C789" s="32"/>
      <c r="D789" s="33" t="s">
        <v>96</v>
      </c>
      <c r="E789" s="34" t="n">
        <v>2.5</v>
      </c>
      <c r="F789" s="32"/>
      <c r="G789" s="35" t="n">
        <f aca="false">IF(A789="","",A789+7-WEEKDAY(A789))</f>
        <v>46249</v>
      </c>
      <c r="H789" s="36" t="n">
        <f aca="false">IF(A789="","",DATE(YEAR(A789),MONTH(A789),1))</f>
        <v>46235</v>
      </c>
      <c r="I789" s="37" t="str">
        <f aca="false">IF(B789="","",IFERROR(INDEX(st_ID,MATCH(B789,st_Name,0)),"Unknown"))</f>
        <v>QP-03</v>
      </c>
      <c r="J789" s="37" t="str">
        <f aca="false">IF(C789="","",IFERROR(INDEX(cl_Code,MATCH(C789,cl_Name,0)),"Unknown"))</f>
        <v/>
      </c>
      <c r="K789" s="37" t="str">
        <f aca="false">IF(D789="","",IFERROR(INDEX(rt_Billable,MATCH(D789,rt_Code,0)),"Unknown"))</f>
        <v>No</v>
      </c>
      <c r="L789" s="38" t="str">
        <f aca="false">IF(K789&lt;&gt;"Yes","",IFERROR(INDEX(cr_Rate,MATCH(J789&amp;"|"&amp;D789,cr_Key,0)),INDEX(rt_Rate,MATCH(D789,rt_Code,0))))</f>
        <v/>
      </c>
      <c r="M789" s="25" t="str">
        <f aca="false">IF(L789="","",ROUND(N(E789)*L789,2))</f>
        <v/>
      </c>
      <c r="N789" s="39" t="n">
        <f aca="false">IF(OR(A789="",B789=""),"",SUMIFS(tl_Hours,tl_StaffID,I789,tl_Date,A789))</f>
        <v>8</v>
      </c>
      <c r="O789" s="40" t="str">
        <f aca="false">IF(A789&amp;B789&amp;D789="","",IF(OR(A789="",B789="",D789="",E789=""),"Incomplete",IF(K789="Unknown","Unknown code",IF(AND(K789="Yes",C789=""),"Billable, needs client",IF(N789&gt;MaxDayHours,"Over "&amp;MaxDayHours&amp;" hours that day","")))))</f>
        <v/>
      </c>
    </row>
    <row r="790" customFormat="false" ht="15" hidden="false" customHeight="false" outlineLevel="0" collapsed="false">
      <c r="A790" s="31" t="n">
        <v>46246</v>
      </c>
      <c r="B790" s="32" t="s">
        <v>101</v>
      </c>
      <c r="C790" s="32" t="s">
        <v>87</v>
      </c>
      <c r="D790" s="33" t="s">
        <v>88</v>
      </c>
      <c r="E790" s="34" t="n">
        <v>1.75</v>
      </c>
      <c r="F790" s="32"/>
      <c r="G790" s="35" t="n">
        <f aca="false">IF(A790="","",A790+7-WEEKDAY(A790))</f>
        <v>46249</v>
      </c>
      <c r="H790" s="36" t="n">
        <f aca="false">IF(A790="","",DATE(YEAR(A790),MONTH(A790),1))</f>
        <v>46235</v>
      </c>
      <c r="I790" s="37" t="str">
        <f aca="false">IF(B790="","",IFERROR(INDEX(st_ID,MATCH(B790,st_Name,0)),"Unknown"))</f>
        <v>QP-04</v>
      </c>
      <c r="J790" s="37" t="str">
        <f aca="false">IF(C790="","",IFERROR(INDEX(cl_Code,MATCH(C790,cl_Name,0)),"Unknown"))</f>
        <v>HCS</v>
      </c>
      <c r="K790" s="37" t="str">
        <f aca="false">IF(D790="","",IFERROR(INDEX(rt_Billable,MATCH(D790,rt_Code,0)),"Unknown"))</f>
        <v>Yes</v>
      </c>
      <c r="L790" s="38" t="n">
        <f aca="false">IF(K790&lt;&gt;"Yes","",IFERROR(INDEX(cr_Rate,MATCH(J790&amp;"|"&amp;D790,cr_Key,0)),INDEX(rt_Rate,MATCH(D790,rt_Code,0))))</f>
        <v>98</v>
      </c>
      <c r="M790" s="25" t="n">
        <f aca="false">IF(L790="","",ROUND(N(E790)*L790,2))</f>
        <v>171.5</v>
      </c>
      <c r="N790" s="39" t="n">
        <f aca="false">IF(OR(A790="",B790=""),"",SUMIFS(tl_Hours,tl_StaffID,I790,tl_Date,A790))</f>
        <v>8</v>
      </c>
      <c r="O790" s="40" t="str">
        <f aca="false">IF(A790&amp;B790&amp;D790="","",IF(OR(A790="",B790="",D790="",E790=""),"Incomplete",IF(K790="Unknown","Unknown code",IF(AND(K790="Yes",C790=""),"Billable, needs client",IF(N790&gt;MaxDayHours,"Over "&amp;MaxDayHours&amp;" hours that day","")))))</f>
        <v/>
      </c>
    </row>
    <row r="791" customFormat="false" ht="15" hidden="false" customHeight="false" outlineLevel="0" collapsed="false">
      <c r="A791" s="31" t="n">
        <v>46246</v>
      </c>
      <c r="B791" s="32" t="s">
        <v>101</v>
      </c>
      <c r="C791" s="32" t="s">
        <v>87</v>
      </c>
      <c r="D791" s="33" t="s">
        <v>92</v>
      </c>
      <c r="E791" s="34" t="n">
        <v>1</v>
      </c>
      <c r="F791" s="32"/>
      <c r="G791" s="35" t="n">
        <f aca="false">IF(A791="","",A791+7-WEEKDAY(A791))</f>
        <v>46249</v>
      </c>
      <c r="H791" s="36" t="n">
        <f aca="false">IF(A791="","",DATE(YEAR(A791),MONTH(A791),1))</f>
        <v>46235</v>
      </c>
      <c r="I791" s="37" t="str">
        <f aca="false">IF(B791="","",IFERROR(INDEX(st_ID,MATCH(B791,st_Name,0)),"Unknown"))</f>
        <v>QP-04</v>
      </c>
      <c r="J791" s="37" t="str">
        <f aca="false">IF(C791="","",IFERROR(INDEX(cl_Code,MATCH(C791,cl_Name,0)),"Unknown"))</f>
        <v>HCS</v>
      </c>
      <c r="K791" s="37" t="str">
        <f aca="false">IF(D791="","",IFERROR(INDEX(rt_Billable,MATCH(D791,rt_Code,0)),"Unknown"))</f>
        <v>Yes</v>
      </c>
      <c r="L791" s="38" t="n">
        <f aca="false">IF(K791&lt;&gt;"Yes","",IFERROR(INDEX(cr_Rate,MATCH(J791&amp;"|"&amp;D791,cr_Key,0)),INDEX(rt_Rate,MATCH(D791,rt_Code,0))))</f>
        <v>140</v>
      </c>
      <c r="M791" s="25" t="n">
        <f aca="false">IF(L791="","",ROUND(N(E791)*L791,2))</f>
        <v>140</v>
      </c>
      <c r="N791" s="39" t="n">
        <f aca="false">IF(OR(A791="",B791=""),"",SUMIFS(tl_Hours,tl_StaffID,I791,tl_Date,A791))</f>
        <v>8</v>
      </c>
      <c r="O791" s="40" t="str">
        <f aca="false">IF(A791&amp;B791&amp;D791="","",IF(OR(A791="",B791="",D791="",E791=""),"Incomplete",IF(K791="Unknown","Unknown code",IF(AND(K791="Yes",C791=""),"Billable, needs client",IF(N791&gt;MaxDayHours,"Over "&amp;MaxDayHours&amp;" hours that day","")))))</f>
        <v/>
      </c>
    </row>
    <row r="792" customFormat="false" ht="15" hidden="false" customHeight="false" outlineLevel="0" collapsed="false">
      <c r="A792" s="31" t="n">
        <v>46246</v>
      </c>
      <c r="B792" s="32" t="s">
        <v>101</v>
      </c>
      <c r="C792" s="32" t="s">
        <v>102</v>
      </c>
      <c r="D792" s="33" t="s">
        <v>88</v>
      </c>
      <c r="E792" s="34" t="n">
        <v>1.75</v>
      </c>
      <c r="F792" s="32"/>
      <c r="G792" s="35" t="n">
        <f aca="false">IF(A792="","",A792+7-WEEKDAY(A792))</f>
        <v>46249</v>
      </c>
      <c r="H792" s="36" t="n">
        <f aca="false">IF(A792="","",DATE(YEAR(A792),MONTH(A792),1))</f>
        <v>46235</v>
      </c>
      <c r="I792" s="37" t="str">
        <f aca="false">IF(B792="","",IFERROR(INDEX(st_ID,MATCH(B792,st_Name,0)),"Unknown"))</f>
        <v>QP-04</v>
      </c>
      <c r="J792" s="37" t="str">
        <f aca="false">IF(C792="","",IFERROR(INDEX(cl_Code,MATCH(C792,cl_Name,0)),"Unknown"))</f>
        <v>CLH</v>
      </c>
      <c r="K792" s="37" t="str">
        <f aca="false">IF(D792="","",IFERROR(INDEX(rt_Billable,MATCH(D792,rt_Code,0)),"Unknown"))</f>
        <v>Yes</v>
      </c>
      <c r="L792" s="38" t="n">
        <f aca="false">IF(K792&lt;&gt;"Yes","",IFERROR(INDEX(cr_Rate,MATCH(J792&amp;"|"&amp;D792,cr_Key,0)),INDEX(rt_Rate,MATCH(D792,rt_Code,0))))</f>
        <v>110</v>
      </c>
      <c r="M792" s="25" t="n">
        <f aca="false">IF(L792="","",ROUND(N(E792)*L792,2))</f>
        <v>192.5</v>
      </c>
      <c r="N792" s="39" t="n">
        <f aca="false">IF(OR(A792="",B792=""),"",SUMIFS(tl_Hours,tl_StaffID,I792,tl_Date,A792))</f>
        <v>8</v>
      </c>
      <c r="O792" s="40" t="str">
        <f aca="false">IF(A792&amp;B792&amp;D792="","",IF(OR(A792="",B792="",D792="",E792=""),"Incomplete",IF(K792="Unknown","Unknown code",IF(AND(K792="Yes",C792=""),"Billable, needs client",IF(N792&gt;MaxDayHours,"Over "&amp;MaxDayHours&amp;" hours that day","")))))</f>
        <v/>
      </c>
    </row>
    <row r="793" customFormat="false" ht="15" hidden="false" customHeight="false" outlineLevel="0" collapsed="false">
      <c r="A793" s="31" t="n">
        <v>46246</v>
      </c>
      <c r="B793" s="32" t="s">
        <v>101</v>
      </c>
      <c r="C793" s="32" t="s">
        <v>102</v>
      </c>
      <c r="D793" s="33" t="s">
        <v>113</v>
      </c>
      <c r="E793" s="34" t="n">
        <v>1</v>
      </c>
      <c r="F793" s="32"/>
      <c r="G793" s="35" t="n">
        <f aca="false">IF(A793="","",A793+7-WEEKDAY(A793))</f>
        <v>46249</v>
      </c>
      <c r="H793" s="36" t="n">
        <f aca="false">IF(A793="","",DATE(YEAR(A793),MONTH(A793),1))</f>
        <v>46235</v>
      </c>
      <c r="I793" s="37" t="str">
        <f aca="false">IF(B793="","",IFERROR(INDEX(st_ID,MATCH(B793,st_Name,0)),"Unknown"))</f>
        <v>QP-04</v>
      </c>
      <c r="J793" s="37" t="str">
        <f aca="false">IF(C793="","",IFERROR(INDEX(cl_Code,MATCH(C793,cl_Name,0)),"Unknown"))</f>
        <v>CLH</v>
      </c>
      <c r="K793" s="37" t="str">
        <f aca="false">IF(D793="","",IFERROR(INDEX(rt_Billable,MATCH(D793,rt_Code,0)),"Unknown"))</f>
        <v>Yes</v>
      </c>
      <c r="L793" s="38" t="n">
        <f aca="false">IF(K793&lt;&gt;"Yes","",IFERROR(INDEX(cr_Rate,MATCH(J793&amp;"|"&amp;D793,cr_Key,0)),INDEX(rt_Rate,MATCH(D793,rt_Code,0))))</f>
        <v>75</v>
      </c>
      <c r="M793" s="25" t="n">
        <f aca="false">IF(L793="","",ROUND(N(E793)*L793,2))</f>
        <v>75</v>
      </c>
      <c r="N793" s="39" t="n">
        <f aca="false">IF(OR(A793="",B793=""),"",SUMIFS(tl_Hours,tl_StaffID,I793,tl_Date,A793))</f>
        <v>8</v>
      </c>
      <c r="O793" s="40" t="str">
        <f aca="false">IF(A793&amp;B793&amp;D793="","",IF(OR(A793="",B793="",D793="",E793=""),"Incomplete",IF(K793="Unknown","Unknown code",IF(AND(K793="Yes",C793=""),"Billable, needs client",IF(N793&gt;MaxDayHours,"Over "&amp;MaxDayHours&amp;" hours that day","")))))</f>
        <v/>
      </c>
    </row>
    <row r="794" customFormat="false" ht="15" hidden="false" customHeight="false" outlineLevel="0" collapsed="false">
      <c r="A794" s="31" t="n">
        <v>46246</v>
      </c>
      <c r="B794" s="32" t="s">
        <v>101</v>
      </c>
      <c r="C794" s="32"/>
      <c r="D794" s="33" t="s">
        <v>93</v>
      </c>
      <c r="E794" s="34" t="n">
        <v>0.5</v>
      </c>
      <c r="F794" s="32"/>
      <c r="G794" s="35" t="n">
        <f aca="false">IF(A794="","",A794+7-WEEKDAY(A794))</f>
        <v>46249</v>
      </c>
      <c r="H794" s="36" t="n">
        <f aca="false">IF(A794="","",DATE(YEAR(A794),MONTH(A794),1))</f>
        <v>46235</v>
      </c>
      <c r="I794" s="37" t="str">
        <f aca="false">IF(B794="","",IFERROR(INDEX(st_ID,MATCH(B794,st_Name,0)),"Unknown"))</f>
        <v>QP-04</v>
      </c>
      <c r="J794" s="37" t="str">
        <f aca="false">IF(C794="","",IFERROR(INDEX(cl_Code,MATCH(C794,cl_Name,0)),"Unknown"))</f>
        <v/>
      </c>
      <c r="K794" s="37" t="str">
        <f aca="false">IF(D794="","",IFERROR(INDEX(rt_Billable,MATCH(D794,rt_Code,0)),"Unknown"))</f>
        <v>No</v>
      </c>
      <c r="L794" s="38" t="str">
        <f aca="false">IF(K794&lt;&gt;"Yes","",IFERROR(INDEX(cr_Rate,MATCH(J794&amp;"|"&amp;D794,cr_Key,0)),INDEX(rt_Rate,MATCH(D794,rt_Code,0))))</f>
        <v/>
      </c>
      <c r="M794" s="25" t="str">
        <f aca="false">IF(L794="","",ROUND(N(E794)*L794,2))</f>
        <v/>
      </c>
      <c r="N794" s="39" t="n">
        <f aca="false">IF(OR(A794="",B794=""),"",SUMIFS(tl_Hours,tl_StaffID,I794,tl_Date,A794))</f>
        <v>8</v>
      </c>
      <c r="O794" s="40" t="str">
        <f aca="false">IF(A794&amp;B794&amp;D794="","",IF(OR(A794="",B794="",D794="",E794=""),"Incomplete",IF(K794="Unknown","Unknown code",IF(AND(K794="Yes",C794=""),"Billable, needs client",IF(N794&gt;MaxDayHours,"Over "&amp;MaxDayHours&amp;" hours that day","")))))</f>
        <v/>
      </c>
    </row>
    <row r="795" customFormat="false" ht="15" hidden="false" customHeight="false" outlineLevel="0" collapsed="false">
      <c r="A795" s="31" t="n">
        <v>46246</v>
      </c>
      <c r="B795" s="32" t="s">
        <v>101</v>
      </c>
      <c r="C795" s="32"/>
      <c r="D795" s="33" t="s">
        <v>96</v>
      </c>
      <c r="E795" s="34" t="n">
        <v>2</v>
      </c>
      <c r="F795" s="32"/>
      <c r="G795" s="35" t="n">
        <f aca="false">IF(A795="","",A795+7-WEEKDAY(A795))</f>
        <v>46249</v>
      </c>
      <c r="H795" s="36" t="n">
        <f aca="false">IF(A795="","",DATE(YEAR(A795),MONTH(A795),1))</f>
        <v>46235</v>
      </c>
      <c r="I795" s="37" t="str">
        <f aca="false">IF(B795="","",IFERROR(INDEX(st_ID,MATCH(B795,st_Name,0)),"Unknown"))</f>
        <v>QP-04</v>
      </c>
      <c r="J795" s="37" t="str">
        <f aca="false">IF(C795="","",IFERROR(INDEX(cl_Code,MATCH(C795,cl_Name,0)),"Unknown"))</f>
        <v/>
      </c>
      <c r="K795" s="37" t="str">
        <f aca="false">IF(D795="","",IFERROR(INDEX(rt_Billable,MATCH(D795,rt_Code,0)),"Unknown"))</f>
        <v>No</v>
      </c>
      <c r="L795" s="38" t="str">
        <f aca="false">IF(K795&lt;&gt;"Yes","",IFERROR(INDEX(cr_Rate,MATCH(J795&amp;"|"&amp;D795,cr_Key,0)),INDEX(rt_Rate,MATCH(D795,rt_Code,0))))</f>
        <v/>
      </c>
      <c r="M795" s="25" t="str">
        <f aca="false">IF(L795="","",ROUND(N(E795)*L795,2))</f>
        <v/>
      </c>
      <c r="N795" s="39" t="n">
        <f aca="false">IF(OR(A795="",B795=""),"",SUMIFS(tl_Hours,tl_StaffID,I795,tl_Date,A795))</f>
        <v>8</v>
      </c>
      <c r="O795" s="40" t="str">
        <f aca="false">IF(A795&amp;B795&amp;D795="","",IF(OR(A795="",B795="",D795="",E795=""),"Incomplete",IF(K795="Unknown","Unknown code",IF(AND(K795="Yes",C795=""),"Billable, needs client",IF(N795&gt;MaxDayHours,"Over "&amp;MaxDayHours&amp;" hours that day","")))))</f>
        <v/>
      </c>
    </row>
    <row r="796" customFormat="false" ht="15" hidden="false" customHeight="false" outlineLevel="0" collapsed="false">
      <c r="A796" s="31" t="n">
        <v>46246</v>
      </c>
      <c r="B796" s="32" t="s">
        <v>103</v>
      </c>
      <c r="C796" s="32" t="s">
        <v>90</v>
      </c>
      <c r="D796" s="33" t="s">
        <v>88</v>
      </c>
      <c r="E796" s="34" t="n">
        <v>3.5</v>
      </c>
      <c r="F796" s="32"/>
      <c r="G796" s="35" t="n">
        <f aca="false">IF(A796="","",A796+7-WEEKDAY(A796))</f>
        <v>46249</v>
      </c>
      <c r="H796" s="36" t="n">
        <f aca="false">IF(A796="","",DATE(YEAR(A796),MONTH(A796),1))</f>
        <v>46235</v>
      </c>
      <c r="I796" s="37" t="str">
        <f aca="false">IF(B796="","",IFERROR(INDEX(st_ID,MATCH(B796,st_Name,0)),"Unknown"))</f>
        <v>QP-05</v>
      </c>
      <c r="J796" s="37" t="str">
        <f aca="false">IF(C796="","",IFERROR(INDEX(cl_Code,MATCH(C796,cl_Name,0)),"Unknown"))</f>
        <v>BSE</v>
      </c>
      <c r="K796" s="37" t="str">
        <f aca="false">IF(D796="","",IFERROR(INDEX(rt_Billable,MATCH(D796,rt_Code,0)),"Unknown"))</f>
        <v>Yes</v>
      </c>
      <c r="L796" s="38" t="n">
        <f aca="false">IF(K796&lt;&gt;"Yes","",IFERROR(INDEX(cr_Rate,MATCH(J796&amp;"|"&amp;D796,cr_Key,0)),INDEX(rt_Rate,MATCH(D796,rt_Code,0))))</f>
        <v>104</v>
      </c>
      <c r="M796" s="25" t="n">
        <f aca="false">IF(L796="","",ROUND(N(E796)*L796,2))</f>
        <v>364</v>
      </c>
      <c r="N796" s="39" t="n">
        <f aca="false">IF(OR(A796="",B796=""),"",SUMIFS(tl_Hours,tl_StaffID,I796,tl_Date,A796))</f>
        <v>8</v>
      </c>
      <c r="O796" s="40" t="str">
        <f aca="false">IF(A796&amp;B796&amp;D796="","",IF(OR(A796="",B796="",D796="",E796=""),"Incomplete",IF(K796="Unknown","Unknown code",IF(AND(K796="Yes",C796=""),"Billable, needs client",IF(N796&gt;MaxDayHours,"Over "&amp;MaxDayHours&amp;" hours that day","")))))</f>
        <v/>
      </c>
    </row>
    <row r="797" customFormat="false" ht="15" hidden="false" customHeight="false" outlineLevel="0" collapsed="false">
      <c r="A797" s="31" t="n">
        <v>46246</v>
      </c>
      <c r="B797" s="32" t="s">
        <v>103</v>
      </c>
      <c r="C797" s="32" t="s">
        <v>90</v>
      </c>
      <c r="D797" s="33" t="s">
        <v>89</v>
      </c>
      <c r="E797" s="34" t="n">
        <v>2</v>
      </c>
      <c r="F797" s="32"/>
      <c r="G797" s="35" t="n">
        <f aca="false">IF(A797="","",A797+7-WEEKDAY(A797))</f>
        <v>46249</v>
      </c>
      <c r="H797" s="36" t="n">
        <f aca="false">IF(A797="","",DATE(YEAR(A797),MONTH(A797),1))</f>
        <v>46235</v>
      </c>
      <c r="I797" s="37" t="str">
        <f aca="false">IF(B797="","",IFERROR(INDEX(st_ID,MATCH(B797,st_Name,0)),"Unknown"))</f>
        <v>QP-05</v>
      </c>
      <c r="J797" s="37" t="str">
        <f aca="false">IF(C797="","",IFERROR(INDEX(cl_Code,MATCH(C797,cl_Name,0)),"Unknown"))</f>
        <v>BSE</v>
      </c>
      <c r="K797" s="37" t="str">
        <f aca="false">IF(D797="","",IFERROR(INDEX(rt_Billable,MATCH(D797,rt_Code,0)),"Unknown"))</f>
        <v>Yes</v>
      </c>
      <c r="L797" s="38" t="n">
        <f aca="false">IF(K797&lt;&gt;"Yes","",IFERROR(INDEX(cr_Rate,MATCH(J797&amp;"|"&amp;D797,cr_Key,0)),INDEX(rt_Rate,MATCH(D797,rt_Code,0))))</f>
        <v>95</v>
      </c>
      <c r="M797" s="25" t="n">
        <f aca="false">IF(L797="","",ROUND(N(E797)*L797,2))</f>
        <v>190</v>
      </c>
      <c r="N797" s="39" t="n">
        <f aca="false">IF(OR(A797="",B797=""),"",SUMIFS(tl_Hours,tl_StaffID,I797,tl_Date,A797))</f>
        <v>8</v>
      </c>
      <c r="O797" s="40" t="str">
        <f aca="false">IF(A797&amp;B797&amp;D797="","",IF(OR(A797="",B797="",D797="",E797=""),"Incomplete",IF(K797="Unknown","Unknown code",IF(AND(K797="Yes",C797=""),"Billable, needs client",IF(N797&gt;MaxDayHours,"Over "&amp;MaxDayHours&amp;" hours that day","")))))</f>
        <v/>
      </c>
    </row>
    <row r="798" customFormat="false" ht="15" hidden="false" customHeight="false" outlineLevel="0" collapsed="false">
      <c r="A798" s="31" t="n">
        <v>46246</v>
      </c>
      <c r="B798" s="32" t="s">
        <v>103</v>
      </c>
      <c r="C798" s="32"/>
      <c r="D798" s="33" t="s">
        <v>98</v>
      </c>
      <c r="E798" s="34" t="n">
        <v>1</v>
      </c>
      <c r="F798" s="32" t="s">
        <v>99</v>
      </c>
      <c r="G798" s="35" t="n">
        <f aca="false">IF(A798="","",A798+7-WEEKDAY(A798))</f>
        <v>46249</v>
      </c>
      <c r="H798" s="36" t="n">
        <f aca="false">IF(A798="","",DATE(YEAR(A798),MONTH(A798),1))</f>
        <v>46235</v>
      </c>
      <c r="I798" s="37" t="str">
        <f aca="false">IF(B798="","",IFERROR(INDEX(st_ID,MATCH(B798,st_Name,0)),"Unknown"))</f>
        <v>QP-05</v>
      </c>
      <c r="J798" s="37" t="str">
        <f aca="false">IF(C798="","",IFERROR(INDEX(cl_Code,MATCH(C798,cl_Name,0)),"Unknown"))</f>
        <v/>
      </c>
      <c r="K798" s="37" t="str">
        <f aca="false">IF(D798="","",IFERROR(INDEX(rt_Billable,MATCH(D798,rt_Code,0)),"Unknown"))</f>
        <v>No</v>
      </c>
      <c r="L798" s="38" t="str">
        <f aca="false">IF(K798&lt;&gt;"Yes","",IFERROR(INDEX(cr_Rate,MATCH(J798&amp;"|"&amp;D798,cr_Key,0)),INDEX(rt_Rate,MATCH(D798,rt_Code,0))))</f>
        <v/>
      </c>
      <c r="M798" s="25" t="str">
        <f aca="false">IF(L798="","",ROUND(N(E798)*L798,2))</f>
        <v/>
      </c>
      <c r="N798" s="39" t="n">
        <f aca="false">IF(OR(A798="",B798=""),"",SUMIFS(tl_Hours,tl_StaffID,I798,tl_Date,A798))</f>
        <v>8</v>
      </c>
      <c r="O798" s="40" t="str">
        <f aca="false">IF(A798&amp;B798&amp;D798="","",IF(OR(A798="",B798="",D798="",E798=""),"Incomplete",IF(K798="Unknown","Unknown code",IF(AND(K798="Yes",C798=""),"Billable, needs client",IF(N798&gt;MaxDayHours,"Over "&amp;MaxDayHours&amp;" hours that day","")))))</f>
        <v/>
      </c>
    </row>
    <row r="799" customFormat="false" ht="15" hidden="false" customHeight="false" outlineLevel="0" collapsed="false">
      <c r="A799" s="31" t="n">
        <v>46246</v>
      </c>
      <c r="B799" s="32" t="s">
        <v>103</v>
      </c>
      <c r="C799" s="32"/>
      <c r="D799" s="33" t="s">
        <v>96</v>
      </c>
      <c r="E799" s="34" t="n">
        <v>1.5</v>
      </c>
      <c r="F799" s="32"/>
      <c r="G799" s="35" t="n">
        <f aca="false">IF(A799="","",A799+7-WEEKDAY(A799))</f>
        <v>46249</v>
      </c>
      <c r="H799" s="36" t="n">
        <f aca="false">IF(A799="","",DATE(YEAR(A799),MONTH(A799),1))</f>
        <v>46235</v>
      </c>
      <c r="I799" s="37" t="str">
        <f aca="false">IF(B799="","",IFERROR(INDEX(st_ID,MATCH(B799,st_Name,0)),"Unknown"))</f>
        <v>QP-05</v>
      </c>
      <c r="J799" s="37" t="str">
        <f aca="false">IF(C799="","",IFERROR(INDEX(cl_Code,MATCH(C799,cl_Name,0)),"Unknown"))</f>
        <v/>
      </c>
      <c r="K799" s="37" t="str">
        <f aca="false">IF(D799="","",IFERROR(INDEX(rt_Billable,MATCH(D799,rt_Code,0)),"Unknown"))</f>
        <v>No</v>
      </c>
      <c r="L799" s="38" t="str">
        <f aca="false">IF(K799&lt;&gt;"Yes","",IFERROR(INDEX(cr_Rate,MATCH(J799&amp;"|"&amp;D799,cr_Key,0)),INDEX(rt_Rate,MATCH(D799,rt_Code,0))))</f>
        <v/>
      </c>
      <c r="M799" s="25" t="str">
        <f aca="false">IF(L799="","",ROUND(N(E799)*L799,2))</f>
        <v/>
      </c>
      <c r="N799" s="39" t="n">
        <f aca="false">IF(OR(A799="",B799=""),"",SUMIFS(tl_Hours,tl_StaffID,I799,tl_Date,A799))</f>
        <v>8</v>
      </c>
      <c r="O799" s="40" t="str">
        <f aca="false">IF(A799&amp;B799&amp;D799="","",IF(OR(A799="",B799="",D799="",E799=""),"Incomplete",IF(K799="Unknown","Unknown code",IF(AND(K799="Yes",C799=""),"Billable, needs client",IF(N799&gt;MaxDayHours,"Over "&amp;MaxDayHours&amp;" hours that day","")))))</f>
        <v/>
      </c>
    </row>
    <row r="800" customFormat="false" ht="15" hidden="false" customHeight="false" outlineLevel="0" collapsed="false">
      <c r="A800" s="31" t="n">
        <v>46246</v>
      </c>
      <c r="B800" s="32" t="s">
        <v>105</v>
      </c>
      <c r="C800" s="32" t="s">
        <v>90</v>
      </c>
      <c r="D800" s="33" t="s">
        <v>88</v>
      </c>
      <c r="E800" s="34" t="n">
        <v>4.25</v>
      </c>
      <c r="F800" s="32"/>
      <c r="G800" s="35" t="n">
        <f aca="false">IF(A800="","",A800+7-WEEKDAY(A800))</f>
        <v>46249</v>
      </c>
      <c r="H800" s="36" t="n">
        <f aca="false">IF(A800="","",DATE(YEAR(A800),MONTH(A800),1))</f>
        <v>46235</v>
      </c>
      <c r="I800" s="37" t="str">
        <f aca="false">IF(B800="","",IFERROR(INDEX(st_ID,MATCH(B800,st_Name,0)),"Unknown"))</f>
        <v>QP-06</v>
      </c>
      <c r="J800" s="37" t="str">
        <f aca="false">IF(C800="","",IFERROR(INDEX(cl_Code,MATCH(C800,cl_Name,0)),"Unknown"))</f>
        <v>BSE</v>
      </c>
      <c r="K800" s="37" t="str">
        <f aca="false">IF(D800="","",IFERROR(INDEX(rt_Billable,MATCH(D800,rt_Code,0)),"Unknown"))</f>
        <v>Yes</v>
      </c>
      <c r="L800" s="38" t="n">
        <f aca="false">IF(K800&lt;&gt;"Yes","",IFERROR(INDEX(cr_Rate,MATCH(J800&amp;"|"&amp;D800,cr_Key,0)),INDEX(rt_Rate,MATCH(D800,rt_Code,0))))</f>
        <v>104</v>
      </c>
      <c r="M800" s="25" t="n">
        <f aca="false">IF(L800="","",ROUND(N(E800)*L800,2))</f>
        <v>442</v>
      </c>
      <c r="N800" s="39" t="n">
        <f aca="false">IF(OR(A800="",B800=""),"",SUMIFS(tl_Hours,tl_StaffID,I800,tl_Date,A800))</f>
        <v>8</v>
      </c>
      <c r="O800" s="40" t="str">
        <f aca="false">IF(A800&amp;B800&amp;D800="","",IF(OR(A800="",B800="",D800="",E800=""),"Incomplete",IF(K800="Unknown","Unknown code",IF(AND(K800="Yes",C800=""),"Billable, needs client",IF(N800&gt;MaxDayHours,"Over "&amp;MaxDayHours&amp;" hours that day","")))))</f>
        <v/>
      </c>
    </row>
    <row r="801" customFormat="false" ht="15" hidden="false" customHeight="false" outlineLevel="0" collapsed="false">
      <c r="A801" s="31" t="n">
        <v>46246</v>
      </c>
      <c r="B801" s="32" t="s">
        <v>105</v>
      </c>
      <c r="C801" s="32" t="s">
        <v>90</v>
      </c>
      <c r="D801" s="33" t="s">
        <v>92</v>
      </c>
      <c r="E801" s="34" t="n">
        <v>1.25</v>
      </c>
      <c r="F801" s="32"/>
      <c r="G801" s="35" t="n">
        <f aca="false">IF(A801="","",A801+7-WEEKDAY(A801))</f>
        <v>46249</v>
      </c>
      <c r="H801" s="36" t="n">
        <f aca="false">IF(A801="","",DATE(YEAR(A801),MONTH(A801),1))</f>
        <v>46235</v>
      </c>
      <c r="I801" s="37" t="str">
        <f aca="false">IF(B801="","",IFERROR(INDEX(st_ID,MATCH(B801,st_Name,0)),"Unknown"))</f>
        <v>QP-06</v>
      </c>
      <c r="J801" s="37" t="str">
        <f aca="false">IF(C801="","",IFERROR(INDEX(cl_Code,MATCH(C801,cl_Name,0)),"Unknown"))</f>
        <v>BSE</v>
      </c>
      <c r="K801" s="37" t="str">
        <f aca="false">IF(D801="","",IFERROR(INDEX(rt_Billable,MATCH(D801,rt_Code,0)),"Unknown"))</f>
        <v>Yes</v>
      </c>
      <c r="L801" s="38" t="n">
        <f aca="false">IF(K801&lt;&gt;"Yes","",IFERROR(INDEX(cr_Rate,MATCH(J801&amp;"|"&amp;D801,cr_Key,0)),INDEX(rt_Rate,MATCH(D801,rt_Code,0))))</f>
        <v>145</v>
      </c>
      <c r="M801" s="25" t="n">
        <f aca="false">IF(L801="","",ROUND(N(E801)*L801,2))</f>
        <v>181.25</v>
      </c>
      <c r="N801" s="39" t="n">
        <f aca="false">IF(OR(A801="",B801=""),"",SUMIFS(tl_Hours,tl_StaffID,I801,tl_Date,A801))</f>
        <v>8</v>
      </c>
      <c r="O801" s="40" t="str">
        <f aca="false">IF(A801&amp;B801&amp;D801="","",IF(OR(A801="",B801="",D801="",E801=""),"Incomplete",IF(K801="Unknown","Unknown code",IF(AND(K801="Yes",C801=""),"Billable, needs client",IF(N801&gt;MaxDayHours,"Over "&amp;MaxDayHours&amp;" hours that day","")))))</f>
        <v/>
      </c>
    </row>
    <row r="802" customFormat="false" ht="15" hidden="false" customHeight="false" outlineLevel="0" collapsed="false">
      <c r="A802" s="31" t="n">
        <v>46246</v>
      </c>
      <c r="B802" s="32" t="s">
        <v>105</v>
      </c>
      <c r="C802" s="32"/>
      <c r="D802" s="33" t="s">
        <v>98</v>
      </c>
      <c r="E802" s="34" t="n">
        <v>1</v>
      </c>
      <c r="F802" s="32" t="s">
        <v>99</v>
      </c>
      <c r="G802" s="35" t="n">
        <f aca="false">IF(A802="","",A802+7-WEEKDAY(A802))</f>
        <v>46249</v>
      </c>
      <c r="H802" s="36" t="n">
        <f aca="false">IF(A802="","",DATE(YEAR(A802),MONTH(A802),1))</f>
        <v>46235</v>
      </c>
      <c r="I802" s="37" t="str">
        <f aca="false">IF(B802="","",IFERROR(INDEX(st_ID,MATCH(B802,st_Name,0)),"Unknown"))</f>
        <v>QP-06</v>
      </c>
      <c r="J802" s="37" t="str">
        <f aca="false">IF(C802="","",IFERROR(INDEX(cl_Code,MATCH(C802,cl_Name,0)),"Unknown"))</f>
        <v/>
      </c>
      <c r="K802" s="37" t="str">
        <f aca="false">IF(D802="","",IFERROR(INDEX(rt_Billable,MATCH(D802,rt_Code,0)),"Unknown"))</f>
        <v>No</v>
      </c>
      <c r="L802" s="38" t="str">
        <f aca="false">IF(K802&lt;&gt;"Yes","",IFERROR(INDEX(cr_Rate,MATCH(J802&amp;"|"&amp;D802,cr_Key,0)),INDEX(rt_Rate,MATCH(D802,rt_Code,0))))</f>
        <v/>
      </c>
      <c r="M802" s="25" t="str">
        <f aca="false">IF(L802="","",ROUND(N(E802)*L802,2))</f>
        <v/>
      </c>
      <c r="N802" s="39" t="n">
        <f aca="false">IF(OR(A802="",B802=""),"",SUMIFS(tl_Hours,tl_StaffID,I802,tl_Date,A802))</f>
        <v>8</v>
      </c>
      <c r="O802" s="40" t="str">
        <f aca="false">IF(A802&amp;B802&amp;D802="","",IF(OR(A802="",B802="",D802="",E802=""),"Incomplete",IF(K802="Unknown","Unknown code",IF(AND(K802="Yes",C802=""),"Billable, needs client",IF(N802&gt;MaxDayHours,"Over "&amp;MaxDayHours&amp;" hours that day","")))))</f>
        <v/>
      </c>
    </row>
    <row r="803" customFormat="false" ht="15" hidden="false" customHeight="false" outlineLevel="0" collapsed="false">
      <c r="A803" s="31" t="n">
        <v>46246</v>
      </c>
      <c r="B803" s="32" t="s">
        <v>105</v>
      </c>
      <c r="C803" s="32"/>
      <c r="D803" s="33" t="s">
        <v>96</v>
      </c>
      <c r="E803" s="34" t="n">
        <v>1.5</v>
      </c>
      <c r="F803" s="32"/>
      <c r="G803" s="35" t="n">
        <f aca="false">IF(A803="","",A803+7-WEEKDAY(A803))</f>
        <v>46249</v>
      </c>
      <c r="H803" s="36" t="n">
        <f aca="false">IF(A803="","",DATE(YEAR(A803),MONTH(A803),1))</f>
        <v>46235</v>
      </c>
      <c r="I803" s="37" t="str">
        <f aca="false">IF(B803="","",IFERROR(INDEX(st_ID,MATCH(B803,st_Name,0)),"Unknown"))</f>
        <v>QP-06</v>
      </c>
      <c r="J803" s="37" t="str">
        <f aca="false">IF(C803="","",IFERROR(INDEX(cl_Code,MATCH(C803,cl_Name,0)),"Unknown"))</f>
        <v/>
      </c>
      <c r="K803" s="37" t="str">
        <f aca="false">IF(D803="","",IFERROR(INDEX(rt_Billable,MATCH(D803,rt_Code,0)),"Unknown"))</f>
        <v>No</v>
      </c>
      <c r="L803" s="38" t="str">
        <f aca="false">IF(K803&lt;&gt;"Yes","",IFERROR(INDEX(cr_Rate,MATCH(J803&amp;"|"&amp;D803,cr_Key,0)),INDEX(rt_Rate,MATCH(D803,rt_Code,0))))</f>
        <v/>
      </c>
      <c r="M803" s="25" t="str">
        <f aca="false">IF(L803="","",ROUND(N(E803)*L803,2))</f>
        <v/>
      </c>
      <c r="N803" s="39" t="n">
        <f aca="false">IF(OR(A803="",B803=""),"",SUMIFS(tl_Hours,tl_StaffID,I803,tl_Date,A803))</f>
        <v>8</v>
      </c>
      <c r="O803" s="40" t="str">
        <f aca="false">IF(A803&amp;B803&amp;D803="","",IF(OR(A803="",B803="",D803="",E803=""),"Incomplete",IF(K803="Unknown","Unknown code",IF(AND(K803="Yes",C803=""),"Billable, needs client",IF(N803&gt;MaxDayHours,"Over "&amp;MaxDayHours&amp;" hours that day","")))))</f>
        <v/>
      </c>
    </row>
    <row r="804" customFormat="false" ht="15" hidden="false" customHeight="false" outlineLevel="0" collapsed="false">
      <c r="A804" s="31" t="n">
        <v>46246</v>
      </c>
      <c r="B804" s="32" t="s">
        <v>106</v>
      </c>
      <c r="C804" s="32" t="s">
        <v>102</v>
      </c>
      <c r="D804" s="33" t="s">
        <v>88</v>
      </c>
      <c r="E804" s="34" t="n">
        <v>4</v>
      </c>
      <c r="F804" s="32"/>
      <c r="G804" s="35" t="n">
        <f aca="false">IF(A804="","",A804+7-WEEKDAY(A804))</f>
        <v>46249</v>
      </c>
      <c r="H804" s="36" t="n">
        <f aca="false">IF(A804="","",DATE(YEAR(A804),MONTH(A804),1))</f>
        <v>46235</v>
      </c>
      <c r="I804" s="37" t="str">
        <f aca="false">IF(B804="","",IFERROR(INDEX(st_ID,MATCH(B804,st_Name,0)),"Unknown"))</f>
        <v>QP-07</v>
      </c>
      <c r="J804" s="37" t="str">
        <f aca="false">IF(C804="","",IFERROR(INDEX(cl_Code,MATCH(C804,cl_Name,0)),"Unknown"))</f>
        <v>CLH</v>
      </c>
      <c r="K804" s="37" t="str">
        <f aca="false">IF(D804="","",IFERROR(INDEX(rt_Billable,MATCH(D804,rt_Code,0)),"Unknown"))</f>
        <v>Yes</v>
      </c>
      <c r="L804" s="38" t="n">
        <f aca="false">IF(K804&lt;&gt;"Yes","",IFERROR(INDEX(cr_Rate,MATCH(J804&amp;"|"&amp;D804,cr_Key,0)),INDEX(rt_Rate,MATCH(D804,rt_Code,0))))</f>
        <v>110</v>
      </c>
      <c r="M804" s="25" t="n">
        <f aca="false">IF(L804="","",ROUND(N(E804)*L804,2))</f>
        <v>440</v>
      </c>
      <c r="N804" s="39" t="n">
        <f aca="false">IF(OR(A804="",B804=""),"",SUMIFS(tl_Hours,tl_StaffID,I804,tl_Date,A804))</f>
        <v>8</v>
      </c>
      <c r="O804" s="40" t="str">
        <f aca="false">IF(A804&amp;B804&amp;D804="","",IF(OR(A804="",B804="",D804="",E804=""),"Incomplete",IF(K804="Unknown","Unknown code",IF(AND(K804="Yes",C804=""),"Billable, needs client",IF(N804&gt;MaxDayHours,"Over "&amp;MaxDayHours&amp;" hours that day","")))))</f>
        <v/>
      </c>
    </row>
    <row r="805" customFormat="false" ht="15" hidden="false" customHeight="false" outlineLevel="0" collapsed="false">
      <c r="A805" s="31" t="n">
        <v>46246</v>
      </c>
      <c r="B805" s="32" t="s">
        <v>106</v>
      </c>
      <c r="C805" s="32" t="s">
        <v>102</v>
      </c>
      <c r="D805" s="33" t="s">
        <v>104</v>
      </c>
      <c r="E805" s="34" t="n">
        <v>1.25</v>
      </c>
      <c r="F805" s="32"/>
      <c r="G805" s="35" t="n">
        <f aca="false">IF(A805="","",A805+7-WEEKDAY(A805))</f>
        <v>46249</v>
      </c>
      <c r="H805" s="36" t="n">
        <f aca="false">IF(A805="","",DATE(YEAR(A805),MONTH(A805),1))</f>
        <v>46235</v>
      </c>
      <c r="I805" s="37" t="str">
        <f aca="false">IF(B805="","",IFERROR(INDEX(st_ID,MATCH(B805,st_Name,0)),"Unknown"))</f>
        <v>QP-07</v>
      </c>
      <c r="J805" s="37" t="str">
        <f aca="false">IF(C805="","",IFERROR(INDEX(cl_Code,MATCH(C805,cl_Name,0)),"Unknown"))</f>
        <v>CLH</v>
      </c>
      <c r="K805" s="37" t="str">
        <f aca="false">IF(D805="","",IFERROR(INDEX(rt_Billable,MATCH(D805,rt_Code,0)),"Unknown"))</f>
        <v>Yes</v>
      </c>
      <c r="L805" s="38" t="n">
        <f aca="false">IF(K805&lt;&gt;"Yes","",IFERROR(INDEX(cr_Rate,MATCH(J805&amp;"|"&amp;D805,cr_Key,0)),INDEX(rt_Rate,MATCH(D805,rt_Code,0))))</f>
        <v>65</v>
      </c>
      <c r="M805" s="25" t="n">
        <f aca="false">IF(L805="","",ROUND(N(E805)*L805,2))</f>
        <v>81.25</v>
      </c>
      <c r="N805" s="39" t="n">
        <f aca="false">IF(OR(A805="",B805=""),"",SUMIFS(tl_Hours,tl_StaffID,I805,tl_Date,A805))</f>
        <v>8</v>
      </c>
      <c r="O805" s="40" t="str">
        <f aca="false">IF(A805&amp;B805&amp;D805="","",IF(OR(A805="",B805="",D805="",E805=""),"Incomplete",IF(K805="Unknown","Unknown code",IF(AND(K805="Yes",C805=""),"Billable, needs client",IF(N805&gt;MaxDayHours,"Over "&amp;MaxDayHours&amp;" hours that day","")))))</f>
        <v/>
      </c>
    </row>
    <row r="806" customFormat="false" ht="15" hidden="false" customHeight="false" outlineLevel="0" collapsed="false">
      <c r="A806" s="31" t="n">
        <v>46246</v>
      </c>
      <c r="B806" s="32" t="s">
        <v>106</v>
      </c>
      <c r="C806" s="32"/>
      <c r="D806" s="33" t="s">
        <v>98</v>
      </c>
      <c r="E806" s="34" t="n">
        <v>1</v>
      </c>
      <c r="F806" s="32" t="s">
        <v>99</v>
      </c>
      <c r="G806" s="35" t="n">
        <f aca="false">IF(A806="","",A806+7-WEEKDAY(A806))</f>
        <v>46249</v>
      </c>
      <c r="H806" s="36" t="n">
        <f aca="false">IF(A806="","",DATE(YEAR(A806),MONTH(A806),1))</f>
        <v>46235</v>
      </c>
      <c r="I806" s="37" t="str">
        <f aca="false">IF(B806="","",IFERROR(INDEX(st_ID,MATCH(B806,st_Name,0)),"Unknown"))</f>
        <v>QP-07</v>
      </c>
      <c r="J806" s="37" t="str">
        <f aca="false">IF(C806="","",IFERROR(INDEX(cl_Code,MATCH(C806,cl_Name,0)),"Unknown"))</f>
        <v/>
      </c>
      <c r="K806" s="37" t="str">
        <f aca="false">IF(D806="","",IFERROR(INDEX(rt_Billable,MATCH(D806,rt_Code,0)),"Unknown"))</f>
        <v>No</v>
      </c>
      <c r="L806" s="38" t="str">
        <f aca="false">IF(K806&lt;&gt;"Yes","",IFERROR(INDEX(cr_Rate,MATCH(J806&amp;"|"&amp;D806,cr_Key,0)),INDEX(rt_Rate,MATCH(D806,rt_Code,0))))</f>
        <v/>
      </c>
      <c r="M806" s="25" t="str">
        <f aca="false">IF(L806="","",ROUND(N(E806)*L806,2))</f>
        <v/>
      </c>
      <c r="N806" s="39" t="n">
        <f aca="false">IF(OR(A806="",B806=""),"",SUMIFS(tl_Hours,tl_StaffID,I806,tl_Date,A806))</f>
        <v>8</v>
      </c>
      <c r="O806" s="40" t="str">
        <f aca="false">IF(A806&amp;B806&amp;D806="","",IF(OR(A806="",B806="",D806="",E806=""),"Incomplete",IF(K806="Unknown","Unknown code",IF(AND(K806="Yes",C806=""),"Billable, needs client",IF(N806&gt;MaxDayHours,"Over "&amp;MaxDayHours&amp;" hours that day","")))))</f>
        <v/>
      </c>
    </row>
    <row r="807" customFormat="false" ht="15" hidden="false" customHeight="false" outlineLevel="0" collapsed="false">
      <c r="A807" s="31" t="n">
        <v>46246</v>
      </c>
      <c r="B807" s="32" t="s">
        <v>106</v>
      </c>
      <c r="C807" s="32"/>
      <c r="D807" s="33" t="s">
        <v>96</v>
      </c>
      <c r="E807" s="34" t="n">
        <v>1.75</v>
      </c>
      <c r="F807" s="32"/>
      <c r="G807" s="35" t="n">
        <f aca="false">IF(A807="","",A807+7-WEEKDAY(A807))</f>
        <v>46249</v>
      </c>
      <c r="H807" s="36" t="n">
        <f aca="false">IF(A807="","",DATE(YEAR(A807),MONTH(A807),1))</f>
        <v>46235</v>
      </c>
      <c r="I807" s="37" t="str">
        <f aca="false">IF(B807="","",IFERROR(INDEX(st_ID,MATCH(B807,st_Name,0)),"Unknown"))</f>
        <v>QP-07</v>
      </c>
      <c r="J807" s="37" t="str">
        <f aca="false">IF(C807="","",IFERROR(INDEX(cl_Code,MATCH(C807,cl_Name,0)),"Unknown"))</f>
        <v/>
      </c>
      <c r="K807" s="37" t="str">
        <f aca="false">IF(D807="","",IFERROR(INDEX(rt_Billable,MATCH(D807,rt_Code,0)),"Unknown"))</f>
        <v>No</v>
      </c>
      <c r="L807" s="38" t="str">
        <f aca="false">IF(K807&lt;&gt;"Yes","",IFERROR(INDEX(cr_Rate,MATCH(J807&amp;"|"&amp;D807,cr_Key,0)),INDEX(rt_Rate,MATCH(D807,rt_Code,0))))</f>
        <v/>
      </c>
      <c r="M807" s="25" t="str">
        <f aca="false">IF(L807="","",ROUND(N(E807)*L807,2))</f>
        <v/>
      </c>
      <c r="N807" s="39" t="n">
        <f aca="false">IF(OR(A807="",B807=""),"",SUMIFS(tl_Hours,tl_StaffID,I807,tl_Date,A807))</f>
        <v>8</v>
      </c>
      <c r="O807" s="40" t="str">
        <f aca="false">IF(A807&amp;B807&amp;D807="","",IF(OR(A807="",B807="",D807="",E807=""),"Incomplete",IF(K807="Unknown","Unknown code",IF(AND(K807="Yes",C807=""),"Billable, needs client",IF(N807&gt;MaxDayHours,"Over "&amp;MaxDayHours&amp;" hours that day","")))))</f>
        <v/>
      </c>
    </row>
    <row r="808" customFormat="false" ht="15" hidden="false" customHeight="false" outlineLevel="0" collapsed="false">
      <c r="A808" s="31" t="n">
        <v>46246</v>
      </c>
      <c r="B808" s="32" t="s">
        <v>107</v>
      </c>
      <c r="C808" s="32"/>
      <c r="D808" s="33" t="s">
        <v>109</v>
      </c>
      <c r="E808" s="34" t="n">
        <v>8</v>
      </c>
      <c r="F808" s="32"/>
      <c r="G808" s="35" t="n">
        <f aca="false">IF(A808="","",A808+7-WEEKDAY(A808))</f>
        <v>46249</v>
      </c>
      <c r="H808" s="36" t="n">
        <f aca="false">IF(A808="","",DATE(YEAR(A808),MONTH(A808),1))</f>
        <v>46235</v>
      </c>
      <c r="I808" s="37" t="str">
        <f aca="false">IF(B808="","",IFERROR(INDEX(st_ID,MATCH(B808,st_Name,0)),"Unknown"))</f>
        <v>QP-08</v>
      </c>
      <c r="J808" s="37" t="str">
        <f aca="false">IF(C808="","",IFERROR(INDEX(cl_Code,MATCH(C808,cl_Name,0)),"Unknown"))</f>
        <v/>
      </c>
      <c r="K808" s="37" t="str">
        <f aca="false">IF(D808="","",IFERROR(INDEX(rt_Billable,MATCH(D808,rt_Code,0)),"Unknown"))</f>
        <v>No</v>
      </c>
      <c r="L808" s="38" t="str">
        <f aca="false">IF(K808&lt;&gt;"Yes","",IFERROR(INDEX(cr_Rate,MATCH(J808&amp;"|"&amp;D808,cr_Key,0)),INDEX(rt_Rate,MATCH(D808,rt_Code,0))))</f>
        <v/>
      </c>
      <c r="M808" s="25" t="str">
        <f aca="false">IF(L808="","",ROUND(N(E808)*L808,2))</f>
        <v/>
      </c>
      <c r="N808" s="39" t="n">
        <f aca="false">IF(OR(A808="",B808=""),"",SUMIFS(tl_Hours,tl_StaffID,I808,tl_Date,A808))</f>
        <v>8</v>
      </c>
      <c r="O808" s="40" t="str">
        <f aca="false">IF(A808&amp;B808&amp;D808="","",IF(OR(A808="",B808="",D808="",E808=""),"Incomplete",IF(K808="Unknown","Unknown code",IF(AND(K808="Yes",C808=""),"Billable, needs client",IF(N808&gt;MaxDayHours,"Over "&amp;MaxDayHours&amp;" hours that day","")))))</f>
        <v/>
      </c>
    </row>
    <row r="809" customFormat="false" ht="15" hidden="false" customHeight="false" outlineLevel="0" collapsed="false">
      <c r="A809" s="31" t="n">
        <v>46247</v>
      </c>
      <c r="B809" s="32" t="s">
        <v>86</v>
      </c>
      <c r="C809" s="32" t="s">
        <v>87</v>
      </c>
      <c r="D809" s="33" t="s">
        <v>104</v>
      </c>
      <c r="E809" s="34" t="n">
        <v>3.75</v>
      </c>
      <c r="F809" s="32"/>
      <c r="G809" s="35" t="n">
        <f aca="false">IF(A809="","",A809+7-WEEKDAY(A809))</f>
        <v>46249</v>
      </c>
      <c r="H809" s="36" t="n">
        <f aca="false">IF(A809="","",DATE(YEAR(A809),MONTH(A809),1))</f>
        <v>46235</v>
      </c>
      <c r="I809" s="37" t="str">
        <f aca="false">IF(B809="","",IFERROR(INDEX(st_ID,MATCH(B809,st_Name,0)),"Unknown"))</f>
        <v>QP-01</v>
      </c>
      <c r="J809" s="37" t="str">
        <f aca="false">IF(C809="","",IFERROR(INDEX(cl_Code,MATCH(C809,cl_Name,0)),"Unknown"))</f>
        <v>HCS</v>
      </c>
      <c r="K809" s="37" t="str">
        <f aca="false">IF(D809="","",IFERROR(INDEX(rt_Billable,MATCH(D809,rt_Code,0)),"Unknown"))</f>
        <v>Yes</v>
      </c>
      <c r="L809" s="38" t="n">
        <f aca="false">IF(K809&lt;&gt;"Yes","",IFERROR(INDEX(cr_Rate,MATCH(J809&amp;"|"&amp;D809,cr_Key,0)),INDEX(rt_Rate,MATCH(D809,rt_Code,0))))</f>
        <v>62</v>
      </c>
      <c r="M809" s="25" t="n">
        <f aca="false">IF(L809="","",ROUND(N(E809)*L809,2))</f>
        <v>232.5</v>
      </c>
      <c r="N809" s="39" t="n">
        <f aca="false">IF(OR(A809="",B809=""),"",SUMIFS(tl_Hours,tl_StaffID,I809,tl_Date,A809))</f>
        <v>8</v>
      </c>
      <c r="O809" s="40" t="str">
        <f aca="false">IF(A809&amp;B809&amp;D809="","",IF(OR(A809="",B809="",D809="",E809=""),"Incomplete",IF(K809="Unknown","Unknown code",IF(AND(K809="Yes",C809=""),"Billable, needs client",IF(N809&gt;MaxDayHours,"Over "&amp;MaxDayHours&amp;" hours that day","")))))</f>
        <v/>
      </c>
    </row>
    <row r="810" customFormat="false" ht="15" hidden="false" customHeight="false" outlineLevel="0" collapsed="false">
      <c r="A810" s="31" t="n">
        <v>46247</v>
      </c>
      <c r="B810" s="32" t="s">
        <v>86</v>
      </c>
      <c r="C810" s="32" t="s">
        <v>87</v>
      </c>
      <c r="D810" s="33" t="s">
        <v>88</v>
      </c>
      <c r="E810" s="34" t="n">
        <v>2.25</v>
      </c>
      <c r="F810" s="32"/>
      <c r="G810" s="35" t="n">
        <f aca="false">IF(A810="","",A810+7-WEEKDAY(A810))</f>
        <v>46249</v>
      </c>
      <c r="H810" s="36" t="n">
        <f aca="false">IF(A810="","",DATE(YEAR(A810),MONTH(A810),1))</f>
        <v>46235</v>
      </c>
      <c r="I810" s="37" t="str">
        <f aca="false">IF(B810="","",IFERROR(INDEX(st_ID,MATCH(B810,st_Name,0)),"Unknown"))</f>
        <v>QP-01</v>
      </c>
      <c r="J810" s="37" t="str">
        <f aca="false">IF(C810="","",IFERROR(INDEX(cl_Code,MATCH(C810,cl_Name,0)),"Unknown"))</f>
        <v>HCS</v>
      </c>
      <c r="K810" s="37" t="str">
        <f aca="false">IF(D810="","",IFERROR(INDEX(rt_Billable,MATCH(D810,rt_Code,0)),"Unknown"))</f>
        <v>Yes</v>
      </c>
      <c r="L810" s="38" t="n">
        <f aca="false">IF(K810&lt;&gt;"Yes","",IFERROR(INDEX(cr_Rate,MATCH(J810&amp;"|"&amp;D810,cr_Key,0)),INDEX(rt_Rate,MATCH(D810,rt_Code,0))))</f>
        <v>98</v>
      </c>
      <c r="M810" s="25" t="n">
        <f aca="false">IF(L810="","",ROUND(N(E810)*L810,2))</f>
        <v>220.5</v>
      </c>
      <c r="N810" s="39" t="n">
        <f aca="false">IF(OR(A810="",B810=""),"",SUMIFS(tl_Hours,tl_StaffID,I810,tl_Date,A810))</f>
        <v>8</v>
      </c>
      <c r="O810" s="40" t="str">
        <f aca="false">IF(A810&amp;B810&amp;D810="","",IF(OR(A810="",B810="",D810="",E810=""),"Incomplete",IF(K810="Unknown","Unknown code",IF(AND(K810="Yes",C810=""),"Billable, needs client",IF(N810&gt;MaxDayHours,"Over "&amp;MaxDayHours&amp;" hours that day","")))))</f>
        <v/>
      </c>
    </row>
    <row r="811" customFormat="false" ht="15" hidden="false" customHeight="false" outlineLevel="0" collapsed="false">
      <c r="A811" s="31" t="n">
        <v>46247</v>
      </c>
      <c r="B811" s="32" t="s">
        <v>86</v>
      </c>
      <c r="C811" s="32"/>
      <c r="D811" s="33" t="s">
        <v>94</v>
      </c>
      <c r="E811" s="34" t="n">
        <v>1.5</v>
      </c>
      <c r="F811" s="32" t="s">
        <v>95</v>
      </c>
      <c r="G811" s="35" t="n">
        <f aca="false">IF(A811="","",A811+7-WEEKDAY(A811))</f>
        <v>46249</v>
      </c>
      <c r="H811" s="36" t="n">
        <f aca="false">IF(A811="","",DATE(YEAR(A811),MONTH(A811),1))</f>
        <v>46235</v>
      </c>
      <c r="I811" s="37" t="str">
        <f aca="false">IF(B811="","",IFERROR(INDEX(st_ID,MATCH(B811,st_Name,0)),"Unknown"))</f>
        <v>QP-01</v>
      </c>
      <c r="J811" s="37" t="str">
        <f aca="false">IF(C811="","",IFERROR(INDEX(cl_Code,MATCH(C811,cl_Name,0)),"Unknown"))</f>
        <v/>
      </c>
      <c r="K811" s="37" t="str">
        <f aca="false">IF(D811="","",IFERROR(INDEX(rt_Billable,MATCH(D811,rt_Code,0)),"Unknown"))</f>
        <v>No</v>
      </c>
      <c r="L811" s="38" t="str">
        <f aca="false">IF(K811&lt;&gt;"Yes","",IFERROR(INDEX(cr_Rate,MATCH(J811&amp;"|"&amp;D811,cr_Key,0)),INDEX(rt_Rate,MATCH(D811,rt_Code,0))))</f>
        <v/>
      </c>
      <c r="M811" s="25" t="str">
        <f aca="false">IF(L811="","",ROUND(N(E811)*L811,2))</f>
        <v/>
      </c>
      <c r="N811" s="39" t="n">
        <f aca="false">IF(OR(A811="",B811=""),"",SUMIFS(tl_Hours,tl_StaffID,I811,tl_Date,A811))</f>
        <v>8</v>
      </c>
      <c r="O811" s="40" t="str">
        <f aca="false">IF(A811&amp;B811&amp;D811="","",IF(OR(A811="",B811="",D811="",E811=""),"Incomplete",IF(K811="Unknown","Unknown code",IF(AND(K811="Yes",C811=""),"Billable, needs client",IF(N811&gt;MaxDayHours,"Over "&amp;MaxDayHours&amp;" hours that day","")))))</f>
        <v/>
      </c>
    </row>
    <row r="812" customFormat="false" ht="15" hidden="false" customHeight="false" outlineLevel="0" collapsed="false">
      <c r="A812" s="31" t="n">
        <v>46247</v>
      </c>
      <c r="B812" s="32" t="s">
        <v>86</v>
      </c>
      <c r="C812" s="32"/>
      <c r="D812" s="33" t="s">
        <v>96</v>
      </c>
      <c r="E812" s="34" t="n">
        <v>0.5</v>
      </c>
      <c r="F812" s="32"/>
      <c r="G812" s="35" t="n">
        <f aca="false">IF(A812="","",A812+7-WEEKDAY(A812))</f>
        <v>46249</v>
      </c>
      <c r="H812" s="36" t="n">
        <f aca="false">IF(A812="","",DATE(YEAR(A812),MONTH(A812),1))</f>
        <v>46235</v>
      </c>
      <c r="I812" s="37" t="str">
        <f aca="false">IF(B812="","",IFERROR(INDEX(st_ID,MATCH(B812,st_Name,0)),"Unknown"))</f>
        <v>QP-01</v>
      </c>
      <c r="J812" s="37" t="str">
        <f aca="false">IF(C812="","",IFERROR(INDEX(cl_Code,MATCH(C812,cl_Name,0)),"Unknown"))</f>
        <v/>
      </c>
      <c r="K812" s="37" t="str">
        <f aca="false">IF(D812="","",IFERROR(INDEX(rt_Billable,MATCH(D812,rt_Code,0)),"Unknown"))</f>
        <v>No</v>
      </c>
      <c r="L812" s="38" t="str">
        <f aca="false">IF(K812&lt;&gt;"Yes","",IFERROR(INDEX(cr_Rate,MATCH(J812&amp;"|"&amp;D812,cr_Key,0)),INDEX(rt_Rate,MATCH(D812,rt_Code,0))))</f>
        <v/>
      </c>
      <c r="M812" s="25" t="str">
        <f aca="false">IF(L812="","",ROUND(N(E812)*L812,2))</f>
        <v/>
      </c>
      <c r="N812" s="39" t="n">
        <f aca="false">IF(OR(A812="",B812=""),"",SUMIFS(tl_Hours,tl_StaffID,I812,tl_Date,A812))</f>
        <v>8</v>
      </c>
      <c r="O812" s="40" t="str">
        <f aca="false">IF(A812&amp;B812&amp;D812="","",IF(OR(A812="",B812="",D812="",E812=""),"Incomplete",IF(K812="Unknown","Unknown code",IF(AND(K812="Yes",C812=""),"Billable, needs client",IF(N812&gt;MaxDayHours,"Over "&amp;MaxDayHours&amp;" hours that day","")))))</f>
        <v/>
      </c>
    </row>
    <row r="813" customFormat="false" ht="15" hidden="false" customHeight="false" outlineLevel="0" collapsed="false">
      <c r="A813" s="31" t="n">
        <v>46247</v>
      </c>
      <c r="B813" s="32" t="s">
        <v>97</v>
      </c>
      <c r="C813" s="32" t="s">
        <v>87</v>
      </c>
      <c r="D813" s="33" t="s">
        <v>88</v>
      </c>
      <c r="E813" s="34" t="n">
        <v>4</v>
      </c>
      <c r="F813" s="32"/>
      <c r="G813" s="35" t="n">
        <f aca="false">IF(A813="","",A813+7-WEEKDAY(A813))</f>
        <v>46249</v>
      </c>
      <c r="H813" s="36" t="n">
        <f aca="false">IF(A813="","",DATE(YEAR(A813),MONTH(A813),1))</f>
        <v>46235</v>
      </c>
      <c r="I813" s="37" t="str">
        <f aca="false">IF(B813="","",IFERROR(INDEX(st_ID,MATCH(B813,st_Name,0)),"Unknown"))</f>
        <v>QP-02</v>
      </c>
      <c r="J813" s="37" t="str">
        <f aca="false">IF(C813="","",IFERROR(INDEX(cl_Code,MATCH(C813,cl_Name,0)),"Unknown"))</f>
        <v>HCS</v>
      </c>
      <c r="K813" s="37" t="str">
        <f aca="false">IF(D813="","",IFERROR(INDEX(rt_Billable,MATCH(D813,rt_Code,0)),"Unknown"))</f>
        <v>Yes</v>
      </c>
      <c r="L813" s="38" t="n">
        <f aca="false">IF(K813&lt;&gt;"Yes","",IFERROR(INDEX(cr_Rate,MATCH(J813&amp;"|"&amp;D813,cr_Key,0)),INDEX(rt_Rate,MATCH(D813,rt_Code,0))))</f>
        <v>98</v>
      </c>
      <c r="M813" s="25" t="n">
        <f aca="false">IF(L813="","",ROUND(N(E813)*L813,2))</f>
        <v>392</v>
      </c>
      <c r="N813" s="39" t="n">
        <f aca="false">IF(OR(A813="",B813=""),"",SUMIFS(tl_Hours,tl_StaffID,I813,tl_Date,A813))</f>
        <v>8</v>
      </c>
      <c r="O813" s="40" t="str">
        <f aca="false">IF(A813&amp;B813&amp;D813="","",IF(OR(A813="",B813="",D813="",E813=""),"Incomplete",IF(K813="Unknown","Unknown code",IF(AND(K813="Yes",C813=""),"Billable, needs client",IF(N813&gt;MaxDayHours,"Over "&amp;MaxDayHours&amp;" hours that day","")))))</f>
        <v/>
      </c>
    </row>
    <row r="814" customFormat="false" ht="15" hidden="false" customHeight="false" outlineLevel="0" collapsed="false">
      <c r="A814" s="31" t="n">
        <v>46247</v>
      </c>
      <c r="B814" s="32" t="s">
        <v>97</v>
      </c>
      <c r="C814" s="32" t="s">
        <v>87</v>
      </c>
      <c r="D814" s="33" t="s">
        <v>92</v>
      </c>
      <c r="E814" s="34" t="n">
        <v>1.25</v>
      </c>
      <c r="F814" s="32"/>
      <c r="G814" s="35" t="n">
        <f aca="false">IF(A814="","",A814+7-WEEKDAY(A814))</f>
        <v>46249</v>
      </c>
      <c r="H814" s="36" t="n">
        <f aca="false">IF(A814="","",DATE(YEAR(A814),MONTH(A814),1))</f>
        <v>46235</v>
      </c>
      <c r="I814" s="37" t="str">
        <f aca="false">IF(B814="","",IFERROR(INDEX(st_ID,MATCH(B814,st_Name,0)),"Unknown"))</f>
        <v>QP-02</v>
      </c>
      <c r="J814" s="37" t="str">
        <f aca="false">IF(C814="","",IFERROR(INDEX(cl_Code,MATCH(C814,cl_Name,0)),"Unknown"))</f>
        <v>HCS</v>
      </c>
      <c r="K814" s="37" t="str">
        <f aca="false">IF(D814="","",IFERROR(INDEX(rt_Billable,MATCH(D814,rt_Code,0)),"Unknown"))</f>
        <v>Yes</v>
      </c>
      <c r="L814" s="38" t="n">
        <f aca="false">IF(K814&lt;&gt;"Yes","",IFERROR(INDEX(cr_Rate,MATCH(J814&amp;"|"&amp;D814,cr_Key,0)),INDEX(rt_Rate,MATCH(D814,rt_Code,0))))</f>
        <v>140</v>
      </c>
      <c r="M814" s="25" t="n">
        <f aca="false">IF(L814="","",ROUND(N(E814)*L814,2))</f>
        <v>175</v>
      </c>
      <c r="N814" s="39" t="n">
        <f aca="false">IF(OR(A814="",B814=""),"",SUMIFS(tl_Hours,tl_StaffID,I814,tl_Date,A814))</f>
        <v>8</v>
      </c>
      <c r="O814" s="40" t="str">
        <f aca="false">IF(A814&amp;B814&amp;D814="","",IF(OR(A814="",B814="",D814="",E814=""),"Incomplete",IF(K814="Unknown","Unknown code",IF(AND(K814="Yes",C814=""),"Billable, needs client",IF(N814&gt;MaxDayHours,"Over "&amp;MaxDayHours&amp;" hours that day","")))))</f>
        <v/>
      </c>
    </row>
    <row r="815" customFormat="false" ht="15" hidden="false" customHeight="false" outlineLevel="0" collapsed="false">
      <c r="A815" s="31" t="n">
        <v>46247</v>
      </c>
      <c r="B815" s="32" t="s">
        <v>97</v>
      </c>
      <c r="C815" s="32"/>
      <c r="D815" s="33" t="s">
        <v>96</v>
      </c>
      <c r="E815" s="34" t="n">
        <v>2.75</v>
      </c>
      <c r="F815" s="32"/>
      <c r="G815" s="35" t="n">
        <f aca="false">IF(A815="","",A815+7-WEEKDAY(A815))</f>
        <v>46249</v>
      </c>
      <c r="H815" s="36" t="n">
        <f aca="false">IF(A815="","",DATE(YEAR(A815),MONTH(A815),1))</f>
        <v>46235</v>
      </c>
      <c r="I815" s="37" t="str">
        <f aca="false">IF(B815="","",IFERROR(INDEX(st_ID,MATCH(B815,st_Name,0)),"Unknown"))</f>
        <v>QP-02</v>
      </c>
      <c r="J815" s="37" t="str">
        <f aca="false">IF(C815="","",IFERROR(INDEX(cl_Code,MATCH(C815,cl_Name,0)),"Unknown"))</f>
        <v/>
      </c>
      <c r="K815" s="37" t="str">
        <f aca="false">IF(D815="","",IFERROR(INDEX(rt_Billable,MATCH(D815,rt_Code,0)),"Unknown"))</f>
        <v>No</v>
      </c>
      <c r="L815" s="38" t="str">
        <f aca="false">IF(K815&lt;&gt;"Yes","",IFERROR(INDEX(cr_Rate,MATCH(J815&amp;"|"&amp;D815,cr_Key,0)),INDEX(rt_Rate,MATCH(D815,rt_Code,0))))</f>
        <v/>
      </c>
      <c r="M815" s="25" t="str">
        <f aca="false">IF(L815="","",ROUND(N(E815)*L815,2))</f>
        <v/>
      </c>
      <c r="N815" s="39" t="n">
        <f aca="false">IF(OR(A815="",B815=""),"",SUMIFS(tl_Hours,tl_StaffID,I815,tl_Date,A815))</f>
        <v>8</v>
      </c>
      <c r="O815" s="40" t="str">
        <f aca="false">IF(A815&amp;B815&amp;D815="","",IF(OR(A815="",B815="",D815="",E815=""),"Incomplete",IF(K815="Unknown","Unknown code",IF(AND(K815="Yes",C815=""),"Billable, needs client",IF(N815&gt;MaxDayHours,"Over "&amp;MaxDayHours&amp;" hours that day","")))))</f>
        <v/>
      </c>
    </row>
    <row r="816" customFormat="false" ht="15" hidden="false" customHeight="false" outlineLevel="0" collapsed="false">
      <c r="A816" s="31" t="n">
        <v>46247</v>
      </c>
      <c r="B816" s="32" t="s">
        <v>100</v>
      </c>
      <c r="C816" s="32" t="s">
        <v>90</v>
      </c>
      <c r="D816" s="33" t="s">
        <v>88</v>
      </c>
      <c r="E816" s="34" t="n">
        <v>3.5</v>
      </c>
      <c r="F816" s="32"/>
      <c r="G816" s="35" t="n">
        <f aca="false">IF(A816="","",A816+7-WEEKDAY(A816))</f>
        <v>46249</v>
      </c>
      <c r="H816" s="36" t="n">
        <f aca="false">IF(A816="","",DATE(YEAR(A816),MONTH(A816),1))</f>
        <v>46235</v>
      </c>
      <c r="I816" s="37" t="str">
        <f aca="false">IF(B816="","",IFERROR(INDEX(st_ID,MATCH(B816,st_Name,0)),"Unknown"))</f>
        <v>QP-03</v>
      </c>
      <c r="J816" s="37" t="str">
        <f aca="false">IF(C816="","",IFERROR(INDEX(cl_Code,MATCH(C816,cl_Name,0)),"Unknown"))</f>
        <v>BSE</v>
      </c>
      <c r="K816" s="37" t="str">
        <f aca="false">IF(D816="","",IFERROR(INDEX(rt_Billable,MATCH(D816,rt_Code,0)),"Unknown"))</f>
        <v>Yes</v>
      </c>
      <c r="L816" s="38" t="n">
        <f aca="false">IF(K816&lt;&gt;"Yes","",IFERROR(INDEX(cr_Rate,MATCH(J816&amp;"|"&amp;D816,cr_Key,0)),INDEX(rt_Rate,MATCH(D816,rt_Code,0))))</f>
        <v>104</v>
      </c>
      <c r="M816" s="25" t="n">
        <f aca="false">IF(L816="","",ROUND(N(E816)*L816,2))</f>
        <v>364</v>
      </c>
      <c r="N816" s="39" t="n">
        <f aca="false">IF(OR(A816="",B816=""),"",SUMIFS(tl_Hours,tl_StaffID,I816,tl_Date,A816))</f>
        <v>8</v>
      </c>
      <c r="O816" s="40" t="str">
        <f aca="false">IF(A816&amp;B816&amp;D816="","",IF(OR(A816="",B816="",D816="",E816=""),"Incomplete",IF(K816="Unknown","Unknown code",IF(AND(K816="Yes",C816=""),"Billable, needs client",IF(N816&gt;MaxDayHours,"Over "&amp;MaxDayHours&amp;" hours that day","")))))</f>
        <v/>
      </c>
    </row>
    <row r="817" customFormat="false" ht="15" hidden="false" customHeight="false" outlineLevel="0" collapsed="false">
      <c r="A817" s="31" t="n">
        <v>46247</v>
      </c>
      <c r="B817" s="32" t="s">
        <v>100</v>
      </c>
      <c r="C817" s="32" t="s">
        <v>90</v>
      </c>
      <c r="D817" s="33" t="s">
        <v>104</v>
      </c>
      <c r="E817" s="34" t="n">
        <v>1</v>
      </c>
      <c r="F817" s="32"/>
      <c r="G817" s="35" t="n">
        <f aca="false">IF(A817="","",A817+7-WEEKDAY(A817))</f>
        <v>46249</v>
      </c>
      <c r="H817" s="36" t="n">
        <f aca="false">IF(A817="","",DATE(YEAR(A817),MONTH(A817),1))</f>
        <v>46235</v>
      </c>
      <c r="I817" s="37" t="str">
        <f aca="false">IF(B817="","",IFERROR(INDEX(st_ID,MATCH(B817,st_Name,0)),"Unknown"))</f>
        <v>QP-03</v>
      </c>
      <c r="J817" s="37" t="str">
        <f aca="false">IF(C817="","",IFERROR(INDEX(cl_Code,MATCH(C817,cl_Name,0)),"Unknown"))</f>
        <v>BSE</v>
      </c>
      <c r="K817" s="37" t="str">
        <f aca="false">IF(D817="","",IFERROR(INDEX(rt_Billable,MATCH(D817,rt_Code,0)),"Unknown"))</f>
        <v>Yes</v>
      </c>
      <c r="L817" s="38" t="n">
        <f aca="false">IF(K817&lt;&gt;"Yes","",IFERROR(INDEX(cr_Rate,MATCH(J817&amp;"|"&amp;D817,cr_Key,0)),INDEX(rt_Rate,MATCH(D817,rt_Code,0))))</f>
        <v>70</v>
      </c>
      <c r="M817" s="25" t="n">
        <f aca="false">IF(L817="","",ROUND(N(E817)*L817,2))</f>
        <v>70</v>
      </c>
      <c r="N817" s="39" t="n">
        <f aca="false">IF(OR(A817="",B817=""),"",SUMIFS(tl_Hours,tl_StaffID,I817,tl_Date,A817))</f>
        <v>8</v>
      </c>
      <c r="O817" s="40" t="str">
        <f aca="false">IF(A817&amp;B817&amp;D817="","",IF(OR(A817="",B817="",D817="",E817=""),"Incomplete",IF(K817="Unknown","Unknown code",IF(AND(K817="Yes",C817=""),"Billable, needs client",IF(N817&gt;MaxDayHours,"Over "&amp;MaxDayHours&amp;" hours that day","")))))</f>
        <v/>
      </c>
    </row>
    <row r="818" customFormat="false" ht="15" hidden="false" customHeight="false" outlineLevel="0" collapsed="false">
      <c r="A818" s="31" t="n">
        <v>46247</v>
      </c>
      <c r="B818" s="32" t="s">
        <v>100</v>
      </c>
      <c r="C818" s="32"/>
      <c r="D818" s="33" t="s">
        <v>94</v>
      </c>
      <c r="E818" s="34" t="n">
        <v>1.5</v>
      </c>
      <c r="F818" s="32" t="s">
        <v>95</v>
      </c>
      <c r="G818" s="35" t="n">
        <f aca="false">IF(A818="","",A818+7-WEEKDAY(A818))</f>
        <v>46249</v>
      </c>
      <c r="H818" s="36" t="n">
        <f aca="false">IF(A818="","",DATE(YEAR(A818),MONTH(A818),1))</f>
        <v>46235</v>
      </c>
      <c r="I818" s="37" t="str">
        <f aca="false">IF(B818="","",IFERROR(INDEX(st_ID,MATCH(B818,st_Name,0)),"Unknown"))</f>
        <v>QP-03</v>
      </c>
      <c r="J818" s="37" t="str">
        <f aca="false">IF(C818="","",IFERROR(INDEX(cl_Code,MATCH(C818,cl_Name,0)),"Unknown"))</f>
        <v/>
      </c>
      <c r="K818" s="37" t="str">
        <f aca="false">IF(D818="","",IFERROR(INDEX(rt_Billable,MATCH(D818,rt_Code,0)),"Unknown"))</f>
        <v>No</v>
      </c>
      <c r="L818" s="38" t="str">
        <f aca="false">IF(K818&lt;&gt;"Yes","",IFERROR(INDEX(cr_Rate,MATCH(J818&amp;"|"&amp;D818,cr_Key,0)),INDEX(rt_Rate,MATCH(D818,rt_Code,0))))</f>
        <v/>
      </c>
      <c r="M818" s="25" t="str">
        <f aca="false">IF(L818="","",ROUND(N(E818)*L818,2))</f>
        <v/>
      </c>
      <c r="N818" s="39" t="n">
        <f aca="false">IF(OR(A818="",B818=""),"",SUMIFS(tl_Hours,tl_StaffID,I818,tl_Date,A818))</f>
        <v>8</v>
      </c>
      <c r="O818" s="40" t="str">
        <f aca="false">IF(A818&amp;B818&amp;D818="","",IF(OR(A818="",B818="",D818="",E818=""),"Incomplete",IF(K818="Unknown","Unknown code",IF(AND(K818="Yes",C818=""),"Billable, needs client",IF(N818&gt;MaxDayHours,"Over "&amp;MaxDayHours&amp;" hours that day","")))))</f>
        <v/>
      </c>
    </row>
    <row r="819" customFormat="false" ht="15" hidden="false" customHeight="false" outlineLevel="0" collapsed="false">
      <c r="A819" s="31" t="n">
        <v>46247</v>
      </c>
      <c r="B819" s="32" t="s">
        <v>100</v>
      </c>
      <c r="C819" s="32"/>
      <c r="D819" s="33" t="s">
        <v>96</v>
      </c>
      <c r="E819" s="34" t="n">
        <v>2</v>
      </c>
      <c r="F819" s="32"/>
      <c r="G819" s="35" t="n">
        <f aca="false">IF(A819="","",A819+7-WEEKDAY(A819))</f>
        <v>46249</v>
      </c>
      <c r="H819" s="36" t="n">
        <f aca="false">IF(A819="","",DATE(YEAR(A819),MONTH(A819),1))</f>
        <v>46235</v>
      </c>
      <c r="I819" s="37" t="str">
        <f aca="false">IF(B819="","",IFERROR(INDEX(st_ID,MATCH(B819,st_Name,0)),"Unknown"))</f>
        <v>QP-03</v>
      </c>
      <c r="J819" s="37" t="str">
        <f aca="false">IF(C819="","",IFERROR(INDEX(cl_Code,MATCH(C819,cl_Name,0)),"Unknown"))</f>
        <v/>
      </c>
      <c r="K819" s="37" t="str">
        <f aca="false">IF(D819="","",IFERROR(INDEX(rt_Billable,MATCH(D819,rt_Code,0)),"Unknown"))</f>
        <v>No</v>
      </c>
      <c r="L819" s="38" t="str">
        <f aca="false">IF(K819&lt;&gt;"Yes","",IFERROR(INDEX(cr_Rate,MATCH(J819&amp;"|"&amp;D819,cr_Key,0)),INDEX(rt_Rate,MATCH(D819,rt_Code,0))))</f>
        <v/>
      </c>
      <c r="M819" s="25" t="str">
        <f aca="false">IF(L819="","",ROUND(N(E819)*L819,2))</f>
        <v/>
      </c>
      <c r="N819" s="39" t="n">
        <f aca="false">IF(OR(A819="",B819=""),"",SUMIFS(tl_Hours,tl_StaffID,I819,tl_Date,A819))</f>
        <v>8</v>
      </c>
      <c r="O819" s="40" t="str">
        <f aca="false">IF(A819&amp;B819&amp;D819="","",IF(OR(A819="",B819="",D819="",E819=""),"Incomplete",IF(K819="Unknown","Unknown code",IF(AND(K819="Yes",C819=""),"Billable, needs client",IF(N819&gt;MaxDayHours,"Over "&amp;MaxDayHours&amp;" hours that day","")))))</f>
        <v/>
      </c>
    </row>
    <row r="820" customFormat="false" ht="15" hidden="false" customHeight="false" outlineLevel="0" collapsed="false">
      <c r="A820" s="31" t="n">
        <v>46247</v>
      </c>
      <c r="B820" s="32" t="s">
        <v>101</v>
      </c>
      <c r="C820" s="32" t="s">
        <v>87</v>
      </c>
      <c r="D820" s="33" t="s">
        <v>88</v>
      </c>
      <c r="E820" s="34" t="n">
        <v>4</v>
      </c>
      <c r="F820" s="32"/>
      <c r="G820" s="35" t="n">
        <f aca="false">IF(A820="","",A820+7-WEEKDAY(A820))</f>
        <v>46249</v>
      </c>
      <c r="H820" s="36" t="n">
        <f aca="false">IF(A820="","",DATE(YEAR(A820),MONTH(A820),1))</f>
        <v>46235</v>
      </c>
      <c r="I820" s="37" t="str">
        <f aca="false">IF(B820="","",IFERROR(INDEX(st_ID,MATCH(B820,st_Name,0)),"Unknown"))</f>
        <v>QP-04</v>
      </c>
      <c r="J820" s="37" t="str">
        <f aca="false">IF(C820="","",IFERROR(INDEX(cl_Code,MATCH(C820,cl_Name,0)),"Unknown"))</f>
        <v>HCS</v>
      </c>
      <c r="K820" s="37" t="str">
        <f aca="false">IF(D820="","",IFERROR(INDEX(rt_Billable,MATCH(D820,rt_Code,0)),"Unknown"))</f>
        <v>Yes</v>
      </c>
      <c r="L820" s="38" t="n">
        <f aca="false">IF(K820&lt;&gt;"Yes","",IFERROR(INDEX(cr_Rate,MATCH(J820&amp;"|"&amp;D820,cr_Key,0)),INDEX(rt_Rate,MATCH(D820,rt_Code,0))))</f>
        <v>98</v>
      </c>
      <c r="M820" s="25" t="n">
        <f aca="false">IF(L820="","",ROUND(N(E820)*L820,2))</f>
        <v>392</v>
      </c>
      <c r="N820" s="39" t="n">
        <f aca="false">IF(OR(A820="",B820=""),"",SUMIFS(tl_Hours,tl_StaffID,I820,tl_Date,A820))</f>
        <v>8</v>
      </c>
      <c r="O820" s="40" t="str">
        <f aca="false">IF(A820&amp;B820&amp;D820="","",IF(OR(A820="",B820="",D820="",E820=""),"Incomplete",IF(K820="Unknown","Unknown code",IF(AND(K820="Yes",C820=""),"Billable, needs client",IF(N820&gt;MaxDayHours,"Over "&amp;MaxDayHours&amp;" hours that day","")))))</f>
        <v/>
      </c>
    </row>
    <row r="821" customFormat="false" ht="15" hidden="false" customHeight="false" outlineLevel="0" collapsed="false">
      <c r="A821" s="31" t="n">
        <v>46247</v>
      </c>
      <c r="B821" s="32" t="s">
        <v>101</v>
      </c>
      <c r="C821" s="32" t="s">
        <v>87</v>
      </c>
      <c r="D821" s="33" t="s">
        <v>92</v>
      </c>
      <c r="E821" s="34" t="n">
        <v>1.5</v>
      </c>
      <c r="F821" s="32"/>
      <c r="G821" s="35" t="n">
        <f aca="false">IF(A821="","",A821+7-WEEKDAY(A821))</f>
        <v>46249</v>
      </c>
      <c r="H821" s="36" t="n">
        <f aca="false">IF(A821="","",DATE(YEAR(A821),MONTH(A821),1))</f>
        <v>46235</v>
      </c>
      <c r="I821" s="37" t="str">
        <f aca="false">IF(B821="","",IFERROR(INDEX(st_ID,MATCH(B821,st_Name,0)),"Unknown"))</f>
        <v>QP-04</v>
      </c>
      <c r="J821" s="37" t="str">
        <f aca="false">IF(C821="","",IFERROR(INDEX(cl_Code,MATCH(C821,cl_Name,0)),"Unknown"))</f>
        <v>HCS</v>
      </c>
      <c r="K821" s="37" t="str">
        <f aca="false">IF(D821="","",IFERROR(INDEX(rt_Billable,MATCH(D821,rt_Code,0)),"Unknown"))</f>
        <v>Yes</v>
      </c>
      <c r="L821" s="38" t="n">
        <f aca="false">IF(K821&lt;&gt;"Yes","",IFERROR(INDEX(cr_Rate,MATCH(J821&amp;"|"&amp;D821,cr_Key,0)),INDEX(rt_Rate,MATCH(D821,rt_Code,0))))</f>
        <v>140</v>
      </c>
      <c r="M821" s="25" t="n">
        <f aca="false">IF(L821="","",ROUND(N(E821)*L821,2))</f>
        <v>210</v>
      </c>
      <c r="N821" s="39" t="n">
        <f aca="false">IF(OR(A821="",B821=""),"",SUMIFS(tl_Hours,tl_StaffID,I821,tl_Date,A821))</f>
        <v>8</v>
      </c>
      <c r="O821" s="40" t="str">
        <f aca="false">IF(A821&amp;B821&amp;D821="","",IF(OR(A821="",B821="",D821="",E821=""),"Incomplete",IF(K821="Unknown","Unknown code",IF(AND(K821="Yes",C821=""),"Billable, needs client",IF(N821&gt;MaxDayHours,"Over "&amp;MaxDayHours&amp;" hours that day","")))))</f>
        <v/>
      </c>
    </row>
    <row r="822" customFormat="false" ht="15" hidden="false" customHeight="false" outlineLevel="0" collapsed="false">
      <c r="A822" s="31" t="n">
        <v>46247</v>
      </c>
      <c r="B822" s="32" t="s">
        <v>101</v>
      </c>
      <c r="C822" s="32"/>
      <c r="D822" s="33" t="s">
        <v>96</v>
      </c>
      <c r="E822" s="34" t="n">
        <v>2.5</v>
      </c>
      <c r="F822" s="32"/>
      <c r="G822" s="35" t="n">
        <f aca="false">IF(A822="","",A822+7-WEEKDAY(A822))</f>
        <v>46249</v>
      </c>
      <c r="H822" s="36" t="n">
        <f aca="false">IF(A822="","",DATE(YEAR(A822),MONTH(A822),1))</f>
        <v>46235</v>
      </c>
      <c r="I822" s="37" t="str">
        <f aca="false">IF(B822="","",IFERROR(INDEX(st_ID,MATCH(B822,st_Name,0)),"Unknown"))</f>
        <v>QP-04</v>
      </c>
      <c r="J822" s="37" t="str">
        <f aca="false">IF(C822="","",IFERROR(INDEX(cl_Code,MATCH(C822,cl_Name,0)),"Unknown"))</f>
        <v/>
      </c>
      <c r="K822" s="37" t="str">
        <f aca="false">IF(D822="","",IFERROR(INDEX(rt_Billable,MATCH(D822,rt_Code,0)),"Unknown"))</f>
        <v>No</v>
      </c>
      <c r="L822" s="38" t="str">
        <f aca="false">IF(K822&lt;&gt;"Yes","",IFERROR(INDEX(cr_Rate,MATCH(J822&amp;"|"&amp;D822,cr_Key,0)),INDEX(rt_Rate,MATCH(D822,rt_Code,0))))</f>
        <v/>
      </c>
      <c r="M822" s="25" t="str">
        <f aca="false">IF(L822="","",ROUND(N(E822)*L822,2))</f>
        <v/>
      </c>
      <c r="N822" s="39" t="n">
        <f aca="false">IF(OR(A822="",B822=""),"",SUMIFS(tl_Hours,tl_StaffID,I822,tl_Date,A822))</f>
        <v>8</v>
      </c>
      <c r="O822" s="40" t="str">
        <f aca="false">IF(A822&amp;B822&amp;D822="","",IF(OR(A822="",B822="",D822="",E822=""),"Incomplete",IF(K822="Unknown","Unknown code",IF(AND(K822="Yes",C822=""),"Billable, needs client",IF(N822&gt;MaxDayHours,"Over "&amp;MaxDayHours&amp;" hours that day","")))))</f>
        <v/>
      </c>
    </row>
    <row r="823" customFormat="false" ht="15" hidden="false" customHeight="false" outlineLevel="0" collapsed="false">
      <c r="A823" s="31" t="n">
        <v>46247</v>
      </c>
      <c r="B823" s="32" t="s">
        <v>103</v>
      </c>
      <c r="C823" s="32" t="s">
        <v>87</v>
      </c>
      <c r="D823" s="33" t="s">
        <v>104</v>
      </c>
      <c r="E823" s="34" t="n">
        <v>3.75</v>
      </c>
      <c r="F823" s="32"/>
      <c r="G823" s="35" t="n">
        <f aca="false">IF(A823="","",A823+7-WEEKDAY(A823))</f>
        <v>46249</v>
      </c>
      <c r="H823" s="36" t="n">
        <f aca="false">IF(A823="","",DATE(YEAR(A823),MONTH(A823),1))</f>
        <v>46235</v>
      </c>
      <c r="I823" s="37" t="str">
        <f aca="false">IF(B823="","",IFERROR(INDEX(st_ID,MATCH(B823,st_Name,0)),"Unknown"))</f>
        <v>QP-05</v>
      </c>
      <c r="J823" s="37" t="str">
        <f aca="false">IF(C823="","",IFERROR(INDEX(cl_Code,MATCH(C823,cl_Name,0)),"Unknown"))</f>
        <v>HCS</v>
      </c>
      <c r="K823" s="37" t="str">
        <f aca="false">IF(D823="","",IFERROR(INDEX(rt_Billable,MATCH(D823,rt_Code,0)),"Unknown"))</f>
        <v>Yes</v>
      </c>
      <c r="L823" s="38" t="n">
        <f aca="false">IF(K823&lt;&gt;"Yes","",IFERROR(INDEX(cr_Rate,MATCH(J823&amp;"|"&amp;D823,cr_Key,0)),INDEX(rt_Rate,MATCH(D823,rt_Code,0))))</f>
        <v>62</v>
      </c>
      <c r="M823" s="25" t="n">
        <f aca="false">IF(L823="","",ROUND(N(E823)*L823,2))</f>
        <v>232.5</v>
      </c>
      <c r="N823" s="39" t="n">
        <f aca="false">IF(OR(A823="",B823=""),"",SUMIFS(tl_Hours,tl_StaffID,I823,tl_Date,A823))</f>
        <v>8</v>
      </c>
      <c r="O823" s="40" t="str">
        <f aca="false">IF(A823&amp;B823&amp;D823="","",IF(OR(A823="",B823="",D823="",E823=""),"Incomplete",IF(K823="Unknown","Unknown code",IF(AND(K823="Yes",C823=""),"Billable, needs client",IF(N823&gt;MaxDayHours,"Over "&amp;MaxDayHours&amp;" hours that day","")))))</f>
        <v/>
      </c>
    </row>
    <row r="824" customFormat="false" ht="15" hidden="false" customHeight="false" outlineLevel="0" collapsed="false">
      <c r="A824" s="31" t="n">
        <v>46247</v>
      </c>
      <c r="B824" s="32" t="s">
        <v>103</v>
      </c>
      <c r="C824" s="32" t="s">
        <v>87</v>
      </c>
      <c r="D824" s="33" t="s">
        <v>88</v>
      </c>
      <c r="E824" s="34" t="n">
        <v>1.75</v>
      </c>
      <c r="F824" s="32"/>
      <c r="G824" s="35" t="n">
        <f aca="false">IF(A824="","",A824+7-WEEKDAY(A824))</f>
        <v>46249</v>
      </c>
      <c r="H824" s="36" t="n">
        <f aca="false">IF(A824="","",DATE(YEAR(A824),MONTH(A824),1))</f>
        <v>46235</v>
      </c>
      <c r="I824" s="37" t="str">
        <f aca="false">IF(B824="","",IFERROR(INDEX(st_ID,MATCH(B824,st_Name,0)),"Unknown"))</f>
        <v>QP-05</v>
      </c>
      <c r="J824" s="37" t="str">
        <f aca="false">IF(C824="","",IFERROR(INDEX(cl_Code,MATCH(C824,cl_Name,0)),"Unknown"))</f>
        <v>HCS</v>
      </c>
      <c r="K824" s="37" t="str">
        <f aca="false">IF(D824="","",IFERROR(INDEX(rt_Billable,MATCH(D824,rt_Code,0)),"Unknown"))</f>
        <v>Yes</v>
      </c>
      <c r="L824" s="38" t="n">
        <f aca="false">IF(K824&lt;&gt;"Yes","",IFERROR(INDEX(cr_Rate,MATCH(J824&amp;"|"&amp;D824,cr_Key,0)),INDEX(rt_Rate,MATCH(D824,rt_Code,0))))</f>
        <v>98</v>
      </c>
      <c r="M824" s="25" t="n">
        <f aca="false">IF(L824="","",ROUND(N(E824)*L824,2))</f>
        <v>171.5</v>
      </c>
      <c r="N824" s="39" t="n">
        <f aca="false">IF(OR(A824="",B824=""),"",SUMIFS(tl_Hours,tl_StaffID,I824,tl_Date,A824))</f>
        <v>8</v>
      </c>
      <c r="O824" s="40" t="str">
        <f aca="false">IF(A824&amp;B824&amp;D824="","",IF(OR(A824="",B824="",D824="",E824=""),"Incomplete",IF(K824="Unknown","Unknown code",IF(AND(K824="Yes",C824=""),"Billable, needs client",IF(N824&gt;MaxDayHours,"Over "&amp;MaxDayHours&amp;" hours that day","")))))</f>
        <v/>
      </c>
    </row>
    <row r="825" customFormat="false" ht="15" hidden="false" customHeight="false" outlineLevel="0" collapsed="false">
      <c r="A825" s="31" t="n">
        <v>46247</v>
      </c>
      <c r="B825" s="32" t="s">
        <v>103</v>
      </c>
      <c r="C825" s="32"/>
      <c r="D825" s="33" t="s">
        <v>96</v>
      </c>
      <c r="E825" s="34" t="n">
        <v>2.5</v>
      </c>
      <c r="F825" s="32"/>
      <c r="G825" s="35" t="n">
        <f aca="false">IF(A825="","",A825+7-WEEKDAY(A825))</f>
        <v>46249</v>
      </c>
      <c r="H825" s="36" t="n">
        <f aca="false">IF(A825="","",DATE(YEAR(A825),MONTH(A825),1))</f>
        <v>46235</v>
      </c>
      <c r="I825" s="37" t="str">
        <f aca="false">IF(B825="","",IFERROR(INDEX(st_ID,MATCH(B825,st_Name,0)),"Unknown"))</f>
        <v>QP-05</v>
      </c>
      <c r="J825" s="37" t="str">
        <f aca="false">IF(C825="","",IFERROR(INDEX(cl_Code,MATCH(C825,cl_Name,0)),"Unknown"))</f>
        <v/>
      </c>
      <c r="K825" s="37" t="str">
        <f aca="false">IF(D825="","",IFERROR(INDEX(rt_Billable,MATCH(D825,rt_Code,0)),"Unknown"))</f>
        <v>No</v>
      </c>
      <c r="L825" s="38" t="str">
        <f aca="false">IF(K825&lt;&gt;"Yes","",IFERROR(INDEX(cr_Rate,MATCH(J825&amp;"|"&amp;D825,cr_Key,0)),INDEX(rt_Rate,MATCH(D825,rt_Code,0))))</f>
        <v/>
      </c>
      <c r="M825" s="25" t="str">
        <f aca="false">IF(L825="","",ROUND(N(E825)*L825,2))</f>
        <v/>
      </c>
      <c r="N825" s="39" t="n">
        <f aca="false">IF(OR(A825="",B825=""),"",SUMIFS(tl_Hours,tl_StaffID,I825,tl_Date,A825))</f>
        <v>8</v>
      </c>
      <c r="O825" s="40" t="str">
        <f aca="false">IF(A825&amp;B825&amp;D825="","",IF(OR(A825="",B825="",D825="",E825=""),"Incomplete",IF(K825="Unknown","Unknown code",IF(AND(K825="Yes",C825=""),"Billable, needs client",IF(N825&gt;MaxDayHours,"Over "&amp;MaxDayHours&amp;" hours that day","")))))</f>
        <v/>
      </c>
    </row>
    <row r="826" customFormat="false" ht="15" hidden="false" customHeight="false" outlineLevel="0" collapsed="false">
      <c r="A826" s="31" t="n">
        <v>46247</v>
      </c>
      <c r="B826" s="32" t="s">
        <v>105</v>
      </c>
      <c r="C826" s="32" t="s">
        <v>87</v>
      </c>
      <c r="D826" s="33" t="s">
        <v>88</v>
      </c>
      <c r="E826" s="34" t="n">
        <v>3.25</v>
      </c>
      <c r="F826" s="32"/>
      <c r="G826" s="35" t="n">
        <f aca="false">IF(A826="","",A826+7-WEEKDAY(A826))</f>
        <v>46249</v>
      </c>
      <c r="H826" s="36" t="n">
        <f aca="false">IF(A826="","",DATE(YEAR(A826),MONTH(A826),1))</f>
        <v>46235</v>
      </c>
      <c r="I826" s="37" t="str">
        <f aca="false">IF(B826="","",IFERROR(INDEX(st_ID,MATCH(B826,st_Name,0)),"Unknown"))</f>
        <v>QP-06</v>
      </c>
      <c r="J826" s="37" t="str">
        <f aca="false">IF(C826="","",IFERROR(INDEX(cl_Code,MATCH(C826,cl_Name,0)),"Unknown"))</f>
        <v>HCS</v>
      </c>
      <c r="K826" s="37" t="str">
        <f aca="false">IF(D826="","",IFERROR(INDEX(rt_Billable,MATCH(D826,rt_Code,0)),"Unknown"))</f>
        <v>Yes</v>
      </c>
      <c r="L826" s="38" t="n">
        <f aca="false">IF(K826&lt;&gt;"Yes","",IFERROR(INDEX(cr_Rate,MATCH(J826&amp;"|"&amp;D826,cr_Key,0)),INDEX(rt_Rate,MATCH(D826,rt_Code,0))))</f>
        <v>98</v>
      </c>
      <c r="M826" s="25" t="n">
        <f aca="false">IF(L826="","",ROUND(N(E826)*L826,2))</f>
        <v>318.5</v>
      </c>
      <c r="N826" s="39" t="n">
        <f aca="false">IF(OR(A826="",B826=""),"",SUMIFS(tl_Hours,tl_StaffID,I826,tl_Date,A826))</f>
        <v>8</v>
      </c>
      <c r="O826" s="40" t="str">
        <f aca="false">IF(A826&amp;B826&amp;D826="","",IF(OR(A826="",B826="",D826="",E826=""),"Incomplete",IF(K826="Unknown","Unknown code",IF(AND(K826="Yes",C826=""),"Billable, needs client",IF(N826&gt;MaxDayHours,"Over "&amp;MaxDayHours&amp;" hours that day","")))))</f>
        <v/>
      </c>
    </row>
    <row r="827" customFormat="false" ht="15" hidden="false" customHeight="false" outlineLevel="0" collapsed="false">
      <c r="A827" s="31" t="n">
        <v>46247</v>
      </c>
      <c r="B827" s="32" t="s">
        <v>105</v>
      </c>
      <c r="C827" s="32" t="s">
        <v>87</v>
      </c>
      <c r="D827" s="33" t="s">
        <v>92</v>
      </c>
      <c r="E827" s="34" t="n">
        <v>2</v>
      </c>
      <c r="F827" s="32"/>
      <c r="G827" s="35" t="n">
        <f aca="false">IF(A827="","",A827+7-WEEKDAY(A827))</f>
        <v>46249</v>
      </c>
      <c r="H827" s="36" t="n">
        <f aca="false">IF(A827="","",DATE(YEAR(A827),MONTH(A827),1))</f>
        <v>46235</v>
      </c>
      <c r="I827" s="37" t="str">
        <f aca="false">IF(B827="","",IFERROR(INDEX(st_ID,MATCH(B827,st_Name,0)),"Unknown"))</f>
        <v>QP-06</v>
      </c>
      <c r="J827" s="37" t="str">
        <f aca="false">IF(C827="","",IFERROR(INDEX(cl_Code,MATCH(C827,cl_Name,0)),"Unknown"))</f>
        <v>HCS</v>
      </c>
      <c r="K827" s="37" t="str">
        <f aca="false">IF(D827="","",IFERROR(INDEX(rt_Billable,MATCH(D827,rt_Code,0)),"Unknown"))</f>
        <v>Yes</v>
      </c>
      <c r="L827" s="38" t="n">
        <f aca="false">IF(K827&lt;&gt;"Yes","",IFERROR(INDEX(cr_Rate,MATCH(J827&amp;"|"&amp;D827,cr_Key,0)),INDEX(rt_Rate,MATCH(D827,rt_Code,0))))</f>
        <v>140</v>
      </c>
      <c r="M827" s="25" t="n">
        <f aca="false">IF(L827="","",ROUND(N(E827)*L827,2))</f>
        <v>280</v>
      </c>
      <c r="N827" s="39" t="n">
        <f aca="false">IF(OR(A827="",B827=""),"",SUMIFS(tl_Hours,tl_StaffID,I827,tl_Date,A827))</f>
        <v>8</v>
      </c>
      <c r="O827" s="40" t="str">
        <f aca="false">IF(A827&amp;B827&amp;D827="","",IF(OR(A827="",B827="",D827="",E827=""),"Incomplete",IF(K827="Unknown","Unknown code",IF(AND(K827="Yes",C827=""),"Billable, needs client",IF(N827&gt;MaxDayHours,"Over "&amp;MaxDayHours&amp;" hours that day","")))))</f>
        <v/>
      </c>
    </row>
    <row r="828" customFormat="false" ht="15" hidden="false" customHeight="false" outlineLevel="0" collapsed="false">
      <c r="A828" s="31" t="n">
        <v>46247</v>
      </c>
      <c r="B828" s="32" t="s">
        <v>105</v>
      </c>
      <c r="C828" s="32"/>
      <c r="D828" s="33" t="s">
        <v>96</v>
      </c>
      <c r="E828" s="34" t="n">
        <v>2.75</v>
      </c>
      <c r="F828" s="32"/>
      <c r="G828" s="35" t="n">
        <f aca="false">IF(A828="","",A828+7-WEEKDAY(A828))</f>
        <v>46249</v>
      </c>
      <c r="H828" s="36" t="n">
        <f aca="false">IF(A828="","",DATE(YEAR(A828),MONTH(A828),1))</f>
        <v>46235</v>
      </c>
      <c r="I828" s="37" t="str">
        <f aca="false">IF(B828="","",IFERROR(INDEX(st_ID,MATCH(B828,st_Name,0)),"Unknown"))</f>
        <v>QP-06</v>
      </c>
      <c r="J828" s="37" t="str">
        <f aca="false">IF(C828="","",IFERROR(INDEX(cl_Code,MATCH(C828,cl_Name,0)),"Unknown"))</f>
        <v/>
      </c>
      <c r="K828" s="37" t="str">
        <f aca="false">IF(D828="","",IFERROR(INDEX(rt_Billable,MATCH(D828,rt_Code,0)),"Unknown"))</f>
        <v>No</v>
      </c>
      <c r="L828" s="38" t="str">
        <f aca="false">IF(K828&lt;&gt;"Yes","",IFERROR(INDEX(cr_Rate,MATCH(J828&amp;"|"&amp;D828,cr_Key,0)),INDEX(rt_Rate,MATCH(D828,rt_Code,0))))</f>
        <v/>
      </c>
      <c r="M828" s="25" t="str">
        <f aca="false">IF(L828="","",ROUND(N(E828)*L828,2))</f>
        <v/>
      </c>
      <c r="N828" s="39" t="n">
        <f aca="false">IF(OR(A828="",B828=""),"",SUMIFS(tl_Hours,tl_StaffID,I828,tl_Date,A828))</f>
        <v>8</v>
      </c>
      <c r="O828" s="40" t="str">
        <f aca="false">IF(A828&amp;B828&amp;D828="","",IF(OR(A828="",B828="",D828="",E828=""),"Incomplete",IF(K828="Unknown","Unknown code",IF(AND(K828="Yes",C828=""),"Billable, needs client",IF(N828&gt;MaxDayHours,"Over "&amp;MaxDayHours&amp;" hours that day","")))))</f>
        <v/>
      </c>
    </row>
    <row r="829" customFormat="false" ht="15" hidden="false" customHeight="false" outlineLevel="0" collapsed="false">
      <c r="A829" s="31" t="n">
        <v>46247</v>
      </c>
      <c r="B829" s="32" t="s">
        <v>106</v>
      </c>
      <c r="C829" s="32" t="s">
        <v>102</v>
      </c>
      <c r="D829" s="33" t="s">
        <v>104</v>
      </c>
      <c r="E829" s="34" t="n">
        <v>4.5</v>
      </c>
      <c r="F829" s="32"/>
      <c r="G829" s="35" t="n">
        <f aca="false">IF(A829="","",A829+7-WEEKDAY(A829))</f>
        <v>46249</v>
      </c>
      <c r="H829" s="36" t="n">
        <f aca="false">IF(A829="","",DATE(YEAR(A829),MONTH(A829),1))</f>
        <v>46235</v>
      </c>
      <c r="I829" s="37" t="str">
        <f aca="false">IF(B829="","",IFERROR(INDEX(st_ID,MATCH(B829,st_Name,0)),"Unknown"))</f>
        <v>QP-07</v>
      </c>
      <c r="J829" s="37" t="str">
        <f aca="false">IF(C829="","",IFERROR(INDEX(cl_Code,MATCH(C829,cl_Name,0)),"Unknown"))</f>
        <v>CLH</v>
      </c>
      <c r="K829" s="37" t="str">
        <f aca="false">IF(D829="","",IFERROR(INDEX(rt_Billable,MATCH(D829,rt_Code,0)),"Unknown"))</f>
        <v>Yes</v>
      </c>
      <c r="L829" s="38" t="n">
        <f aca="false">IF(K829&lt;&gt;"Yes","",IFERROR(INDEX(cr_Rate,MATCH(J829&amp;"|"&amp;D829,cr_Key,0)),INDEX(rt_Rate,MATCH(D829,rt_Code,0))))</f>
        <v>65</v>
      </c>
      <c r="M829" s="25" t="n">
        <f aca="false">IF(L829="","",ROUND(N(E829)*L829,2))</f>
        <v>292.5</v>
      </c>
      <c r="N829" s="39" t="n">
        <f aca="false">IF(OR(A829="",B829=""),"",SUMIFS(tl_Hours,tl_StaffID,I829,tl_Date,A829))</f>
        <v>8</v>
      </c>
      <c r="O829" s="40" t="str">
        <f aca="false">IF(A829&amp;B829&amp;D829="","",IF(OR(A829="",B829="",D829="",E829=""),"Incomplete",IF(K829="Unknown","Unknown code",IF(AND(K829="Yes",C829=""),"Billable, needs client",IF(N829&gt;MaxDayHours,"Over "&amp;MaxDayHours&amp;" hours that day","")))))</f>
        <v/>
      </c>
    </row>
    <row r="830" customFormat="false" ht="15" hidden="false" customHeight="false" outlineLevel="0" collapsed="false">
      <c r="A830" s="31" t="n">
        <v>46247</v>
      </c>
      <c r="B830" s="32" t="s">
        <v>106</v>
      </c>
      <c r="C830" s="32" t="s">
        <v>102</v>
      </c>
      <c r="D830" s="33" t="s">
        <v>88</v>
      </c>
      <c r="E830" s="34" t="n">
        <v>1</v>
      </c>
      <c r="F830" s="32"/>
      <c r="G830" s="35" t="n">
        <f aca="false">IF(A830="","",A830+7-WEEKDAY(A830))</f>
        <v>46249</v>
      </c>
      <c r="H830" s="36" t="n">
        <f aca="false">IF(A830="","",DATE(YEAR(A830),MONTH(A830),1))</f>
        <v>46235</v>
      </c>
      <c r="I830" s="37" t="str">
        <f aca="false">IF(B830="","",IFERROR(INDEX(st_ID,MATCH(B830,st_Name,0)),"Unknown"))</f>
        <v>QP-07</v>
      </c>
      <c r="J830" s="37" t="str">
        <f aca="false">IF(C830="","",IFERROR(INDEX(cl_Code,MATCH(C830,cl_Name,0)),"Unknown"))</f>
        <v>CLH</v>
      </c>
      <c r="K830" s="37" t="str">
        <f aca="false">IF(D830="","",IFERROR(INDEX(rt_Billable,MATCH(D830,rt_Code,0)),"Unknown"))</f>
        <v>Yes</v>
      </c>
      <c r="L830" s="38" t="n">
        <f aca="false">IF(K830&lt;&gt;"Yes","",IFERROR(INDEX(cr_Rate,MATCH(J830&amp;"|"&amp;D830,cr_Key,0)),INDEX(rt_Rate,MATCH(D830,rt_Code,0))))</f>
        <v>110</v>
      </c>
      <c r="M830" s="25" t="n">
        <f aca="false">IF(L830="","",ROUND(N(E830)*L830,2))</f>
        <v>110</v>
      </c>
      <c r="N830" s="39" t="n">
        <f aca="false">IF(OR(A830="",B830=""),"",SUMIFS(tl_Hours,tl_StaffID,I830,tl_Date,A830))</f>
        <v>8</v>
      </c>
      <c r="O830" s="40" t="str">
        <f aca="false">IF(A830&amp;B830&amp;D830="","",IF(OR(A830="",B830="",D830="",E830=""),"Incomplete",IF(K830="Unknown","Unknown code",IF(AND(K830="Yes",C830=""),"Billable, needs client",IF(N830&gt;MaxDayHours,"Over "&amp;MaxDayHours&amp;" hours that day","")))))</f>
        <v/>
      </c>
    </row>
    <row r="831" customFormat="false" ht="15" hidden="false" customHeight="false" outlineLevel="0" collapsed="false">
      <c r="A831" s="31" t="n">
        <v>46247</v>
      </c>
      <c r="B831" s="32" t="s">
        <v>106</v>
      </c>
      <c r="C831" s="32"/>
      <c r="D831" s="33" t="s">
        <v>94</v>
      </c>
      <c r="E831" s="34" t="n">
        <v>1.5</v>
      </c>
      <c r="F831" s="32" t="s">
        <v>95</v>
      </c>
      <c r="G831" s="35" t="n">
        <f aca="false">IF(A831="","",A831+7-WEEKDAY(A831))</f>
        <v>46249</v>
      </c>
      <c r="H831" s="36" t="n">
        <f aca="false">IF(A831="","",DATE(YEAR(A831),MONTH(A831),1))</f>
        <v>46235</v>
      </c>
      <c r="I831" s="37" t="str">
        <f aca="false">IF(B831="","",IFERROR(INDEX(st_ID,MATCH(B831,st_Name,0)),"Unknown"))</f>
        <v>QP-07</v>
      </c>
      <c r="J831" s="37" t="str">
        <f aca="false">IF(C831="","",IFERROR(INDEX(cl_Code,MATCH(C831,cl_Name,0)),"Unknown"))</f>
        <v/>
      </c>
      <c r="K831" s="37" t="str">
        <f aca="false">IF(D831="","",IFERROR(INDEX(rt_Billable,MATCH(D831,rt_Code,0)),"Unknown"))</f>
        <v>No</v>
      </c>
      <c r="L831" s="38" t="str">
        <f aca="false">IF(K831&lt;&gt;"Yes","",IFERROR(INDEX(cr_Rate,MATCH(J831&amp;"|"&amp;D831,cr_Key,0)),INDEX(rt_Rate,MATCH(D831,rt_Code,0))))</f>
        <v/>
      </c>
      <c r="M831" s="25" t="str">
        <f aca="false">IF(L831="","",ROUND(N(E831)*L831,2))</f>
        <v/>
      </c>
      <c r="N831" s="39" t="n">
        <f aca="false">IF(OR(A831="",B831=""),"",SUMIFS(tl_Hours,tl_StaffID,I831,tl_Date,A831))</f>
        <v>8</v>
      </c>
      <c r="O831" s="40" t="str">
        <f aca="false">IF(A831&amp;B831&amp;D831="","",IF(OR(A831="",B831="",D831="",E831=""),"Incomplete",IF(K831="Unknown","Unknown code",IF(AND(K831="Yes",C831=""),"Billable, needs client",IF(N831&gt;MaxDayHours,"Over "&amp;MaxDayHours&amp;" hours that day","")))))</f>
        <v/>
      </c>
    </row>
    <row r="832" customFormat="false" ht="15" hidden="false" customHeight="false" outlineLevel="0" collapsed="false">
      <c r="A832" s="31" t="n">
        <v>46247</v>
      </c>
      <c r="B832" s="32" t="s">
        <v>106</v>
      </c>
      <c r="C832" s="32"/>
      <c r="D832" s="33" t="s">
        <v>96</v>
      </c>
      <c r="E832" s="34" t="n">
        <v>1</v>
      </c>
      <c r="F832" s="32"/>
      <c r="G832" s="35" t="n">
        <f aca="false">IF(A832="","",A832+7-WEEKDAY(A832))</f>
        <v>46249</v>
      </c>
      <c r="H832" s="36" t="n">
        <f aca="false">IF(A832="","",DATE(YEAR(A832),MONTH(A832),1))</f>
        <v>46235</v>
      </c>
      <c r="I832" s="37" t="str">
        <f aca="false">IF(B832="","",IFERROR(INDEX(st_ID,MATCH(B832,st_Name,0)),"Unknown"))</f>
        <v>QP-07</v>
      </c>
      <c r="J832" s="37" t="str">
        <f aca="false">IF(C832="","",IFERROR(INDEX(cl_Code,MATCH(C832,cl_Name,0)),"Unknown"))</f>
        <v/>
      </c>
      <c r="K832" s="37" t="str">
        <f aca="false">IF(D832="","",IFERROR(INDEX(rt_Billable,MATCH(D832,rt_Code,0)),"Unknown"))</f>
        <v>No</v>
      </c>
      <c r="L832" s="38" t="str">
        <f aca="false">IF(K832&lt;&gt;"Yes","",IFERROR(INDEX(cr_Rate,MATCH(J832&amp;"|"&amp;D832,cr_Key,0)),INDEX(rt_Rate,MATCH(D832,rt_Code,0))))</f>
        <v/>
      </c>
      <c r="M832" s="25" t="str">
        <f aca="false">IF(L832="","",ROUND(N(E832)*L832,2))</f>
        <v/>
      </c>
      <c r="N832" s="39" t="n">
        <f aca="false">IF(OR(A832="",B832=""),"",SUMIFS(tl_Hours,tl_StaffID,I832,tl_Date,A832))</f>
        <v>8</v>
      </c>
      <c r="O832" s="40" t="str">
        <f aca="false">IF(A832&amp;B832&amp;D832="","",IF(OR(A832="",B832="",D832="",E832=""),"Incomplete",IF(K832="Unknown","Unknown code",IF(AND(K832="Yes",C832=""),"Billable, needs client",IF(N832&gt;MaxDayHours,"Over "&amp;MaxDayHours&amp;" hours that day","")))))</f>
        <v/>
      </c>
    </row>
    <row r="833" customFormat="false" ht="15" hidden="false" customHeight="false" outlineLevel="0" collapsed="false">
      <c r="A833" s="31" t="n">
        <v>46247</v>
      </c>
      <c r="B833" s="32" t="s">
        <v>107</v>
      </c>
      <c r="C833" s="32"/>
      <c r="D833" s="33" t="s">
        <v>108</v>
      </c>
      <c r="E833" s="34" t="n">
        <v>6.5</v>
      </c>
      <c r="F833" s="32"/>
      <c r="G833" s="35" t="n">
        <f aca="false">IF(A833="","",A833+7-WEEKDAY(A833))</f>
        <v>46249</v>
      </c>
      <c r="H833" s="36" t="n">
        <f aca="false">IF(A833="","",DATE(YEAR(A833),MONTH(A833),1))</f>
        <v>46235</v>
      </c>
      <c r="I833" s="37" t="str">
        <f aca="false">IF(B833="","",IFERROR(INDEX(st_ID,MATCH(B833,st_Name,0)),"Unknown"))</f>
        <v>QP-08</v>
      </c>
      <c r="J833" s="37" t="str">
        <f aca="false">IF(C833="","",IFERROR(INDEX(cl_Code,MATCH(C833,cl_Name,0)),"Unknown"))</f>
        <v/>
      </c>
      <c r="K833" s="37" t="str">
        <f aca="false">IF(D833="","",IFERROR(INDEX(rt_Billable,MATCH(D833,rt_Code,0)),"Unknown"))</f>
        <v>No</v>
      </c>
      <c r="L833" s="38" t="str">
        <f aca="false">IF(K833&lt;&gt;"Yes","",IFERROR(INDEX(cr_Rate,MATCH(J833&amp;"|"&amp;D833,cr_Key,0)),INDEX(rt_Rate,MATCH(D833,rt_Code,0))))</f>
        <v/>
      </c>
      <c r="M833" s="25" t="str">
        <f aca="false">IF(L833="","",ROUND(N(E833)*L833,2))</f>
        <v/>
      </c>
      <c r="N833" s="39" t="n">
        <f aca="false">IF(OR(A833="",B833=""),"",SUMIFS(tl_Hours,tl_StaffID,I833,tl_Date,A833))</f>
        <v>8</v>
      </c>
      <c r="O833" s="40" t="str">
        <f aca="false">IF(A833&amp;B833&amp;D833="","",IF(OR(A833="",B833="",D833="",E833=""),"Incomplete",IF(K833="Unknown","Unknown code",IF(AND(K833="Yes",C833=""),"Billable, needs client",IF(N833&gt;MaxDayHours,"Over "&amp;MaxDayHours&amp;" hours that day","")))))</f>
        <v/>
      </c>
    </row>
    <row r="834" customFormat="false" ht="15" hidden="false" customHeight="false" outlineLevel="0" collapsed="false">
      <c r="A834" s="31" t="n">
        <v>46247</v>
      </c>
      <c r="B834" s="32" t="s">
        <v>107</v>
      </c>
      <c r="C834" s="32"/>
      <c r="D834" s="33" t="s">
        <v>98</v>
      </c>
      <c r="E834" s="34" t="n">
        <v>1.5</v>
      </c>
      <c r="F834" s="32"/>
      <c r="G834" s="35" t="n">
        <f aca="false">IF(A834="","",A834+7-WEEKDAY(A834))</f>
        <v>46249</v>
      </c>
      <c r="H834" s="36" t="n">
        <f aca="false">IF(A834="","",DATE(YEAR(A834),MONTH(A834),1))</f>
        <v>46235</v>
      </c>
      <c r="I834" s="37" t="str">
        <f aca="false">IF(B834="","",IFERROR(INDEX(st_ID,MATCH(B834,st_Name,0)),"Unknown"))</f>
        <v>QP-08</v>
      </c>
      <c r="J834" s="37" t="str">
        <f aca="false">IF(C834="","",IFERROR(INDEX(cl_Code,MATCH(C834,cl_Name,0)),"Unknown"))</f>
        <v/>
      </c>
      <c r="K834" s="37" t="str">
        <f aca="false">IF(D834="","",IFERROR(INDEX(rt_Billable,MATCH(D834,rt_Code,0)),"Unknown"))</f>
        <v>No</v>
      </c>
      <c r="L834" s="38" t="str">
        <f aca="false">IF(K834&lt;&gt;"Yes","",IFERROR(INDEX(cr_Rate,MATCH(J834&amp;"|"&amp;D834,cr_Key,0)),INDEX(rt_Rate,MATCH(D834,rt_Code,0))))</f>
        <v/>
      </c>
      <c r="M834" s="25" t="str">
        <f aca="false">IF(L834="","",ROUND(N(E834)*L834,2))</f>
        <v/>
      </c>
      <c r="N834" s="39" t="n">
        <f aca="false">IF(OR(A834="",B834=""),"",SUMIFS(tl_Hours,tl_StaffID,I834,tl_Date,A834))</f>
        <v>8</v>
      </c>
      <c r="O834" s="40" t="str">
        <f aca="false">IF(A834&amp;B834&amp;D834="","",IF(OR(A834="",B834="",D834="",E834=""),"Incomplete",IF(K834="Unknown","Unknown code",IF(AND(K834="Yes",C834=""),"Billable, needs client",IF(N834&gt;MaxDayHours,"Over "&amp;MaxDayHours&amp;" hours that day","")))))</f>
        <v/>
      </c>
    </row>
    <row r="835" customFormat="false" ht="15" hidden="false" customHeight="false" outlineLevel="0" collapsed="false">
      <c r="A835" s="31" t="n">
        <v>46248</v>
      </c>
      <c r="B835" s="32" t="s">
        <v>86</v>
      </c>
      <c r="C835" s="32" t="s">
        <v>90</v>
      </c>
      <c r="D835" s="33" t="s">
        <v>91</v>
      </c>
      <c r="E835" s="34" t="n">
        <v>3.75</v>
      </c>
      <c r="F835" s="32"/>
      <c r="G835" s="35" t="n">
        <f aca="false">IF(A835="","",A835+7-WEEKDAY(A835))</f>
        <v>46249</v>
      </c>
      <c r="H835" s="36" t="n">
        <f aca="false">IF(A835="","",DATE(YEAR(A835),MONTH(A835),1))</f>
        <v>46235</v>
      </c>
      <c r="I835" s="37" t="str">
        <f aca="false">IF(B835="","",IFERROR(INDEX(st_ID,MATCH(B835,st_Name,0)),"Unknown"))</f>
        <v>QP-01</v>
      </c>
      <c r="J835" s="37" t="str">
        <f aca="false">IF(C835="","",IFERROR(INDEX(cl_Code,MATCH(C835,cl_Name,0)),"Unknown"))</f>
        <v>BSE</v>
      </c>
      <c r="K835" s="37" t="str">
        <f aca="false">IF(D835="","",IFERROR(INDEX(rt_Billable,MATCH(D835,rt_Code,0)),"Unknown"))</f>
        <v>Yes</v>
      </c>
      <c r="L835" s="38" t="n">
        <f aca="false">IF(K835&lt;&gt;"Yes","",IFERROR(INDEX(cr_Rate,MATCH(J835&amp;"|"&amp;D835,cr_Key,0)),INDEX(rt_Rate,MATCH(D835,rt_Code,0))))</f>
        <v>100</v>
      </c>
      <c r="M835" s="25" t="n">
        <f aca="false">IF(L835="","",ROUND(N(E835)*L835,2))</f>
        <v>375</v>
      </c>
      <c r="N835" s="39" t="n">
        <f aca="false">IF(OR(A835="",B835=""),"",SUMIFS(tl_Hours,tl_StaffID,I835,tl_Date,A835))</f>
        <v>8</v>
      </c>
      <c r="O835" s="40" t="str">
        <f aca="false">IF(A835&amp;B835&amp;D835="","",IF(OR(A835="",B835="",D835="",E835=""),"Incomplete",IF(K835="Unknown","Unknown code",IF(AND(K835="Yes",C835=""),"Billable, needs client",IF(N835&gt;MaxDayHours,"Over "&amp;MaxDayHours&amp;" hours that day","")))))</f>
        <v/>
      </c>
    </row>
    <row r="836" customFormat="false" ht="15" hidden="false" customHeight="false" outlineLevel="0" collapsed="false">
      <c r="A836" s="31" t="n">
        <v>46248</v>
      </c>
      <c r="B836" s="32" t="s">
        <v>86</v>
      </c>
      <c r="C836" s="32" t="s">
        <v>90</v>
      </c>
      <c r="D836" s="33" t="s">
        <v>92</v>
      </c>
      <c r="E836" s="34" t="n">
        <v>1.25</v>
      </c>
      <c r="F836" s="32"/>
      <c r="G836" s="35" t="n">
        <f aca="false">IF(A836="","",A836+7-WEEKDAY(A836))</f>
        <v>46249</v>
      </c>
      <c r="H836" s="36" t="n">
        <f aca="false">IF(A836="","",DATE(YEAR(A836),MONTH(A836),1))</f>
        <v>46235</v>
      </c>
      <c r="I836" s="37" t="str">
        <f aca="false">IF(B836="","",IFERROR(INDEX(st_ID,MATCH(B836,st_Name,0)),"Unknown"))</f>
        <v>QP-01</v>
      </c>
      <c r="J836" s="37" t="str">
        <f aca="false">IF(C836="","",IFERROR(INDEX(cl_Code,MATCH(C836,cl_Name,0)),"Unknown"))</f>
        <v>BSE</v>
      </c>
      <c r="K836" s="37" t="str">
        <f aca="false">IF(D836="","",IFERROR(INDEX(rt_Billable,MATCH(D836,rt_Code,0)),"Unknown"))</f>
        <v>Yes</v>
      </c>
      <c r="L836" s="38" t="n">
        <f aca="false">IF(K836&lt;&gt;"Yes","",IFERROR(INDEX(cr_Rate,MATCH(J836&amp;"|"&amp;D836,cr_Key,0)),INDEX(rt_Rate,MATCH(D836,rt_Code,0))))</f>
        <v>145</v>
      </c>
      <c r="M836" s="25" t="n">
        <f aca="false">IF(L836="","",ROUND(N(E836)*L836,2))</f>
        <v>181.25</v>
      </c>
      <c r="N836" s="39" t="n">
        <f aca="false">IF(OR(A836="",B836=""),"",SUMIFS(tl_Hours,tl_StaffID,I836,tl_Date,A836))</f>
        <v>8</v>
      </c>
      <c r="O836" s="40" t="str">
        <f aca="false">IF(A836&amp;B836&amp;D836="","",IF(OR(A836="",B836="",D836="",E836=""),"Incomplete",IF(K836="Unknown","Unknown code",IF(AND(K836="Yes",C836=""),"Billable, needs client",IF(N836&gt;MaxDayHours,"Over "&amp;MaxDayHours&amp;" hours that day","")))))</f>
        <v/>
      </c>
    </row>
    <row r="837" customFormat="false" ht="15" hidden="false" customHeight="false" outlineLevel="0" collapsed="false">
      <c r="A837" s="31" t="n">
        <v>46248</v>
      </c>
      <c r="B837" s="32" t="s">
        <v>86</v>
      </c>
      <c r="C837" s="32"/>
      <c r="D837" s="33" t="s">
        <v>96</v>
      </c>
      <c r="E837" s="34" t="n">
        <v>3</v>
      </c>
      <c r="F837" s="32"/>
      <c r="G837" s="35" t="n">
        <f aca="false">IF(A837="","",A837+7-WEEKDAY(A837))</f>
        <v>46249</v>
      </c>
      <c r="H837" s="36" t="n">
        <f aca="false">IF(A837="","",DATE(YEAR(A837),MONTH(A837),1))</f>
        <v>46235</v>
      </c>
      <c r="I837" s="37" t="str">
        <f aca="false">IF(B837="","",IFERROR(INDEX(st_ID,MATCH(B837,st_Name,0)),"Unknown"))</f>
        <v>QP-01</v>
      </c>
      <c r="J837" s="37" t="str">
        <f aca="false">IF(C837="","",IFERROR(INDEX(cl_Code,MATCH(C837,cl_Name,0)),"Unknown"))</f>
        <v/>
      </c>
      <c r="K837" s="37" t="str">
        <f aca="false">IF(D837="","",IFERROR(INDEX(rt_Billable,MATCH(D837,rt_Code,0)),"Unknown"))</f>
        <v>No</v>
      </c>
      <c r="L837" s="38" t="str">
        <f aca="false">IF(K837&lt;&gt;"Yes","",IFERROR(INDEX(cr_Rate,MATCH(J837&amp;"|"&amp;D837,cr_Key,0)),INDEX(rt_Rate,MATCH(D837,rt_Code,0))))</f>
        <v/>
      </c>
      <c r="M837" s="25" t="str">
        <f aca="false">IF(L837="","",ROUND(N(E837)*L837,2))</f>
        <v/>
      </c>
      <c r="N837" s="39" t="n">
        <f aca="false">IF(OR(A837="",B837=""),"",SUMIFS(tl_Hours,tl_StaffID,I837,tl_Date,A837))</f>
        <v>8</v>
      </c>
      <c r="O837" s="40" t="str">
        <f aca="false">IF(A837&amp;B837&amp;D837="","",IF(OR(A837="",B837="",D837="",E837=""),"Incomplete",IF(K837="Unknown","Unknown code",IF(AND(K837="Yes",C837=""),"Billable, needs client",IF(N837&gt;MaxDayHours,"Over "&amp;MaxDayHours&amp;" hours that day","")))))</f>
        <v/>
      </c>
    </row>
    <row r="838" customFormat="false" ht="15" hidden="false" customHeight="false" outlineLevel="0" collapsed="false">
      <c r="A838" s="31" t="n">
        <v>46248</v>
      </c>
      <c r="B838" s="32" t="s">
        <v>97</v>
      </c>
      <c r="C838" s="32" t="s">
        <v>111</v>
      </c>
      <c r="D838" s="33" t="s">
        <v>104</v>
      </c>
      <c r="E838" s="34" t="n">
        <v>3.75</v>
      </c>
      <c r="F838" s="32"/>
      <c r="G838" s="35" t="n">
        <f aca="false">IF(A838="","",A838+7-WEEKDAY(A838))</f>
        <v>46249</v>
      </c>
      <c r="H838" s="36" t="n">
        <f aca="false">IF(A838="","",DATE(YEAR(A838),MONTH(A838),1))</f>
        <v>46235</v>
      </c>
      <c r="I838" s="37" t="str">
        <f aca="false">IF(B838="","",IFERROR(INDEX(st_ID,MATCH(B838,st_Name,0)),"Unknown"))</f>
        <v>QP-02</v>
      </c>
      <c r="J838" s="37" t="str">
        <f aca="false">IF(C838="","",IFERROR(INDEX(cl_Code,MATCH(C838,cl_Name,0)),"Unknown"))</f>
        <v>WMS</v>
      </c>
      <c r="K838" s="37" t="str">
        <f aca="false">IF(D838="","",IFERROR(INDEX(rt_Billable,MATCH(D838,rt_Code,0)),"Unknown"))</f>
        <v>Yes</v>
      </c>
      <c r="L838" s="38" t="n">
        <f aca="false">IF(K838&lt;&gt;"Yes","",IFERROR(INDEX(cr_Rate,MATCH(J838&amp;"|"&amp;D838,cr_Key,0)),INDEX(rt_Rate,MATCH(D838,rt_Code,0))))</f>
        <v>70</v>
      </c>
      <c r="M838" s="25" t="n">
        <f aca="false">IF(L838="","",ROUND(N(E838)*L838,2))</f>
        <v>262.5</v>
      </c>
      <c r="N838" s="39" t="n">
        <f aca="false">IF(OR(A838="",B838=""),"",SUMIFS(tl_Hours,tl_StaffID,I838,tl_Date,A838))</f>
        <v>8</v>
      </c>
      <c r="O838" s="40" t="str">
        <f aca="false">IF(A838&amp;B838&amp;D838="","",IF(OR(A838="",B838="",D838="",E838=""),"Incomplete",IF(K838="Unknown","Unknown code",IF(AND(K838="Yes",C838=""),"Billable, needs client",IF(N838&gt;MaxDayHours,"Over "&amp;MaxDayHours&amp;" hours that day","")))))</f>
        <v/>
      </c>
    </row>
    <row r="839" customFormat="false" ht="15" hidden="false" customHeight="false" outlineLevel="0" collapsed="false">
      <c r="A839" s="31" t="n">
        <v>46248</v>
      </c>
      <c r="B839" s="32" t="s">
        <v>97</v>
      </c>
      <c r="C839" s="32" t="s">
        <v>111</v>
      </c>
      <c r="D839" s="33" t="s">
        <v>92</v>
      </c>
      <c r="E839" s="34" t="n">
        <v>1.5</v>
      </c>
      <c r="F839" s="32"/>
      <c r="G839" s="35" t="n">
        <f aca="false">IF(A839="","",A839+7-WEEKDAY(A839))</f>
        <v>46249</v>
      </c>
      <c r="H839" s="36" t="n">
        <f aca="false">IF(A839="","",DATE(YEAR(A839),MONTH(A839),1))</f>
        <v>46235</v>
      </c>
      <c r="I839" s="37" t="str">
        <f aca="false">IF(B839="","",IFERROR(INDEX(st_ID,MATCH(B839,st_Name,0)),"Unknown"))</f>
        <v>QP-02</v>
      </c>
      <c r="J839" s="37" t="str">
        <f aca="false">IF(C839="","",IFERROR(INDEX(cl_Code,MATCH(C839,cl_Name,0)),"Unknown"))</f>
        <v>WMS</v>
      </c>
      <c r="K839" s="37" t="str">
        <f aca="false">IF(D839="","",IFERROR(INDEX(rt_Billable,MATCH(D839,rt_Code,0)),"Unknown"))</f>
        <v>Yes</v>
      </c>
      <c r="L839" s="38" t="n">
        <f aca="false">IF(K839&lt;&gt;"Yes","",IFERROR(INDEX(cr_Rate,MATCH(J839&amp;"|"&amp;D839,cr_Key,0)),INDEX(rt_Rate,MATCH(D839,rt_Code,0))))</f>
        <v>150</v>
      </c>
      <c r="M839" s="25" t="n">
        <f aca="false">IF(L839="","",ROUND(N(E839)*L839,2))</f>
        <v>225</v>
      </c>
      <c r="N839" s="39" t="n">
        <f aca="false">IF(OR(A839="",B839=""),"",SUMIFS(tl_Hours,tl_StaffID,I839,tl_Date,A839))</f>
        <v>8</v>
      </c>
      <c r="O839" s="40" t="str">
        <f aca="false">IF(A839&amp;B839&amp;D839="","",IF(OR(A839="",B839="",D839="",E839=""),"Incomplete",IF(K839="Unknown","Unknown code",IF(AND(K839="Yes",C839=""),"Billable, needs client",IF(N839&gt;MaxDayHours,"Over "&amp;MaxDayHours&amp;" hours that day","")))))</f>
        <v/>
      </c>
    </row>
    <row r="840" customFormat="false" ht="15" hidden="false" customHeight="false" outlineLevel="0" collapsed="false">
      <c r="A840" s="31" t="n">
        <v>46248</v>
      </c>
      <c r="B840" s="32" t="s">
        <v>97</v>
      </c>
      <c r="C840" s="32"/>
      <c r="D840" s="33" t="s">
        <v>96</v>
      </c>
      <c r="E840" s="34" t="n">
        <v>2.75</v>
      </c>
      <c r="F840" s="32"/>
      <c r="G840" s="35" t="n">
        <f aca="false">IF(A840="","",A840+7-WEEKDAY(A840))</f>
        <v>46249</v>
      </c>
      <c r="H840" s="36" t="n">
        <f aca="false">IF(A840="","",DATE(YEAR(A840),MONTH(A840),1))</f>
        <v>46235</v>
      </c>
      <c r="I840" s="37" t="str">
        <f aca="false">IF(B840="","",IFERROR(INDEX(st_ID,MATCH(B840,st_Name,0)),"Unknown"))</f>
        <v>QP-02</v>
      </c>
      <c r="J840" s="37" t="str">
        <f aca="false">IF(C840="","",IFERROR(INDEX(cl_Code,MATCH(C840,cl_Name,0)),"Unknown"))</f>
        <v/>
      </c>
      <c r="K840" s="37" t="str">
        <f aca="false">IF(D840="","",IFERROR(INDEX(rt_Billable,MATCH(D840,rt_Code,0)),"Unknown"))</f>
        <v>No</v>
      </c>
      <c r="L840" s="38" t="str">
        <f aca="false">IF(K840&lt;&gt;"Yes","",IFERROR(INDEX(cr_Rate,MATCH(J840&amp;"|"&amp;D840,cr_Key,0)),INDEX(rt_Rate,MATCH(D840,rt_Code,0))))</f>
        <v/>
      </c>
      <c r="M840" s="25" t="str">
        <f aca="false">IF(L840="","",ROUND(N(E840)*L840,2))</f>
        <v/>
      </c>
      <c r="N840" s="39" t="n">
        <f aca="false">IF(OR(A840="",B840=""),"",SUMIFS(tl_Hours,tl_StaffID,I840,tl_Date,A840))</f>
        <v>8</v>
      </c>
      <c r="O840" s="40" t="str">
        <f aca="false">IF(A840&amp;B840&amp;D840="","",IF(OR(A840="",B840="",D840="",E840=""),"Incomplete",IF(K840="Unknown","Unknown code",IF(AND(K840="Yes",C840=""),"Billable, needs client",IF(N840&gt;MaxDayHours,"Over "&amp;MaxDayHours&amp;" hours that day","")))))</f>
        <v/>
      </c>
    </row>
    <row r="841" customFormat="false" ht="15" hidden="false" customHeight="false" outlineLevel="0" collapsed="false">
      <c r="A841" s="31" t="n">
        <v>46248</v>
      </c>
      <c r="B841" s="32" t="s">
        <v>101</v>
      </c>
      <c r="C841" s="32" t="s">
        <v>102</v>
      </c>
      <c r="D841" s="33" t="s">
        <v>104</v>
      </c>
      <c r="E841" s="34" t="n">
        <v>4.5</v>
      </c>
      <c r="F841" s="32"/>
      <c r="G841" s="35" t="n">
        <f aca="false">IF(A841="","",A841+7-WEEKDAY(A841))</f>
        <v>46249</v>
      </c>
      <c r="H841" s="36" t="n">
        <f aca="false">IF(A841="","",DATE(YEAR(A841),MONTH(A841),1))</f>
        <v>46235</v>
      </c>
      <c r="I841" s="37" t="str">
        <f aca="false">IF(B841="","",IFERROR(INDEX(st_ID,MATCH(B841,st_Name,0)),"Unknown"))</f>
        <v>QP-04</v>
      </c>
      <c r="J841" s="37" t="str">
        <f aca="false">IF(C841="","",IFERROR(INDEX(cl_Code,MATCH(C841,cl_Name,0)),"Unknown"))</f>
        <v>CLH</v>
      </c>
      <c r="K841" s="37" t="str">
        <f aca="false">IF(D841="","",IFERROR(INDEX(rt_Billable,MATCH(D841,rt_Code,0)),"Unknown"))</f>
        <v>Yes</v>
      </c>
      <c r="L841" s="38" t="n">
        <f aca="false">IF(K841&lt;&gt;"Yes","",IFERROR(INDEX(cr_Rate,MATCH(J841&amp;"|"&amp;D841,cr_Key,0)),INDEX(rt_Rate,MATCH(D841,rt_Code,0))))</f>
        <v>65</v>
      </c>
      <c r="M841" s="25" t="n">
        <f aca="false">IF(L841="","",ROUND(N(E841)*L841,2))</f>
        <v>292.5</v>
      </c>
      <c r="N841" s="39" t="n">
        <f aca="false">IF(OR(A841="",B841=""),"",SUMIFS(tl_Hours,tl_StaffID,I841,tl_Date,A841))</f>
        <v>8</v>
      </c>
      <c r="O841" s="40" t="str">
        <f aca="false">IF(A841&amp;B841&amp;D841="","",IF(OR(A841="",B841="",D841="",E841=""),"Incomplete",IF(K841="Unknown","Unknown code",IF(AND(K841="Yes",C841=""),"Billable, needs client",IF(N841&gt;MaxDayHours,"Over "&amp;MaxDayHours&amp;" hours that day","")))))</f>
        <v/>
      </c>
    </row>
    <row r="842" customFormat="false" ht="15" hidden="false" customHeight="false" outlineLevel="0" collapsed="false">
      <c r="A842" s="31" t="n">
        <v>46248</v>
      </c>
      <c r="B842" s="32" t="s">
        <v>101</v>
      </c>
      <c r="C842" s="32" t="s">
        <v>102</v>
      </c>
      <c r="D842" s="33" t="s">
        <v>89</v>
      </c>
      <c r="E842" s="34" t="n">
        <v>1</v>
      </c>
      <c r="F842" s="32"/>
      <c r="G842" s="35" t="n">
        <f aca="false">IF(A842="","",A842+7-WEEKDAY(A842))</f>
        <v>46249</v>
      </c>
      <c r="H842" s="36" t="n">
        <f aca="false">IF(A842="","",DATE(YEAR(A842),MONTH(A842),1))</f>
        <v>46235</v>
      </c>
      <c r="I842" s="37" t="str">
        <f aca="false">IF(B842="","",IFERROR(INDEX(st_ID,MATCH(B842,st_Name,0)),"Unknown"))</f>
        <v>QP-04</v>
      </c>
      <c r="J842" s="37" t="str">
        <f aca="false">IF(C842="","",IFERROR(INDEX(cl_Code,MATCH(C842,cl_Name,0)),"Unknown"))</f>
        <v>CLH</v>
      </c>
      <c r="K842" s="37" t="str">
        <f aca="false">IF(D842="","",IFERROR(INDEX(rt_Billable,MATCH(D842,rt_Code,0)),"Unknown"))</f>
        <v>Yes</v>
      </c>
      <c r="L842" s="38" t="n">
        <f aca="false">IF(K842&lt;&gt;"Yes","",IFERROR(INDEX(cr_Rate,MATCH(J842&amp;"|"&amp;D842,cr_Key,0)),INDEX(rt_Rate,MATCH(D842,rt_Code,0))))</f>
        <v>95</v>
      </c>
      <c r="M842" s="25" t="n">
        <f aca="false">IF(L842="","",ROUND(N(E842)*L842,2))</f>
        <v>95</v>
      </c>
      <c r="N842" s="39" t="n">
        <f aca="false">IF(OR(A842="",B842=""),"",SUMIFS(tl_Hours,tl_StaffID,I842,tl_Date,A842))</f>
        <v>8</v>
      </c>
      <c r="O842" s="40" t="str">
        <f aca="false">IF(A842&amp;B842&amp;D842="","",IF(OR(A842="",B842="",D842="",E842=""),"Incomplete",IF(K842="Unknown","Unknown code",IF(AND(K842="Yes",C842=""),"Billable, needs client",IF(N842&gt;MaxDayHours,"Over "&amp;MaxDayHours&amp;" hours that day","")))))</f>
        <v/>
      </c>
    </row>
    <row r="843" customFormat="false" ht="15" hidden="false" customHeight="false" outlineLevel="0" collapsed="false">
      <c r="A843" s="31" t="n">
        <v>46248</v>
      </c>
      <c r="B843" s="32" t="s">
        <v>101</v>
      </c>
      <c r="C843" s="32"/>
      <c r="D843" s="33" t="s">
        <v>96</v>
      </c>
      <c r="E843" s="34" t="n">
        <v>2.5</v>
      </c>
      <c r="F843" s="32"/>
      <c r="G843" s="35" t="n">
        <f aca="false">IF(A843="","",A843+7-WEEKDAY(A843))</f>
        <v>46249</v>
      </c>
      <c r="H843" s="36" t="n">
        <f aca="false">IF(A843="","",DATE(YEAR(A843),MONTH(A843),1))</f>
        <v>46235</v>
      </c>
      <c r="I843" s="37" t="str">
        <f aca="false">IF(B843="","",IFERROR(INDEX(st_ID,MATCH(B843,st_Name,0)),"Unknown"))</f>
        <v>QP-04</v>
      </c>
      <c r="J843" s="37" t="str">
        <f aca="false">IF(C843="","",IFERROR(INDEX(cl_Code,MATCH(C843,cl_Name,0)),"Unknown"))</f>
        <v/>
      </c>
      <c r="K843" s="37" t="str">
        <f aca="false">IF(D843="","",IFERROR(INDEX(rt_Billable,MATCH(D843,rt_Code,0)),"Unknown"))</f>
        <v>No</v>
      </c>
      <c r="L843" s="38" t="str">
        <f aca="false">IF(K843&lt;&gt;"Yes","",IFERROR(INDEX(cr_Rate,MATCH(J843&amp;"|"&amp;D843,cr_Key,0)),INDEX(rt_Rate,MATCH(D843,rt_Code,0))))</f>
        <v/>
      </c>
      <c r="M843" s="25" t="str">
        <f aca="false">IF(L843="","",ROUND(N(E843)*L843,2))</f>
        <v/>
      </c>
      <c r="N843" s="39" t="n">
        <f aca="false">IF(OR(A843="",B843=""),"",SUMIFS(tl_Hours,tl_StaffID,I843,tl_Date,A843))</f>
        <v>8</v>
      </c>
      <c r="O843" s="40" t="str">
        <f aca="false">IF(A843&amp;B843&amp;D843="","",IF(OR(A843="",B843="",D843="",E843=""),"Incomplete",IF(K843="Unknown","Unknown code",IF(AND(K843="Yes",C843=""),"Billable, needs client",IF(N843&gt;MaxDayHours,"Over "&amp;MaxDayHours&amp;" hours that day","")))))</f>
        <v/>
      </c>
    </row>
    <row r="844" customFormat="false" ht="15" hidden="false" customHeight="false" outlineLevel="0" collapsed="false">
      <c r="A844" s="31" t="n">
        <v>46248</v>
      </c>
      <c r="B844" s="32" t="s">
        <v>103</v>
      </c>
      <c r="C844" s="32" t="s">
        <v>87</v>
      </c>
      <c r="D844" s="33" t="s">
        <v>88</v>
      </c>
      <c r="E844" s="34" t="n">
        <v>3.5</v>
      </c>
      <c r="F844" s="32"/>
      <c r="G844" s="35" t="n">
        <f aca="false">IF(A844="","",A844+7-WEEKDAY(A844))</f>
        <v>46249</v>
      </c>
      <c r="H844" s="36" t="n">
        <f aca="false">IF(A844="","",DATE(YEAR(A844),MONTH(A844),1))</f>
        <v>46235</v>
      </c>
      <c r="I844" s="37" t="str">
        <f aca="false">IF(B844="","",IFERROR(INDEX(st_ID,MATCH(B844,st_Name,0)),"Unknown"))</f>
        <v>QP-05</v>
      </c>
      <c r="J844" s="37" t="str">
        <f aca="false">IF(C844="","",IFERROR(INDEX(cl_Code,MATCH(C844,cl_Name,0)),"Unknown"))</f>
        <v>HCS</v>
      </c>
      <c r="K844" s="37" t="str">
        <f aca="false">IF(D844="","",IFERROR(INDEX(rt_Billable,MATCH(D844,rt_Code,0)),"Unknown"))</f>
        <v>Yes</v>
      </c>
      <c r="L844" s="38" t="n">
        <f aca="false">IF(K844&lt;&gt;"Yes","",IFERROR(INDEX(cr_Rate,MATCH(J844&amp;"|"&amp;D844,cr_Key,0)),INDEX(rt_Rate,MATCH(D844,rt_Code,0))))</f>
        <v>98</v>
      </c>
      <c r="M844" s="25" t="n">
        <f aca="false">IF(L844="","",ROUND(N(E844)*L844,2))</f>
        <v>343</v>
      </c>
      <c r="N844" s="39" t="n">
        <f aca="false">IF(OR(A844="",B844=""),"",SUMIFS(tl_Hours,tl_StaffID,I844,tl_Date,A844))</f>
        <v>8</v>
      </c>
      <c r="O844" s="40" t="str">
        <f aca="false">IF(A844&amp;B844&amp;D844="","",IF(OR(A844="",B844="",D844="",E844=""),"Incomplete",IF(K844="Unknown","Unknown code",IF(AND(K844="Yes",C844=""),"Billable, needs client",IF(N844&gt;MaxDayHours,"Over "&amp;MaxDayHours&amp;" hours that day","")))))</f>
        <v/>
      </c>
    </row>
    <row r="845" customFormat="false" ht="15" hidden="false" customHeight="false" outlineLevel="0" collapsed="false">
      <c r="A845" s="31" t="n">
        <v>46248</v>
      </c>
      <c r="B845" s="32" t="s">
        <v>103</v>
      </c>
      <c r="C845" s="32" t="s">
        <v>87</v>
      </c>
      <c r="D845" s="33" t="s">
        <v>89</v>
      </c>
      <c r="E845" s="34" t="n">
        <v>2</v>
      </c>
      <c r="F845" s="32"/>
      <c r="G845" s="35" t="n">
        <f aca="false">IF(A845="","",A845+7-WEEKDAY(A845))</f>
        <v>46249</v>
      </c>
      <c r="H845" s="36" t="n">
        <f aca="false">IF(A845="","",DATE(YEAR(A845),MONTH(A845),1))</f>
        <v>46235</v>
      </c>
      <c r="I845" s="37" t="str">
        <f aca="false">IF(B845="","",IFERROR(INDEX(st_ID,MATCH(B845,st_Name,0)),"Unknown"))</f>
        <v>QP-05</v>
      </c>
      <c r="J845" s="37" t="str">
        <f aca="false">IF(C845="","",IFERROR(INDEX(cl_Code,MATCH(C845,cl_Name,0)),"Unknown"))</f>
        <v>HCS</v>
      </c>
      <c r="K845" s="37" t="str">
        <f aca="false">IF(D845="","",IFERROR(INDEX(rt_Billable,MATCH(D845,rt_Code,0)),"Unknown"))</f>
        <v>Yes</v>
      </c>
      <c r="L845" s="38" t="n">
        <f aca="false">IF(K845&lt;&gt;"Yes","",IFERROR(INDEX(cr_Rate,MATCH(J845&amp;"|"&amp;D845,cr_Key,0)),INDEX(rt_Rate,MATCH(D845,rt_Code,0))))</f>
        <v>88</v>
      </c>
      <c r="M845" s="25" t="n">
        <f aca="false">IF(L845="","",ROUND(N(E845)*L845,2))</f>
        <v>176</v>
      </c>
      <c r="N845" s="39" t="n">
        <f aca="false">IF(OR(A845="",B845=""),"",SUMIFS(tl_Hours,tl_StaffID,I845,tl_Date,A845))</f>
        <v>8</v>
      </c>
      <c r="O845" s="40" t="str">
        <f aca="false">IF(A845&amp;B845&amp;D845="","",IF(OR(A845="",B845="",D845="",E845=""),"Incomplete",IF(K845="Unknown","Unknown code",IF(AND(K845="Yes",C845=""),"Billable, needs client",IF(N845&gt;MaxDayHours,"Over "&amp;MaxDayHours&amp;" hours that day","")))))</f>
        <v/>
      </c>
    </row>
    <row r="846" customFormat="false" ht="15" hidden="false" customHeight="false" outlineLevel="0" collapsed="false">
      <c r="A846" s="31" t="n">
        <v>46248</v>
      </c>
      <c r="B846" s="32" t="s">
        <v>103</v>
      </c>
      <c r="C846" s="32"/>
      <c r="D846" s="33" t="s">
        <v>94</v>
      </c>
      <c r="E846" s="34" t="n">
        <v>1.5</v>
      </c>
      <c r="F846" s="32" t="s">
        <v>95</v>
      </c>
      <c r="G846" s="35" t="n">
        <f aca="false">IF(A846="","",A846+7-WEEKDAY(A846))</f>
        <v>46249</v>
      </c>
      <c r="H846" s="36" t="n">
        <f aca="false">IF(A846="","",DATE(YEAR(A846),MONTH(A846),1))</f>
        <v>46235</v>
      </c>
      <c r="I846" s="37" t="str">
        <f aca="false">IF(B846="","",IFERROR(INDEX(st_ID,MATCH(B846,st_Name,0)),"Unknown"))</f>
        <v>QP-05</v>
      </c>
      <c r="J846" s="37" t="str">
        <f aca="false">IF(C846="","",IFERROR(INDEX(cl_Code,MATCH(C846,cl_Name,0)),"Unknown"))</f>
        <v/>
      </c>
      <c r="K846" s="37" t="str">
        <f aca="false">IF(D846="","",IFERROR(INDEX(rt_Billable,MATCH(D846,rt_Code,0)),"Unknown"))</f>
        <v>No</v>
      </c>
      <c r="L846" s="38" t="str">
        <f aca="false">IF(K846&lt;&gt;"Yes","",IFERROR(INDEX(cr_Rate,MATCH(J846&amp;"|"&amp;D846,cr_Key,0)),INDEX(rt_Rate,MATCH(D846,rt_Code,0))))</f>
        <v/>
      </c>
      <c r="M846" s="25" t="str">
        <f aca="false">IF(L846="","",ROUND(N(E846)*L846,2))</f>
        <v/>
      </c>
      <c r="N846" s="39" t="n">
        <f aca="false">IF(OR(A846="",B846=""),"",SUMIFS(tl_Hours,tl_StaffID,I846,tl_Date,A846))</f>
        <v>8</v>
      </c>
      <c r="O846" s="40" t="str">
        <f aca="false">IF(A846&amp;B846&amp;D846="","",IF(OR(A846="",B846="",D846="",E846=""),"Incomplete",IF(K846="Unknown","Unknown code",IF(AND(K846="Yes",C846=""),"Billable, needs client",IF(N846&gt;MaxDayHours,"Over "&amp;MaxDayHours&amp;" hours that day","")))))</f>
        <v/>
      </c>
    </row>
    <row r="847" customFormat="false" ht="15" hidden="false" customHeight="false" outlineLevel="0" collapsed="false">
      <c r="A847" s="31" t="n">
        <v>46248</v>
      </c>
      <c r="B847" s="32" t="s">
        <v>103</v>
      </c>
      <c r="C847" s="32"/>
      <c r="D847" s="33" t="s">
        <v>96</v>
      </c>
      <c r="E847" s="34" t="n">
        <v>1</v>
      </c>
      <c r="F847" s="32"/>
      <c r="G847" s="35" t="n">
        <f aca="false">IF(A847="","",A847+7-WEEKDAY(A847))</f>
        <v>46249</v>
      </c>
      <c r="H847" s="36" t="n">
        <f aca="false">IF(A847="","",DATE(YEAR(A847),MONTH(A847),1))</f>
        <v>46235</v>
      </c>
      <c r="I847" s="37" t="str">
        <f aca="false">IF(B847="","",IFERROR(INDEX(st_ID,MATCH(B847,st_Name,0)),"Unknown"))</f>
        <v>QP-05</v>
      </c>
      <c r="J847" s="37" t="str">
        <f aca="false">IF(C847="","",IFERROR(INDEX(cl_Code,MATCH(C847,cl_Name,0)),"Unknown"))</f>
        <v/>
      </c>
      <c r="K847" s="37" t="str">
        <f aca="false">IF(D847="","",IFERROR(INDEX(rt_Billable,MATCH(D847,rt_Code,0)),"Unknown"))</f>
        <v>No</v>
      </c>
      <c r="L847" s="38" t="str">
        <f aca="false">IF(K847&lt;&gt;"Yes","",IFERROR(INDEX(cr_Rate,MATCH(J847&amp;"|"&amp;D847,cr_Key,0)),INDEX(rt_Rate,MATCH(D847,rt_Code,0))))</f>
        <v/>
      </c>
      <c r="M847" s="25" t="str">
        <f aca="false">IF(L847="","",ROUND(N(E847)*L847,2))</f>
        <v/>
      </c>
      <c r="N847" s="39" t="n">
        <f aca="false">IF(OR(A847="",B847=""),"",SUMIFS(tl_Hours,tl_StaffID,I847,tl_Date,A847))</f>
        <v>8</v>
      </c>
      <c r="O847" s="40" t="str">
        <f aca="false">IF(A847&amp;B847&amp;D847="","",IF(OR(A847="",B847="",D847="",E847=""),"Incomplete",IF(K847="Unknown","Unknown code",IF(AND(K847="Yes",C847=""),"Billable, needs client",IF(N847&gt;MaxDayHours,"Over "&amp;MaxDayHours&amp;" hours that day","")))))</f>
        <v/>
      </c>
    </row>
    <row r="848" customFormat="false" ht="15" hidden="false" customHeight="false" outlineLevel="0" collapsed="false">
      <c r="A848" s="31" t="n">
        <v>46248</v>
      </c>
      <c r="B848" s="32" t="s">
        <v>105</v>
      </c>
      <c r="C848" s="32" t="s">
        <v>90</v>
      </c>
      <c r="D848" s="33" t="s">
        <v>88</v>
      </c>
      <c r="E848" s="34" t="n">
        <v>3.5</v>
      </c>
      <c r="F848" s="32"/>
      <c r="G848" s="35" t="n">
        <f aca="false">IF(A848="","",A848+7-WEEKDAY(A848))</f>
        <v>46249</v>
      </c>
      <c r="H848" s="36" t="n">
        <f aca="false">IF(A848="","",DATE(YEAR(A848),MONTH(A848),1))</f>
        <v>46235</v>
      </c>
      <c r="I848" s="37" t="str">
        <f aca="false">IF(B848="","",IFERROR(INDEX(st_ID,MATCH(B848,st_Name,0)),"Unknown"))</f>
        <v>QP-06</v>
      </c>
      <c r="J848" s="37" t="str">
        <f aca="false">IF(C848="","",IFERROR(INDEX(cl_Code,MATCH(C848,cl_Name,0)),"Unknown"))</f>
        <v>BSE</v>
      </c>
      <c r="K848" s="37" t="str">
        <f aca="false">IF(D848="","",IFERROR(INDEX(rt_Billable,MATCH(D848,rt_Code,0)),"Unknown"))</f>
        <v>Yes</v>
      </c>
      <c r="L848" s="38" t="n">
        <f aca="false">IF(K848&lt;&gt;"Yes","",IFERROR(INDEX(cr_Rate,MATCH(J848&amp;"|"&amp;D848,cr_Key,0)),INDEX(rt_Rate,MATCH(D848,rt_Code,0))))</f>
        <v>104</v>
      </c>
      <c r="M848" s="25" t="n">
        <f aca="false">IF(L848="","",ROUND(N(E848)*L848,2))</f>
        <v>364</v>
      </c>
      <c r="N848" s="39" t="n">
        <f aca="false">IF(OR(A848="",B848=""),"",SUMIFS(tl_Hours,tl_StaffID,I848,tl_Date,A848))</f>
        <v>8</v>
      </c>
      <c r="O848" s="40" t="str">
        <f aca="false">IF(A848&amp;B848&amp;D848="","",IF(OR(A848="",B848="",D848="",E848=""),"Incomplete",IF(K848="Unknown","Unknown code",IF(AND(K848="Yes",C848=""),"Billable, needs client",IF(N848&gt;MaxDayHours,"Over "&amp;MaxDayHours&amp;" hours that day","")))))</f>
        <v/>
      </c>
    </row>
    <row r="849" customFormat="false" ht="15" hidden="false" customHeight="false" outlineLevel="0" collapsed="false">
      <c r="A849" s="31" t="n">
        <v>46248</v>
      </c>
      <c r="B849" s="32" t="s">
        <v>105</v>
      </c>
      <c r="C849" s="32" t="s">
        <v>90</v>
      </c>
      <c r="D849" s="33" t="s">
        <v>89</v>
      </c>
      <c r="E849" s="34" t="n">
        <v>1.75</v>
      </c>
      <c r="F849" s="32"/>
      <c r="G849" s="35" t="n">
        <f aca="false">IF(A849="","",A849+7-WEEKDAY(A849))</f>
        <v>46249</v>
      </c>
      <c r="H849" s="36" t="n">
        <f aca="false">IF(A849="","",DATE(YEAR(A849),MONTH(A849),1))</f>
        <v>46235</v>
      </c>
      <c r="I849" s="37" t="str">
        <f aca="false">IF(B849="","",IFERROR(INDEX(st_ID,MATCH(B849,st_Name,0)),"Unknown"))</f>
        <v>QP-06</v>
      </c>
      <c r="J849" s="37" t="str">
        <f aca="false">IF(C849="","",IFERROR(INDEX(cl_Code,MATCH(C849,cl_Name,0)),"Unknown"))</f>
        <v>BSE</v>
      </c>
      <c r="K849" s="37" t="str">
        <f aca="false">IF(D849="","",IFERROR(INDEX(rt_Billable,MATCH(D849,rt_Code,0)),"Unknown"))</f>
        <v>Yes</v>
      </c>
      <c r="L849" s="38" t="n">
        <f aca="false">IF(K849&lt;&gt;"Yes","",IFERROR(INDEX(cr_Rate,MATCH(J849&amp;"|"&amp;D849,cr_Key,0)),INDEX(rt_Rate,MATCH(D849,rt_Code,0))))</f>
        <v>95</v>
      </c>
      <c r="M849" s="25" t="n">
        <f aca="false">IF(L849="","",ROUND(N(E849)*L849,2))</f>
        <v>166.25</v>
      </c>
      <c r="N849" s="39" t="n">
        <f aca="false">IF(OR(A849="",B849=""),"",SUMIFS(tl_Hours,tl_StaffID,I849,tl_Date,A849))</f>
        <v>8</v>
      </c>
      <c r="O849" s="40" t="str">
        <f aca="false">IF(A849&amp;B849&amp;D849="","",IF(OR(A849="",B849="",D849="",E849=""),"Incomplete",IF(K849="Unknown","Unknown code",IF(AND(K849="Yes",C849=""),"Billable, needs client",IF(N849&gt;MaxDayHours,"Over "&amp;MaxDayHours&amp;" hours that day","")))))</f>
        <v/>
      </c>
    </row>
    <row r="850" customFormat="false" ht="15" hidden="false" customHeight="false" outlineLevel="0" collapsed="false">
      <c r="A850" s="31" t="n">
        <v>46248</v>
      </c>
      <c r="B850" s="32" t="s">
        <v>105</v>
      </c>
      <c r="C850" s="32"/>
      <c r="D850" s="33" t="s">
        <v>96</v>
      </c>
      <c r="E850" s="34" t="n">
        <v>2.75</v>
      </c>
      <c r="F850" s="32"/>
      <c r="G850" s="35" t="n">
        <f aca="false">IF(A850="","",A850+7-WEEKDAY(A850))</f>
        <v>46249</v>
      </c>
      <c r="H850" s="36" t="n">
        <f aca="false">IF(A850="","",DATE(YEAR(A850),MONTH(A850),1))</f>
        <v>46235</v>
      </c>
      <c r="I850" s="37" t="str">
        <f aca="false">IF(B850="","",IFERROR(INDEX(st_ID,MATCH(B850,st_Name,0)),"Unknown"))</f>
        <v>QP-06</v>
      </c>
      <c r="J850" s="37" t="str">
        <f aca="false">IF(C850="","",IFERROR(INDEX(cl_Code,MATCH(C850,cl_Name,0)),"Unknown"))</f>
        <v/>
      </c>
      <c r="K850" s="37" t="str">
        <f aca="false">IF(D850="","",IFERROR(INDEX(rt_Billable,MATCH(D850,rt_Code,0)),"Unknown"))</f>
        <v>No</v>
      </c>
      <c r="L850" s="38" t="str">
        <f aca="false">IF(K850&lt;&gt;"Yes","",IFERROR(INDEX(cr_Rate,MATCH(J850&amp;"|"&amp;D850,cr_Key,0)),INDEX(rt_Rate,MATCH(D850,rt_Code,0))))</f>
        <v/>
      </c>
      <c r="M850" s="25" t="str">
        <f aca="false">IF(L850="","",ROUND(N(E850)*L850,2))</f>
        <v/>
      </c>
      <c r="N850" s="39" t="n">
        <f aca="false">IF(OR(A850="",B850=""),"",SUMIFS(tl_Hours,tl_StaffID,I850,tl_Date,A850))</f>
        <v>8</v>
      </c>
      <c r="O850" s="40" t="str">
        <f aca="false">IF(A850&amp;B850&amp;D850="","",IF(OR(A850="",B850="",D850="",E850=""),"Incomplete",IF(K850="Unknown","Unknown code",IF(AND(K850="Yes",C850=""),"Billable, needs client",IF(N850&gt;MaxDayHours,"Over "&amp;MaxDayHours&amp;" hours that day","")))))</f>
        <v/>
      </c>
    </row>
    <row r="851" customFormat="false" ht="15" hidden="false" customHeight="false" outlineLevel="0" collapsed="false">
      <c r="A851" s="31" t="n">
        <v>46248</v>
      </c>
      <c r="B851" s="32" t="s">
        <v>106</v>
      </c>
      <c r="C851" s="32" t="s">
        <v>112</v>
      </c>
      <c r="D851" s="33" t="s">
        <v>88</v>
      </c>
      <c r="E851" s="34" t="n">
        <v>3.25</v>
      </c>
      <c r="F851" s="32"/>
      <c r="G851" s="35" t="n">
        <f aca="false">IF(A851="","",A851+7-WEEKDAY(A851))</f>
        <v>46249</v>
      </c>
      <c r="H851" s="36" t="n">
        <f aca="false">IF(A851="","",DATE(YEAR(A851),MONTH(A851),1))</f>
        <v>46235</v>
      </c>
      <c r="I851" s="37" t="str">
        <f aca="false">IF(B851="","",IFERROR(INDEX(st_ID,MATCH(B851,st_Name,0)),"Unknown"))</f>
        <v>QP-07</v>
      </c>
      <c r="J851" s="37" t="str">
        <f aca="false">IF(C851="","",IFERROR(INDEX(cl_Code,MATCH(C851,cl_Name,0)),"Unknown"))</f>
        <v>PCA</v>
      </c>
      <c r="K851" s="37" t="str">
        <f aca="false">IF(D851="","",IFERROR(INDEX(rt_Billable,MATCH(D851,rt_Code,0)),"Unknown"))</f>
        <v>Yes</v>
      </c>
      <c r="L851" s="38" t="n">
        <f aca="false">IF(K851&lt;&gt;"Yes","",IFERROR(INDEX(cr_Rate,MATCH(J851&amp;"|"&amp;D851,cr_Key,0)),INDEX(rt_Rate,MATCH(D851,rt_Code,0))))</f>
        <v>110</v>
      </c>
      <c r="M851" s="25" t="n">
        <f aca="false">IF(L851="","",ROUND(N(E851)*L851,2))</f>
        <v>357.5</v>
      </c>
      <c r="N851" s="39" t="n">
        <f aca="false">IF(OR(A851="",B851=""),"",SUMIFS(tl_Hours,tl_StaffID,I851,tl_Date,A851))</f>
        <v>8</v>
      </c>
      <c r="O851" s="40" t="str">
        <f aca="false">IF(A851&amp;B851&amp;D851="","",IF(OR(A851="",B851="",D851="",E851=""),"Incomplete",IF(K851="Unknown","Unknown code",IF(AND(K851="Yes",C851=""),"Billable, needs client",IF(N851&gt;MaxDayHours,"Over "&amp;MaxDayHours&amp;" hours that day","")))))</f>
        <v/>
      </c>
    </row>
    <row r="852" customFormat="false" ht="15" hidden="false" customHeight="false" outlineLevel="0" collapsed="false">
      <c r="A852" s="31" t="n">
        <v>46248</v>
      </c>
      <c r="B852" s="32" t="s">
        <v>106</v>
      </c>
      <c r="C852" s="32" t="s">
        <v>112</v>
      </c>
      <c r="D852" s="33" t="s">
        <v>89</v>
      </c>
      <c r="E852" s="34" t="n">
        <v>2.25</v>
      </c>
      <c r="F852" s="32"/>
      <c r="G852" s="35" t="n">
        <f aca="false">IF(A852="","",A852+7-WEEKDAY(A852))</f>
        <v>46249</v>
      </c>
      <c r="H852" s="36" t="n">
        <f aca="false">IF(A852="","",DATE(YEAR(A852),MONTH(A852),1))</f>
        <v>46235</v>
      </c>
      <c r="I852" s="37" t="str">
        <f aca="false">IF(B852="","",IFERROR(INDEX(st_ID,MATCH(B852,st_Name,0)),"Unknown"))</f>
        <v>QP-07</v>
      </c>
      <c r="J852" s="37" t="str">
        <f aca="false">IF(C852="","",IFERROR(INDEX(cl_Code,MATCH(C852,cl_Name,0)),"Unknown"))</f>
        <v>PCA</v>
      </c>
      <c r="K852" s="37" t="str">
        <f aca="false">IF(D852="","",IFERROR(INDEX(rt_Billable,MATCH(D852,rt_Code,0)),"Unknown"))</f>
        <v>Yes</v>
      </c>
      <c r="L852" s="38" t="n">
        <f aca="false">IF(K852&lt;&gt;"Yes","",IFERROR(INDEX(cr_Rate,MATCH(J852&amp;"|"&amp;D852,cr_Key,0)),INDEX(rt_Rate,MATCH(D852,rt_Code,0))))</f>
        <v>95</v>
      </c>
      <c r="M852" s="25" t="n">
        <f aca="false">IF(L852="","",ROUND(N(E852)*L852,2))</f>
        <v>213.75</v>
      </c>
      <c r="N852" s="39" t="n">
        <f aca="false">IF(OR(A852="",B852=""),"",SUMIFS(tl_Hours,tl_StaffID,I852,tl_Date,A852))</f>
        <v>8</v>
      </c>
      <c r="O852" s="40" t="str">
        <f aca="false">IF(A852&amp;B852&amp;D852="","",IF(OR(A852="",B852="",D852="",E852=""),"Incomplete",IF(K852="Unknown","Unknown code",IF(AND(K852="Yes",C852=""),"Billable, needs client",IF(N852&gt;MaxDayHours,"Over "&amp;MaxDayHours&amp;" hours that day","")))))</f>
        <v/>
      </c>
    </row>
    <row r="853" customFormat="false" ht="15" hidden="false" customHeight="false" outlineLevel="0" collapsed="false">
      <c r="A853" s="31" t="n">
        <v>46248</v>
      </c>
      <c r="B853" s="32" t="s">
        <v>106</v>
      </c>
      <c r="C853" s="32"/>
      <c r="D853" s="33" t="s">
        <v>96</v>
      </c>
      <c r="E853" s="34" t="n">
        <v>2.5</v>
      </c>
      <c r="F853" s="32"/>
      <c r="G853" s="35" t="n">
        <f aca="false">IF(A853="","",A853+7-WEEKDAY(A853))</f>
        <v>46249</v>
      </c>
      <c r="H853" s="36" t="n">
        <f aca="false">IF(A853="","",DATE(YEAR(A853),MONTH(A853),1))</f>
        <v>46235</v>
      </c>
      <c r="I853" s="37" t="str">
        <f aca="false">IF(B853="","",IFERROR(INDEX(st_ID,MATCH(B853,st_Name,0)),"Unknown"))</f>
        <v>QP-07</v>
      </c>
      <c r="J853" s="37" t="str">
        <f aca="false">IF(C853="","",IFERROR(INDEX(cl_Code,MATCH(C853,cl_Name,0)),"Unknown"))</f>
        <v/>
      </c>
      <c r="K853" s="37" t="str">
        <f aca="false">IF(D853="","",IFERROR(INDEX(rt_Billable,MATCH(D853,rt_Code,0)),"Unknown"))</f>
        <v>No</v>
      </c>
      <c r="L853" s="38" t="str">
        <f aca="false">IF(K853&lt;&gt;"Yes","",IFERROR(INDEX(cr_Rate,MATCH(J853&amp;"|"&amp;D853,cr_Key,0)),INDEX(rt_Rate,MATCH(D853,rt_Code,0))))</f>
        <v/>
      </c>
      <c r="M853" s="25" t="str">
        <f aca="false">IF(L853="","",ROUND(N(E853)*L853,2))</f>
        <v/>
      </c>
      <c r="N853" s="39" t="n">
        <f aca="false">IF(OR(A853="",B853=""),"",SUMIFS(tl_Hours,tl_StaffID,I853,tl_Date,A853))</f>
        <v>8</v>
      </c>
      <c r="O853" s="40" t="str">
        <f aca="false">IF(A853&amp;B853&amp;D853="","",IF(OR(A853="",B853="",D853="",E853=""),"Incomplete",IF(K853="Unknown","Unknown code",IF(AND(K853="Yes",C853=""),"Billable, needs client",IF(N853&gt;MaxDayHours,"Over "&amp;MaxDayHours&amp;" hours that day","")))))</f>
        <v/>
      </c>
    </row>
    <row r="854" customFormat="false" ht="15" hidden="false" customHeight="false" outlineLevel="0" collapsed="false">
      <c r="A854" s="31" t="n">
        <v>46248</v>
      </c>
      <c r="B854" s="32" t="s">
        <v>107</v>
      </c>
      <c r="C854" s="32"/>
      <c r="D854" s="33" t="s">
        <v>108</v>
      </c>
      <c r="E854" s="34" t="n">
        <v>6</v>
      </c>
      <c r="F854" s="32"/>
      <c r="G854" s="35" t="n">
        <f aca="false">IF(A854="","",A854+7-WEEKDAY(A854))</f>
        <v>46249</v>
      </c>
      <c r="H854" s="36" t="n">
        <f aca="false">IF(A854="","",DATE(YEAR(A854),MONTH(A854),1))</f>
        <v>46235</v>
      </c>
      <c r="I854" s="37" t="str">
        <f aca="false">IF(B854="","",IFERROR(INDEX(st_ID,MATCH(B854,st_Name,0)),"Unknown"))</f>
        <v>QP-08</v>
      </c>
      <c r="J854" s="37" t="str">
        <f aca="false">IF(C854="","",IFERROR(INDEX(cl_Code,MATCH(C854,cl_Name,0)),"Unknown"))</f>
        <v/>
      </c>
      <c r="K854" s="37" t="str">
        <f aca="false">IF(D854="","",IFERROR(INDEX(rt_Billable,MATCH(D854,rt_Code,0)),"Unknown"))</f>
        <v>No</v>
      </c>
      <c r="L854" s="38" t="str">
        <f aca="false">IF(K854&lt;&gt;"Yes","",IFERROR(INDEX(cr_Rate,MATCH(J854&amp;"|"&amp;D854,cr_Key,0)),INDEX(rt_Rate,MATCH(D854,rt_Code,0))))</f>
        <v/>
      </c>
      <c r="M854" s="25" t="str">
        <f aca="false">IF(L854="","",ROUND(N(E854)*L854,2))</f>
        <v/>
      </c>
      <c r="N854" s="39" t="n">
        <f aca="false">IF(OR(A854="",B854=""),"",SUMIFS(tl_Hours,tl_StaffID,I854,tl_Date,A854))</f>
        <v>8</v>
      </c>
      <c r="O854" s="40" t="str">
        <f aca="false">IF(A854&amp;B854&amp;D854="","",IF(OR(A854="",B854="",D854="",E854=""),"Incomplete",IF(K854="Unknown","Unknown code",IF(AND(K854="Yes",C854=""),"Billable, needs client",IF(N854&gt;MaxDayHours,"Over "&amp;MaxDayHours&amp;" hours that day","")))))</f>
        <v/>
      </c>
    </row>
    <row r="855" customFormat="false" ht="15" hidden="false" customHeight="false" outlineLevel="0" collapsed="false">
      <c r="A855" s="31" t="n">
        <v>46248</v>
      </c>
      <c r="B855" s="32" t="s">
        <v>107</v>
      </c>
      <c r="C855" s="32"/>
      <c r="D855" s="33" t="s">
        <v>98</v>
      </c>
      <c r="E855" s="34" t="n">
        <v>2</v>
      </c>
      <c r="F855" s="32"/>
      <c r="G855" s="35" t="n">
        <f aca="false">IF(A855="","",A855+7-WEEKDAY(A855))</f>
        <v>46249</v>
      </c>
      <c r="H855" s="36" t="n">
        <f aca="false">IF(A855="","",DATE(YEAR(A855),MONTH(A855),1))</f>
        <v>46235</v>
      </c>
      <c r="I855" s="37" t="str">
        <f aca="false">IF(B855="","",IFERROR(INDEX(st_ID,MATCH(B855,st_Name,0)),"Unknown"))</f>
        <v>QP-08</v>
      </c>
      <c r="J855" s="37" t="str">
        <f aca="false">IF(C855="","",IFERROR(INDEX(cl_Code,MATCH(C855,cl_Name,0)),"Unknown"))</f>
        <v/>
      </c>
      <c r="K855" s="37" t="str">
        <f aca="false">IF(D855="","",IFERROR(INDEX(rt_Billable,MATCH(D855,rt_Code,0)),"Unknown"))</f>
        <v>No</v>
      </c>
      <c r="L855" s="38" t="str">
        <f aca="false">IF(K855&lt;&gt;"Yes","",IFERROR(INDEX(cr_Rate,MATCH(J855&amp;"|"&amp;D855,cr_Key,0)),INDEX(rt_Rate,MATCH(D855,rt_Code,0))))</f>
        <v/>
      </c>
      <c r="M855" s="25" t="str">
        <f aca="false">IF(L855="","",ROUND(N(E855)*L855,2))</f>
        <v/>
      </c>
      <c r="N855" s="39" t="n">
        <f aca="false">IF(OR(A855="",B855=""),"",SUMIFS(tl_Hours,tl_StaffID,I855,tl_Date,A855))</f>
        <v>8</v>
      </c>
      <c r="O855" s="40" t="str">
        <f aca="false">IF(A855&amp;B855&amp;D855="","",IF(OR(A855="",B855="",D855="",E855=""),"Incomplete",IF(K855="Unknown","Unknown code",IF(AND(K855="Yes",C855=""),"Billable, needs client",IF(N855&gt;MaxDayHours,"Over "&amp;MaxDayHours&amp;" hours that day","")))))</f>
        <v/>
      </c>
    </row>
    <row r="856" customFormat="false" ht="15" hidden="false" customHeight="false" outlineLevel="0" collapsed="false">
      <c r="A856" s="31" t="n">
        <v>46251</v>
      </c>
      <c r="B856" s="32" t="s">
        <v>86</v>
      </c>
      <c r="C856" s="32" t="s">
        <v>112</v>
      </c>
      <c r="D856" s="33" t="s">
        <v>104</v>
      </c>
      <c r="E856" s="34" t="n">
        <v>4.25</v>
      </c>
      <c r="F856" s="32"/>
      <c r="G856" s="35" t="n">
        <f aca="false">IF(A856="","",A856+7-WEEKDAY(A856))</f>
        <v>46256</v>
      </c>
      <c r="H856" s="36" t="n">
        <f aca="false">IF(A856="","",DATE(YEAR(A856),MONTH(A856),1))</f>
        <v>46235</v>
      </c>
      <c r="I856" s="37" t="str">
        <f aca="false">IF(B856="","",IFERROR(INDEX(st_ID,MATCH(B856,st_Name,0)),"Unknown"))</f>
        <v>QP-01</v>
      </c>
      <c r="J856" s="37" t="str">
        <f aca="false">IF(C856="","",IFERROR(INDEX(cl_Code,MATCH(C856,cl_Name,0)),"Unknown"))</f>
        <v>PCA</v>
      </c>
      <c r="K856" s="37" t="str">
        <f aca="false">IF(D856="","",IFERROR(INDEX(rt_Billable,MATCH(D856,rt_Code,0)),"Unknown"))</f>
        <v>Yes</v>
      </c>
      <c r="L856" s="38" t="n">
        <f aca="false">IF(K856&lt;&gt;"Yes","",IFERROR(INDEX(cr_Rate,MATCH(J856&amp;"|"&amp;D856,cr_Key,0)),INDEX(rt_Rate,MATCH(D856,rt_Code,0))))</f>
        <v>70</v>
      </c>
      <c r="M856" s="25" t="n">
        <f aca="false">IF(L856="","",ROUND(N(E856)*L856,2))</f>
        <v>297.5</v>
      </c>
      <c r="N856" s="39" t="n">
        <f aca="false">IF(OR(A856="",B856=""),"",SUMIFS(tl_Hours,tl_StaffID,I856,tl_Date,A856))</f>
        <v>8</v>
      </c>
      <c r="O856" s="40" t="str">
        <f aca="false">IF(A856&amp;B856&amp;D856="","",IF(OR(A856="",B856="",D856="",E856=""),"Incomplete",IF(K856="Unknown","Unknown code",IF(AND(K856="Yes",C856=""),"Billable, needs client",IF(N856&gt;MaxDayHours,"Over "&amp;MaxDayHours&amp;" hours that day","")))))</f>
        <v/>
      </c>
    </row>
    <row r="857" customFormat="false" ht="15" hidden="false" customHeight="false" outlineLevel="0" collapsed="false">
      <c r="A857" s="31" t="n">
        <v>46251</v>
      </c>
      <c r="B857" s="32" t="s">
        <v>86</v>
      </c>
      <c r="C857" s="32" t="s">
        <v>112</v>
      </c>
      <c r="D857" s="33" t="s">
        <v>89</v>
      </c>
      <c r="E857" s="34" t="n">
        <v>1.75</v>
      </c>
      <c r="F857" s="32"/>
      <c r="G857" s="35" t="n">
        <f aca="false">IF(A857="","",A857+7-WEEKDAY(A857))</f>
        <v>46256</v>
      </c>
      <c r="H857" s="36" t="n">
        <f aca="false">IF(A857="","",DATE(YEAR(A857),MONTH(A857),1))</f>
        <v>46235</v>
      </c>
      <c r="I857" s="37" t="str">
        <f aca="false">IF(B857="","",IFERROR(INDEX(st_ID,MATCH(B857,st_Name,0)),"Unknown"))</f>
        <v>QP-01</v>
      </c>
      <c r="J857" s="37" t="str">
        <f aca="false">IF(C857="","",IFERROR(INDEX(cl_Code,MATCH(C857,cl_Name,0)),"Unknown"))</f>
        <v>PCA</v>
      </c>
      <c r="K857" s="37" t="str">
        <f aca="false">IF(D857="","",IFERROR(INDEX(rt_Billable,MATCH(D857,rt_Code,0)),"Unknown"))</f>
        <v>Yes</v>
      </c>
      <c r="L857" s="38" t="n">
        <f aca="false">IF(K857&lt;&gt;"Yes","",IFERROR(INDEX(cr_Rate,MATCH(J857&amp;"|"&amp;D857,cr_Key,0)),INDEX(rt_Rate,MATCH(D857,rt_Code,0))))</f>
        <v>95</v>
      </c>
      <c r="M857" s="25" t="n">
        <f aca="false">IF(L857="","",ROUND(N(E857)*L857,2))</f>
        <v>166.25</v>
      </c>
      <c r="N857" s="39" t="n">
        <f aca="false">IF(OR(A857="",B857=""),"",SUMIFS(tl_Hours,tl_StaffID,I857,tl_Date,A857))</f>
        <v>8</v>
      </c>
      <c r="O857" s="40" t="str">
        <f aca="false">IF(A857&amp;B857&amp;D857="","",IF(OR(A857="",B857="",D857="",E857=""),"Incomplete",IF(K857="Unknown","Unknown code",IF(AND(K857="Yes",C857=""),"Billable, needs client",IF(N857&gt;MaxDayHours,"Over "&amp;MaxDayHours&amp;" hours that day","")))))</f>
        <v/>
      </c>
    </row>
    <row r="858" customFormat="false" ht="15" hidden="false" customHeight="false" outlineLevel="0" collapsed="false">
      <c r="A858" s="31" t="n">
        <v>46251</v>
      </c>
      <c r="B858" s="32" t="s">
        <v>86</v>
      </c>
      <c r="C858" s="32"/>
      <c r="D858" s="33" t="s">
        <v>96</v>
      </c>
      <c r="E858" s="34" t="n">
        <v>2</v>
      </c>
      <c r="F858" s="32"/>
      <c r="G858" s="35" t="n">
        <f aca="false">IF(A858="","",A858+7-WEEKDAY(A858))</f>
        <v>46256</v>
      </c>
      <c r="H858" s="36" t="n">
        <f aca="false">IF(A858="","",DATE(YEAR(A858),MONTH(A858),1))</f>
        <v>46235</v>
      </c>
      <c r="I858" s="37" t="str">
        <f aca="false">IF(B858="","",IFERROR(INDEX(st_ID,MATCH(B858,st_Name,0)),"Unknown"))</f>
        <v>QP-01</v>
      </c>
      <c r="J858" s="37" t="str">
        <f aca="false">IF(C858="","",IFERROR(INDEX(cl_Code,MATCH(C858,cl_Name,0)),"Unknown"))</f>
        <v/>
      </c>
      <c r="K858" s="37" t="str">
        <f aca="false">IF(D858="","",IFERROR(INDEX(rt_Billable,MATCH(D858,rt_Code,0)),"Unknown"))</f>
        <v>No</v>
      </c>
      <c r="L858" s="38" t="str">
        <f aca="false">IF(K858&lt;&gt;"Yes","",IFERROR(INDEX(cr_Rate,MATCH(J858&amp;"|"&amp;D858,cr_Key,0)),INDEX(rt_Rate,MATCH(D858,rt_Code,0))))</f>
        <v/>
      </c>
      <c r="M858" s="25" t="str">
        <f aca="false">IF(L858="","",ROUND(N(E858)*L858,2))</f>
        <v/>
      </c>
      <c r="N858" s="39" t="n">
        <f aca="false">IF(OR(A858="",B858=""),"",SUMIFS(tl_Hours,tl_StaffID,I858,tl_Date,A858))</f>
        <v>8</v>
      </c>
      <c r="O858" s="40" t="str">
        <f aca="false">IF(A858&amp;B858&amp;D858="","",IF(OR(A858="",B858="",D858="",E858=""),"Incomplete",IF(K858="Unknown","Unknown code",IF(AND(K858="Yes",C858=""),"Billable, needs client",IF(N858&gt;MaxDayHours,"Over "&amp;MaxDayHours&amp;" hours that day","")))))</f>
        <v/>
      </c>
    </row>
    <row r="859" customFormat="false" ht="15" hidden="false" customHeight="false" outlineLevel="0" collapsed="false">
      <c r="A859" s="31" t="n">
        <v>46251</v>
      </c>
      <c r="B859" s="32" t="s">
        <v>101</v>
      </c>
      <c r="C859" s="32" t="s">
        <v>102</v>
      </c>
      <c r="D859" s="33" t="s">
        <v>104</v>
      </c>
      <c r="E859" s="34" t="n">
        <v>2.25</v>
      </c>
      <c r="F859" s="32"/>
      <c r="G859" s="35" t="n">
        <f aca="false">IF(A859="","",A859+7-WEEKDAY(A859))</f>
        <v>46256</v>
      </c>
      <c r="H859" s="36" t="n">
        <f aca="false">IF(A859="","",DATE(YEAR(A859),MONTH(A859),1))</f>
        <v>46235</v>
      </c>
      <c r="I859" s="37" t="str">
        <f aca="false">IF(B859="","",IFERROR(INDEX(st_ID,MATCH(B859,st_Name,0)),"Unknown"))</f>
        <v>QP-04</v>
      </c>
      <c r="J859" s="37" t="str">
        <f aca="false">IF(C859="","",IFERROR(INDEX(cl_Code,MATCH(C859,cl_Name,0)),"Unknown"))</f>
        <v>CLH</v>
      </c>
      <c r="K859" s="37" t="str">
        <f aca="false">IF(D859="","",IFERROR(INDEX(rt_Billable,MATCH(D859,rt_Code,0)),"Unknown"))</f>
        <v>Yes</v>
      </c>
      <c r="L859" s="38" t="n">
        <f aca="false">IF(K859&lt;&gt;"Yes","",IFERROR(INDEX(cr_Rate,MATCH(J859&amp;"|"&amp;D859,cr_Key,0)),INDEX(rt_Rate,MATCH(D859,rt_Code,0))))</f>
        <v>65</v>
      </c>
      <c r="M859" s="25" t="n">
        <f aca="false">IF(L859="","",ROUND(N(E859)*L859,2))</f>
        <v>146.25</v>
      </c>
      <c r="N859" s="39" t="n">
        <f aca="false">IF(OR(A859="",B859=""),"",SUMIFS(tl_Hours,tl_StaffID,I859,tl_Date,A859))</f>
        <v>8</v>
      </c>
      <c r="O859" s="40" t="str">
        <f aca="false">IF(A859&amp;B859&amp;D859="","",IF(OR(A859="",B859="",D859="",E859=""),"Incomplete",IF(K859="Unknown","Unknown code",IF(AND(K859="Yes",C859=""),"Billable, needs client",IF(N859&gt;MaxDayHours,"Over "&amp;MaxDayHours&amp;" hours that day","")))))</f>
        <v/>
      </c>
    </row>
    <row r="860" customFormat="false" ht="15" hidden="false" customHeight="false" outlineLevel="0" collapsed="false">
      <c r="A860" s="31" t="n">
        <v>46251</v>
      </c>
      <c r="B860" s="32" t="s">
        <v>101</v>
      </c>
      <c r="C860" s="32" t="s">
        <v>102</v>
      </c>
      <c r="D860" s="33" t="s">
        <v>88</v>
      </c>
      <c r="E860" s="34" t="n">
        <v>0.25</v>
      </c>
      <c r="F860" s="32"/>
      <c r="G860" s="35" t="n">
        <f aca="false">IF(A860="","",A860+7-WEEKDAY(A860))</f>
        <v>46256</v>
      </c>
      <c r="H860" s="36" t="n">
        <f aca="false">IF(A860="","",DATE(YEAR(A860),MONTH(A860),1))</f>
        <v>46235</v>
      </c>
      <c r="I860" s="37" t="str">
        <f aca="false">IF(B860="","",IFERROR(INDEX(st_ID,MATCH(B860,st_Name,0)),"Unknown"))</f>
        <v>QP-04</v>
      </c>
      <c r="J860" s="37" t="str">
        <f aca="false">IF(C860="","",IFERROR(INDEX(cl_Code,MATCH(C860,cl_Name,0)),"Unknown"))</f>
        <v>CLH</v>
      </c>
      <c r="K860" s="37" t="str">
        <f aca="false">IF(D860="","",IFERROR(INDEX(rt_Billable,MATCH(D860,rt_Code,0)),"Unknown"))</f>
        <v>Yes</v>
      </c>
      <c r="L860" s="38" t="n">
        <f aca="false">IF(K860&lt;&gt;"Yes","",IFERROR(INDEX(cr_Rate,MATCH(J860&amp;"|"&amp;D860,cr_Key,0)),INDEX(rt_Rate,MATCH(D860,rt_Code,0))))</f>
        <v>110</v>
      </c>
      <c r="M860" s="25" t="n">
        <f aca="false">IF(L860="","",ROUND(N(E860)*L860,2))</f>
        <v>27.5</v>
      </c>
      <c r="N860" s="39" t="n">
        <f aca="false">IF(OR(A860="",B860=""),"",SUMIFS(tl_Hours,tl_StaffID,I860,tl_Date,A860))</f>
        <v>8</v>
      </c>
      <c r="O860" s="40" t="str">
        <f aca="false">IF(A860&amp;B860&amp;D860="","",IF(OR(A860="",B860="",D860="",E860=""),"Incomplete",IF(K860="Unknown","Unknown code",IF(AND(K860="Yes",C860=""),"Billable, needs client",IF(N860&gt;MaxDayHours,"Over "&amp;MaxDayHours&amp;" hours that day","")))))</f>
        <v/>
      </c>
    </row>
    <row r="861" customFormat="false" ht="15" hidden="false" customHeight="false" outlineLevel="0" collapsed="false">
      <c r="A861" s="31" t="n">
        <v>46251</v>
      </c>
      <c r="B861" s="32" t="s">
        <v>101</v>
      </c>
      <c r="C861" s="32" t="s">
        <v>87</v>
      </c>
      <c r="D861" s="33" t="s">
        <v>88</v>
      </c>
      <c r="E861" s="34" t="n">
        <v>2.25</v>
      </c>
      <c r="F861" s="32"/>
      <c r="G861" s="35" t="n">
        <f aca="false">IF(A861="","",A861+7-WEEKDAY(A861))</f>
        <v>46256</v>
      </c>
      <c r="H861" s="36" t="n">
        <f aca="false">IF(A861="","",DATE(YEAR(A861),MONTH(A861),1))</f>
        <v>46235</v>
      </c>
      <c r="I861" s="37" t="str">
        <f aca="false">IF(B861="","",IFERROR(INDEX(st_ID,MATCH(B861,st_Name,0)),"Unknown"))</f>
        <v>QP-04</v>
      </c>
      <c r="J861" s="37" t="str">
        <f aca="false">IF(C861="","",IFERROR(INDEX(cl_Code,MATCH(C861,cl_Name,0)),"Unknown"))</f>
        <v>HCS</v>
      </c>
      <c r="K861" s="37" t="str">
        <f aca="false">IF(D861="","",IFERROR(INDEX(rt_Billable,MATCH(D861,rt_Code,0)),"Unknown"))</f>
        <v>Yes</v>
      </c>
      <c r="L861" s="38" t="n">
        <f aca="false">IF(K861&lt;&gt;"Yes","",IFERROR(INDEX(cr_Rate,MATCH(J861&amp;"|"&amp;D861,cr_Key,0)),INDEX(rt_Rate,MATCH(D861,rt_Code,0))))</f>
        <v>98</v>
      </c>
      <c r="M861" s="25" t="n">
        <f aca="false">IF(L861="","",ROUND(N(E861)*L861,2))</f>
        <v>220.5</v>
      </c>
      <c r="N861" s="39" t="n">
        <f aca="false">IF(OR(A861="",B861=""),"",SUMIFS(tl_Hours,tl_StaffID,I861,tl_Date,A861))</f>
        <v>8</v>
      </c>
      <c r="O861" s="40" t="str">
        <f aca="false">IF(A861&amp;B861&amp;D861="","",IF(OR(A861="",B861="",D861="",E861=""),"Incomplete",IF(K861="Unknown","Unknown code",IF(AND(K861="Yes",C861=""),"Billable, needs client",IF(N861&gt;MaxDayHours,"Over "&amp;MaxDayHours&amp;" hours that day","")))))</f>
        <v/>
      </c>
    </row>
    <row r="862" customFormat="false" ht="15" hidden="false" customHeight="false" outlineLevel="0" collapsed="false">
      <c r="A862" s="31" t="n">
        <v>46251</v>
      </c>
      <c r="B862" s="32" t="s">
        <v>101</v>
      </c>
      <c r="C862" s="32" t="s">
        <v>87</v>
      </c>
      <c r="D862" s="33" t="s">
        <v>92</v>
      </c>
      <c r="E862" s="34" t="n">
        <v>0.25</v>
      </c>
      <c r="F862" s="32"/>
      <c r="G862" s="35" t="n">
        <f aca="false">IF(A862="","",A862+7-WEEKDAY(A862))</f>
        <v>46256</v>
      </c>
      <c r="H862" s="36" t="n">
        <f aca="false">IF(A862="","",DATE(YEAR(A862),MONTH(A862),1))</f>
        <v>46235</v>
      </c>
      <c r="I862" s="37" t="str">
        <f aca="false">IF(B862="","",IFERROR(INDEX(st_ID,MATCH(B862,st_Name,0)),"Unknown"))</f>
        <v>QP-04</v>
      </c>
      <c r="J862" s="37" t="str">
        <f aca="false">IF(C862="","",IFERROR(INDEX(cl_Code,MATCH(C862,cl_Name,0)),"Unknown"))</f>
        <v>HCS</v>
      </c>
      <c r="K862" s="37" t="str">
        <f aca="false">IF(D862="","",IFERROR(INDEX(rt_Billable,MATCH(D862,rt_Code,0)),"Unknown"))</f>
        <v>Yes</v>
      </c>
      <c r="L862" s="38" t="n">
        <f aca="false">IF(K862&lt;&gt;"Yes","",IFERROR(INDEX(cr_Rate,MATCH(J862&amp;"|"&amp;D862,cr_Key,0)),INDEX(rt_Rate,MATCH(D862,rt_Code,0))))</f>
        <v>140</v>
      </c>
      <c r="M862" s="25" t="n">
        <f aca="false">IF(L862="","",ROUND(N(E862)*L862,2))</f>
        <v>35</v>
      </c>
      <c r="N862" s="39" t="n">
        <f aca="false">IF(OR(A862="",B862=""),"",SUMIFS(tl_Hours,tl_StaffID,I862,tl_Date,A862))</f>
        <v>8</v>
      </c>
      <c r="O862" s="40" t="str">
        <f aca="false">IF(A862&amp;B862&amp;D862="","",IF(OR(A862="",B862="",D862="",E862=""),"Incomplete",IF(K862="Unknown","Unknown code",IF(AND(K862="Yes",C862=""),"Billable, needs client",IF(N862&gt;MaxDayHours,"Over "&amp;MaxDayHours&amp;" hours that day","")))))</f>
        <v/>
      </c>
    </row>
    <row r="863" customFormat="false" ht="15" hidden="false" customHeight="false" outlineLevel="0" collapsed="false">
      <c r="A863" s="31" t="n">
        <v>46251</v>
      </c>
      <c r="B863" s="32" t="s">
        <v>101</v>
      </c>
      <c r="C863" s="32"/>
      <c r="D863" s="33" t="s">
        <v>93</v>
      </c>
      <c r="E863" s="34" t="n">
        <v>0.5</v>
      </c>
      <c r="F863" s="32"/>
      <c r="G863" s="35" t="n">
        <f aca="false">IF(A863="","",A863+7-WEEKDAY(A863))</f>
        <v>46256</v>
      </c>
      <c r="H863" s="36" t="n">
        <f aca="false">IF(A863="","",DATE(YEAR(A863),MONTH(A863),1))</f>
        <v>46235</v>
      </c>
      <c r="I863" s="37" t="str">
        <f aca="false">IF(B863="","",IFERROR(INDEX(st_ID,MATCH(B863,st_Name,0)),"Unknown"))</f>
        <v>QP-04</v>
      </c>
      <c r="J863" s="37" t="str">
        <f aca="false">IF(C863="","",IFERROR(INDEX(cl_Code,MATCH(C863,cl_Name,0)),"Unknown"))</f>
        <v/>
      </c>
      <c r="K863" s="37" t="str">
        <f aca="false">IF(D863="","",IFERROR(INDEX(rt_Billable,MATCH(D863,rt_Code,0)),"Unknown"))</f>
        <v>No</v>
      </c>
      <c r="L863" s="38" t="str">
        <f aca="false">IF(K863&lt;&gt;"Yes","",IFERROR(INDEX(cr_Rate,MATCH(J863&amp;"|"&amp;D863,cr_Key,0)),INDEX(rt_Rate,MATCH(D863,rt_Code,0))))</f>
        <v/>
      </c>
      <c r="M863" s="25" t="str">
        <f aca="false">IF(L863="","",ROUND(N(E863)*L863,2))</f>
        <v/>
      </c>
      <c r="N863" s="39" t="n">
        <f aca="false">IF(OR(A863="",B863=""),"",SUMIFS(tl_Hours,tl_StaffID,I863,tl_Date,A863))</f>
        <v>8</v>
      </c>
      <c r="O863" s="40" t="str">
        <f aca="false">IF(A863&amp;B863&amp;D863="","",IF(OR(A863="",B863="",D863="",E863=""),"Incomplete",IF(K863="Unknown","Unknown code",IF(AND(K863="Yes",C863=""),"Billable, needs client",IF(N863&gt;MaxDayHours,"Over "&amp;MaxDayHours&amp;" hours that day","")))))</f>
        <v/>
      </c>
    </row>
    <row r="864" customFormat="false" ht="15" hidden="false" customHeight="false" outlineLevel="0" collapsed="false">
      <c r="A864" s="31" t="n">
        <v>46251</v>
      </c>
      <c r="B864" s="32" t="s">
        <v>101</v>
      </c>
      <c r="C864" s="32"/>
      <c r="D864" s="33" t="s">
        <v>96</v>
      </c>
      <c r="E864" s="34" t="n">
        <v>2.5</v>
      </c>
      <c r="F864" s="32"/>
      <c r="G864" s="35" t="n">
        <f aca="false">IF(A864="","",A864+7-WEEKDAY(A864))</f>
        <v>46256</v>
      </c>
      <c r="H864" s="36" t="n">
        <f aca="false">IF(A864="","",DATE(YEAR(A864),MONTH(A864),1))</f>
        <v>46235</v>
      </c>
      <c r="I864" s="37" t="str">
        <f aca="false">IF(B864="","",IFERROR(INDEX(st_ID,MATCH(B864,st_Name,0)),"Unknown"))</f>
        <v>QP-04</v>
      </c>
      <c r="J864" s="37" t="str">
        <f aca="false">IF(C864="","",IFERROR(INDEX(cl_Code,MATCH(C864,cl_Name,0)),"Unknown"))</f>
        <v/>
      </c>
      <c r="K864" s="37" t="str">
        <f aca="false">IF(D864="","",IFERROR(INDEX(rt_Billable,MATCH(D864,rt_Code,0)),"Unknown"))</f>
        <v>No</v>
      </c>
      <c r="L864" s="38" t="str">
        <f aca="false">IF(K864&lt;&gt;"Yes","",IFERROR(INDEX(cr_Rate,MATCH(J864&amp;"|"&amp;D864,cr_Key,0)),INDEX(rt_Rate,MATCH(D864,rt_Code,0))))</f>
        <v/>
      </c>
      <c r="M864" s="25" t="str">
        <f aca="false">IF(L864="","",ROUND(N(E864)*L864,2))</f>
        <v/>
      </c>
      <c r="N864" s="39" t="n">
        <f aca="false">IF(OR(A864="",B864=""),"",SUMIFS(tl_Hours,tl_StaffID,I864,tl_Date,A864))</f>
        <v>8</v>
      </c>
      <c r="O864" s="40" t="str">
        <f aca="false">IF(A864&amp;B864&amp;D864="","",IF(OR(A864="",B864="",D864="",E864=""),"Incomplete",IF(K864="Unknown","Unknown code",IF(AND(K864="Yes",C864=""),"Billable, needs client",IF(N864&gt;MaxDayHours,"Over "&amp;MaxDayHours&amp;" hours that day","")))))</f>
        <v/>
      </c>
    </row>
    <row r="865" customFormat="false" ht="15" hidden="false" customHeight="false" outlineLevel="0" collapsed="false">
      <c r="A865" s="31" t="n">
        <v>46251</v>
      </c>
      <c r="B865" s="32" t="s">
        <v>103</v>
      </c>
      <c r="C865" s="32" t="s">
        <v>90</v>
      </c>
      <c r="D865" s="33" t="s">
        <v>91</v>
      </c>
      <c r="E865" s="34" t="n">
        <v>3.5</v>
      </c>
      <c r="F865" s="32"/>
      <c r="G865" s="35" t="n">
        <f aca="false">IF(A865="","",A865+7-WEEKDAY(A865))</f>
        <v>46256</v>
      </c>
      <c r="H865" s="36" t="n">
        <f aca="false">IF(A865="","",DATE(YEAR(A865),MONTH(A865),1))</f>
        <v>46235</v>
      </c>
      <c r="I865" s="37" t="str">
        <f aca="false">IF(B865="","",IFERROR(INDEX(st_ID,MATCH(B865,st_Name,0)),"Unknown"))</f>
        <v>QP-05</v>
      </c>
      <c r="J865" s="37" t="str">
        <f aca="false">IF(C865="","",IFERROR(INDEX(cl_Code,MATCH(C865,cl_Name,0)),"Unknown"))</f>
        <v>BSE</v>
      </c>
      <c r="K865" s="37" t="str">
        <f aca="false">IF(D865="","",IFERROR(INDEX(rt_Billable,MATCH(D865,rt_Code,0)),"Unknown"))</f>
        <v>Yes</v>
      </c>
      <c r="L865" s="38" t="n">
        <f aca="false">IF(K865&lt;&gt;"Yes","",IFERROR(INDEX(cr_Rate,MATCH(J865&amp;"|"&amp;D865,cr_Key,0)),INDEX(rt_Rate,MATCH(D865,rt_Code,0))))</f>
        <v>100</v>
      </c>
      <c r="M865" s="25" t="n">
        <f aca="false">IF(L865="","",ROUND(N(E865)*L865,2))</f>
        <v>350</v>
      </c>
      <c r="N865" s="39" t="n">
        <f aca="false">IF(OR(A865="",B865=""),"",SUMIFS(tl_Hours,tl_StaffID,I865,tl_Date,A865))</f>
        <v>8</v>
      </c>
      <c r="O865" s="40" t="str">
        <f aca="false">IF(A865&amp;B865&amp;D865="","",IF(OR(A865="",B865="",D865="",E865=""),"Incomplete",IF(K865="Unknown","Unknown code",IF(AND(K865="Yes",C865=""),"Billable, needs client",IF(N865&gt;MaxDayHours,"Over "&amp;MaxDayHours&amp;" hours that day","")))))</f>
        <v/>
      </c>
    </row>
    <row r="866" customFormat="false" ht="15" hidden="false" customHeight="false" outlineLevel="0" collapsed="false">
      <c r="A866" s="31" t="n">
        <v>46251</v>
      </c>
      <c r="B866" s="32" t="s">
        <v>103</v>
      </c>
      <c r="C866" s="32" t="s">
        <v>90</v>
      </c>
      <c r="D866" s="33" t="s">
        <v>92</v>
      </c>
      <c r="E866" s="34" t="n">
        <v>1.25</v>
      </c>
      <c r="F866" s="32"/>
      <c r="G866" s="35" t="n">
        <f aca="false">IF(A866="","",A866+7-WEEKDAY(A866))</f>
        <v>46256</v>
      </c>
      <c r="H866" s="36" t="n">
        <f aca="false">IF(A866="","",DATE(YEAR(A866),MONTH(A866),1))</f>
        <v>46235</v>
      </c>
      <c r="I866" s="37" t="str">
        <f aca="false">IF(B866="","",IFERROR(INDEX(st_ID,MATCH(B866,st_Name,0)),"Unknown"))</f>
        <v>QP-05</v>
      </c>
      <c r="J866" s="37" t="str">
        <f aca="false">IF(C866="","",IFERROR(INDEX(cl_Code,MATCH(C866,cl_Name,0)),"Unknown"))</f>
        <v>BSE</v>
      </c>
      <c r="K866" s="37" t="str">
        <f aca="false">IF(D866="","",IFERROR(INDEX(rt_Billable,MATCH(D866,rt_Code,0)),"Unknown"))</f>
        <v>Yes</v>
      </c>
      <c r="L866" s="38" t="n">
        <f aca="false">IF(K866&lt;&gt;"Yes","",IFERROR(INDEX(cr_Rate,MATCH(J866&amp;"|"&amp;D866,cr_Key,0)),INDEX(rt_Rate,MATCH(D866,rt_Code,0))))</f>
        <v>145</v>
      </c>
      <c r="M866" s="25" t="n">
        <f aca="false">IF(L866="","",ROUND(N(E866)*L866,2))</f>
        <v>181.25</v>
      </c>
      <c r="N866" s="39" t="n">
        <f aca="false">IF(OR(A866="",B866=""),"",SUMIFS(tl_Hours,tl_StaffID,I866,tl_Date,A866))</f>
        <v>8</v>
      </c>
      <c r="O866" s="40" t="str">
        <f aca="false">IF(A866&amp;B866&amp;D866="","",IF(OR(A866="",B866="",D866="",E866=""),"Incomplete",IF(K866="Unknown","Unknown code",IF(AND(K866="Yes",C866=""),"Billable, needs client",IF(N866&gt;MaxDayHours,"Over "&amp;MaxDayHours&amp;" hours that day","")))))</f>
        <v/>
      </c>
    </row>
    <row r="867" customFormat="false" ht="15" hidden="false" customHeight="false" outlineLevel="0" collapsed="false">
      <c r="A867" s="31" t="n">
        <v>46251</v>
      </c>
      <c r="B867" s="32" t="s">
        <v>103</v>
      </c>
      <c r="C867" s="32"/>
      <c r="D867" s="33" t="s">
        <v>96</v>
      </c>
      <c r="E867" s="34" t="n">
        <v>3.25</v>
      </c>
      <c r="F867" s="32"/>
      <c r="G867" s="35" t="n">
        <f aca="false">IF(A867="","",A867+7-WEEKDAY(A867))</f>
        <v>46256</v>
      </c>
      <c r="H867" s="36" t="n">
        <f aca="false">IF(A867="","",DATE(YEAR(A867),MONTH(A867),1))</f>
        <v>46235</v>
      </c>
      <c r="I867" s="37" t="str">
        <f aca="false">IF(B867="","",IFERROR(INDEX(st_ID,MATCH(B867,st_Name,0)),"Unknown"))</f>
        <v>QP-05</v>
      </c>
      <c r="J867" s="37" t="str">
        <f aca="false">IF(C867="","",IFERROR(INDEX(cl_Code,MATCH(C867,cl_Name,0)),"Unknown"))</f>
        <v/>
      </c>
      <c r="K867" s="37" t="str">
        <f aca="false">IF(D867="","",IFERROR(INDEX(rt_Billable,MATCH(D867,rt_Code,0)),"Unknown"))</f>
        <v>No</v>
      </c>
      <c r="L867" s="38" t="str">
        <f aca="false">IF(K867&lt;&gt;"Yes","",IFERROR(INDEX(cr_Rate,MATCH(J867&amp;"|"&amp;D867,cr_Key,0)),INDEX(rt_Rate,MATCH(D867,rt_Code,0))))</f>
        <v/>
      </c>
      <c r="M867" s="25" t="str">
        <f aca="false">IF(L867="","",ROUND(N(E867)*L867,2))</f>
        <v/>
      </c>
      <c r="N867" s="39" t="n">
        <f aca="false">IF(OR(A867="",B867=""),"",SUMIFS(tl_Hours,tl_StaffID,I867,tl_Date,A867))</f>
        <v>8</v>
      </c>
      <c r="O867" s="40" t="str">
        <f aca="false">IF(A867&amp;B867&amp;D867="","",IF(OR(A867="",B867="",D867="",E867=""),"Incomplete",IF(K867="Unknown","Unknown code",IF(AND(K867="Yes",C867=""),"Billable, needs client",IF(N867&gt;MaxDayHours,"Over "&amp;MaxDayHours&amp;" hours that day","")))))</f>
        <v/>
      </c>
    </row>
    <row r="868" customFormat="false" ht="15" hidden="false" customHeight="false" outlineLevel="0" collapsed="false">
      <c r="A868" s="31" t="n">
        <v>46251</v>
      </c>
      <c r="B868" s="32" t="s">
        <v>105</v>
      </c>
      <c r="C868" s="32" t="s">
        <v>87</v>
      </c>
      <c r="D868" s="33" t="s">
        <v>104</v>
      </c>
      <c r="E868" s="34" t="n">
        <v>1.5</v>
      </c>
      <c r="F868" s="32"/>
      <c r="G868" s="35" t="n">
        <f aca="false">IF(A868="","",A868+7-WEEKDAY(A868))</f>
        <v>46256</v>
      </c>
      <c r="H868" s="36" t="n">
        <f aca="false">IF(A868="","",DATE(YEAR(A868),MONTH(A868),1))</f>
        <v>46235</v>
      </c>
      <c r="I868" s="37" t="str">
        <f aca="false">IF(B868="","",IFERROR(INDEX(st_ID,MATCH(B868,st_Name,0)),"Unknown"))</f>
        <v>QP-06</v>
      </c>
      <c r="J868" s="37" t="str">
        <f aca="false">IF(C868="","",IFERROR(INDEX(cl_Code,MATCH(C868,cl_Name,0)),"Unknown"))</f>
        <v>HCS</v>
      </c>
      <c r="K868" s="37" t="str">
        <f aca="false">IF(D868="","",IFERROR(INDEX(rt_Billable,MATCH(D868,rt_Code,0)),"Unknown"))</f>
        <v>Yes</v>
      </c>
      <c r="L868" s="38" t="n">
        <f aca="false">IF(K868&lt;&gt;"Yes","",IFERROR(INDEX(cr_Rate,MATCH(J868&amp;"|"&amp;D868,cr_Key,0)),INDEX(rt_Rate,MATCH(D868,rt_Code,0))))</f>
        <v>62</v>
      </c>
      <c r="M868" s="25" t="n">
        <f aca="false">IF(L868="","",ROUND(N(E868)*L868,2))</f>
        <v>93</v>
      </c>
      <c r="N868" s="39" t="n">
        <f aca="false">IF(OR(A868="",B868=""),"",SUMIFS(tl_Hours,tl_StaffID,I868,tl_Date,A868))</f>
        <v>8</v>
      </c>
      <c r="O868" s="40" t="str">
        <f aca="false">IF(A868&amp;B868&amp;D868="","",IF(OR(A868="",B868="",D868="",E868=""),"Incomplete",IF(K868="Unknown","Unknown code",IF(AND(K868="Yes",C868=""),"Billable, needs client",IF(N868&gt;MaxDayHours,"Over "&amp;MaxDayHours&amp;" hours that day","")))))</f>
        <v/>
      </c>
    </row>
    <row r="869" customFormat="false" ht="15" hidden="false" customHeight="false" outlineLevel="0" collapsed="false">
      <c r="A869" s="31" t="n">
        <v>46251</v>
      </c>
      <c r="B869" s="32" t="s">
        <v>105</v>
      </c>
      <c r="C869" s="32" t="s">
        <v>87</v>
      </c>
      <c r="D869" s="33" t="s">
        <v>92</v>
      </c>
      <c r="E869" s="34" t="n">
        <v>0.75</v>
      </c>
      <c r="F869" s="32"/>
      <c r="G869" s="35" t="n">
        <f aca="false">IF(A869="","",A869+7-WEEKDAY(A869))</f>
        <v>46256</v>
      </c>
      <c r="H869" s="36" t="n">
        <f aca="false">IF(A869="","",DATE(YEAR(A869),MONTH(A869),1))</f>
        <v>46235</v>
      </c>
      <c r="I869" s="37" t="str">
        <f aca="false">IF(B869="","",IFERROR(INDEX(st_ID,MATCH(B869,st_Name,0)),"Unknown"))</f>
        <v>QP-06</v>
      </c>
      <c r="J869" s="37" t="str">
        <f aca="false">IF(C869="","",IFERROR(INDEX(cl_Code,MATCH(C869,cl_Name,0)),"Unknown"))</f>
        <v>HCS</v>
      </c>
      <c r="K869" s="37" t="str">
        <f aca="false">IF(D869="","",IFERROR(INDEX(rt_Billable,MATCH(D869,rt_Code,0)),"Unknown"))</f>
        <v>Yes</v>
      </c>
      <c r="L869" s="38" t="n">
        <f aca="false">IF(K869&lt;&gt;"Yes","",IFERROR(INDEX(cr_Rate,MATCH(J869&amp;"|"&amp;D869,cr_Key,0)),INDEX(rt_Rate,MATCH(D869,rt_Code,0))))</f>
        <v>140</v>
      </c>
      <c r="M869" s="25" t="n">
        <f aca="false">IF(L869="","",ROUND(N(E869)*L869,2))</f>
        <v>105</v>
      </c>
      <c r="N869" s="39" t="n">
        <f aca="false">IF(OR(A869="",B869=""),"",SUMIFS(tl_Hours,tl_StaffID,I869,tl_Date,A869))</f>
        <v>8</v>
      </c>
      <c r="O869" s="40" t="str">
        <f aca="false">IF(A869&amp;B869&amp;D869="","",IF(OR(A869="",B869="",D869="",E869=""),"Incomplete",IF(K869="Unknown","Unknown code",IF(AND(K869="Yes",C869=""),"Billable, needs client",IF(N869&gt;MaxDayHours,"Over "&amp;MaxDayHours&amp;" hours that day","")))))</f>
        <v/>
      </c>
    </row>
    <row r="870" customFormat="false" ht="15" hidden="false" customHeight="false" outlineLevel="0" collapsed="false">
      <c r="A870" s="31" t="n">
        <v>46251</v>
      </c>
      <c r="B870" s="32" t="s">
        <v>105</v>
      </c>
      <c r="C870" s="32" t="s">
        <v>90</v>
      </c>
      <c r="D870" s="33" t="s">
        <v>88</v>
      </c>
      <c r="E870" s="34" t="n">
        <v>1.5</v>
      </c>
      <c r="F870" s="32"/>
      <c r="G870" s="35" t="n">
        <f aca="false">IF(A870="","",A870+7-WEEKDAY(A870))</f>
        <v>46256</v>
      </c>
      <c r="H870" s="36" t="n">
        <f aca="false">IF(A870="","",DATE(YEAR(A870),MONTH(A870),1))</f>
        <v>46235</v>
      </c>
      <c r="I870" s="37" t="str">
        <f aca="false">IF(B870="","",IFERROR(INDEX(st_ID,MATCH(B870,st_Name,0)),"Unknown"))</f>
        <v>QP-06</v>
      </c>
      <c r="J870" s="37" t="str">
        <f aca="false">IF(C870="","",IFERROR(INDEX(cl_Code,MATCH(C870,cl_Name,0)),"Unknown"))</f>
        <v>BSE</v>
      </c>
      <c r="K870" s="37" t="str">
        <f aca="false">IF(D870="","",IFERROR(INDEX(rt_Billable,MATCH(D870,rt_Code,0)),"Unknown"))</f>
        <v>Yes</v>
      </c>
      <c r="L870" s="38" t="n">
        <f aca="false">IF(K870&lt;&gt;"Yes","",IFERROR(INDEX(cr_Rate,MATCH(J870&amp;"|"&amp;D870,cr_Key,0)),INDEX(rt_Rate,MATCH(D870,rt_Code,0))))</f>
        <v>104</v>
      </c>
      <c r="M870" s="25" t="n">
        <f aca="false">IF(L870="","",ROUND(N(E870)*L870,2))</f>
        <v>156</v>
      </c>
      <c r="N870" s="39" t="n">
        <f aca="false">IF(OR(A870="",B870=""),"",SUMIFS(tl_Hours,tl_StaffID,I870,tl_Date,A870))</f>
        <v>8</v>
      </c>
      <c r="O870" s="40" t="str">
        <f aca="false">IF(A870&amp;B870&amp;D870="","",IF(OR(A870="",B870="",D870="",E870=""),"Incomplete",IF(K870="Unknown","Unknown code",IF(AND(K870="Yes",C870=""),"Billable, needs client",IF(N870&gt;MaxDayHours,"Over "&amp;MaxDayHours&amp;" hours that day","")))))</f>
        <v/>
      </c>
    </row>
    <row r="871" customFormat="false" ht="15" hidden="false" customHeight="false" outlineLevel="0" collapsed="false">
      <c r="A871" s="31" t="n">
        <v>46251</v>
      </c>
      <c r="B871" s="32" t="s">
        <v>105</v>
      </c>
      <c r="C871" s="32" t="s">
        <v>90</v>
      </c>
      <c r="D871" s="33" t="s">
        <v>92</v>
      </c>
      <c r="E871" s="34" t="n">
        <v>0.75</v>
      </c>
      <c r="F871" s="32"/>
      <c r="G871" s="35" t="n">
        <f aca="false">IF(A871="","",A871+7-WEEKDAY(A871))</f>
        <v>46256</v>
      </c>
      <c r="H871" s="36" t="n">
        <f aca="false">IF(A871="","",DATE(YEAR(A871),MONTH(A871),1))</f>
        <v>46235</v>
      </c>
      <c r="I871" s="37" t="str">
        <f aca="false">IF(B871="","",IFERROR(INDEX(st_ID,MATCH(B871,st_Name,0)),"Unknown"))</f>
        <v>QP-06</v>
      </c>
      <c r="J871" s="37" t="str">
        <f aca="false">IF(C871="","",IFERROR(INDEX(cl_Code,MATCH(C871,cl_Name,0)),"Unknown"))</f>
        <v>BSE</v>
      </c>
      <c r="K871" s="37" t="str">
        <f aca="false">IF(D871="","",IFERROR(INDEX(rt_Billable,MATCH(D871,rt_Code,0)),"Unknown"))</f>
        <v>Yes</v>
      </c>
      <c r="L871" s="38" t="n">
        <f aca="false">IF(K871&lt;&gt;"Yes","",IFERROR(INDEX(cr_Rate,MATCH(J871&amp;"|"&amp;D871,cr_Key,0)),INDEX(rt_Rate,MATCH(D871,rt_Code,0))))</f>
        <v>145</v>
      </c>
      <c r="M871" s="25" t="n">
        <f aca="false">IF(L871="","",ROUND(N(E871)*L871,2))</f>
        <v>108.75</v>
      </c>
      <c r="N871" s="39" t="n">
        <f aca="false">IF(OR(A871="",B871=""),"",SUMIFS(tl_Hours,tl_StaffID,I871,tl_Date,A871))</f>
        <v>8</v>
      </c>
      <c r="O871" s="40" t="str">
        <f aca="false">IF(A871&amp;B871&amp;D871="","",IF(OR(A871="",B871="",D871="",E871=""),"Incomplete",IF(K871="Unknown","Unknown code",IF(AND(K871="Yes",C871=""),"Billable, needs client",IF(N871&gt;MaxDayHours,"Over "&amp;MaxDayHours&amp;" hours that day","")))))</f>
        <v/>
      </c>
    </row>
    <row r="872" customFormat="false" ht="15" hidden="false" customHeight="false" outlineLevel="0" collapsed="false">
      <c r="A872" s="31" t="n">
        <v>46251</v>
      </c>
      <c r="B872" s="32" t="s">
        <v>105</v>
      </c>
      <c r="C872" s="32"/>
      <c r="D872" s="33" t="s">
        <v>93</v>
      </c>
      <c r="E872" s="34" t="n">
        <v>0.5</v>
      </c>
      <c r="F872" s="32"/>
      <c r="G872" s="35" t="n">
        <f aca="false">IF(A872="","",A872+7-WEEKDAY(A872))</f>
        <v>46256</v>
      </c>
      <c r="H872" s="36" t="n">
        <f aca="false">IF(A872="","",DATE(YEAR(A872),MONTH(A872),1))</f>
        <v>46235</v>
      </c>
      <c r="I872" s="37" t="str">
        <f aca="false">IF(B872="","",IFERROR(INDEX(st_ID,MATCH(B872,st_Name,0)),"Unknown"))</f>
        <v>QP-06</v>
      </c>
      <c r="J872" s="37" t="str">
        <f aca="false">IF(C872="","",IFERROR(INDEX(cl_Code,MATCH(C872,cl_Name,0)),"Unknown"))</f>
        <v/>
      </c>
      <c r="K872" s="37" t="str">
        <f aca="false">IF(D872="","",IFERROR(INDEX(rt_Billable,MATCH(D872,rt_Code,0)),"Unknown"))</f>
        <v>No</v>
      </c>
      <c r="L872" s="38" t="str">
        <f aca="false">IF(K872&lt;&gt;"Yes","",IFERROR(INDEX(cr_Rate,MATCH(J872&amp;"|"&amp;D872,cr_Key,0)),INDEX(rt_Rate,MATCH(D872,rt_Code,0))))</f>
        <v/>
      </c>
      <c r="M872" s="25" t="str">
        <f aca="false">IF(L872="","",ROUND(N(E872)*L872,2))</f>
        <v/>
      </c>
      <c r="N872" s="39" t="n">
        <f aca="false">IF(OR(A872="",B872=""),"",SUMIFS(tl_Hours,tl_StaffID,I872,tl_Date,A872))</f>
        <v>8</v>
      </c>
      <c r="O872" s="40" t="str">
        <f aca="false">IF(A872&amp;B872&amp;D872="","",IF(OR(A872="",B872="",D872="",E872=""),"Incomplete",IF(K872="Unknown","Unknown code",IF(AND(K872="Yes",C872=""),"Billable, needs client",IF(N872&gt;MaxDayHours,"Over "&amp;MaxDayHours&amp;" hours that day","")))))</f>
        <v/>
      </c>
    </row>
    <row r="873" customFormat="false" ht="15" hidden="false" customHeight="false" outlineLevel="0" collapsed="false">
      <c r="A873" s="31" t="n">
        <v>46251</v>
      </c>
      <c r="B873" s="32" t="s">
        <v>105</v>
      </c>
      <c r="C873" s="32"/>
      <c r="D873" s="33" t="s">
        <v>96</v>
      </c>
      <c r="E873" s="34" t="n">
        <v>3</v>
      </c>
      <c r="F873" s="32"/>
      <c r="G873" s="35" t="n">
        <f aca="false">IF(A873="","",A873+7-WEEKDAY(A873))</f>
        <v>46256</v>
      </c>
      <c r="H873" s="36" t="n">
        <f aca="false">IF(A873="","",DATE(YEAR(A873),MONTH(A873),1))</f>
        <v>46235</v>
      </c>
      <c r="I873" s="37" t="str">
        <f aca="false">IF(B873="","",IFERROR(INDEX(st_ID,MATCH(B873,st_Name,0)),"Unknown"))</f>
        <v>QP-06</v>
      </c>
      <c r="J873" s="37" t="str">
        <f aca="false">IF(C873="","",IFERROR(INDEX(cl_Code,MATCH(C873,cl_Name,0)),"Unknown"))</f>
        <v/>
      </c>
      <c r="K873" s="37" t="str">
        <f aca="false">IF(D873="","",IFERROR(INDEX(rt_Billable,MATCH(D873,rt_Code,0)),"Unknown"))</f>
        <v>No</v>
      </c>
      <c r="L873" s="38" t="str">
        <f aca="false">IF(K873&lt;&gt;"Yes","",IFERROR(INDEX(cr_Rate,MATCH(J873&amp;"|"&amp;D873,cr_Key,0)),INDEX(rt_Rate,MATCH(D873,rt_Code,0))))</f>
        <v/>
      </c>
      <c r="M873" s="25" t="str">
        <f aca="false">IF(L873="","",ROUND(N(E873)*L873,2))</f>
        <v/>
      </c>
      <c r="N873" s="39" t="n">
        <f aca="false">IF(OR(A873="",B873=""),"",SUMIFS(tl_Hours,tl_StaffID,I873,tl_Date,A873))</f>
        <v>8</v>
      </c>
      <c r="O873" s="40" t="str">
        <f aca="false">IF(A873&amp;B873&amp;D873="","",IF(OR(A873="",B873="",D873="",E873=""),"Incomplete",IF(K873="Unknown","Unknown code",IF(AND(K873="Yes",C873=""),"Billable, needs client",IF(N873&gt;MaxDayHours,"Over "&amp;MaxDayHours&amp;" hours that day","")))))</f>
        <v/>
      </c>
    </row>
    <row r="874" customFormat="false" ht="15" hidden="false" customHeight="false" outlineLevel="0" collapsed="false">
      <c r="A874" s="31" t="n">
        <v>46251</v>
      </c>
      <c r="B874" s="32" t="s">
        <v>106</v>
      </c>
      <c r="C874" s="32" t="s">
        <v>102</v>
      </c>
      <c r="D874" s="33" t="s">
        <v>104</v>
      </c>
      <c r="E874" s="34" t="n">
        <v>1.75</v>
      </c>
      <c r="F874" s="32"/>
      <c r="G874" s="35" t="n">
        <f aca="false">IF(A874="","",A874+7-WEEKDAY(A874))</f>
        <v>46256</v>
      </c>
      <c r="H874" s="36" t="n">
        <f aca="false">IF(A874="","",DATE(YEAR(A874),MONTH(A874),1))</f>
        <v>46235</v>
      </c>
      <c r="I874" s="37" t="str">
        <f aca="false">IF(B874="","",IFERROR(INDEX(st_ID,MATCH(B874,st_Name,0)),"Unknown"))</f>
        <v>QP-07</v>
      </c>
      <c r="J874" s="37" t="str">
        <f aca="false">IF(C874="","",IFERROR(INDEX(cl_Code,MATCH(C874,cl_Name,0)),"Unknown"))</f>
        <v>CLH</v>
      </c>
      <c r="K874" s="37" t="str">
        <f aca="false">IF(D874="","",IFERROR(INDEX(rt_Billable,MATCH(D874,rt_Code,0)),"Unknown"))</f>
        <v>Yes</v>
      </c>
      <c r="L874" s="38" t="n">
        <f aca="false">IF(K874&lt;&gt;"Yes","",IFERROR(INDEX(cr_Rate,MATCH(J874&amp;"|"&amp;D874,cr_Key,0)),INDEX(rt_Rate,MATCH(D874,rt_Code,0))))</f>
        <v>65</v>
      </c>
      <c r="M874" s="25" t="n">
        <f aca="false">IF(L874="","",ROUND(N(E874)*L874,2))</f>
        <v>113.75</v>
      </c>
      <c r="N874" s="39" t="n">
        <f aca="false">IF(OR(A874="",B874=""),"",SUMIFS(tl_Hours,tl_StaffID,I874,tl_Date,A874))</f>
        <v>8</v>
      </c>
      <c r="O874" s="40" t="str">
        <f aca="false">IF(A874&amp;B874&amp;D874="","",IF(OR(A874="",B874="",D874="",E874=""),"Incomplete",IF(K874="Unknown","Unknown code",IF(AND(K874="Yes",C874=""),"Billable, needs client",IF(N874&gt;MaxDayHours,"Over "&amp;MaxDayHours&amp;" hours that day","")))))</f>
        <v/>
      </c>
    </row>
    <row r="875" customFormat="false" ht="15" hidden="false" customHeight="false" outlineLevel="0" collapsed="false">
      <c r="A875" s="31" t="n">
        <v>46251</v>
      </c>
      <c r="B875" s="32" t="s">
        <v>106</v>
      </c>
      <c r="C875" s="32" t="s">
        <v>102</v>
      </c>
      <c r="D875" s="33" t="s">
        <v>88</v>
      </c>
      <c r="E875" s="34" t="n">
        <v>1.25</v>
      </c>
      <c r="F875" s="32"/>
      <c r="G875" s="35" t="n">
        <f aca="false">IF(A875="","",A875+7-WEEKDAY(A875))</f>
        <v>46256</v>
      </c>
      <c r="H875" s="36" t="n">
        <f aca="false">IF(A875="","",DATE(YEAR(A875),MONTH(A875),1))</f>
        <v>46235</v>
      </c>
      <c r="I875" s="37" t="str">
        <f aca="false">IF(B875="","",IFERROR(INDEX(st_ID,MATCH(B875,st_Name,0)),"Unknown"))</f>
        <v>QP-07</v>
      </c>
      <c r="J875" s="37" t="str">
        <f aca="false">IF(C875="","",IFERROR(INDEX(cl_Code,MATCH(C875,cl_Name,0)),"Unknown"))</f>
        <v>CLH</v>
      </c>
      <c r="K875" s="37" t="str">
        <f aca="false">IF(D875="","",IFERROR(INDEX(rt_Billable,MATCH(D875,rt_Code,0)),"Unknown"))</f>
        <v>Yes</v>
      </c>
      <c r="L875" s="38" t="n">
        <f aca="false">IF(K875&lt;&gt;"Yes","",IFERROR(INDEX(cr_Rate,MATCH(J875&amp;"|"&amp;D875,cr_Key,0)),INDEX(rt_Rate,MATCH(D875,rt_Code,0))))</f>
        <v>110</v>
      </c>
      <c r="M875" s="25" t="n">
        <f aca="false">IF(L875="","",ROUND(N(E875)*L875,2))</f>
        <v>137.5</v>
      </c>
      <c r="N875" s="39" t="n">
        <f aca="false">IF(OR(A875="",B875=""),"",SUMIFS(tl_Hours,tl_StaffID,I875,tl_Date,A875))</f>
        <v>8</v>
      </c>
      <c r="O875" s="40" t="str">
        <f aca="false">IF(A875&amp;B875&amp;D875="","",IF(OR(A875="",B875="",D875="",E875=""),"Incomplete",IF(K875="Unknown","Unknown code",IF(AND(K875="Yes",C875=""),"Billable, needs client",IF(N875&gt;MaxDayHours,"Over "&amp;MaxDayHours&amp;" hours that day","")))))</f>
        <v/>
      </c>
    </row>
    <row r="876" customFormat="false" ht="15" hidden="false" customHeight="false" outlineLevel="0" collapsed="false">
      <c r="A876" s="31" t="n">
        <v>46251</v>
      </c>
      <c r="B876" s="32" t="s">
        <v>106</v>
      </c>
      <c r="C876" s="32" t="s">
        <v>87</v>
      </c>
      <c r="D876" s="33" t="s">
        <v>88</v>
      </c>
      <c r="E876" s="34" t="n">
        <v>2.25</v>
      </c>
      <c r="F876" s="32"/>
      <c r="G876" s="35" t="n">
        <f aca="false">IF(A876="","",A876+7-WEEKDAY(A876))</f>
        <v>46256</v>
      </c>
      <c r="H876" s="36" t="n">
        <f aca="false">IF(A876="","",DATE(YEAR(A876),MONTH(A876),1))</f>
        <v>46235</v>
      </c>
      <c r="I876" s="37" t="str">
        <f aca="false">IF(B876="","",IFERROR(INDEX(st_ID,MATCH(B876,st_Name,0)),"Unknown"))</f>
        <v>QP-07</v>
      </c>
      <c r="J876" s="37" t="str">
        <f aca="false">IF(C876="","",IFERROR(INDEX(cl_Code,MATCH(C876,cl_Name,0)),"Unknown"))</f>
        <v>HCS</v>
      </c>
      <c r="K876" s="37" t="str">
        <f aca="false">IF(D876="","",IFERROR(INDEX(rt_Billable,MATCH(D876,rt_Code,0)),"Unknown"))</f>
        <v>Yes</v>
      </c>
      <c r="L876" s="38" t="n">
        <f aca="false">IF(K876&lt;&gt;"Yes","",IFERROR(INDEX(cr_Rate,MATCH(J876&amp;"|"&amp;D876,cr_Key,0)),INDEX(rt_Rate,MATCH(D876,rt_Code,0))))</f>
        <v>98</v>
      </c>
      <c r="M876" s="25" t="n">
        <f aca="false">IF(L876="","",ROUND(N(E876)*L876,2))</f>
        <v>220.5</v>
      </c>
      <c r="N876" s="39" t="n">
        <f aca="false">IF(OR(A876="",B876=""),"",SUMIFS(tl_Hours,tl_StaffID,I876,tl_Date,A876))</f>
        <v>8</v>
      </c>
      <c r="O876" s="40" t="str">
        <f aca="false">IF(A876&amp;B876&amp;D876="","",IF(OR(A876="",B876="",D876="",E876=""),"Incomplete",IF(K876="Unknown","Unknown code",IF(AND(K876="Yes",C876=""),"Billable, needs client",IF(N876&gt;MaxDayHours,"Over "&amp;MaxDayHours&amp;" hours that day","")))))</f>
        <v/>
      </c>
    </row>
    <row r="877" customFormat="false" ht="15" hidden="false" customHeight="false" outlineLevel="0" collapsed="false">
      <c r="A877" s="31" t="n">
        <v>46251</v>
      </c>
      <c r="B877" s="32" t="s">
        <v>106</v>
      </c>
      <c r="C877" s="32" t="s">
        <v>87</v>
      </c>
      <c r="D877" s="33" t="s">
        <v>89</v>
      </c>
      <c r="E877" s="34" t="n">
        <v>0.75</v>
      </c>
      <c r="F877" s="32"/>
      <c r="G877" s="35" t="n">
        <f aca="false">IF(A877="","",A877+7-WEEKDAY(A877))</f>
        <v>46256</v>
      </c>
      <c r="H877" s="36" t="n">
        <f aca="false">IF(A877="","",DATE(YEAR(A877),MONTH(A877),1))</f>
        <v>46235</v>
      </c>
      <c r="I877" s="37" t="str">
        <f aca="false">IF(B877="","",IFERROR(INDEX(st_ID,MATCH(B877,st_Name,0)),"Unknown"))</f>
        <v>QP-07</v>
      </c>
      <c r="J877" s="37" t="str">
        <f aca="false">IF(C877="","",IFERROR(INDEX(cl_Code,MATCH(C877,cl_Name,0)),"Unknown"))</f>
        <v>HCS</v>
      </c>
      <c r="K877" s="37" t="str">
        <f aca="false">IF(D877="","",IFERROR(INDEX(rt_Billable,MATCH(D877,rt_Code,0)),"Unknown"))</f>
        <v>Yes</v>
      </c>
      <c r="L877" s="38" t="n">
        <f aca="false">IF(K877&lt;&gt;"Yes","",IFERROR(INDEX(cr_Rate,MATCH(J877&amp;"|"&amp;D877,cr_Key,0)),INDEX(rt_Rate,MATCH(D877,rt_Code,0))))</f>
        <v>88</v>
      </c>
      <c r="M877" s="25" t="n">
        <f aca="false">IF(L877="","",ROUND(N(E877)*L877,2))</f>
        <v>66</v>
      </c>
      <c r="N877" s="39" t="n">
        <f aca="false">IF(OR(A877="",B877=""),"",SUMIFS(tl_Hours,tl_StaffID,I877,tl_Date,A877))</f>
        <v>8</v>
      </c>
      <c r="O877" s="40" t="str">
        <f aca="false">IF(A877&amp;B877&amp;D877="","",IF(OR(A877="",B877="",D877="",E877=""),"Incomplete",IF(K877="Unknown","Unknown code",IF(AND(K877="Yes",C877=""),"Billable, needs client",IF(N877&gt;MaxDayHours,"Over "&amp;MaxDayHours&amp;" hours that day","")))))</f>
        <v/>
      </c>
    </row>
    <row r="878" customFormat="false" ht="15" hidden="false" customHeight="false" outlineLevel="0" collapsed="false">
      <c r="A878" s="31" t="n">
        <v>46251</v>
      </c>
      <c r="B878" s="32" t="s">
        <v>106</v>
      </c>
      <c r="C878" s="32"/>
      <c r="D878" s="33" t="s">
        <v>93</v>
      </c>
      <c r="E878" s="34" t="n">
        <v>0.5</v>
      </c>
      <c r="F878" s="32"/>
      <c r="G878" s="35" t="n">
        <f aca="false">IF(A878="","",A878+7-WEEKDAY(A878))</f>
        <v>46256</v>
      </c>
      <c r="H878" s="36" t="n">
        <f aca="false">IF(A878="","",DATE(YEAR(A878),MONTH(A878),1))</f>
        <v>46235</v>
      </c>
      <c r="I878" s="37" t="str">
        <f aca="false">IF(B878="","",IFERROR(INDEX(st_ID,MATCH(B878,st_Name,0)),"Unknown"))</f>
        <v>QP-07</v>
      </c>
      <c r="J878" s="37" t="str">
        <f aca="false">IF(C878="","",IFERROR(INDEX(cl_Code,MATCH(C878,cl_Name,0)),"Unknown"))</f>
        <v/>
      </c>
      <c r="K878" s="37" t="str">
        <f aca="false">IF(D878="","",IFERROR(INDEX(rt_Billable,MATCH(D878,rt_Code,0)),"Unknown"))</f>
        <v>No</v>
      </c>
      <c r="L878" s="38" t="str">
        <f aca="false">IF(K878&lt;&gt;"Yes","",IFERROR(INDEX(cr_Rate,MATCH(J878&amp;"|"&amp;D878,cr_Key,0)),INDEX(rt_Rate,MATCH(D878,rt_Code,0))))</f>
        <v/>
      </c>
      <c r="M878" s="25" t="str">
        <f aca="false">IF(L878="","",ROUND(N(E878)*L878,2))</f>
        <v/>
      </c>
      <c r="N878" s="39" t="n">
        <f aca="false">IF(OR(A878="",B878=""),"",SUMIFS(tl_Hours,tl_StaffID,I878,tl_Date,A878))</f>
        <v>8</v>
      </c>
      <c r="O878" s="40" t="str">
        <f aca="false">IF(A878&amp;B878&amp;D878="","",IF(OR(A878="",B878="",D878="",E878=""),"Incomplete",IF(K878="Unknown","Unknown code",IF(AND(K878="Yes",C878=""),"Billable, needs client",IF(N878&gt;MaxDayHours,"Over "&amp;MaxDayHours&amp;" hours that day","")))))</f>
        <v/>
      </c>
    </row>
    <row r="879" customFormat="false" ht="15" hidden="false" customHeight="false" outlineLevel="0" collapsed="false">
      <c r="A879" s="31" t="n">
        <v>46251</v>
      </c>
      <c r="B879" s="32" t="s">
        <v>106</v>
      </c>
      <c r="C879" s="32"/>
      <c r="D879" s="33" t="s">
        <v>96</v>
      </c>
      <c r="E879" s="34" t="n">
        <v>1.5</v>
      </c>
      <c r="F879" s="32"/>
      <c r="G879" s="35" t="n">
        <f aca="false">IF(A879="","",A879+7-WEEKDAY(A879))</f>
        <v>46256</v>
      </c>
      <c r="H879" s="36" t="n">
        <f aca="false">IF(A879="","",DATE(YEAR(A879),MONTH(A879),1))</f>
        <v>46235</v>
      </c>
      <c r="I879" s="37" t="str">
        <f aca="false">IF(B879="","",IFERROR(INDEX(st_ID,MATCH(B879,st_Name,0)),"Unknown"))</f>
        <v>QP-07</v>
      </c>
      <c r="J879" s="37" t="str">
        <f aca="false">IF(C879="","",IFERROR(INDEX(cl_Code,MATCH(C879,cl_Name,0)),"Unknown"))</f>
        <v/>
      </c>
      <c r="K879" s="37" t="str">
        <f aca="false">IF(D879="","",IFERROR(INDEX(rt_Billable,MATCH(D879,rt_Code,0)),"Unknown"))</f>
        <v>No</v>
      </c>
      <c r="L879" s="38" t="str">
        <f aca="false">IF(K879&lt;&gt;"Yes","",IFERROR(INDEX(cr_Rate,MATCH(J879&amp;"|"&amp;D879,cr_Key,0)),INDEX(rt_Rate,MATCH(D879,rt_Code,0))))</f>
        <v/>
      </c>
      <c r="M879" s="25" t="str">
        <f aca="false">IF(L879="","",ROUND(N(E879)*L879,2))</f>
        <v/>
      </c>
      <c r="N879" s="39" t="n">
        <f aca="false">IF(OR(A879="",B879=""),"",SUMIFS(tl_Hours,tl_StaffID,I879,tl_Date,A879))</f>
        <v>8</v>
      </c>
      <c r="O879" s="40" t="str">
        <f aca="false">IF(A879&amp;B879&amp;D879="","",IF(OR(A879="",B879="",D879="",E879=""),"Incomplete",IF(K879="Unknown","Unknown code",IF(AND(K879="Yes",C879=""),"Billable, needs client",IF(N879&gt;MaxDayHours,"Over "&amp;MaxDayHours&amp;" hours that day","")))))</f>
        <v/>
      </c>
    </row>
    <row r="880" customFormat="false" ht="15" hidden="false" customHeight="false" outlineLevel="0" collapsed="false">
      <c r="A880" s="31" t="n">
        <v>46251</v>
      </c>
      <c r="B880" s="32" t="s">
        <v>107</v>
      </c>
      <c r="C880" s="32"/>
      <c r="D880" s="33" t="s">
        <v>108</v>
      </c>
      <c r="E880" s="34" t="n">
        <v>7</v>
      </c>
      <c r="F880" s="32"/>
      <c r="G880" s="35" t="n">
        <f aca="false">IF(A880="","",A880+7-WEEKDAY(A880))</f>
        <v>46256</v>
      </c>
      <c r="H880" s="36" t="n">
        <f aca="false">IF(A880="","",DATE(YEAR(A880),MONTH(A880),1))</f>
        <v>46235</v>
      </c>
      <c r="I880" s="37" t="str">
        <f aca="false">IF(B880="","",IFERROR(INDEX(st_ID,MATCH(B880,st_Name,0)),"Unknown"))</f>
        <v>QP-08</v>
      </c>
      <c r="J880" s="37" t="str">
        <f aca="false">IF(C880="","",IFERROR(INDEX(cl_Code,MATCH(C880,cl_Name,0)),"Unknown"))</f>
        <v/>
      </c>
      <c r="K880" s="37" t="str">
        <f aca="false">IF(D880="","",IFERROR(INDEX(rt_Billable,MATCH(D880,rt_Code,0)),"Unknown"))</f>
        <v>No</v>
      </c>
      <c r="L880" s="38" t="str">
        <f aca="false">IF(K880&lt;&gt;"Yes","",IFERROR(INDEX(cr_Rate,MATCH(J880&amp;"|"&amp;D880,cr_Key,0)),INDEX(rt_Rate,MATCH(D880,rt_Code,0))))</f>
        <v/>
      </c>
      <c r="M880" s="25" t="str">
        <f aca="false">IF(L880="","",ROUND(N(E880)*L880,2))</f>
        <v/>
      </c>
      <c r="N880" s="39" t="n">
        <f aca="false">IF(OR(A880="",B880=""),"",SUMIFS(tl_Hours,tl_StaffID,I880,tl_Date,A880))</f>
        <v>8</v>
      </c>
      <c r="O880" s="40" t="str">
        <f aca="false">IF(A880&amp;B880&amp;D880="","",IF(OR(A880="",B880="",D880="",E880=""),"Incomplete",IF(K880="Unknown","Unknown code",IF(AND(K880="Yes",C880=""),"Billable, needs client",IF(N880&gt;MaxDayHours,"Over "&amp;MaxDayHours&amp;" hours that day","")))))</f>
        <v/>
      </c>
    </row>
    <row r="881" customFormat="false" ht="15" hidden="false" customHeight="false" outlineLevel="0" collapsed="false">
      <c r="A881" s="31" t="n">
        <v>46251</v>
      </c>
      <c r="B881" s="32" t="s">
        <v>107</v>
      </c>
      <c r="C881" s="32"/>
      <c r="D881" s="33" t="s">
        <v>98</v>
      </c>
      <c r="E881" s="34" t="n">
        <v>1</v>
      </c>
      <c r="F881" s="32"/>
      <c r="G881" s="35" t="n">
        <f aca="false">IF(A881="","",A881+7-WEEKDAY(A881))</f>
        <v>46256</v>
      </c>
      <c r="H881" s="36" t="n">
        <f aca="false">IF(A881="","",DATE(YEAR(A881),MONTH(A881),1))</f>
        <v>46235</v>
      </c>
      <c r="I881" s="37" t="str">
        <f aca="false">IF(B881="","",IFERROR(INDEX(st_ID,MATCH(B881,st_Name,0)),"Unknown"))</f>
        <v>QP-08</v>
      </c>
      <c r="J881" s="37" t="str">
        <f aca="false">IF(C881="","",IFERROR(INDEX(cl_Code,MATCH(C881,cl_Name,0)),"Unknown"))</f>
        <v/>
      </c>
      <c r="K881" s="37" t="str">
        <f aca="false">IF(D881="","",IFERROR(INDEX(rt_Billable,MATCH(D881,rt_Code,0)),"Unknown"))</f>
        <v>No</v>
      </c>
      <c r="L881" s="38" t="str">
        <f aca="false">IF(K881&lt;&gt;"Yes","",IFERROR(INDEX(cr_Rate,MATCH(J881&amp;"|"&amp;D881,cr_Key,0)),INDEX(rt_Rate,MATCH(D881,rt_Code,0))))</f>
        <v/>
      </c>
      <c r="M881" s="25" t="str">
        <f aca="false">IF(L881="","",ROUND(N(E881)*L881,2))</f>
        <v/>
      </c>
      <c r="N881" s="39" t="n">
        <f aca="false">IF(OR(A881="",B881=""),"",SUMIFS(tl_Hours,tl_StaffID,I881,tl_Date,A881))</f>
        <v>8</v>
      </c>
      <c r="O881" s="40" t="str">
        <f aca="false">IF(A881&amp;B881&amp;D881="","",IF(OR(A881="",B881="",D881="",E881=""),"Incomplete",IF(K881="Unknown","Unknown code",IF(AND(K881="Yes",C881=""),"Billable, needs client",IF(N881&gt;MaxDayHours,"Over "&amp;MaxDayHours&amp;" hours that day","")))))</f>
        <v/>
      </c>
    </row>
    <row r="882" customFormat="false" ht="15" hidden="false" customHeight="false" outlineLevel="0" collapsed="false">
      <c r="A882" s="31" t="n">
        <v>46252</v>
      </c>
      <c r="B882" s="32" t="s">
        <v>86</v>
      </c>
      <c r="C882" s="32" t="s">
        <v>90</v>
      </c>
      <c r="D882" s="33" t="s">
        <v>88</v>
      </c>
      <c r="E882" s="34" t="n">
        <v>4.25</v>
      </c>
      <c r="F882" s="32"/>
      <c r="G882" s="35" t="n">
        <f aca="false">IF(A882="","",A882+7-WEEKDAY(A882))</f>
        <v>46256</v>
      </c>
      <c r="H882" s="36" t="n">
        <f aca="false">IF(A882="","",DATE(YEAR(A882),MONTH(A882),1))</f>
        <v>46235</v>
      </c>
      <c r="I882" s="37" t="str">
        <f aca="false">IF(B882="","",IFERROR(INDEX(st_ID,MATCH(B882,st_Name,0)),"Unknown"))</f>
        <v>QP-01</v>
      </c>
      <c r="J882" s="37" t="str">
        <f aca="false">IF(C882="","",IFERROR(INDEX(cl_Code,MATCH(C882,cl_Name,0)),"Unknown"))</f>
        <v>BSE</v>
      </c>
      <c r="K882" s="37" t="str">
        <f aca="false">IF(D882="","",IFERROR(INDEX(rt_Billable,MATCH(D882,rt_Code,0)),"Unknown"))</f>
        <v>Yes</v>
      </c>
      <c r="L882" s="38" t="n">
        <f aca="false">IF(K882&lt;&gt;"Yes","",IFERROR(INDEX(cr_Rate,MATCH(J882&amp;"|"&amp;D882,cr_Key,0)),INDEX(rt_Rate,MATCH(D882,rt_Code,0))))</f>
        <v>104</v>
      </c>
      <c r="M882" s="25" t="n">
        <f aca="false">IF(L882="","",ROUND(N(E882)*L882,2))</f>
        <v>442</v>
      </c>
      <c r="N882" s="39" t="n">
        <f aca="false">IF(OR(A882="",B882=""),"",SUMIFS(tl_Hours,tl_StaffID,I882,tl_Date,A882))</f>
        <v>8</v>
      </c>
      <c r="O882" s="40" t="str">
        <f aca="false">IF(A882&amp;B882&amp;D882="","",IF(OR(A882="",B882="",D882="",E882=""),"Incomplete",IF(K882="Unknown","Unknown code",IF(AND(K882="Yes",C882=""),"Billable, needs client",IF(N882&gt;MaxDayHours,"Over "&amp;MaxDayHours&amp;" hours that day","")))))</f>
        <v/>
      </c>
    </row>
    <row r="883" customFormat="false" ht="15" hidden="false" customHeight="false" outlineLevel="0" collapsed="false">
      <c r="A883" s="31" t="n">
        <v>46252</v>
      </c>
      <c r="B883" s="32" t="s">
        <v>86</v>
      </c>
      <c r="C883" s="32" t="s">
        <v>90</v>
      </c>
      <c r="D883" s="33" t="s">
        <v>89</v>
      </c>
      <c r="E883" s="34" t="n">
        <v>1.25</v>
      </c>
      <c r="F883" s="32"/>
      <c r="G883" s="35" t="n">
        <f aca="false">IF(A883="","",A883+7-WEEKDAY(A883))</f>
        <v>46256</v>
      </c>
      <c r="H883" s="36" t="n">
        <f aca="false">IF(A883="","",DATE(YEAR(A883),MONTH(A883),1))</f>
        <v>46235</v>
      </c>
      <c r="I883" s="37" t="str">
        <f aca="false">IF(B883="","",IFERROR(INDEX(st_ID,MATCH(B883,st_Name,0)),"Unknown"))</f>
        <v>QP-01</v>
      </c>
      <c r="J883" s="37" t="str">
        <f aca="false">IF(C883="","",IFERROR(INDEX(cl_Code,MATCH(C883,cl_Name,0)),"Unknown"))</f>
        <v>BSE</v>
      </c>
      <c r="K883" s="37" t="str">
        <f aca="false">IF(D883="","",IFERROR(INDEX(rt_Billable,MATCH(D883,rt_Code,0)),"Unknown"))</f>
        <v>Yes</v>
      </c>
      <c r="L883" s="38" t="n">
        <f aca="false">IF(K883&lt;&gt;"Yes","",IFERROR(INDEX(cr_Rate,MATCH(J883&amp;"|"&amp;D883,cr_Key,0)),INDEX(rt_Rate,MATCH(D883,rt_Code,0))))</f>
        <v>95</v>
      </c>
      <c r="M883" s="25" t="n">
        <f aca="false">IF(L883="","",ROUND(N(E883)*L883,2))</f>
        <v>118.75</v>
      </c>
      <c r="N883" s="39" t="n">
        <f aca="false">IF(OR(A883="",B883=""),"",SUMIFS(tl_Hours,tl_StaffID,I883,tl_Date,A883))</f>
        <v>8</v>
      </c>
      <c r="O883" s="40" t="str">
        <f aca="false">IF(A883&amp;B883&amp;D883="","",IF(OR(A883="",B883="",D883="",E883=""),"Incomplete",IF(K883="Unknown","Unknown code",IF(AND(K883="Yes",C883=""),"Billable, needs client",IF(N883&gt;MaxDayHours,"Over "&amp;MaxDayHours&amp;" hours that day","")))))</f>
        <v/>
      </c>
    </row>
    <row r="884" customFormat="false" ht="15" hidden="false" customHeight="false" outlineLevel="0" collapsed="false">
      <c r="A884" s="31" t="n">
        <v>46252</v>
      </c>
      <c r="B884" s="32" t="s">
        <v>86</v>
      </c>
      <c r="C884" s="32"/>
      <c r="D884" s="33" t="s">
        <v>96</v>
      </c>
      <c r="E884" s="34" t="n">
        <v>2.5</v>
      </c>
      <c r="F884" s="32"/>
      <c r="G884" s="35" t="n">
        <f aca="false">IF(A884="","",A884+7-WEEKDAY(A884))</f>
        <v>46256</v>
      </c>
      <c r="H884" s="36" t="n">
        <f aca="false">IF(A884="","",DATE(YEAR(A884),MONTH(A884),1))</f>
        <v>46235</v>
      </c>
      <c r="I884" s="37" t="str">
        <f aca="false">IF(B884="","",IFERROR(INDEX(st_ID,MATCH(B884,st_Name,0)),"Unknown"))</f>
        <v>QP-01</v>
      </c>
      <c r="J884" s="37" t="str">
        <f aca="false">IF(C884="","",IFERROR(INDEX(cl_Code,MATCH(C884,cl_Name,0)),"Unknown"))</f>
        <v/>
      </c>
      <c r="K884" s="37" t="str">
        <f aca="false">IF(D884="","",IFERROR(INDEX(rt_Billable,MATCH(D884,rt_Code,0)),"Unknown"))</f>
        <v>No</v>
      </c>
      <c r="L884" s="38" t="str">
        <f aca="false">IF(K884&lt;&gt;"Yes","",IFERROR(INDEX(cr_Rate,MATCH(J884&amp;"|"&amp;D884,cr_Key,0)),INDEX(rt_Rate,MATCH(D884,rt_Code,0))))</f>
        <v/>
      </c>
      <c r="M884" s="25" t="str">
        <f aca="false">IF(L884="","",ROUND(N(E884)*L884,2))</f>
        <v/>
      </c>
      <c r="N884" s="39" t="n">
        <f aca="false">IF(OR(A884="",B884=""),"",SUMIFS(tl_Hours,tl_StaffID,I884,tl_Date,A884))</f>
        <v>8</v>
      </c>
      <c r="O884" s="40" t="str">
        <f aca="false">IF(A884&amp;B884&amp;D884="","",IF(OR(A884="",B884="",D884="",E884=""),"Incomplete",IF(K884="Unknown","Unknown code",IF(AND(K884="Yes",C884=""),"Billable, needs client",IF(N884&gt;MaxDayHours,"Over "&amp;MaxDayHours&amp;" hours that day","")))))</f>
        <v/>
      </c>
    </row>
    <row r="885" customFormat="false" ht="15" hidden="false" customHeight="false" outlineLevel="0" collapsed="false">
      <c r="A885" s="31" t="n">
        <v>46252</v>
      </c>
      <c r="B885" s="32" t="s">
        <v>100</v>
      </c>
      <c r="C885" s="32" t="s">
        <v>102</v>
      </c>
      <c r="D885" s="33" t="s">
        <v>104</v>
      </c>
      <c r="E885" s="34" t="n">
        <v>3.5</v>
      </c>
      <c r="F885" s="32"/>
      <c r="G885" s="35" t="n">
        <f aca="false">IF(A885="","",A885+7-WEEKDAY(A885))</f>
        <v>46256</v>
      </c>
      <c r="H885" s="36" t="n">
        <f aca="false">IF(A885="","",DATE(YEAR(A885),MONTH(A885),1))</f>
        <v>46235</v>
      </c>
      <c r="I885" s="37" t="str">
        <f aca="false">IF(B885="","",IFERROR(INDEX(st_ID,MATCH(B885,st_Name,0)),"Unknown"))</f>
        <v>QP-03</v>
      </c>
      <c r="J885" s="37" t="str">
        <f aca="false">IF(C885="","",IFERROR(INDEX(cl_Code,MATCH(C885,cl_Name,0)),"Unknown"))</f>
        <v>CLH</v>
      </c>
      <c r="K885" s="37" t="str">
        <f aca="false">IF(D885="","",IFERROR(INDEX(rt_Billable,MATCH(D885,rt_Code,0)),"Unknown"))</f>
        <v>Yes</v>
      </c>
      <c r="L885" s="38" t="n">
        <f aca="false">IF(K885&lt;&gt;"Yes","",IFERROR(INDEX(cr_Rate,MATCH(J885&amp;"|"&amp;D885,cr_Key,0)),INDEX(rt_Rate,MATCH(D885,rt_Code,0))))</f>
        <v>65</v>
      </c>
      <c r="M885" s="25" t="n">
        <f aca="false">IF(L885="","",ROUND(N(E885)*L885,2))</f>
        <v>227.5</v>
      </c>
      <c r="N885" s="39" t="n">
        <f aca="false">IF(OR(A885="",B885=""),"",SUMIFS(tl_Hours,tl_StaffID,I885,tl_Date,A885))</f>
        <v>8</v>
      </c>
      <c r="O885" s="40" t="str">
        <f aca="false">IF(A885&amp;B885&amp;D885="","",IF(OR(A885="",B885="",D885="",E885=""),"Incomplete",IF(K885="Unknown","Unknown code",IF(AND(K885="Yes",C885=""),"Billable, needs client",IF(N885&gt;MaxDayHours,"Over "&amp;MaxDayHours&amp;" hours that day","")))))</f>
        <v/>
      </c>
    </row>
    <row r="886" customFormat="false" ht="15" hidden="false" customHeight="false" outlineLevel="0" collapsed="false">
      <c r="A886" s="31" t="n">
        <v>46252</v>
      </c>
      <c r="B886" s="32" t="s">
        <v>100</v>
      </c>
      <c r="C886" s="32" t="s">
        <v>102</v>
      </c>
      <c r="D886" s="33" t="s">
        <v>89</v>
      </c>
      <c r="E886" s="34" t="n">
        <v>1.75</v>
      </c>
      <c r="F886" s="32"/>
      <c r="G886" s="35" t="n">
        <f aca="false">IF(A886="","",A886+7-WEEKDAY(A886))</f>
        <v>46256</v>
      </c>
      <c r="H886" s="36" t="n">
        <f aca="false">IF(A886="","",DATE(YEAR(A886),MONTH(A886),1))</f>
        <v>46235</v>
      </c>
      <c r="I886" s="37" t="str">
        <f aca="false">IF(B886="","",IFERROR(INDEX(st_ID,MATCH(B886,st_Name,0)),"Unknown"))</f>
        <v>QP-03</v>
      </c>
      <c r="J886" s="37" t="str">
        <f aca="false">IF(C886="","",IFERROR(INDEX(cl_Code,MATCH(C886,cl_Name,0)),"Unknown"))</f>
        <v>CLH</v>
      </c>
      <c r="K886" s="37" t="str">
        <f aca="false">IF(D886="","",IFERROR(INDEX(rt_Billable,MATCH(D886,rt_Code,0)),"Unknown"))</f>
        <v>Yes</v>
      </c>
      <c r="L886" s="38" t="n">
        <f aca="false">IF(K886&lt;&gt;"Yes","",IFERROR(INDEX(cr_Rate,MATCH(J886&amp;"|"&amp;D886,cr_Key,0)),INDEX(rt_Rate,MATCH(D886,rt_Code,0))))</f>
        <v>95</v>
      </c>
      <c r="M886" s="25" t="n">
        <f aca="false">IF(L886="","",ROUND(N(E886)*L886,2))</f>
        <v>166.25</v>
      </c>
      <c r="N886" s="39" t="n">
        <f aca="false">IF(OR(A886="",B886=""),"",SUMIFS(tl_Hours,tl_StaffID,I886,tl_Date,A886))</f>
        <v>8</v>
      </c>
      <c r="O886" s="40" t="str">
        <f aca="false">IF(A886&amp;B886&amp;D886="","",IF(OR(A886="",B886="",D886="",E886=""),"Incomplete",IF(K886="Unknown","Unknown code",IF(AND(K886="Yes",C886=""),"Billable, needs client",IF(N886&gt;MaxDayHours,"Over "&amp;MaxDayHours&amp;" hours that day","")))))</f>
        <v/>
      </c>
    </row>
    <row r="887" customFormat="false" ht="15" hidden="false" customHeight="false" outlineLevel="0" collapsed="false">
      <c r="A887" s="31" t="n">
        <v>46252</v>
      </c>
      <c r="B887" s="32" t="s">
        <v>100</v>
      </c>
      <c r="C887" s="32"/>
      <c r="D887" s="33" t="s">
        <v>96</v>
      </c>
      <c r="E887" s="34" t="n">
        <v>2.75</v>
      </c>
      <c r="F887" s="32"/>
      <c r="G887" s="35" t="n">
        <f aca="false">IF(A887="","",A887+7-WEEKDAY(A887))</f>
        <v>46256</v>
      </c>
      <c r="H887" s="36" t="n">
        <f aca="false">IF(A887="","",DATE(YEAR(A887),MONTH(A887),1))</f>
        <v>46235</v>
      </c>
      <c r="I887" s="37" t="str">
        <f aca="false">IF(B887="","",IFERROR(INDEX(st_ID,MATCH(B887,st_Name,0)),"Unknown"))</f>
        <v>QP-03</v>
      </c>
      <c r="J887" s="37" t="str">
        <f aca="false">IF(C887="","",IFERROR(INDEX(cl_Code,MATCH(C887,cl_Name,0)),"Unknown"))</f>
        <v/>
      </c>
      <c r="K887" s="37" t="str">
        <f aca="false">IF(D887="","",IFERROR(INDEX(rt_Billable,MATCH(D887,rt_Code,0)),"Unknown"))</f>
        <v>No</v>
      </c>
      <c r="L887" s="38" t="str">
        <f aca="false">IF(K887&lt;&gt;"Yes","",IFERROR(INDEX(cr_Rate,MATCH(J887&amp;"|"&amp;D887,cr_Key,0)),INDEX(rt_Rate,MATCH(D887,rt_Code,0))))</f>
        <v/>
      </c>
      <c r="M887" s="25" t="str">
        <f aca="false">IF(L887="","",ROUND(N(E887)*L887,2))</f>
        <v/>
      </c>
      <c r="N887" s="39" t="n">
        <f aca="false">IF(OR(A887="",B887=""),"",SUMIFS(tl_Hours,tl_StaffID,I887,tl_Date,A887))</f>
        <v>8</v>
      </c>
      <c r="O887" s="40" t="str">
        <f aca="false">IF(A887&amp;B887&amp;D887="","",IF(OR(A887="",B887="",D887="",E887=""),"Incomplete",IF(K887="Unknown","Unknown code",IF(AND(K887="Yes",C887=""),"Billable, needs client",IF(N887&gt;MaxDayHours,"Over "&amp;MaxDayHours&amp;" hours that day","")))))</f>
        <v/>
      </c>
    </row>
    <row r="888" customFormat="false" ht="15" hidden="false" customHeight="false" outlineLevel="0" collapsed="false">
      <c r="A888" s="31" t="n">
        <v>46252</v>
      </c>
      <c r="B888" s="32" t="s">
        <v>101</v>
      </c>
      <c r="C888" s="32" t="s">
        <v>112</v>
      </c>
      <c r="D888" s="33" t="s">
        <v>104</v>
      </c>
      <c r="E888" s="34" t="n">
        <v>2.25</v>
      </c>
      <c r="F888" s="32"/>
      <c r="G888" s="35" t="n">
        <f aca="false">IF(A888="","",A888+7-WEEKDAY(A888))</f>
        <v>46256</v>
      </c>
      <c r="H888" s="36" t="n">
        <f aca="false">IF(A888="","",DATE(YEAR(A888),MONTH(A888),1))</f>
        <v>46235</v>
      </c>
      <c r="I888" s="37" t="str">
        <f aca="false">IF(B888="","",IFERROR(INDEX(st_ID,MATCH(B888,st_Name,0)),"Unknown"))</f>
        <v>QP-04</v>
      </c>
      <c r="J888" s="37" t="str">
        <f aca="false">IF(C888="","",IFERROR(INDEX(cl_Code,MATCH(C888,cl_Name,0)),"Unknown"))</f>
        <v>PCA</v>
      </c>
      <c r="K888" s="37" t="str">
        <f aca="false">IF(D888="","",IFERROR(INDEX(rt_Billable,MATCH(D888,rt_Code,0)),"Unknown"))</f>
        <v>Yes</v>
      </c>
      <c r="L888" s="38" t="n">
        <f aca="false">IF(K888&lt;&gt;"Yes","",IFERROR(INDEX(cr_Rate,MATCH(J888&amp;"|"&amp;D888,cr_Key,0)),INDEX(rt_Rate,MATCH(D888,rt_Code,0))))</f>
        <v>70</v>
      </c>
      <c r="M888" s="25" t="n">
        <f aca="false">IF(L888="","",ROUND(N(E888)*L888,2))</f>
        <v>157.5</v>
      </c>
      <c r="N888" s="39" t="n">
        <f aca="false">IF(OR(A888="",B888=""),"",SUMIFS(tl_Hours,tl_StaffID,I888,tl_Date,A888))</f>
        <v>8</v>
      </c>
      <c r="O888" s="40" t="str">
        <f aca="false">IF(A888&amp;B888&amp;D888="","",IF(OR(A888="",B888="",D888="",E888=""),"Incomplete",IF(K888="Unknown","Unknown code",IF(AND(K888="Yes",C888=""),"Billable, needs client",IF(N888&gt;MaxDayHours,"Over "&amp;MaxDayHours&amp;" hours that day","")))))</f>
        <v/>
      </c>
    </row>
    <row r="889" customFormat="false" ht="15" hidden="false" customHeight="false" outlineLevel="0" collapsed="false">
      <c r="A889" s="31" t="n">
        <v>46252</v>
      </c>
      <c r="B889" s="32" t="s">
        <v>101</v>
      </c>
      <c r="C889" s="32" t="s">
        <v>112</v>
      </c>
      <c r="D889" s="33" t="s">
        <v>92</v>
      </c>
      <c r="E889" s="34" t="n">
        <v>0.75</v>
      </c>
      <c r="F889" s="32"/>
      <c r="G889" s="35" t="n">
        <f aca="false">IF(A889="","",A889+7-WEEKDAY(A889))</f>
        <v>46256</v>
      </c>
      <c r="H889" s="36" t="n">
        <f aca="false">IF(A889="","",DATE(YEAR(A889),MONTH(A889),1))</f>
        <v>46235</v>
      </c>
      <c r="I889" s="37" t="str">
        <f aca="false">IF(B889="","",IFERROR(INDEX(st_ID,MATCH(B889,st_Name,0)),"Unknown"))</f>
        <v>QP-04</v>
      </c>
      <c r="J889" s="37" t="str">
        <f aca="false">IF(C889="","",IFERROR(INDEX(cl_Code,MATCH(C889,cl_Name,0)),"Unknown"))</f>
        <v>PCA</v>
      </c>
      <c r="K889" s="37" t="str">
        <f aca="false">IF(D889="","",IFERROR(INDEX(rt_Billable,MATCH(D889,rt_Code,0)),"Unknown"))</f>
        <v>Yes</v>
      </c>
      <c r="L889" s="38" t="n">
        <f aca="false">IF(K889&lt;&gt;"Yes","",IFERROR(INDEX(cr_Rate,MATCH(J889&amp;"|"&amp;D889,cr_Key,0)),INDEX(rt_Rate,MATCH(D889,rt_Code,0))))</f>
        <v>150</v>
      </c>
      <c r="M889" s="25" t="n">
        <f aca="false">IF(L889="","",ROUND(N(E889)*L889,2))</f>
        <v>112.5</v>
      </c>
      <c r="N889" s="39" t="n">
        <f aca="false">IF(OR(A889="",B889=""),"",SUMIFS(tl_Hours,tl_StaffID,I889,tl_Date,A889))</f>
        <v>8</v>
      </c>
      <c r="O889" s="40" t="str">
        <f aca="false">IF(A889&amp;B889&amp;D889="","",IF(OR(A889="",B889="",D889="",E889=""),"Incomplete",IF(K889="Unknown","Unknown code",IF(AND(K889="Yes",C889=""),"Billable, needs client",IF(N889&gt;MaxDayHours,"Over "&amp;MaxDayHours&amp;" hours that day","")))))</f>
        <v/>
      </c>
    </row>
    <row r="890" customFormat="false" ht="15" hidden="false" customHeight="false" outlineLevel="0" collapsed="false">
      <c r="A890" s="31" t="n">
        <v>46252</v>
      </c>
      <c r="B890" s="32" t="s">
        <v>101</v>
      </c>
      <c r="C890" s="32" t="s">
        <v>87</v>
      </c>
      <c r="D890" s="33" t="s">
        <v>104</v>
      </c>
      <c r="E890" s="34" t="n">
        <v>2.25</v>
      </c>
      <c r="F890" s="32"/>
      <c r="G890" s="35" t="n">
        <f aca="false">IF(A890="","",A890+7-WEEKDAY(A890))</f>
        <v>46256</v>
      </c>
      <c r="H890" s="36" t="n">
        <f aca="false">IF(A890="","",DATE(YEAR(A890),MONTH(A890),1))</f>
        <v>46235</v>
      </c>
      <c r="I890" s="37" t="str">
        <f aca="false">IF(B890="","",IFERROR(INDEX(st_ID,MATCH(B890,st_Name,0)),"Unknown"))</f>
        <v>QP-04</v>
      </c>
      <c r="J890" s="37" t="str">
        <f aca="false">IF(C890="","",IFERROR(INDEX(cl_Code,MATCH(C890,cl_Name,0)),"Unknown"))</f>
        <v>HCS</v>
      </c>
      <c r="K890" s="37" t="str">
        <f aca="false">IF(D890="","",IFERROR(INDEX(rt_Billable,MATCH(D890,rt_Code,0)),"Unknown"))</f>
        <v>Yes</v>
      </c>
      <c r="L890" s="38" t="n">
        <f aca="false">IF(K890&lt;&gt;"Yes","",IFERROR(INDEX(cr_Rate,MATCH(J890&amp;"|"&amp;D890,cr_Key,0)),INDEX(rt_Rate,MATCH(D890,rt_Code,0))))</f>
        <v>62</v>
      </c>
      <c r="M890" s="25" t="n">
        <f aca="false">IF(L890="","",ROUND(N(E890)*L890,2))</f>
        <v>139.5</v>
      </c>
      <c r="N890" s="39" t="n">
        <f aca="false">IF(OR(A890="",B890=""),"",SUMIFS(tl_Hours,tl_StaffID,I890,tl_Date,A890))</f>
        <v>8</v>
      </c>
      <c r="O890" s="40" t="str">
        <f aca="false">IF(A890&amp;B890&amp;D890="","",IF(OR(A890="",B890="",D890="",E890=""),"Incomplete",IF(K890="Unknown","Unknown code",IF(AND(K890="Yes",C890=""),"Billable, needs client",IF(N890&gt;MaxDayHours,"Over "&amp;MaxDayHours&amp;" hours that day","")))))</f>
        <v/>
      </c>
    </row>
    <row r="891" customFormat="false" ht="15" hidden="false" customHeight="false" outlineLevel="0" collapsed="false">
      <c r="A891" s="31" t="n">
        <v>46252</v>
      </c>
      <c r="B891" s="32" t="s">
        <v>101</v>
      </c>
      <c r="C891" s="32" t="s">
        <v>87</v>
      </c>
      <c r="D891" s="33" t="s">
        <v>92</v>
      </c>
      <c r="E891" s="34" t="n">
        <v>0.75</v>
      </c>
      <c r="F891" s="32"/>
      <c r="G891" s="35" t="n">
        <f aca="false">IF(A891="","",A891+7-WEEKDAY(A891))</f>
        <v>46256</v>
      </c>
      <c r="H891" s="36" t="n">
        <f aca="false">IF(A891="","",DATE(YEAR(A891),MONTH(A891),1))</f>
        <v>46235</v>
      </c>
      <c r="I891" s="37" t="str">
        <f aca="false">IF(B891="","",IFERROR(INDEX(st_ID,MATCH(B891,st_Name,0)),"Unknown"))</f>
        <v>QP-04</v>
      </c>
      <c r="J891" s="37" t="str">
        <f aca="false">IF(C891="","",IFERROR(INDEX(cl_Code,MATCH(C891,cl_Name,0)),"Unknown"))</f>
        <v>HCS</v>
      </c>
      <c r="K891" s="37" t="str">
        <f aca="false">IF(D891="","",IFERROR(INDEX(rt_Billable,MATCH(D891,rt_Code,0)),"Unknown"))</f>
        <v>Yes</v>
      </c>
      <c r="L891" s="38" t="n">
        <f aca="false">IF(K891&lt;&gt;"Yes","",IFERROR(INDEX(cr_Rate,MATCH(J891&amp;"|"&amp;D891,cr_Key,0)),INDEX(rt_Rate,MATCH(D891,rt_Code,0))))</f>
        <v>140</v>
      </c>
      <c r="M891" s="25" t="n">
        <f aca="false">IF(L891="","",ROUND(N(E891)*L891,2))</f>
        <v>105</v>
      </c>
      <c r="N891" s="39" t="n">
        <f aca="false">IF(OR(A891="",B891=""),"",SUMIFS(tl_Hours,tl_StaffID,I891,tl_Date,A891))</f>
        <v>8</v>
      </c>
      <c r="O891" s="40" t="str">
        <f aca="false">IF(A891&amp;B891&amp;D891="","",IF(OR(A891="",B891="",D891="",E891=""),"Incomplete",IF(K891="Unknown","Unknown code",IF(AND(K891="Yes",C891=""),"Billable, needs client",IF(N891&gt;MaxDayHours,"Over "&amp;MaxDayHours&amp;" hours that day","")))))</f>
        <v/>
      </c>
    </row>
    <row r="892" customFormat="false" ht="15" hidden="false" customHeight="false" outlineLevel="0" collapsed="false">
      <c r="A892" s="31" t="n">
        <v>46252</v>
      </c>
      <c r="B892" s="32" t="s">
        <v>101</v>
      </c>
      <c r="C892" s="32"/>
      <c r="D892" s="33" t="s">
        <v>93</v>
      </c>
      <c r="E892" s="34" t="n">
        <v>0.5</v>
      </c>
      <c r="F892" s="32"/>
      <c r="G892" s="35" t="n">
        <f aca="false">IF(A892="","",A892+7-WEEKDAY(A892))</f>
        <v>46256</v>
      </c>
      <c r="H892" s="36" t="n">
        <f aca="false">IF(A892="","",DATE(YEAR(A892),MONTH(A892),1))</f>
        <v>46235</v>
      </c>
      <c r="I892" s="37" t="str">
        <f aca="false">IF(B892="","",IFERROR(INDEX(st_ID,MATCH(B892,st_Name,0)),"Unknown"))</f>
        <v>QP-04</v>
      </c>
      <c r="J892" s="37" t="str">
        <f aca="false">IF(C892="","",IFERROR(INDEX(cl_Code,MATCH(C892,cl_Name,0)),"Unknown"))</f>
        <v/>
      </c>
      <c r="K892" s="37" t="str">
        <f aca="false">IF(D892="","",IFERROR(INDEX(rt_Billable,MATCH(D892,rt_Code,0)),"Unknown"))</f>
        <v>No</v>
      </c>
      <c r="L892" s="38" t="str">
        <f aca="false">IF(K892&lt;&gt;"Yes","",IFERROR(INDEX(cr_Rate,MATCH(J892&amp;"|"&amp;D892,cr_Key,0)),INDEX(rt_Rate,MATCH(D892,rt_Code,0))))</f>
        <v/>
      </c>
      <c r="M892" s="25" t="str">
        <f aca="false">IF(L892="","",ROUND(N(E892)*L892,2))</f>
        <v/>
      </c>
      <c r="N892" s="39" t="n">
        <f aca="false">IF(OR(A892="",B892=""),"",SUMIFS(tl_Hours,tl_StaffID,I892,tl_Date,A892))</f>
        <v>8</v>
      </c>
      <c r="O892" s="40" t="str">
        <f aca="false">IF(A892&amp;B892&amp;D892="","",IF(OR(A892="",B892="",D892="",E892=""),"Incomplete",IF(K892="Unknown","Unknown code",IF(AND(K892="Yes",C892=""),"Billable, needs client",IF(N892&gt;MaxDayHours,"Over "&amp;MaxDayHours&amp;" hours that day","")))))</f>
        <v/>
      </c>
    </row>
    <row r="893" customFormat="false" ht="15" hidden="false" customHeight="false" outlineLevel="0" collapsed="false">
      <c r="A893" s="31" t="n">
        <v>46252</v>
      </c>
      <c r="B893" s="32" t="s">
        <v>101</v>
      </c>
      <c r="C893" s="32"/>
      <c r="D893" s="33" t="s">
        <v>96</v>
      </c>
      <c r="E893" s="34" t="n">
        <v>1.5</v>
      </c>
      <c r="F893" s="32"/>
      <c r="G893" s="35" t="n">
        <f aca="false">IF(A893="","",A893+7-WEEKDAY(A893))</f>
        <v>46256</v>
      </c>
      <c r="H893" s="36" t="n">
        <f aca="false">IF(A893="","",DATE(YEAR(A893),MONTH(A893),1))</f>
        <v>46235</v>
      </c>
      <c r="I893" s="37" t="str">
        <f aca="false">IF(B893="","",IFERROR(INDEX(st_ID,MATCH(B893,st_Name,0)),"Unknown"))</f>
        <v>QP-04</v>
      </c>
      <c r="J893" s="37" t="str">
        <f aca="false">IF(C893="","",IFERROR(INDEX(cl_Code,MATCH(C893,cl_Name,0)),"Unknown"))</f>
        <v/>
      </c>
      <c r="K893" s="37" t="str">
        <f aca="false">IF(D893="","",IFERROR(INDEX(rt_Billable,MATCH(D893,rt_Code,0)),"Unknown"))</f>
        <v>No</v>
      </c>
      <c r="L893" s="38" t="str">
        <f aca="false">IF(K893&lt;&gt;"Yes","",IFERROR(INDEX(cr_Rate,MATCH(J893&amp;"|"&amp;D893,cr_Key,0)),INDEX(rt_Rate,MATCH(D893,rt_Code,0))))</f>
        <v/>
      </c>
      <c r="M893" s="25" t="str">
        <f aca="false">IF(L893="","",ROUND(N(E893)*L893,2))</f>
        <v/>
      </c>
      <c r="N893" s="39" t="n">
        <f aca="false">IF(OR(A893="",B893=""),"",SUMIFS(tl_Hours,tl_StaffID,I893,tl_Date,A893))</f>
        <v>8</v>
      </c>
      <c r="O893" s="40" t="str">
        <f aca="false">IF(A893&amp;B893&amp;D893="","",IF(OR(A893="",B893="",D893="",E893=""),"Incomplete",IF(K893="Unknown","Unknown code",IF(AND(K893="Yes",C893=""),"Billable, needs client",IF(N893&gt;MaxDayHours,"Over "&amp;MaxDayHours&amp;" hours that day","")))))</f>
        <v/>
      </c>
    </row>
    <row r="894" customFormat="false" ht="15" hidden="false" customHeight="false" outlineLevel="0" collapsed="false">
      <c r="A894" s="31" t="n">
        <v>46252</v>
      </c>
      <c r="B894" s="32" t="s">
        <v>103</v>
      </c>
      <c r="C894" s="32" t="s">
        <v>111</v>
      </c>
      <c r="D894" s="33" t="s">
        <v>88</v>
      </c>
      <c r="E894" s="34" t="n">
        <v>1.5</v>
      </c>
      <c r="F894" s="32"/>
      <c r="G894" s="35" t="n">
        <f aca="false">IF(A894="","",A894+7-WEEKDAY(A894))</f>
        <v>46256</v>
      </c>
      <c r="H894" s="36" t="n">
        <f aca="false">IF(A894="","",DATE(YEAR(A894),MONTH(A894),1))</f>
        <v>46235</v>
      </c>
      <c r="I894" s="37" t="str">
        <f aca="false">IF(B894="","",IFERROR(INDEX(st_ID,MATCH(B894,st_Name,0)),"Unknown"))</f>
        <v>QP-05</v>
      </c>
      <c r="J894" s="37" t="str">
        <f aca="false">IF(C894="","",IFERROR(INDEX(cl_Code,MATCH(C894,cl_Name,0)),"Unknown"))</f>
        <v>WMS</v>
      </c>
      <c r="K894" s="37" t="str">
        <f aca="false">IF(D894="","",IFERROR(INDEX(rt_Billable,MATCH(D894,rt_Code,0)),"Unknown"))</f>
        <v>Yes</v>
      </c>
      <c r="L894" s="38" t="n">
        <f aca="false">IF(K894&lt;&gt;"Yes","",IFERROR(INDEX(cr_Rate,MATCH(J894&amp;"|"&amp;D894,cr_Key,0)),INDEX(rt_Rate,MATCH(D894,rt_Code,0))))</f>
        <v>110</v>
      </c>
      <c r="M894" s="25" t="n">
        <f aca="false">IF(L894="","",ROUND(N(E894)*L894,2))</f>
        <v>165</v>
      </c>
      <c r="N894" s="39" t="n">
        <f aca="false">IF(OR(A894="",B894=""),"",SUMIFS(tl_Hours,tl_StaffID,I894,tl_Date,A894))</f>
        <v>8</v>
      </c>
      <c r="O894" s="40" t="str">
        <f aca="false">IF(A894&amp;B894&amp;D894="","",IF(OR(A894="",B894="",D894="",E894=""),"Incomplete",IF(K894="Unknown","Unknown code",IF(AND(K894="Yes",C894=""),"Billable, needs client",IF(N894&gt;MaxDayHours,"Over "&amp;MaxDayHours&amp;" hours that day","")))))</f>
        <v/>
      </c>
    </row>
    <row r="895" customFormat="false" ht="15" hidden="false" customHeight="false" outlineLevel="0" collapsed="false">
      <c r="A895" s="31" t="n">
        <v>46252</v>
      </c>
      <c r="B895" s="32" t="s">
        <v>103</v>
      </c>
      <c r="C895" s="32" t="s">
        <v>111</v>
      </c>
      <c r="D895" s="33" t="s">
        <v>89</v>
      </c>
      <c r="E895" s="34" t="n">
        <v>1.25</v>
      </c>
      <c r="F895" s="32"/>
      <c r="G895" s="35" t="n">
        <f aca="false">IF(A895="","",A895+7-WEEKDAY(A895))</f>
        <v>46256</v>
      </c>
      <c r="H895" s="36" t="n">
        <f aca="false">IF(A895="","",DATE(YEAR(A895),MONTH(A895),1))</f>
        <v>46235</v>
      </c>
      <c r="I895" s="37" t="str">
        <f aca="false">IF(B895="","",IFERROR(INDEX(st_ID,MATCH(B895,st_Name,0)),"Unknown"))</f>
        <v>QP-05</v>
      </c>
      <c r="J895" s="37" t="str">
        <f aca="false">IF(C895="","",IFERROR(INDEX(cl_Code,MATCH(C895,cl_Name,0)),"Unknown"))</f>
        <v>WMS</v>
      </c>
      <c r="K895" s="37" t="str">
        <f aca="false">IF(D895="","",IFERROR(INDEX(rt_Billable,MATCH(D895,rt_Code,0)),"Unknown"))</f>
        <v>Yes</v>
      </c>
      <c r="L895" s="38" t="n">
        <f aca="false">IF(K895&lt;&gt;"Yes","",IFERROR(INDEX(cr_Rate,MATCH(J895&amp;"|"&amp;D895,cr_Key,0)),INDEX(rt_Rate,MATCH(D895,rt_Code,0))))</f>
        <v>95</v>
      </c>
      <c r="M895" s="25" t="n">
        <f aca="false">IF(L895="","",ROUND(N(E895)*L895,2))</f>
        <v>118.75</v>
      </c>
      <c r="N895" s="39" t="n">
        <f aca="false">IF(OR(A895="",B895=""),"",SUMIFS(tl_Hours,tl_StaffID,I895,tl_Date,A895))</f>
        <v>8</v>
      </c>
      <c r="O895" s="40" t="str">
        <f aca="false">IF(A895&amp;B895&amp;D895="","",IF(OR(A895="",B895="",D895="",E895=""),"Incomplete",IF(K895="Unknown","Unknown code",IF(AND(K895="Yes",C895=""),"Billable, needs client",IF(N895&gt;MaxDayHours,"Over "&amp;MaxDayHours&amp;" hours that day","")))))</f>
        <v/>
      </c>
    </row>
    <row r="896" customFormat="false" ht="15" hidden="false" customHeight="false" outlineLevel="0" collapsed="false">
      <c r="A896" s="31" t="n">
        <v>46252</v>
      </c>
      <c r="B896" s="32" t="s">
        <v>103</v>
      </c>
      <c r="C896" s="32" t="s">
        <v>90</v>
      </c>
      <c r="D896" s="33" t="s">
        <v>88</v>
      </c>
      <c r="E896" s="34" t="n">
        <v>1.75</v>
      </c>
      <c r="F896" s="32"/>
      <c r="G896" s="35" t="n">
        <f aca="false">IF(A896="","",A896+7-WEEKDAY(A896))</f>
        <v>46256</v>
      </c>
      <c r="H896" s="36" t="n">
        <f aca="false">IF(A896="","",DATE(YEAR(A896),MONTH(A896),1))</f>
        <v>46235</v>
      </c>
      <c r="I896" s="37" t="str">
        <f aca="false">IF(B896="","",IFERROR(INDEX(st_ID,MATCH(B896,st_Name,0)),"Unknown"))</f>
        <v>QP-05</v>
      </c>
      <c r="J896" s="37" t="str">
        <f aca="false">IF(C896="","",IFERROR(INDEX(cl_Code,MATCH(C896,cl_Name,0)),"Unknown"))</f>
        <v>BSE</v>
      </c>
      <c r="K896" s="37" t="str">
        <f aca="false">IF(D896="","",IFERROR(INDEX(rt_Billable,MATCH(D896,rt_Code,0)),"Unknown"))</f>
        <v>Yes</v>
      </c>
      <c r="L896" s="38" t="n">
        <f aca="false">IF(K896&lt;&gt;"Yes","",IFERROR(INDEX(cr_Rate,MATCH(J896&amp;"|"&amp;D896,cr_Key,0)),INDEX(rt_Rate,MATCH(D896,rt_Code,0))))</f>
        <v>104</v>
      </c>
      <c r="M896" s="25" t="n">
        <f aca="false">IF(L896="","",ROUND(N(E896)*L896,2))</f>
        <v>182</v>
      </c>
      <c r="N896" s="39" t="n">
        <f aca="false">IF(OR(A896="",B896=""),"",SUMIFS(tl_Hours,tl_StaffID,I896,tl_Date,A896))</f>
        <v>8</v>
      </c>
      <c r="O896" s="40" t="str">
        <f aca="false">IF(A896&amp;B896&amp;D896="","",IF(OR(A896="",B896="",D896="",E896=""),"Incomplete",IF(K896="Unknown","Unknown code",IF(AND(K896="Yes",C896=""),"Billable, needs client",IF(N896&gt;MaxDayHours,"Over "&amp;MaxDayHours&amp;" hours that day","")))))</f>
        <v/>
      </c>
    </row>
    <row r="897" customFormat="false" ht="15" hidden="false" customHeight="false" outlineLevel="0" collapsed="false">
      <c r="A897" s="31" t="n">
        <v>46252</v>
      </c>
      <c r="B897" s="32" t="s">
        <v>103</v>
      </c>
      <c r="C897" s="32" t="s">
        <v>90</v>
      </c>
      <c r="D897" s="33" t="s">
        <v>104</v>
      </c>
      <c r="E897" s="34" t="n">
        <v>1</v>
      </c>
      <c r="F897" s="32"/>
      <c r="G897" s="35" t="n">
        <f aca="false">IF(A897="","",A897+7-WEEKDAY(A897))</f>
        <v>46256</v>
      </c>
      <c r="H897" s="36" t="n">
        <f aca="false">IF(A897="","",DATE(YEAR(A897),MONTH(A897),1))</f>
        <v>46235</v>
      </c>
      <c r="I897" s="37" t="str">
        <f aca="false">IF(B897="","",IFERROR(INDEX(st_ID,MATCH(B897,st_Name,0)),"Unknown"))</f>
        <v>QP-05</v>
      </c>
      <c r="J897" s="37" t="str">
        <f aca="false">IF(C897="","",IFERROR(INDEX(cl_Code,MATCH(C897,cl_Name,0)),"Unknown"))</f>
        <v>BSE</v>
      </c>
      <c r="K897" s="37" t="str">
        <f aca="false">IF(D897="","",IFERROR(INDEX(rt_Billable,MATCH(D897,rt_Code,0)),"Unknown"))</f>
        <v>Yes</v>
      </c>
      <c r="L897" s="38" t="n">
        <f aca="false">IF(K897&lt;&gt;"Yes","",IFERROR(INDEX(cr_Rate,MATCH(J897&amp;"|"&amp;D897,cr_Key,0)),INDEX(rt_Rate,MATCH(D897,rt_Code,0))))</f>
        <v>70</v>
      </c>
      <c r="M897" s="25" t="n">
        <f aca="false">IF(L897="","",ROUND(N(E897)*L897,2))</f>
        <v>70</v>
      </c>
      <c r="N897" s="39" t="n">
        <f aca="false">IF(OR(A897="",B897=""),"",SUMIFS(tl_Hours,tl_StaffID,I897,tl_Date,A897))</f>
        <v>8</v>
      </c>
      <c r="O897" s="40" t="str">
        <f aca="false">IF(A897&amp;B897&amp;D897="","",IF(OR(A897="",B897="",D897="",E897=""),"Incomplete",IF(K897="Unknown","Unknown code",IF(AND(K897="Yes",C897=""),"Billable, needs client",IF(N897&gt;MaxDayHours,"Over "&amp;MaxDayHours&amp;" hours that day","")))))</f>
        <v/>
      </c>
    </row>
    <row r="898" customFormat="false" ht="15" hidden="false" customHeight="false" outlineLevel="0" collapsed="false">
      <c r="A898" s="31" t="n">
        <v>46252</v>
      </c>
      <c r="B898" s="32" t="s">
        <v>103</v>
      </c>
      <c r="C898" s="32"/>
      <c r="D898" s="33" t="s">
        <v>93</v>
      </c>
      <c r="E898" s="34" t="n">
        <v>0.5</v>
      </c>
      <c r="F898" s="32"/>
      <c r="G898" s="35" t="n">
        <f aca="false">IF(A898="","",A898+7-WEEKDAY(A898))</f>
        <v>46256</v>
      </c>
      <c r="H898" s="36" t="n">
        <f aca="false">IF(A898="","",DATE(YEAR(A898),MONTH(A898),1))</f>
        <v>46235</v>
      </c>
      <c r="I898" s="37" t="str">
        <f aca="false">IF(B898="","",IFERROR(INDEX(st_ID,MATCH(B898,st_Name,0)),"Unknown"))</f>
        <v>QP-05</v>
      </c>
      <c r="J898" s="37" t="str">
        <f aca="false">IF(C898="","",IFERROR(INDEX(cl_Code,MATCH(C898,cl_Name,0)),"Unknown"))</f>
        <v/>
      </c>
      <c r="K898" s="37" t="str">
        <f aca="false">IF(D898="","",IFERROR(INDEX(rt_Billable,MATCH(D898,rt_Code,0)),"Unknown"))</f>
        <v>No</v>
      </c>
      <c r="L898" s="38" t="str">
        <f aca="false">IF(K898&lt;&gt;"Yes","",IFERROR(INDEX(cr_Rate,MATCH(J898&amp;"|"&amp;D898,cr_Key,0)),INDEX(rt_Rate,MATCH(D898,rt_Code,0))))</f>
        <v/>
      </c>
      <c r="M898" s="25" t="str">
        <f aca="false">IF(L898="","",ROUND(N(E898)*L898,2))</f>
        <v/>
      </c>
      <c r="N898" s="39" t="n">
        <f aca="false">IF(OR(A898="",B898=""),"",SUMIFS(tl_Hours,tl_StaffID,I898,tl_Date,A898))</f>
        <v>8</v>
      </c>
      <c r="O898" s="40" t="str">
        <f aca="false">IF(A898&amp;B898&amp;D898="","",IF(OR(A898="",B898="",D898="",E898=""),"Incomplete",IF(K898="Unknown","Unknown code",IF(AND(K898="Yes",C898=""),"Billable, needs client",IF(N898&gt;MaxDayHours,"Over "&amp;MaxDayHours&amp;" hours that day","")))))</f>
        <v/>
      </c>
    </row>
    <row r="899" customFormat="false" ht="15" hidden="false" customHeight="false" outlineLevel="0" collapsed="false">
      <c r="A899" s="31" t="n">
        <v>46252</v>
      </c>
      <c r="B899" s="32" t="s">
        <v>103</v>
      </c>
      <c r="C899" s="32"/>
      <c r="D899" s="33" t="s">
        <v>96</v>
      </c>
      <c r="E899" s="34" t="n">
        <v>2</v>
      </c>
      <c r="F899" s="32"/>
      <c r="G899" s="35" t="n">
        <f aca="false">IF(A899="","",A899+7-WEEKDAY(A899))</f>
        <v>46256</v>
      </c>
      <c r="H899" s="36" t="n">
        <f aca="false">IF(A899="","",DATE(YEAR(A899),MONTH(A899),1))</f>
        <v>46235</v>
      </c>
      <c r="I899" s="37" t="str">
        <f aca="false">IF(B899="","",IFERROR(INDEX(st_ID,MATCH(B899,st_Name,0)),"Unknown"))</f>
        <v>QP-05</v>
      </c>
      <c r="J899" s="37" t="str">
        <f aca="false">IF(C899="","",IFERROR(INDEX(cl_Code,MATCH(C899,cl_Name,0)),"Unknown"))</f>
        <v/>
      </c>
      <c r="K899" s="37" t="str">
        <f aca="false">IF(D899="","",IFERROR(INDEX(rt_Billable,MATCH(D899,rt_Code,0)),"Unknown"))</f>
        <v>No</v>
      </c>
      <c r="L899" s="38" t="str">
        <f aca="false">IF(K899&lt;&gt;"Yes","",IFERROR(INDEX(cr_Rate,MATCH(J899&amp;"|"&amp;D899,cr_Key,0)),INDEX(rt_Rate,MATCH(D899,rt_Code,0))))</f>
        <v/>
      </c>
      <c r="M899" s="25" t="str">
        <f aca="false">IF(L899="","",ROUND(N(E899)*L899,2))</f>
        <v/>
      </c>
      <c r="N899" s="39" t="n">
        <f aca="false">IF(OR(A899="",B899=""),"",SUMIFS(tl_Hours,tl_StaffID,I899,tl_Date,A899))</f>
        <v>8</v>
      </c>
      <c r="O899" s="40" t="str">
        <f aca="false">IF(A899&amp;B899&amp;D899="","",IF(OR(A899="",B899="",D899="",E899=""),"Incomplete",IF(K899="Unknown","Unknown code",IF(AND(K899="Yes",C899=""),"Billable, needs client",IF(N899&gt;MaxDayHours,"Over "&amp;MaxDayHours&amp;" hours that day","")))))</f>
        <v/>
      </c>
    </row>
    <row r="900" customFormat="false" ht="15" hidden="false" customHeight="false" outlineLevel="0" collapsed="false">
      <c r="A900" s="31" t="n">
        <v>46252</v>
      </c>
      <c r="B900" s="32" t="s">
        <v>105</v>
      </c>
      <c r="C900" s="32" t="s">
        <v>90</v>
      </c>
      <c r="D900" s="33" t="s">
        <v>91</v>
      </c>
      <c r="E900" s="34" t="n">
        <v>1.5</v>
      </c>
      <c r="F900" s="32"/>
      <c r="G900" s="35" t="n">
        <f aca="false">IF(A900="","",A900+7-WEEKDAY(A900))</f>
        <v>46256</v>
      </c>
      <c r="H900" s="36" t="n">
        <f aca="false">IF(A900="","",DATE(YEAR(A900),MONTH(A900),1))</f>
        <v>46235</v>
      </c>
      <c r="I900" s="37" t="str">
        <f aca="false">IF(B900="","",IFERROR(INDEX(st_ID,MATCH(B900,st_Name,0)),"Unknown"))</f>
        <v>QP-06</v>
      </c>
      <c r="J900" s="37" t="str">
        <f aca="false">IF(C900="","",IFERROR(INDEX(cl_Code,MATCH(C900,cl_Name,0)),"Unknown"))</f>
        <v>BSE</v>
      </c>
      <c r="K900" s="37" t="str">
        <f aca="false">IF(D900="","",IFERROR(INDEX(rt_Billable,MATCH(D900,rt_Code,0)),"Unknown"))</f>
        <v>Yes</v>
      </c>
      <c r="L900" s="38" t="n">
        <f aca="false">IF(K900&lt;&gt;"Yes","",IFERROR(INDEX(cr_Rate,MATCH(J900&amp;"|"&amp;D900,cr_Key,0)),INDEX(rt_Rate,MATCH(D900,rt_Code,0))))</f>
        <v>100</v>
      </c>
      <c r="M900" s="25" t="n">
        <f aca="false">IF(L900="","",ROUND(N(E900)*L900,2))</f>
        <v>150</v>
      </c>
      <c r="N900" s="39" t="n">
        <f aca="false">IF(OR(A900="",B900=""),"",SUMIFS(tl_Hours,tl_StaffID,I900,tl_Date,A900))</f>
        <v>8</v>
      </c>
      <c r="O900" s="40" t="str">
        <f aca="false">IF(A900&amp;B900&amp;D900="","",IF(OR(A900="",B900="",D900="",E900=""),"Incomplete",IF(K900="Unknown","Unknown code",IF(AND(K900="Yes",C900=""),"Billable, needs client",IF(N900&gt;MaxDayHours,"Over "&amp;MaxDayHours&amp;" hours that day","")))))</f>
        <v/>
      </c>
    </row>
    <row r="901" customFormat="false" ht="15" hidden="false" customHeight="false" outlineLevel="0" collapsed="false">
      <c r="A901" s="31" t="n">
        <v>46252</v>
      </c>
      <c r="B901" s="32" t="s">
        <v>105</v>
      </c>
      <c r="C901" s="32" t="s">
        <v>90</v>
      </c>
      <c r="D901" s="33" t="s">
        <v>89</v>
      </c>
      <c r="E901" s="34" t="n">
        <v>1</v>
      </c>
      <c r="F901" s="32"/>
      <c r="G901" s="35" t="n">
        <f aca="false">IF(A901="","",A901+7-WEEKDAY(A901))</f>
        <v>46256</v>
      </c>
      <c r="H901" s="36" t="n">
        <f aca="false">IF(A901="","",DATE(YEAR(A901),MONTH(A901),1))</f>
        <v>46235</v>
      </c>
      <c r="I901" s="37" t="str">
        <f aca="false">IF(B901="","",IFERROR(INDEX(st_ID,MATCH(B901,st_Name,0)),"Unknown"))</f>
        <v>QP-06</v>
      </c>
      <c r="J901" s="37" t="str">
        <f aca="false">IF(C901="","",IFERROR(INDEX(cl_Code,MATCH(C901,cl_Name,0)),"Unknown"))</f>
        <v>BSE</v>
      </c>
      <c r="K901" s="37" t="str">
        <f aca="false">IF(D901="","",IFERROR(INDEX(rt_Billable,MATCH(D901,rt_Code,0)),"Unknown"))</f>
        <v>Yes</v>
      </c>
      <c r="L901" s="38" t="n">
        <f aca="false">IF(K901&lt;&gt;"Yes","",IFERROR(INDEX(cr_Rate,MATCH(J901&amp;"|"&amp;D901,cr_Key,0)),INDEX(rt_Rate,MATCH(D901,rt_Code,0))))</f>
        <v>95</v>
      </c>
      <c r="M901" s="25" t="n">
        <f aca="false">IF(L901="","",ROUND(N(E901)*L901,2))</f>
        <v>95</v>
      </c>
      <c r="N901" s="39" t="n">
        <f aca="false">IF(OR(A901="",B901=""),"",SUMIFS(tl_Hours,tl_StaffID,I901,tl_Date,A901))</f>
        <v>8</v>
      </c>
      <c r="O901" s="40" t="str">
        <f aca="false">IF(A901&amp;B901&amp;D901="","",IF(OR(A901="",B901="",D901="",E901=""),"Incomplete",IF(K901="Unknown","Unknown code",IF(AND(K901="Yes",C901=""),"Billable, needs client",IF(N901&gt;MaxDayHours,"Over "&amp;MaxDayHours&amp;" hours that day","")))))</f>
        <v/>
      </c>
    </row>
    <row r="902" customFormat="false" ht="15" hidden="false" customHeight="false" outlineLevel="0" collapsed="false">
      <c r="A902" s="31" t="n">
        <v>46252</v>
      </c>
      <c r="B902" s="32" t="s">
        <v>105</v>
      </c>
      <c r="C902" s="32" t="s">
        <v>87</v>
      </c>
      <c r="D902" s="33" t="s">
        <v>88</v>
      </c>
      <c r="E902" s="34" t="n">
        <v>1.5</v>
      </c>
      <c r="F902" s="32"/>
      <c r="G902" s="35" t="n">
        <f aca="false">IF(A902="","",A902+7-WEEKDAY(A902))</f>
        <v>46256</v>
      </c>
      <c r="H902" s="36" t="n">
        <f aca="false">IF(A902="","",DATE(YEAR(A902),MONTH(A902),1))</f>
        <v>46235</v>
      </c>
      <c r="I902" s="37" t="str">
        <f aca="false">IF(B902="","",IFERROR(INDEX(st_ID,MATCH(B902,st_Name,0)),"Unknown"))</f>
        <v>QP-06</v>
      </c>
      <c r="J902" s="37" t="str">
        <f aca="false">IF(C902="","",IFERROR(INDEX(cl_Code,MATCH(C902,cl_Name,0)),"Unknown"))</f>
        <v>HCS</v>
      </c>
      <c r="K902" s="37" t="str">
        <f aca="false">IF(D902="","",IFERROR(INDEX(rt_Billable,MATCH(D902,rt_Code,0)),"Unknown"))</f>
        <v>Yes</v>
      </c>
      <c r="L902" s="38" t="n">
        <f aca="false">IF(K902&lt;&gt;"Yes","",IFERROR(INDEX(cr_Rate,MATCH(J902&amp;"|"&amp;D902,cr_Key,0)),INDEX(rt_Rate,MATCH(D902,rt_Code,0))))</f>
        <v>98</v>
      </c>
      <c r="M902" s="25" t="n">
        <f aca="false">IF(L902="","",ROUND(N(E902)*L902,2))</f>
        <v>147</v>
      </c>
      <c r="N902" s="39" t="n">
        <f aca="false">IF(OR(A902="",B902=""),"",SUMIFS(tl_Hours,tl_StaffID,I902,tl_Date,A902))</f>
        <v>8</v>
      </c>
      <c r="O902" s="40" t="str">
        <f aca="false">IF(A902&amp;B902&amp;D902="","",IF(OR(A902="",B902="",D902="",E902=""),"Incomplete",IF(K902="Unknown","Unknown code",IF(AND(K902="Yes",C902=""),"Billable, needs client",IF(N902&gt;MaxDayHours,"Over "&amp;MaxDayHours&amp;" hours that day","")))))</f>
        <v/>
      </c>
    </row>
    <row r="903" customFormat="false" ht="15" hidden="false" customHeight="false" outlineLevel="0" collapsed="false">
      <c r="A903" s="31" t="n">
        <v>46252</v>
      </c>
      <c r="B903" s="32" t="s">
        <v>105</v>
      </c>
      <c r="C903" s="32" t="s">
        <v>87</v>
      </c>
      <c r="D903" s="33" t="s">
        <v>92</v>
      </c>
      <c r="E903" s="34" t="n">
        <v>1</v>
      </c>
      <c r="F903" s="32"/>
      <c r="G903" s="35" t="n">
        <f aca="false">IF(A903="","",A903+7-WEEKDAY(A903))</f>
        <v>46256</v>
      </c>
      <c r="H903" s="36" t="n">
        <f aca="false">IF(A903="","",DATE(YEAR(A903),MONTH(A903),1))</f>
        <v>46235</v>
      </c>
      <c r="I903" s="37" t="str">
        <f aca="false">IF(B903="","",IFERROR(INDEX(st_ID,MATCH(B903,st_Name,0)),"Unknown"))</f>
        <v>QP-06</v>
      </c>
      <c r="J903" s="37" t="str">
        <f aca="false">IF(C903="","",IFERROR(INDEX(cl_Code,MATCH(C903,cl_Name,0)),"Unknown"))</f>
        <v>HCS</v>
      </c>
      <c r="K903" s="37" t="str">
        <f aca="false">IF(D903="","",IFERROR(INDEX(rt_Billable,MATCH(D903,rt_Code,0)),"Unknown"))</f>
        <v>Yes</v>
      </c>
      <c r="L903" s="38" t="n">
        <f aca="false">IF(K903&lt;&gt;"Yes","",IFERROR(INDEX(cr_Rate,MATCH(J903&amp;"|"&amp;D903,cr_Key,0)),INDEX(rt_Rate,MATCH(D903,rt_Code,0))))</f>
        <v>140</v>
      </c>
      <c r="M903" s="25" t="n">
        <f aca="false">IF(L903="","",ROUND(N(E903)*L903,2))</f>
        <v>140</v>
      </c>
      <c r="N903" s="39" t="n">
        <f aca="false">IF(OR(A903="",B903=""),"",SUMIFS(tl_Hours,tl_StaffID,I903,tl_Date,A903))</f>
        <v>8</v>
      </c>
      <c r="O903" s="40" t="str">
        <f aca="false">IF(A903&amp;B903&amp;D903="","",IF(OR(A903="",B903="",D903="",E903=""),"Incomplete",IF(K903="Unknown","Unknown code",IF(AND(K903="Yes",C903=""),"Billable, needs client",IF(N903&gt;MaxDayHours,"Over "&amp;MaxDayHours&amp;" hours that day","")))))</f>
        <v/>
      </c>
    </row>
    <row r="904" customFormat="false" ht="15" hidden="false" customHeight="false" outlineLevel="0" collapsed="false">
      <c r="A904" s="31" t="n">
        <v>46252</v>
      </c>
      <c r="B904" s="32" t="s">
        <v>105</v>
      </c>
      <c r="C904" s="32"/>
      <c r="D904" s="33" t="s">
        <v>93</v>
      </c>
      <c r="E904" s="34" t="n">
        <v>0.5</v>
      </c>
      <c r="F904" s="32"/>
      <c r="G904" s="35" t="n">
        <f aca="false">IF(A904="","",A904+7-WEEKDAY(A904))</f>
        <v>46256</v>
      </c>
      <c r="H904" s="36" t="n">
        <f aca="false">IF(A904="","",DATE(YEAR(A904),MONTH(A904),1))</f>
        <v>46235</v>
      </c>
      <c r="I904" s="37" t="str">
        <f aca="false">IF(B904="","",IFERROR(INDEX(st_ID,MATCH(B904,st_Name,0)),"Unknown"))</f>
        <v>QP-06</v>
      </c>
      <c r="J904" s="37" t="str">
        <f aca="false">IF(C904="","",IFERROR(INDEX(cl_Code,MATCH(C904,cl_Name,0)),"Unknown"))</f>
        <v/>
      </c>
      <c r="K904" s="37" t="str">
        <f aca="false">IF(D904="","",IFERROR(INDEX(rt_Billable,MATCH(D904,rt_Code,0)),"Unknown"))</f>
        <v>No</v>
      </c>
      <c r="L904" s="38" t="str">
        <f aca="false">IF(K904&lt;&gt;"Yes","",IFERROR(INDEX(cr_Rate,MATCH(J904&amp;"|"&amp;D904,cr_Key,0)),INDEX(rt_Rate,MATCH(D904,rt_Code,0))))</f>
        <v/>
      </c>
      <c r="M904" s="25" t="str">
        <f aca="false">IF(L904="","",ROUND(N(E904)*L904,2))</f>
        <v/>
      </c>
      <c r="N904" s="39" t="n">
        <f aca="false">IF(OR(A904="",B904=""),"",SUMIFS(tl_Hours,tl_StaffID,I904,tl_Date,A904))</f>
        <v>8</v>
      </c>
      <c r="O904" s="40" t="str">
        <f aca="false">IF(A904&amp;B904&amp;D904="","",IF(OR(A904="",B904="",D904="",E904=""),"Incomplete",IF(K904="Unknown","Unknown code",IF(AND(K904="Yes",C904=""),"Billable, needs client",IF(N904&gt;MaxDayHours,"Over "&amp;MaxDayHours&amp;" hours that day","")))))</f>
        <v/>
      </c>
    </row>
    <row r="905" customFormat="false" ht="15" hidden="false" customHeight="false" outlineLevel="0" collapsed="false">
      <c r="A905" s="31" t="n">
        <v>46252</v>
      </c>
      <c r="B905" s="32" t="s">
        <v>105</v>
      </c>
      <c r="C905" s="32"/>
      <c r="D905" s="33" t="s">
        <v>96</v>
      </c>
      <c r="E905" s="34" t="n">
        <v>2.5</v>
      </c>
      <c r="F905" s="32"/>
      <c r="G905" s="35" t="n">
        <f aca="false">IF(A905="","",A905+7-WEEKDAY(A905))</f>
        <v>46256</v>
      </c>
      <c r="H905" s="36" t="n">
        <f aca="false">IF(A905="","",DATE(YEAR(A905),MONTH(A905),1))</f>
        <v>46235</v>
      </c>
      <c r="I905" s="37" t="str">
        <f aca="false">IF(B905="","",IFERROR(INDEX(st_ID,MATCH(B905,st_Name,0)),"Unknown"))</f>
        <v>QP-06</v>
      </c>
      <c r="J905" s="37" t="str">
        <f aca="false">IF(C905="","",IFERROR(INDEX(cl_Code,MATCH(C905,cl_Name,0)),"Unknown"))</f>
        <v/>
      </c>
      <c r="K905" s="37" t="str">
        <f aca="false">IF(D905="","",IFERROR(INDEX(rt_Billable,MATCH(D905,rt_Code,0)),"Unknown"))</f>
        <v>No</v>
      </c>
      <c r="L905" s="38" t="str">
        <f aca="false">IF(K905&lt;&gt;"Yes","",IFERROR(INDEX(cr_Rate,MATCH(J905&amp;"|"&amp;D905,cr_Key,0)),INDEX(rt_Rate,MATCH(D905,rt_Code,0))))</f>
        <v/>
      </c>
      <c r="M905" s="25" t="str">
        <f aca="false">IF(L905="","",ROUND(N(E905)*L905,2))</f>
        <v/>
      </c>
      <c r="N905" s="39" t="n">
        <f aca="false">IF(OR(A905="",B905=""),"",SUMIFS(tl_Hours,tl_StaffID,I905,tl_Date,A905))</f>
        <v>8</v>
      </c>
      <c r="O905" s="40" t="str">
        <f aca="false">IF(A905&amp;B905&amp;D905="","",IF(OR(A905="",B905="",D905="",E905=""),"Incomplete",IF(K905="Unknown","Unknown code",IF(AND(K905="Yes",C905=""),"Billable, needs client",IF(N905&gt;MaxDayHours,"Over "&amp;MaxDayHours&amp;" hours that day","")))))</f>
        <v/>
      </c>
    </row>
    <row r="906" customFormat="false" ht="15" hidden="false" customHeight="false" outlineLevel="0" collapsed="false">
      <c r="A906" s="31" t="n">
        <v>46252</v>
      </c>
      <c r="B906" s="32" t="s">
        <v>106</v>
      </c>
      <c r="C906" s="32" t="s">
        <v>102</v>
      </c>
      <c r="D906" s="33" t="s">
        <v>88</v>
      </c>
      <c r="E906" s="34" t="n">
        <v>2.5</v>
      </c>
      <c r="F906" s="32"/>
      <c r="G906" s="35" t="n">
        <f aca="false">IF(A906="","",A906+7-WEEKDAY(A906))</f>
        <v>46256</v>
      </c>
      <c r="H906" s="36" t="n">
        <f aca="false">IF(A906="","",DATE(YEAR(A906),MONTH(A906),1))</f>
        <v>46235</v>
      </c>
      <c r="I906" s="37" t="str">
        <f aca="false">IF(B906="","",IFERROR(INDEX(st_ID,MATCH(B906,st_Name,0)),"Unknown"))</f>
        <v>QP-07</v>
      </c>
      <c r="J906" s="37" t="str">
        <f aca="false">IF(C906="","",IFERROR(INDEX(cl_Code,MATCH(C906,cl_Name,0)),"Unknown"))</f>
        <v>CLH</v>
      </c>
      <c r="K906" s="37" t="str">
        <f aca="false">IF(D906="","",IFERROR(INDEX(rt_Billable,MATCH(D906,rt_Code,0)),"Unknown"))</f>
        <v>Yes</v>
      </c>
      <c r="L906" s="38" t="n">
        <f aca="false">IF(K906&lt;&gt;"Yes","",IFERROR(INDEX(cr_Rate,MATCH(J906&amp;"|"&amp;D906,cr_Key,0)),INDEX(rt_Rate,MATCH(D906,rt_Code,0))))</f>
        <v>110</v>
      </c>
      <c r="M906" s="25" t="n">
        <f aca="false">IF(L906="","",ROUND(N(E906)*L906,2))</f>
        <v>275</v>
      </c>
      <c r="N906" s="39" t="n">
        <f aca="false">IF(OR(A906="",B906=""),"",SUMIFS(tl_Hours,tl_StaffID,I906,tl_Date,A906))</f>
        <v>8</v>
      </c>
      <c r="O906" s="40" t="str">
        <f aca="false">IF(A906&amp;B906&amp;D906="","",IF(OR(A906="",B906="",D906="",E906=""),"Incomplete",IF(K906="Unknown","Unknown code",IF(AND(K906="Yes",C906=""),"Billable, needs client",IF(N906&gt;MaxDayHours,"Over "&amp;MaxDayHours&amp;" hours that day","")))))</f>
        <v/>
      </c>
    </row>
    <row r="907" customFormat="false" ht="15" hidden="false" customHeight="false" outlineLevel="0" collapsed="false">
      <c r="A907" s="31" t="n">
        <v>46252</v>
      </c>
      <c r="B907" s="32" t="s">
        <v>106</v>
      </c>
      <c r="C907" s="32" t="s">
        <v>102</v>
      </c>
      <c r="D907" s="33" t="s">
        <v>104</v>
      </c>
      <c r="E907" s="34" t="n">
        <v>0.5</v>
      </c>
      <c r="F907" s="32"/>
      <c r="G907" s="35" t="n">
        <f aca="false">IF(A907="","",A907+7-WEEKDAY(A907))</f>
        <v>46256</v>
      </c>
      <c r="H907" s="36" t="n">
        <f aca="false">IF(A907="","",DATE(YEAR(A907),MONTH(A907),1))</f>
        <v>46235</v>
      </c>
      <c r="I907" s="37" t="str">
        <f aca="false">IF(B907="","",IFERROR(INDEX(st_ID,MATCH(B907,st_Name,0)),"Unknown"))</f>
        <v>QP-07</v>
      </c>
      <c r="J907" s="37" t="str">
        <f aca="false">IF(C907="","",IFERROR(INDEX(cl_Code,MATCH(C907,cl_Name,0)),"Unknown"))</f>
        <v>CLH</v>
      </c>
      <c r="K907" s="37" t="str">
        <f aca="false">IF(D907="","",IFERROR(INDEX(rt_Billable,MATCH(D907,rt_Code,0)),"Unknown"))</f>
        <v>Yes</v>
      </c>
      <c r="L907" s="38" t="n">
        <f aca="false">IF(K907&lt;&gt;"Yes","",IFERROR(INDEX(cr_Rate,MATCH(J907&amp;"|"&amp;D907,cr_Key,0)),INDEX(rt_Rate,MATCH(D907,rt_Code,0))))</f>
        <v>65</v>
      </c>
      <c r="M907" s="25" t="n">
        <f aca="false">IF(L907="","",ROUND(N(E907)*L907,2))</f>
        <v>32.5</v>
      </c>
      <c r="N907" s="39" t="n">
        <f aca="false">IF(OR(A907="",B907=""),"",SUMIFS(tl_Hours,tl_StaffID,I907,tl_Date,A907))</f>
        <v>8</v>
      </c>
      <c r="O907" s="40" t="str">
        <f aca="false">IF(A907&amp;B907&amp;D907="","",IF(OR(A907="",B907="",D907="",E907=""),"Incomplete",IF(K907="Unknown","Unknown code",IF(AND(K907="Yes",C907=""),"Billable, needs client",IF(N907&gt;MaxDayHours,"Over "&amp;MaxDayHours&amp;" hours that day","")))))</f>
        <v/>
      </c>
    </row>
    <row r="908" customFormat="false" ht="15" hidden="false" customHeight="false" outlineLevel="0" collapsed="false">
      <c r="A908" s="31" t="n">
        <v>46252</v>
      </c>
      <c r="B908" s="32" t="s">
        <v>106</v>
      </c>
      <c r="C908" s="32" t="s">
        <v>112</v>
      </c>
      <c r="D908" s="33" t="s">
        <v>104</v>
      </c>
      <c r="E908" s="34" t="n">
        <v>2</v>
      </c>
      <c r="F908" s="32"/>
      <c r="G908" s="35" t="n">
        <f aca="false">IF(A908="","",A908+7-WEEKDAY(A908))</f>
        <v>46256</v>
      </c>
      <c r="H908" s="36" t="n">
        <f aca="false">IF(A908="","",DATE(YEAR(A908),MONTH(A908),1))</f>
        <v>46235</v>
      </c>
      <c r="I908" s="37" t="str">
        <f aca="false">IF(B908="","",IFERROR(INDEX(st_ID,MATCH(B908,st_Name,0)),"Unknown"))</f>
        <v>QP-07</v>
      </c>
      <c r="J908" s="37" t="str">
        <f aca="false">IF(C908="","",IFERROR(INDEX(cl_Code,MATCH(C908,cl_Name,0)),"Unknown"))</f>
        <v>PCA</v>
      </c>
      <c r="K908" s="37" t="str">
        <f aca="false">IF(D908="","",IFERROR(INDEX(rt_Billable,MATCH(D908,rt_Code,0)),"Unknown"))</f>
        <v>Yes</v>
      </c>
      <c r="L908" s="38" t="n">
        <f aca="false">IF(K908&lt;&gt;"Yes","",IFERROR(INDEX(cr_Rate,MATCH(J908&amp;"|"&amp;D908,cr_Key,0)),INDEX(rt_Rate,MATCH(D908,rt_Code,0))))</f>
        <v>70</v>
      </c>
      <c r="M908" s="25" t="n">
        <f aca="false">IF(L908="","",ROUND(N(E908)*L908,2))</f>
        <v>140</v>
      </c>
      <c r="N908" s="39" t="n">
        <f aca="false">IF(OR(A908="",B908=""),"",SUMIFS(tl_Hours,tl_StaffID,I908,tl_Date,A908))</f>
        <v>8</v>
      </c>
      <c r="O908" s="40" t="str">
        <f aca="false">IF(A908&amp;B908&amp;D908="","",IF(OR(A908="",B908="",D908="",E908=""),"Incomplete",IF(K908="Unknown","Unknown code",IF(AND(K908="Yes",C908=""),"Billable, needs client",IF(N908&gt;MaxDayHours,"Over "&amp;MaxDayHours&amp;" hours that day","")))))</f>
        <v/>
      </c>
    </row>
    <row r="909" customFormat="false" ht="15" hidden="false" customHeight="false" outlineLevel="0" collapsed="false">
      <c r="A909" s="31" t="n">
        <v>46252</v>
      </c>
      <c r="B909" s="32" t="s">
        <v>106</v>
      </c>
      <c r="C909" s="32" t="s">
        <v>112</v>
      </c>
      <c r="D909" s="33" t="s">
        <v>113</v>
      </c>
      <c r="E909" s="34" t="n">
        <v>1</v>
      </c>
      <c r="F909" s="32"/>
      <c r="G909" s="35" t="n">
        <f aca="false">IF(A909="","",A909+7-WEEKDAY(A909))</f>
        <v>46256</v>
      </c>
      <c r="H909" s="36" t="n">
        <f aca="false">IF(A909="","",DATE(YEAR(A909),MONTH(A909),1))</f>
        <v>46235</v>
      </c>
      <c r="I909" s="37" t="str">
        <f aca="false">IF(B909="","",IFERROR(INDEX(st_ID,MATCH(B909,st_Name,0)),"Unknown"))</f>
        <v>QP-07</v>
      </c>
      <c r="J909" s="37" t="str">
        <f aca="false">IF(C909="","",IFERROR(INDEX(cl_Code,MATCH(C909,cl_Name,0)),"Unknown"))</f>
        <v>PCA</v>
      </c>
      <c r="K909" s="37" t="str">
        <f aca="false">IF(D909="","",IFERROR(INDEX(rt_Billable,MATCH(D909,rt_Code,0)),"Unknown"))</f>
        <v>Yes</v>
      </c>
      <c r="L909" s="38" t="n">
        <f aca="false">IF(K909&lt;&gt;"Yes","",IFERROR(INDEX(cr_Rate,MATCH(J909&amp;"|"&amp;D909,cr_Key,0)),INDEX(rt_Rate,MATCH(D909,rt_Code,0))))</f>
        <v>85</v>
      </c>
      <c r="M909" s="25" t="n">
        <f aca="false">IF(L909="","",ROUND(N(E909)*L909,2))</f>
        <v>85</v>
      </c>
      <c r="N909" s="39" t="n">
        <f aca="false">IF(OR(A909="",B909=""),"",SUMIFS(tl_Hours,tl_StaffID,I909,tl_Date,A909))</f>
        <v>8</v>
      </c>
      <c r="O909" s="40" t="str">
        <f aca="false">IF(A909&amp;B909&amp;D909="","",IF(OR(A909="",B909="",D909="",E909=""),"Incomplete",IF(K909="Unknown","Unknown code",IF(AND(K909="Yes",C909=""),"Billable, needs client",IF(N909&gt;MaxDayHours,"Over "&amp;MaxDayHours&amp;" hours that day","")))))</f>
        <v/>
      </c>
    </row>
    <row r="910" customFormat="false" ht="15" hidden="false" customHeight="false" outlineLevel="0" collapsed="false">
      <c r="A910" s="31" t="n">
        <v>46252</v>
      </c>
      <c r="B910" s="32" t="s">
        <v>106</v>
      </c>
      <c r="C910" s="32"/>
      <c r="D910" s="33" t="s">
        <v>93</v>
      </c>
      <c r="E910" s="34" t="n">
        <v>0.5</v>
      </c>
      <c r="F910" s="32"/>
      <c r="G910" s="35" t="n">
        <f aca="false">IF(A910="","",A910+7-WEEKDAY(A910))</f>
        <v>46256</v>
      </c>
      <c r="H910" s="36" t="n">
        <f aca="false">IF(A910="","",DATE(YEAR(A910),MONTH(A910),1))</f>
        <v>46235</v>
      </c>
      <c r="I910" s="37" t="str">
        <f aca="false">IF(B910="","",IFERROR(INDEX(st_ID,MATCH(B910,st_Name,0)),"Unknown"))</f>
        <v>QP-07</v>
      </c>
      <c r="J910" s="37" t="str">
        <f aca="false">IF(C910="","",IFERROR(INDEX(cl_Code,MATCH(C910,cl_Name,0)),"Unknown"))</f>
        <v/>
      </c>
      <c r="K910" s="37" t="str">
        <f aca="false">IF(D910="","",IFERROR(INDEX(rt_Billable,MATCH(D910,rt_Code,0)),"Unknown"))</f>
        <v>No</v>
      </c>
      <c r="L910" s="38" t="str">
        <f aca="false">IF(K910&lt;&gt;"Yes","",IFERROR(INDEX(cr_Rate,MATCH(J910&amp;"|"&amp;D910,cr_Key,0)),INDEX(rt_Rate,MATCH(D910,rt_Code,0))))</f>
        <v/>
      </c>
      <c r="M910" s="25" t="str">
        <f aca="false">IF(L910="","",ROUND(N(E910)*L910,2))</f>
        <v/>
      </c>
      <c r="N910" s="39" t="n">
        <f aca="false">IF(OR(A910="",B910=""),"",SUMIFS(tl_Hours,tl_StaffID,I910,tl_Date,A910))</f>
        <v>8</v>
      </c>
      <c r="O910" s="40" t="str">
        <f aca="false">IF(A910&amp;B910&amp;D910="","",IF(OR(A910="",B910="",D910="",E910=""),"Incomplete",IF(K910="Unknown","Unknown code",IF(AND(K910="Yes",C910=""),"Billable, needs client",IF(N910&gt;MaxDayHours,"Over "&amp;MaxDayHours&amp;" hours that day","")))))</f>
        <v/>
      </c>
    </row>
    <row r="911" customFormat="false" ht="15" hidden="false" customHeight="false" outlineLevel="0" collapsed="false">
      <c r="A911" s="31" t="n">
        <v>46252</v>
      </c>
      <c r="B911" s="32" t="s">
        <v>106</v>
      </c>
      <c r="C911" s="32"/>
      <c r="D911" s="33" t="s">
        <v>96</v>
      </c>
      <c r="E911" s="34" t="n">
        <v>1.5</v>
      </c>
      <c r="F911" s="32"/>
      <c r="G911" s="35" t="n">
        <f aca="false">IF(A911="","",A911+7-WEEKDAY(A911))</f>
        <v>46256</v>
      </c>
      <c r="H911" s="36" t="n">
        <f aca="false">IF(A911="","",DATE(YEAR(A911),MONTH(A911),1))</f>
        <v>46235</v>
      </c>
      <c r="I911" s="37" t="str">
        <f aca="false">IF(B911="","",IFERROR(INDEX(st_ID,MATCH(B911,st_Name,0)),"Unknown"))</f>
        <v>QP-07</v>
      </c>
      <c r="J911" s="37" t="str">
        <f aca="false">IF(C911="","",IFERROR(INDEX(cl_Code,MATCH(C911,cl_Name,0)),"Unknown"))</f>
        <v/>
      </c>
      <c r="K911" s="37" t="str">
        <f aca="false">IF(D911="","",IFERROR(INDEX(rt_Billable,MATCH(D911,rt_Code,0)),"Unknown"))</f>
        <v>No</v>
      </c>
      <c r="L911" s="38" t="str">
        <f aca="false">IF(K911&lt;&gt;"Yes","",IFERROR(INDEX(cr_Rate,MATCH(J911&amp;"|"&amp;D911,cr_Key,0)),INDEX(rt_Rate,MATCH(D911,rt_Code,0))))</f>
        <v/>
      </c>
      <c r="M911" s="25" t="str">
        <f aca="false">IF(L911="","",ROUND(N(E911)*L911,2))</f>
        <v/>
      </c>
      <c r="N911" s="39" t="n">
        <f aca="false">IF(OR(A911="",B911=""),"",SUMIFS(tl_Hours,tl_StaffID,I911,tl_Date,A911))</f>
        <v>8</v>
      </c>
      <c r="O911" s="40" t="str">
        <f aca="false">IF(A911&amp;B911&amp;D911="","",IF(OR(A911="",B911="",D911="",E911=""),"Incomplete",IF(K911="Unknown","Unknown code",IF(AND(K911="Yes",C911=""),"Billable, needs client",IF(N911&gt;MaxDayHours,"Over "&amp;MaxDayHours&amp;" hours that day","")))))</f>
        <v/>
      </c>
    </row>
    <row r="912" customFormat="false" ht="15" hidden="false" customHeight="false" outlineLevel="0" collapsed="false">
      <c r="A912" s="31" t="n">
        <v>46252</v>
      </c>
      <c r="B912" s="32" t="s">
        <v>107</v>
      </c>
      <c r="C912" s="32"/>
      <c r="D912" s="33" t="s">
        <v>108</v>
      </c>
      <c r="E912" s="34" t="n">
        <v>6</v>
      </c>
      <c r="F912" s="32"/>
      <c r="G912" s="35" t="n">
        <f aca="false">IF(A912="","",A912+7-WEEKDAY(A912))</f>
        <v>46256</v>
      </c>
      <c r="H912" s="36" t="n">
        <f aca="false">IF(A912="","",DATE(YEAR(A912),MONTH(A912),1))</f>
        <v>46235</v>
      </c>
      <c r="I912" s="37" t="str">
        <f aca="false">IF(B912="","",IFERROR(INDEX(st_ID,MATCH(B912,st_Name,0)),"Unknown"))</f>
        <v>QP-08</v>
      </c>
      <c r="J912" s="37" t="str">
        <f aca="false">IF(C912="","",IFERROR(INDEX(cl_Code,MATCH(C912,cl_Name,0)),"Unknown"))</f>
        <v/>
      </c>
      <c r="K912" s="37" t="str">
        <f aca="false">IF(D912="","",IFERROR(INDEX(rt_Billable,MATCH(D912,rt_Code,0)),"Unknown"))</f>
        <v>No</v>
      </c>
      <c r="L912" s="38" t="str">
        <f aca="false">IF(K912&lt;&gt;"Yes","",IFERROR(INDEX(cr_Rate,MATCH(J912&amp;"|"&amp;D912,cr_Key,0)),INDEX(rt_Rate,MATCH(D912,rt_Code,0))))</f>
        <v/>
      </c>
      <c r="M912" s="25" t="str">
        <f aca="false">IF(L912="","",ROUND(N(E912)*L912,2))</f>
        <v/>
      </c>
      <c r="N912" s="39" t="n">
        <f aca="false">IF(OR(A912="",B912=""),"",SUMIFS(tl_Hours,tl_StaffID,I912,tl_Date,A912))</f>
        <v>8</v>
      </c>
      <c r="O912" s="40" t="str">
        <f aca="false">IF(A912&amp;B912&amp;D912="","",IF(OR(A912="",B912="",D912="",E912=""),"Incomplete",IF(K912="Unknown","Unknown code",IF(AND(K912="Yes",C912=""),"Billable, needs client",IF(N912&gt;MaxDayHours,"Over "&amp;MaxDayHours&amp;" hours that day","")))))</f>
        <v/>
      </c>
    </row>
    <row r="913" customFormat="false" ht="15" hidden="false" customHeight="false" outlineLevel="0" collapsed="false">
      <c r="A913" s="31" t="n">
        <v>46252</v>
      </c>
      <c r="B913" s="32" t="s">
        <v>107</v>
      </c>
      <c r="C913" s="32"/>
      <c r="D913" s="33" t="s">
        <v>98</v>
      </c>
      <c r="E913" s="34" t="n">
        <v>2</v>
      </c>
      <c r="F913" s="32"/>
      <c r="G913" s="35" t="n">
        <f aca="false">IF(A913="","",A913+7-WEEKDAY(A913))</f>
        <v>46256</v>
      </c>
      <c r="H913" s="36" t="n">
        <f aca="false">IF(A913="","",DATE(YEAR(A913),MONTH(A913),1))</f>
        <v>46235</v>
      </c>
      <c r="I913" s="37" t="str">
        <f aca="false">IF(B913="","",IFERROR(INDEX(st_ID,MATCH(B913,st_Name,0)),"Unknown"))</f>
        <v>QP-08</v>
      </c>
      <c r="J913" s="37" t="str">
        <f aca="false">IF(C913="","",IFERROR(INDEX(cl_Code,MATCH(C913,cl_Name,0)),"Unknown"))</f>
        <v/>
      </c>
      <c r="K913" s="37" t="str">
        <f aca="false">IF(D913="","",IFERROR(INDEX(rt_Billable,MATCH(D913,rt_Code,0)),"Unknown"))</f>
        <v>No</v>
      </c>
      <c r="L913" s="38" t="str">
        <f aca="false">IF(K913&lt;&gt;"Yes","",IFERROR(INDEX(cr_Rate,MATCH(J913&amp;"|"&amp;D913,cr_Key,0)),INDEX(rt_Rate,MATCH(D913,rt_Code,0))))</f>
        <v/>
      </c>
      <c r="M913" s="25" t="str">
        <f aca="false">IF(L913="","",ROUND(N(E913)*L913,2))</f>
        <v/>
      </c>
      <c r="N913" s="39" t="n">
        <f aca="false">IF(OR(A913="",B913=""),"",SUMIFS(tl_Hours,tl_StaffID,I913,tl_Date,A913))</f>
        <v>8</v>
      </c>
      <c r="O913" s="40" t="str">
        <f aca="false">IF(A913&amp;B913&amp;D913="","",IF(OR(A913="",B913="",D913="",E913=""),"Incomplete",IF(K913="Unknown","Unknown code",IF(AND(K913="Yes",C913=""),"Billable, needs client",IF(N913&gt;MaxDayHours,"Over "&amp;MaxDayHours&amp;" hours that day","")))))</f>
        <v/>
      </c>
    </row>
    <row r="914" customFormat="false" ht="15" hidden="false" customHeight="false" outlineLevel="0" collapsed="false">
      <c r="A914" s="31" t="n">
        <v>46253</v>
      </c>
      <c r="B914" s="32" t="s">
        <v>86</v>
      </c>
      <c r="C914" s="32" t="s">
        <v>112</v>
      </c>
      <c r="D914" s="33" t="s">
        <v>88</v>
      </c>
      <c r="E914" s="34" t="n">
        <v>4</v>
      </c>
      <c r="F914" s="32"/>
      <c r="G914" s="35" t="n">
        <f aca="false">IF(A914="","",A914+7-WEEKDAY(A914))</f>
        <v>46256</v>
      </c>
      <c r="H914" s="36" t="n">
        <f aca="false">IF(A914="","",DATE(YEAR(A914),MONTH(A914),1))</f>
        <v>46235</v>
      </c>
      <c r="I914" s="37" t="str">
        <f aca="false">IF(B914="","",IFERROR(INDEX(st_ID,MATCH(B914,st_Name,0)),"Unknown"))</f>
        <v>QP-01</v>
      </c>
      <c r="J914" s="37" t="str">
        <f aca="false">IF(C914="","",IFERROR(INDEX(cl_Code,MATCH(C914,cl_Name,0)),"Unknown"))</f>
        <v>PCA</v>
      </c>
      <c r="K914" s="37" t="str">
        <f aca="false">IF(D914="","",IFERROR(INDEX(rt_Billable,MATCH(D914,rt_Code,0)),"Unknown"))</f>
        <v>Yes</v>
      </c>
      <c r="L914" s="38" t="n">
        <f aca="false">IF(K914&lt;&gt;"Yes","",IFERROR(INDEX(cr_Rate,MATCH(J914&amp;"|"&amp;D914,cr_Key,0)),INDEX(rt_Rate,MATCH(D914,rt_Code,0))))</f>
        <v>110</v>
      </c>
      <c r="M914" s="25" t="n">
        <f aca="false">IF(L914="","",ROUND(N(E914)*L914,2))</f>
        <v>440</v>
      </c>
      <c r="N914" s="39" t="n">
        <f aca="false">IF(OR(A914="",B914=""),"",SUMIFS(tl_Hours,tl_StaffID,I914,tl_Date,A914))</f>
        <v>8</v>
      </c>
      <c r="O914" s="40" t="str">
        <f aca="false">IF(A914&amp;B914&amp;D914="","",IF(OR(A914="",B914="",D914="",E914=""),"Incomplete",IF(K914="Unknown","Unknown code",IF(AND(K914="Yes",C914=""),"Billable, needs client",IF(N914&gt;MaxDayHours,"Over "&amp;MaxDayHours&amp;" hours that day","")))))</f>
        <v/>
      </c>
    </row>
    <row r="915" customFormat="false" ht="15" hidden="false" customHeight="false" outlineLevel="0" collapsed="false">
      <c r="A915" s="31" t="n">
        <v>46253</v>
      </c>
      <c r="B915" s="32" t="s">
        <v>86</v>
      </c>
      <c r="C915" s="32" t="s">
        <v>112</v>
      </c>
      <c r="D915" s="33" t="s">
        <v>104</v>
      </c>
      <c r="E915" s="34" t="n">
        <v>2</v>
      </c>
      <c r="F915" s="32"/>
      <c r="G915" s="35" t="n">
        <f aca="false">IF(A915="","",A915+7-WEEKDAY(A915))</f>
        <v>46256</v>
      </c>
      <c r="H915" s="36" t="n">
        <f aca="false">IF(A915="","",DATE(YEAR(A915),MONTH(A915),1))</f>
        <v>46235</v>
      </c>
      <c r="I915" s="37" t="str">
        <f aca="false">IF(B915="","",IFERROR(INDEX(st_ID,MATCH(B915,st_Name,0)),"Unknown"))</f>
        <v>QP-01</v>
      </c>
      <c r="J915" s="37" t="str">
        <f aca="false">IF(C915="","",IFERROR(INDEX(cl_Code,MATCH(C915,cl_Name,0)),"Unknown"))</f>
        <v>PCA</v>
      </c>
      <c r="K915" s="37" t="str">
        <f aca="false">IF(D915="","",IFERROR(INDEX(rt_Billable,MATCH(D915,rt_Code,0)),"Unknown"))</f>
        <v>Yes</v>
      </c>
      <c r="L915" s="38" t="n">
        <f aca="false">IF(K915&lt;&gt;"Yes","",IFERROR(INDEX(cr_Rate,MATCH(J915&amp;"|"&amp;D915,cr_Key,0)),INDEX(rt_Rate,MATCH(D915,rt_Code,0))))</f>
        <v>70</v>
      </c>
      <c r="M915" s="25" t="n">
        <f aca="false">IF(L915="","",ROUND(N(E915)*L915,2))</f>
        <v>140</v>
      </c>
      <c r="N915" s="39" t="n">
        <f aca="false">IF(OR(A915="",B915=""),"",SUMIFS(tl_Hours,tl_StaffID,I915,tl_Date,A915))</f>
        <v>8</v>
      </c>
      <c r="O915" s="40" t="str">
        <f aca="false">IF(A915&amp;B915&amp;D915="","",IF(OR(A915="",B915="",D915="",E915=""),"Incomplete",IF(K915="Unknown","Unknown code",IF(AND(K915="Yes",C915=""),"Billable, needs client",IF(N915&gt;MaxDayHours,"Over "&amp;MaxDayHours&amp;" hours that day","")))))</f>
        <v/>
      </c>
    </row>
    <row r="916" customFormat="false" ht="15" hidden="false" customHeight="false" outlineLevel="0" collapsed="false">
      <c r="A916" s="31" t="n">
        <v>46253</v>
      </c>
      <c r="B916" s="32" t="s">
        <v>86</v>
      </c>
      <c r="C916" s="32"/>
      <c r="D916" s="33" t="s">
        <v>98</v>
      </c>
      <c r="E916" s="34" t="n">
        <v>1</v>
      </c>
      <c r="F916" s="32" t="s">
        <v>99</v>
      </c>
      <c r="G916" s="35" t="n">
        <f aca="false">IF(A916="","",A916+7-WEEKDAY(A916))</f>
        <v>46256</v>
      </c>
      <c r="H916" s="36" t="n">
        <f aca="false">IF(A916="","",DATE(YEAR(A916),MONTH(A916),1))</f>
        <v>46235</v>
      </c>
      <c r="I916" s="37" t="str">
        <f aca="false">IF(B916="","",IFERROR(INDEX(st_ID,MATCH(B916,st_Name,0)),"Unknown"))</f>
        <v>QP-01</v>
      </c>
      <c r="J916" s="37" t="str">
        <f aca="false">IF(C916="","",IFERROR(INDEX(cl_Code,MATCH(C916,cl_Name,0)),"Unknown"))</f>
        <v/>
      </c>
      <c r="K916" s="37" t="str">
        <f aca="false">IF(D916="","",IFERROR(INDEX(rt_Billable,MATCH(D916,rt_Code,0)),"Unknown"))</f>
        <v>No</v>
      </c>
      <c r="L916" s="38" t="str">
        <f aca="false">IF(K916&lt;&gt;"Yes","",IFERROR(INDEX(cr_Rate,MATCH(J916&amp;"|"&amp;D916,cr_Key,0)),INDEX(rt_Rate,MATCH(D916,rt_Code,0))))</f>
        <v/>
      </c>
      <c r="M916" s="25" t="str">
        <f aca="false">IF(L916="","",ROUND(N(E916)*L916,2))</f>
        <v/>
      </c>
      <c r="N916" s="39" t="n">
        <f aca="false">IF(OR(A916="",B916=""),"",SUMIFS(tl_Hours,tl_StaffID,I916,tl_Date,A916))</f>
        <v>8</v>
      </c>
      <c r="O916" s="40" t="str">
        <f aca="false">IF(A916&amp;B916&amp;D916="","",IF(OR(A916="",B916="",D916="",E916=""),"Incomplete",IF(K916="Unknown","Unknown code",IF(AND(K916="Yes",C916=""),"Billable, needs client",IF(N916&gt;MaxDayHours,"Over "&amp;MaxDayHours&amp;" hours that day","")))))</f>
        <v/>
      </c>
    </row>
    <row r="917" customFormat="false" ht="15" hidden="false" customHeight="false" outlineLevel="0" collapsed="false">
      <c r="A917" s="31" t="n">
        <v>46253</v>
      </c>
      <c r="B917" s="32" t="s">
        <v>86</v>
      </c>
      <c r="C917" s="32"/>
      <c r="D917" s="33" t="s">
        <v>96</v>
      </c>
      <c r="E917" s="34" t="n">
        <v>1</v>
      </c>
      <c r="F917" s="32"/>
      <c r="G917" s="35" t="n">
        <f aca="false">IF(A917="","",A917+7-WEEKDAY(A917))</f>
        <v>46256</v>
      </c>
      <c r="H917" s="36" t="n">
        <f aca="false">IF(A917="","",DATE(YEAR(A917),MONTH(A917),1))</f>
        <v>46235</v>
      </c>
      <c r="I917" s="37" t="str">
        <f aca="false">IF(B917="","",IFERROR(INDEX(st_ID,MATCH(B917,st_Name,0)),"Unknown"))</f>
        <v>QP-01</v>
      </c>
      <c r="J917" s="37" t="str">
        <f aca="false">IF(C917="","",IFERROR(INDEX(cl_Code,MATCH(C917,cl_Name,0)),"Unknown"))</f>
        <v/>
      </c>
      <c r="K917" s="37" t="str">
        <f aca="false">IF(D917="","",IFERROR(INDEX(rt_Billable,MATCH(D917,rt_Code,0)),"Unknown"))</f>
        <v>No</v>
      </c>
      <c r="L917" s="38" t="str">
        <f aca="false">IF(K917&lt;&gt;"Yes","",IFERROR(INDEX(cr_Rate,MATCH(J917&amp;"|"&amp;D917,cr_Key,0)),INDEX(rt_Rate,MATCH(D917,rt_Code,0))))</f>
        <v/>
      </c>
      <c r="M917" s="25" t="str">
        <f aca="false">IF(L917="","",ROUND(N(E917)*L917,2))</f>
        <v/>
      </c>
      <c r="N917" s="39" t="n">
        <f aca="false">IF(OR(A917="",B917=""),"",SUMIFS(tl_Hours,tl_StaffID,I917,tl_Date,A917))</f>
        <v>8</v>
      </c>
      <c r="O917" s="40" t="str">
        <f aca="false">IF(A917&amp;B917&amp;D917="","",IF(OR(A917="",B917="",D917="",E917=""),"Incomplete",IF(K917="Unknown","Unknown code",IF(AND(K917="Yes",C917=""),"Billable, needs client",IF(N917&gt;MaxDayHours,"Over "&amp;MaxDayHours&amp;" hours that day","")))))</f>
        <v/>
      </c>
    </row>
    <row r="918" customFormat="false" ht="15" hidden="false" customHeight="false" outlineLevel="0" collapsed="false">
      <c r="A918" s="31" t="n">
        <v>46253</v>
      </c>
      <c r="B918" s="32" t="s">
        <v>100</v>
      </c>
      <c r="C918" s="32" t="s">
        <v>90</v>
      </c>
      <c r="D918" s="33" t="s">
        <v>88</v>
      </c>
      <c r="E918" s="34" t="n">
        <v>3</v>
      </c>
      <c r="F918" s="32"/>
      <c r="G918" s="35" t="n">
        <f aca="false">IF(A918="","",A918+7-WEEKDAY(A918))</f>
        <v>46256</v>
      </c>
      <c r="H918" s="36" t="n">
        <f aca="false">IF(A918="","",DATE(YEAR(A918),MONTH(A918),1))</f>
        <v>46235</v>
      </c>
      <c r="I918" s="37" t="str">
        <f aca="false">IF(B918="","",IFERROR(INDEX(st_ID,MATCH(B918,st_Name,0)),"Unknown"))</f>
        <v>QP-03</v>
      </c>
      <c r="J918" s="37" t="str">
        <f aca="false">IF(C918="","",IFERROR(INDEX(cl_Code,MATCH(C918,cl_Name,0)),"Unknown"))</f>
        <v>BSE</v>
      </c>
      <c r="K918" s="37" t="str">
        <f aca="false">IF(D918="","",IFERROR(INDEX(rt_Billable,MATCH(D918,rt_Code,0)),"Unknown"))</f>
        <v>Yes</v>
      </c>
      <c r="L918" s="38" t="n">
        <f aca="false">IF(K918&lt;&gt;"Yes","",IFERROR(INDEX(cr_Rate,MATCH(J918&amp;"|"&amp;D918,cr_Key,0)),INDEX(rt_Rate,MATCH(D918,rt_Code,0))))</f>
        <v>104</v>
      </c>
      <c r="M918" s="25" t="n">
        <f aca="false">IF(L918="","",ROUND(N(E918)*L918,2))</f>
        <v>312</v>
      </c>
      <c r="N918" s="39" t="n">
        <f aca="false">IF(OR(A918="",B918=""),"",SUMIFS(tl_Hours,tl_StaffID,I918,tl_Date,A918))</f>
        <v>8</v>
      </c>
      <c r="O918" s="40" t="str">
        <f aca="false">IF(A918&amp;B918&amp;D918="","",IF(OR(A918="",B918="",D918="",E918=""),"Incomplete",IF(K918="Unknown","Unknown code",IF(AND(K918="Yes",C918=""),"Billable, needs client",IF(N918&gt;MaxDayHours,"Over "&amp;MaxDayHours&amp;" hours that day","")))))</f>
        <v/>
      </c>
    </row>
    <row r="919" customFormat="false" ht="15" hidden="false" customHeight="false" outlineLevel="0" collapsed="false">
      <c r="A919" s="31" t="n">
        <v>46253</v>
      </c>
      <c r="B919" s="32" t="s">
        <v>100</v>
      </c>
      <c r="C919" s="32" t="s">
        <v>90</v>
      </c>
      <c r="D919" s="33" t="s">
        <v>92</v>
      </c>
      <c r="E919" s="34" t="n">
        <v>1.25</v>
      </c>
      <c r="F919" s="32"/>
      <c r="G919" s="35" t="n">
        <f aca="false">IF(A919="","",A919+7-WEEKDAY(A919))</f>
        <v>46256</v>
      </c>
      <c r="H919" s="36" t="n">
        <f aca="false">IF(A919="","",DATE(YEAR(A919),MONTH(A919),1))</f>
        <v>46235</v>
      </c>
      <c r="I919" s="37" t="str">
        <f aca="false">IF(B919="","",IFERROR(INDEX(st_ID,MATCH(B919,st_Name,0)),"Unknown"))</f>
        <v>QP-03</v>
      </c>
      <c r="J919" s="37" t="str">
        <f aca="false">IF(C919="","",IFERROR(INDEX(cl_Code,MATCH(C919,cl_Name,0)),"Unknown"))</f>
        <v>BSE</v>
      </c>
      <c r="K919" s="37" t="str">
        <f aca="false">IF(D919="","",IFERROR(INDEX(rt_Billable,MATCH(D919,rt_Code,0)),"Unknown"))</f>
        <v>Yes</v>
      </c>
      <c r="L919" s="38" t="n">
        <f aca="false">IF(K919&lt;&gt;"Yes","",IFERROR(INDEX(cr_Rate,MATCH(J919&amp;"|"&amp;D919,cr_Key,0)),INDEX(rt_Rate,MATCH(D919,rt_Code,0))))</f>
        <v>145</v>
      </c>
      <c r="M919" s="25" t="n">
        <f aca="false">IF(L919="","",ROUND(N(E919)*L919,2))</f>
        <v>181.25</v>
      </c>
      <c r="N919" s="39" t="n">
        <f aca="false">IF(OR(A919="",B919=""),"",SUMIFS(tl_Hours,tl_StaffID,I919,tl_Date,A919))</f>
        <v>8</v>
      </c>
      <c r="O919" s="40" t="str">
        <f aca="false">IF(A919&amp;B919&amp;D919="","",IF(OR(A919="",B919="",D919="",E919=""),"Incomplete",IF(K919="Unknown","Unknown code",IF(AND(K919="Yes",C919=""),"Billable, needs client",IF(N919&gt;MaxDayHours,"Over "&amp;MaxDayHours&amp;" hours that day","")))))</f>
        <v/>
      </c>
    </row>
    <row r="920" customFormat="false" ht="15" hidden="false" customHeight="false" outlineLevel="0" collapsed="false">
      <c r="A920" s="31" t="n">
        <v>46253</v>
      </c>
      <c r="B920" s="32" t="s">
        <v>100</v>
      </c>
      <c r="C920" s="32"/>
      <c r="D920" s="33" t="s">
        <v>96</v>
      </c>
      <c r="E920" s="34" t="n">
        <v>3.75</v>
      </c>
      <c r="F920" s="32"/>
      <c r="G920" s="35" t="n">
        <f aca="false">IF(A920="","",A920+7-WEEKDAY(A920))</f>
        <v>46256</v>
      </c>
      <c r="H920" s="36" t="n">
        <f aca="false">IF(A920="","",DATE(YEAR(A920),MONTH(A920),1))</f>
        <v>46235</v>
      </c>
      <c r="I920" s="37" t="str">
        <f aca="false">IF(B920="","",IFERROR(INDEX(st_ID,MATCH(B920,st_Name,0)),"Unknown"))</f>
        <v>QP-03</v>
      </c>
      <c r="J920" s="37" t="str">
        <f aca="false">IF(C920="","",IFERROR(INDEX(cl_Code,MATCH(C920,cl_Name,0)),"Unknown"))</f>
        <v/>
      </c>
      <c r="K920" s="37" t="str">
        <f aca="false">IF(D920="","",IFERROR(INDEX(rt_Billable,MATCH(D920,rt_Code,0)),"Unknown"))</f>
        <v>No</v>
      </c>
      <c r="L920" s="38" t="str">
        <f aca="false">IF(K920&lt;&gt;"Yes","",IFERROR(INDEX(cr_Rate,MATCH(J920&amp;"|"&amp;D920,cr_Key,0)),INDEX(rt_Rate,MATCH(D920,rt_Code,0))))</f>
        <v/>
      </c>
      <c r="M920" s="25" t="str">
        <f aca="false">IF(L920="","",ROUND(N(E920)*L920,2))</f>
        <v/>
      </c>
      <c r="N920" s="39" t="n">
        <f aca="false">IF(OR(A920="",B920=""),"",SUMIFS(tl_Hours,tl_StaffID,I920,tl_Date,A920))</f>
        <v>8</v>
      </c>
      <c r="O920" s="40" t="str">
        <f aca="false">IF(A920&amp;B920&amp;D920="","",IF(OR(A920="",B920="",D920="",E920=""),"Incomplete",IF(K920="Unknown","Unknown code",IF(AND(K920="Yes",C920=""),"Billable, needs client",IF(N920&gt;MaxDayHours,"Over "&amp;MaxDayHours&amp;" hours that day","")))))</f>
        <v/>
      </c>
    </row>
    <row r="921" customFormat="false" ht="15" hidden="false" customHeight="false" outlineLevel="0" collapsed="false">
      <c r="A921" s="31" t="n">
        <v>46253</v>
      </c>
      <c r="B921" s="32" t="s">
        <v>101</v>
      </c>
      <c r="C921" s="32" t="s">
        <v>87</v>
      </c>
      <c r="D921" s="33" t="s">
        <v>104</v>
      </c>
      <c r="E921" s="34" t="n">
        <v>4.75</v>
      </c>
      <c r="F921" s="32"/>
      <c r="G921" s="35" t="n">
        <f aca="false">IF(A921="","",A921+7-WEEKDAY(A921))</f>
        <v>46256</v>
      </c>
      <c r="H921" s="36" t="n">
        <f aca="false">IF(A921="","",DATE(YEAR(A921),MONTH(A921),1))</f>
        <v>46235</v>
      </c>
      <c r="I921" s="37" t="str">
        <f aca="false">IF(B921="","",IFERROR(INDEX(st_ID,MATCH(B921,st_Name,0)),"Unknown"))</f>
        <v>QP-04</v>
      </c>
      <c r="J921" s="37" t="str">
        <f aca="false">IF(C921="","",IFERROR(INDEX(cl_Code,MATCH(C921,cl_Name,0)),"Unknown"))</f>
        <v>HCS</v>
      </c>
      <c r="K921" s="37" t="str">
        <f aca="false">IF(D921="","",IFERROR(INDEX(rt_Billable,MATCH(D921,rt_Code,0)),"Unknown"))</f>
        <v>Yes</v>
      </c>
      <c r="L921" s="38" t="n">
        <f aca="false">IF(K921&lt;&gt;"Yes","",IFERROR(INDEX(cr_Rate,MATCH(J921&amp;"|"&amp;D921,cr_Key,0)),INDEX(rt_Rate,MATCH(D921,rt_Code,0))))</f>
        <v>62</v>
      </c>
      <c r="M921" s="25" t="n">
        <f aca="false">IF(L921="","",ROUND(N(E921)*L921,2))</f>
        <v>294.5</v>
      </c>
      <c r="N921" s="39" t="n">
        <f aca="false">IF(OR(A921="",B921=""),"",SUMIFS(tl_Hours,tl_StaffID,I921,tl_Date,A921))</f>
        <v>8</v>
      </c>
      <c r="O921" s="40" t="str">
        <f aca="false">IF(A921&amp;B921&amp;D921="","",IF(OR(A921="",B921="",D921="",E921=""),"Incomplete",IF(K921="Unknown","Unknown code",IF(AND(K921="Yes",C921=""),"Billable, needs client",IF(N921&gt;MaxDayHours,"Over "&amp;MaxDayHours&amp;" hours that day","")))))</f>
        <v/>
      </c>
    </row>
    <row r="922" customFormat="false" ht="15" hidden="false" customHeight="false" outlineLevel="0" collapsed="false">
      <c r="A922" s="31" t="n">
        <v>46253</v>
      </c>
      <c r="B922" s="32" t="s">
        <v>101</v>
      </c>
      <c r="C922" s="32" t="s">
        <v>87</v>
      </c>
      <c r="D922" s="33" t="s">
        <v>89</v>
      </c>
      <c r="E922" s="34" t="n">
        <v>1</v>
      </c>
      <c r="F922" s="32"/>
      <c r="G922" s="35" t="n">
        <f aca="false">IF(A922="","",A922+7-WEEKDAY(A922))</f>
        <v>46256</v>
      </c>
      <c r="H922" s="36" t="n">
        <f aca="false">IF(A922="","",DATE(YEAR(A922),MONTH(A922),1))</f>
        <v>46235</v>
      </c>
      <c r="I922" s="37" t="str">
        <f aca="false">IF(B922="","",IFERROR(INDEX(st_ID,MATCH(B922,st_Name,0)),"Unknown"))</f>
        <v>QP-04</v>
      </c>
      <c r="J922" s="37" t="str">
        <f aca="false">IF(C922="","",IFERROR(INDEX(cl_Code,MATCH(C922,cl_Name,0)),"Unknown"))</f>
        <v>HCS</v>
      </c>
      <c r="K922" s="37" t="str">
        <f aca="false">IF(D922="","",IFERROR(INDEX(rt_Billable,MATCH(D922,rt_Code,0)),"Unknown"))</f>
        <v>Yes</v>
      </c>
      <c r="L922" s="38" t="n">
        <f aca="false">IF(K922&lt;&gt;"Yes","",IFERROR(INDEX(cr_Rate,MATCH(J922&amp;"|"&amp;D922,cr_Key,0)),INDEX(rt_Rate,MATCH(D922,rt_Code,0))))</f>
        <v>88</v>
      </c>
      <c r="M922" s="25" t="n">
        <f aca="false">IF(L922="","",ROUND(N(E922)*L922,2))</f>
        <v>88</v>
      </c>
      <c r="N922" s="39" t="n">
        <f aca="false">IF(OR(A922="",B922=""),"",SUMIFS(tl_Hours,tl_StaffID,I922,tl_Date,A922))</f>
        <v>8</v>
      </c>
      <c r="O922" s="40" t="str">
        <f aca="false">IF(A922&amp;B922&amp;D922="","",IF(OR(A922="",B922="",D922="",E922=""),"Incomplete",IF(K922="Unknown","Unknown code",IF(AND(K922="Yes",C922=""),"Billable, needs client",IF(N922&gt;MaxDayHours,"Over "&amp;MaxDayHours&amp;" hours that day","")))))</f>
        <v/>
      </c>
    </row>
    <row r="923" customFormat="false" ht="15" hidden="false" customHeight="false" outlineLevel="0" collapsed="false">
      <c r="A923" s="31" t="n">
        <v>46253</v>
      </c>
      <c r="B923" s="32" t="s">
        <v>101</v>
      </c>
      <c r="C923" s="32"/>
      <c r="D923" s="33" t="s">
        <v>98</v>
      </c>
      <c r="E923" s="34" t="n">
        <v>1</v>
      </c>
      <c r="F923" s="32" t="s">
        <v>99</v>
      </c>
      <c r="G923" s="35" t="n">
        <f aca="false">IF(A923="","",A923+7-WEEKDAY(A923))</f>
        <v>46256</v>
      </c>
      <c r="H923" s="36" t="n">
        <f aca="false">IF(A923="","",DATE(YEAR(A923),MONTH(A923),1))</f>
        <v>46235</v>
      </c>
      <c r="I923" s="37" t="str">
        <f aca="false">IF(B923="","",IFERROR(INDEX(st_ID,MATCH(B923,st_Name,0)),"Unknown"))</f>
        <v>QP-04</v>
      </c>
      <c r="J923" s="37" t="str">
        <f aca="false">IF(C923="","",IFERROR(INDEX(cl_Code,MATCH(C923,cl_Name,0)),"Unknown"))</f>
        <v/>
      </c>
      <c r="K923" s="37" t="str">
        <f aca="false">IF(D923="","",IFERROR(INDEX(rt_Billable,MATCH(D923,rt_Code,0)),"Unknown"))</f>
        <v>No</v>
      </c>
      <c r="L923" s="38" t="str">
        <f aca="false">IF(K923&lt;&gt;"Yes","",IFERROR(INDEX(cr_Rate,MATCH(J923&amp;"|"&amp;D923,cr_Key,0)),INDEX(rt_Rate,MATCH(D923,rt_Code,0))))</f>
        <v/>
      </c>
      <c r="M923" s="25" t="str">
        <f aca="false">IF(L923="","",ROUND(N(E923)*L923,2))</f>
        <v/>
      </c>
      <c r="N923" s="39" t="n">
        <f aca="false">IF(OR(A923="",B923=""),"",SUMIFS(tl_Hours,tl_StaffID,I923,tl_Date,A923))</f>
        <v>8</v>
      </c>
      <c r="O923" s="40" t="str">
        <f aca="false">IF(A923&amp;B923&amp;D923="","",IF(OR(A923="",B923="",D923="",E923=""),"Incomplete",IF(K923="Unknown","Unknown code",IF(AND(K923="Yes",C923=""),"Billable, needs client",IF(N923&gt;MaxDayHours,"Over "&amp;MaxDayHours&amp;" hours that day","")))))</f>
        <v/>
      </c>
    </row>
    <row r="924" customFormat="false" ht="15" hidden="false" customHeight="false" outlineLevel="0" collapsed="false">
      <c r="A924" s="31" t="n">
        <v>46253</v>
      </c>
      <c r="B924" s="32" t="s">
        <v>101</v>
      </c>
      <c r="C924" s="32"/>
      <c r="D924" s="33" t="s">
        <v>96</v>
      </c>
      <c r="E924" s="34" t="n">
        <v>1.25</v>
      </c>
      <c r="F924" s="32"/>
      <c r="G924" s="35" t="n">
        <f aca="false">IF(A924="","",A924+7-WEEKDAY(A924))</f>
        <v>46256</v>
      </c>
      <c r="H924" s="36" t="n">
        <f aca="false">IF(A924="","",DATE(YEAR(A924),MONTH(A924),1))</f>
        <v>46235</v>
      </c>
      <c r="I924" s="37" t="str">
        <f aca="false">IF(B924="","",IFERROR(INDEX(st_ID,MATCH(B924,st_Name,0)),"Unknown"))</f>
        <v>QP-04</v>
      </c>
      <c r="J924" s="37" t="str">
        <f aca="false">IF(C924="","",IFERROR(INDEX(cl_Code,MATCH(C924,cl_Name,0)),"Unknown"))</f>
        <v/>
      </c>
      <c r="K924" s="37" t="str">
        <f aca="false">IF(D924="","",IFERROR(INDEX(rt_Billable,MATCH(D924,rt_Code,0)),"Unknown"))</f>
        <v>No</v>
      </c>
      <c r="L924" s="38" t="str">
        <f aca="false">IF(K924&lt;&gt;"Yes","",IFERROR(INDEX(cr_Rate,MATCH(J924&amp;"|"&amp;D924,cr_Key,0)),INDEX(rt_Rate,MATCH(D924,rt_Code,0))))</f>
        <v/>
      </c>
      <c r="M924" s="25" t="str">
        <f aca="false">IF(L924="","",ROUND(N(E924)*L924,2))</f>
        <v/>
      </c>
      <c r="N924" s="39" t="n">
        <f aca="false">IF(OR(A924="",B924=""),"",SUMIFS(tl_Hours,tl_StaffID,I924,tl_Date,A924))</f>
        <v>8</v>
      </c>
      <c r="O924" s="40" t="str">
        <f aca="false">IF(A924&amp;B924&amp;D924="","",IF(OR(A924="",B924="",D924="",E924=""),"Incomplete",IF(K924="Unknown","Unknown code",IF(AND(K924="Yes",C924=""),"Billable, needs client",IF(N924&gt;MaxDayHours,"Over "&amp;MaxDayHours&amp;" hours that day","")))))</f>
        <v/>
      </c>
    </row>
    <row r="925" customFormat="false" ht="15" hidden="false" customHeight="false" outlineLevel="0" collapsed="false">
      <c r="A925" s="31" t="n">
        <v>46253</v>
      </c>
      <c r="B925" s="32" t="s">
        <v>103</v>
      </c>
      <c r="C925" s="32" t="s">
        <v>111</v>
      </c>
      <c r="D925" s="33" t="s">
        <v>88</v>
      </c>
      <c r="E925" s="34" t="n">
        <v>4.5</v>
      </c>
      <c r="F925" s="32"/>
      <c r="G925" s="35" t="n">
        <f aca="false">IF(A925="","",A925+7-WEEKDAY(A925))</f>
        <v>46256</v>
      </c>
      <c r="H925" s="36" t="n">
        <f aca="false">IF(A925="","",DATE(YEAR(A925),MONTH(A925),1))</f>
        <v>46235</v>
      </c>
      <c r="I925" s="37" t="str">
        <f aca="false">IF(B925="","",IFERROR(INDEX(st_ID,MATCH(B925,st_Name,0)),"Unknown"))</f>
        <v>QP-05</v>
      </c>
      <c r="J925" s="37" t="str">
        <f aca="false">IF(C925="","",IFERROR(INDEX(cl_Code,MATCH(C925,cl_Name,0)),"Unknown"))</f>
        <v>WMS</v>
      </c>
      <c r="K925" s="37" t="str">
        <f aca="false">IF(D925="","",IFERROR(INDEX(rt_Billable,MATCH(D925,rt_Code,0)),"Unknown"))</f>
        <v>Yes</v>
      </c>
      <c r="L925" s="38" t="n">
        <f aca="false">IF(K925&lt;&gt;"Yes","",IFERROR(INDEX(cr_Rate,MATCH(J925&amp;"|"&amp;D925,cr_Key,0)),INDEX(rt_Rate,MATCH(D925,rt_Code,0))))</f>
        <v>110</v>
      </c>
      <c r="M925" s="25" t="n">
        <f aca="false">IF(L925="","",ROUND(N(E925)*L925,2))</f>
        <v>495</v>
      </c>
      <c r="N925" s="39" t="n">
        <f aca="false">IF(OR(A925="",B925=""),"",SUMIFS(tl_Hours,tl_StaffID,I925,tl_Date,A925))</f>
        <v>8</v>
      </c>
      <c r="O925" s="40" t="str">
        <f aca="false">IF(A925&amp;B925&amp;D925="","",IF(OR(A925="",B925="",D925="",E925=""),"Incomplete",IF(K925="Unknown","Unknown code",IF(AND(K925="Yes",C925=""),"Billable, needs client",IF(N925&gt;MaxDayHours,"Over "&amp;MaxDayHours&amp;" hours that day","")))))</f>
        <v/>
      </c>
    </row>
    <row r="926" customFormat="false" ht="15" hidden="false" customHeight="false" outlineLevel="0" collapsed="false">
      <c r="A926" s="31" t="n">
        <v>46253</v>
      </c>
      <c r="B926" s="32" t="s">
        <v>103</v>
      </c>
      <c r="C926" s="32" t="s">
        <v>111</v>
      </c>
      <c r="D926" s="33" t="s">
        <v>89</v>
      </c>
      <c r="E926" s="34" t="n">
        <v>1</v>
      </c>
      <c r="F926" s="32"/>
      <c r="G926" s="35" t="n">
        <f aca="false">IF(A926="","",A926+7-WEEKDAY(A926))</f>
        <v>46256</v>
      </c>
      <c r="H926" s="36" t="n">
        <f aca="false">IF(A926="","",DATE(YEAR(A926),MONTH(A926),1))</f>
        <v>46235</v>
      </c>
      <c r="I926" s="37" t="str">
        <f aca="false">IF(B926="","",IFERROR(INDEX(st_ID,MATCH(B926,st_Name,0)),"Unknown"))</f>
        <v>QP-05</v>
      </c>
      <c r="J926" s="37" t="str">
        <f aca="false">IF(C926="","",IFERROR(INDEX(cl_Code,MATCH(C926,cl_Name,0)),"Unknown"))</f>
        <v>WMS</v>
      </c>
      <c r="K926" s="37" t="str">
        <f aca="false">IF(D926="","",IFERROR(INDEX(rt_Billable,MATCH(D926,rt_Code,0)),"Unknown"))</f>
        <v>Yes</v>
      </c>
      <c r="L926" s="38" t="n">
        <f aca="false">IF(K926&lt;&gt;"Yes","",IFERROR(INDEX(cr_Rate,MATCH(J926&amp;"|"&amp;D926,cr_Key,0)),INDEX(rt_Rate,MATCH(D926,rt_Code,0))))</f>
        <v>95</v>
      </c>
      <c r="M926" s="25" t="n">
        <f aca="false">IF(L926="","",ROUND(N(E926)*L926,2))</f>
        <v>95</v>
      </c>
      <c r="N926" s="39" t="n">
        <f aca="false">IF(OR(A926="",B926=""),"",SUMIFS(tl_Hours,tl_StaffID,I926,tl_Date,A926))</f>
        <v>8</v>
      </c>
      <c r="O926" s="40" t="str">
        <f aca="false">IF(A926&amp;B926&amp;D926="","",IF(OR(A926="",B926="",D926="",E926=""),"Incomplete",IF(K926="Unknown","Unknown code",IF(AND(K926="Yes",C926=""),"Billable, needs client",IF(N926&gt;MaxDayHours,"Over "&amp;MaxDayHours&amp;" hours that day","")))))</f>
        <v/>
      </c>
    </row>
    <row r="927" customFormat="false" ht="15" hidden="false" customHeight="false" outlineLevel="0" collapsed="false">
      <c r="A927" s="31" t="n">
        <v>46253</v>
      </c>
      <c r="B927" s="32" t="s">
        <v>103</v>
      </c>
      <c r="C927" s="32"/>
      <c r="D927" s="33" t="s">
        <v>98</v>
      </c>
      <c r="E927" s="34" t="n">
        <v>1</v>
      </c>
      <c r="F927" s="32" t="s">
        <v>99</v>
      </c>
      <c r="G927" s="35" t="n">
        <f aca="false">IF(A927="","",A927+7-WEEKDAY(A927))</f>
        <v>46256</v>
      </c>
      <c r="H927" s="36" t="n">
        <f aca="false">IF(A927="","",DATE(YEAR(A927),MONTH(A927),1))</f>
        <v>46235</v>
      </c>
      <c r="I927" s="37" t="str">
        <f aca="false">IF(B927="","",IFERROR(INDEX(st_ID,MATCH(B927,st_Name,0)),"Unknown"))</f>
        <v>QP-05</v>
      </c>
      <c r="J927" s="37" t="str">
        <f aca="false">IF(C927="","",IFERROR(INDEX(cl_Code,MATCH(C927,cl_Name,0)),"Unknown"))</f>
        <v/>
      </c>
      <c r="K927" s="37" t="str">
        <f aca="false">IF(D927="","",IFERROR(INDEX(rt_Billable,MATCH(D927,rt_Code,0)),"Unknown"))</f>
        <v>No</v>
      </c>
      <c r="L927" s="38" t="str">
        <f aca="false">IF(K927&lt;&gt;"Yes","",IFERROR(INDEX(cr_Rate,MATCH(J927&amp;"|"&amp;D927,cr_Key,0)),INDEX(rt_Rate,MATCH(D927,rt_Code,0))))</f>
        <v/>
      </c>
      <c r="M927" s="25" t="str">
        <f aca="false">IF(L927="","",ROUND(N(E927)*L927,2))</f>
        <v/>
      </c>
      <c r="N927" s="39" t="n">
        <f aca="false">IF(OR(A927="",B927=""),"",SUMIFS(tl_Hours,tl_StaffID,I927,tl_Date,A927))</f>
        <v>8</v>
      </c>
      <c r="O927" s="40" t="str">
        <f aca="false">IF(A927&amp;B927&amp;D927="","",IF(OR(A927="",B927="",D927="",E927=""),"Incomplete",IF(K927="Unknown","Unknown code",IF(AND(K927="Yes",C927=""),"Billable, needs client",IF(N927&gt;MaxDayHours,"Over "&amp;MaxDayHours&amp;" hours that day","")))))</f>
        <v/>
      </c>
    </row>
    <row r="928" customFormat="false" ht="15" hidden="false" customHeight="false" outlineLevel="0" collapsed="false">
      <c r="A928" s="31" t="n">
        <v>46253</v>
      </c>
      <c r="B928" s="32" t="s">
        <v>103</v>
      </c>
      <c r="C928" s="32"/>
      <c r="D928" s="33" t="s">
        <v>96</v>
      </c>
      <c r="E928" s="34" t="n">
        <v>1.5</v>
      </c>
      <c r="F928" s="32"/>
      <c r="G928" s="35" t="n">
        <f aca="false">IF(A928="","",A928+7-WEEKDAY(A928))</f>
        <v>46256</v>
      </c>
      <c r="H928" s="36" t="n">
        <f aca="false">IF(A928="","",DATE(YEAR(A928),MONTH(A928),1))</f>
        <v>46235</v>
      </c>
      <c r="I928" s="37" t="str">
        <f aca="false">IF(B928="","",IFERROR(INDEX(st_ID,MATCH(B928,st_Name,0)),"Unknown"))</f>
        <v>QP-05</v>
      </c>
      <c r="J928" s="37" t="str">
        <f aca="false">IF(C928="","",IFERROR(INDEX(cl_Code,MATCH(C928,cl_Name,0)),"Unknown"))</f>
        <v/>
      </c>
      <c r="K928" s="37" t="str">
        <f aca="false">IF(D928="","",IFERROR(INDEX(rt_Billable,MATCH(D928,rt_Code,0)),"Unknown"))</f>
        <v>No</v>
      </c>
      <c r="L928" s="38" t="str">
        <f aca="false">IF(K928&lt;&gt;"Yes","",IFERROR(INDEX(cr_Rate,MATCH(J928&amp;"|"&amp;D928,cr_Key,0)),INDEX(rt_Rate,MATCH(D928,rt_Code,0))))</f>
        <v/>
      </c>
      <c r="M928" s="25" t="str">
        <f aca="false">IF(L928="","",ROUND(N(E928)*L928,2))</f>
        <v/>
      </c>
      <c r="N928" s="39" t="n">
        <f aca="false">IF(OR(A928="",B928=""),"",SUMIFS(tl_Hours,tl_StaffID,I928,tl_Date,A928))</f>
        <v>8</v>
      </c>
      <c r="O928" s="40" t="str">
        <f aca="false">IF(A928&amp;B928&amp;D928="","",IF(OR(A928="",B928="",D928="",E928=""),"Incomplete",IF(K928="Unknown","Unknown code",IF(AND(K928="Yes",C928=""),"Billable, needs client",IF(N928&gt;MaxDayHours,"Over "&amp;MaxDayHours&amp;" hours that day","")))))</f>
        <v/>
      </c>
    </row>
    <row r="929" customFormat="false" ht="15" hidden="false" customHeight="false" outlineLevel="0" collapsed="false">
      <c r="A929" s="31" t="n">
        <v>46253</v>
      </c>
      <c r="B929" s="32" t="s">
        <v>105</v>
      </c>
      <c r="C929" s="32" t="s">
        <v>87</v>
      </c>
      <c r="D929" s="33" t="s">
        <v>88</v>
      </c>
      <c r="E929" s="34" t="n">
        <v>4</v>
      </c>
      <c r="F929" s="32"/>
      <c r="G929" s="35" t="n">
        <f aca="false">IF(A929="","",A929+7-WEEKDAY(A929))</f>
        <v>46256</v>
      </c>
      <c r="H929" s="36" t="n">
        <f aca="false">IF(A929="","",DATE(YEAR(A929),MONTH(A929),1))</f>
        <v>46235</v>
      </c>
      <c r="I929" s="37" t="str">
        <f aca="false">IF(B929="","",IFERROR(INDEX(st_ID,MATCH(B929,st_Name,0)),"Unknown"))</f>
        <v>QP-06</v>
      </c>
      <c r="J929" s="37" t="str">
        <f aca="false">IF(C929="","",IFERROR(INDEX(cl_Code,MATCH(C929,cl_Name,0)),"Unknown"))</f>
        <v>HCS</v>
      </c>
      <c r="K929" s="37" t="str">
        <f aca="false">IF(D929="","",IFERROR(INDEX(rt_Billable,MATCH(D929,rt_Code,0)),"Unknown"))</f>
        <v>Yes</v>
      </c>
      <c r="L929" s="38" t="n">
        <f aca="false">IF(K929&lt;&gt;"Yes","",IFERROR(INDEX(cr_Rate,MATCH(J929&amp;"|"&amp;D929,cr_Key,0)),INDEX(rt_Rate,MATCH(D929,rt_Code,0))))</f>
        <v>98</v>
      </c>
      <c r="M929" s="25" t="n">
        <f aca="false">IF(L929="","",ROUND(N(E929)*L929,2))</f>
        <v>392</v>
      </c>
      <c r="N929" s="39" t="n">
        <f aca="false">IF(OR(A929="",B929=""),"",SUMIFS(tl_Hours,tl_StaffID,I929,tl_Date,A929))</f>
        <v>8</v>
      </c>
      <c r="O929" s="40" t="str">
        <f aca="false">IF(A929&amp;B929&amp;D929="","",IF(OR(A929="",B929="",D929="",E929=""),"Incomplete",IF(K929="Unknown","Unknown code",IF(AND(K929="Yes",C929=""),"Billable, needs client",IF(N929&gt;MaxDayHours,"Over "&amp;MaxDayHours&amp;" hours that day","")))))</f>
        <v/>
      </c>
    </row>
    <row r="930" customFormat="false" ht="15" hidden="false" customHeight="false" outlineLevel="0" collapsed="false">
      <c r="A930" s="31" t="n">
        <v>46253</v>
      </c>
      <c r="B930" s="32" t="s">
        <v>105</v>
      </c>
      <c r="C930" s="32" t="s">
        <v>87</v>
      </c>
      <c r="D930" s="33" t="s">
        <v>89</v>
      </c>
      <c r="E930" s="34" t="n">
        <v>1.75</v>
      </c>
      <c r="F930" s="32"/>
      <c r="G930" s="35" t="n">
        <f aca="false">IF(A930="","",A930+7-WEEKDAY(A930))</f>
        <v>46256</v>
      </c>
      <c r="H930" s="36" t="n">
        <f aca="false">IF(A930="","",DATE(YEAR(A930),MONTH(A930),1))</f>
        <v>46235</v>
      </c>
      <c r="I930" s="37" t="str">
        <f aca="false">IF(B930="","",IFERROR(INDEX(st_ID,MATCH(B930,st_Name,0)),"Unknown"))</f>
        <v>QP-06</v>
      </c>
      <c r="J930" s="37" t="str">
        <f aca="false">IF(C930="","",IFERROR(INDEX(cl_Code,MATCH(C930,cl_Name,0)),"Unknown"))</f>
        <v>HCS</v>
      </c>
      <c r="K930" s="37" t="str">
        <f aca="false">IF(D930="","",IFERROR(INDEX(rt_Billable,MATCH(D930,rt_Code,0)),"Unknown"))</f>
        <v>Yes</v>
      </c>
      <c r="L930" s="38" t="n">
        <f aca="false">IF(K930&lt;&gt;"Yes","",IFERROR(INDEX(cr_Rate,MATCH(J930&amp;"|"&amp;D930,cr_Key,0)),INDEX(rt_Rate,MATCH(D930,rt_Code,0))))</f>
        <v>88</v>
      </c>
      <c r="M930" s="25" t="n">
        <f aca="false">IF(L930="","",ROUND(N(E930)*L930,2))</f>
        <v>154</v>
      </c>
      <c r="N930" s="39" t="n">
        <f aca="false">IF(OR(A930="",B930=""),"",SUMIFS(tl_Hours,tl_StaffID,I930,tl_Date,A930))</f>
        <v>8</v>
      </c>
      <c r="O930" s="40" t="str">
        <f aca="false">IF(A930&amp;B930&amp;D930="","",IF(OR(A930="",B930="",D930="",E930=""),"Incomplete",IF(K930="Unknown","Unknown code",IF(AND(K930="Yes",C930=""),"Billable, needs client",IF(N930&gt;MaxDayHours,"Over "&amp;MaxDayHours&amp;" hours that day","")))))</f>
        <v/>
      </c>
    </row>
    <row r="931" customFormat="false" ht="15" hidden="false" customHeight="false" outlineLevel="0" collapsed="false">
      <c r="A931" s="31" t="n">
        <v>46253</v>
      </c>
      <c r="B931" s="32" t="s">
        <v>105</v>
      </c>
      <c r="C931" s="32"/>
      <c r="D931" s="33" t="s">
        <v>96</v>
      </c>
      <c r="E931" s="34" t="n">
        <v>2.25</v>
      </c>
      <c r="F931" s="32"/>
      <c r="G931" s="35" t="n">
        <f aca="false">IF(A931="","",A931+7-WEEKDAY(A931))</f>
        <v>46256</v>
      </c>
      <c r="H931" s="36" t="n">
        <f aca="false">IF(A931="","",DATE(YEAR(A931),MONTH(A931),1))</f>
        <v>46235</v>
      </c>
      <c r="I931" s="37" t="str">
        <f aca="false">IF(B931="","",IFERROR(INDEX(st_ID,MATCH(B931,st_Name,0)),"Unknown"))</f>
        <v>QP-06</v>
      </c>
      <c r="J931" s="37" t="str">
        <f aca="false">IF(C931="","",IFERROR(INDEX(cl_Code,MATCH(C931,cl_Name,0)),"Unknown"))</f>
        <v/>
      </c>
      <c r="K931" s="37" t="str">
        <f aca="false">IF(D931="","",IFERROR(INDEX(rt_Billable,MATCH(D931,rt_Code,0)),"Unknown"))</f>
        <v>No</v>
      </c>
      <c r="L931" s="38" t="str">
        <f aca="false">IF(K931&lt;&gt;"Yes","",IFERROR(INDEX(cr_Rate,MATCH(J931&amp;"|"&amp;D931,cr_Key,0)),INDEX(rt_Rate,MATCH(D931,rt_Code,0))))</f>
        <v/>
      </c>
      <c r="M931" s="25" t="str">
        <f aca="false">IF(L931="","",ROUND(N(E931)*L931,2))</f>
        <v/>
      </c>
      <c r="N931" s="39" t="n">
        <f aca="false">IF(OR(A931="",B931=""),"",SUMIFS(tl_Hours,tl_StaffID,I931,tl_Date,A931))</f>
        <v>8</v>
      </c>
      <c r="O931" s="40" t="str">
        <f aca="false">IF(A931&amp;B931&amp;D931="","",IF(OR(A931="",B931="",D931="",E931=""),"Incomplete",IF(K931="Unknown","Unknown code",IF(AND(K931="Yes",C931=""),"Billable, needs client",IF(N931&gt;MaxDayHours,"Over "&amp;MaxDayHours&amp;" hours that day","")))))</f>
        <v/>
      </c>
    </row>
    <row r="932" customFormat="false" ht="15" hidden="false" customHeight="false" outlineLevel="0" collapsed="false">
      <c r="A932" s="31" t="n">
        <v>46253</v>
      </c>
      <c r="B932" s="32" t="s">
        <v>106</v>
      </c>
      <c r="C932" s="32" t="s">
        <v>102</v>
      </c>
      <c r="D932" s="33" t="s">
        <v>104</v>
      </c>
      <c r="E932" s="34" t="n">
        <v>1.75</v>
      </c>
      <c r="F932" s="32"/>
      <c r="G932" s="35" t="n">
        <f aca="false">IF(A932="","",A932+7-WEEKDAY(A932))</f>
        <v>46256</v>
      </c>
      <c r="H932" s="36" t="n">
        <f aca="false">IF(A932="","",DATE(YEAR(A932),MONTH(A932),1))</f>
        <v>46235</v>
      </c>
      <c r="I932" s="37" t="str">
        <f aca="false">IF(B932="","",IFERROR(INDEX(st_ID,MATCH(B932,st_Name,0)),"Unknown"))</f>
        <v>QP-07</v>
      </c>
      <c r="J932" s="37" t="str">
        <f aca="false">IF(C932="","",IFERROR(INDEX(cl_Code,MATCH(C932,cl_Name,0)),"Unknown"))</f>
        <v>CLH</v>
      </c>
      <c r="K932" s="37" t="str">
        <f aca="false">IF(D932="","",IFERROR(INDEX(rt_Billable,MATCH(D932,rt_Code,0)),"Unknown"))</f>
        <v>Yes</v>
      </c>
      <c r="L932" s="38" t="n">
        <f aca="false">IF(K932&lt;&gt;"Yes","",IFERROR(INDEX(cr_Rate,MATCH(J932&amp;"|"&amp;D932,cr_Key,0)),INDEX(rt_Rate,MATCH(D932,rt_Code,0))))</f>
        <v>65</v>
      </c>
      <c r="M932" s="25" t="n">
        <f aca="false">IF(L932="","",ROUND(N(E932)*L932,2))</f>
        <v>113.75</v>
      </c>
      <c r="N932" s="39" t="n">
        <f aca="false">IF(OR(A932="",B932=""),"",SUMIFS(tl_Hours,tl_StaffID,I932,tl_Date,A932))</f>
        <v>8</v>
      </c>
      <c r="O932" s="40" t="str">
        <f aca="false">IF(A932&amp;B932&amp;D932="","",IF(OR(A932="",B932="",D932="",E932=""),"Incomplete",IF(K932="Unknown","Unknown code",IF(AND(K932="Yes",C932=""),"Billable, needs client",IF(N932&gt;MaxDayHours,"Over "&amp;MaxDayHours&amp;" hours that day","")))))</f>
        <v/>
      </c>
    </row>
    <row r="933" customFormat="false" ht="15" hidden="false" customHeight="false" outlineLevel="0" collapsed="false">
      <c r="A933" s="31" t="n">
        <v>46253</v>
      </c>
      <c r="B933" s="32" t="s">
        <v>106</v>
      </c>
      <c r="C933" s="32" t="s">
        <v>102</v>
      </c>
      <c r="D933" s="33" t="s">
        <v>89</v>
      </c>
      <c r="E933" s="34" t="n">
        <v>1</v>
      </c>
      <c r="F933" s="32"/>
      <c r="G933" s="35" t="n">
        <f aca="false">IF(A933="","",A933+7-WEEKDAY(A933))</f>
        <v>46256</v>
      </c>
      <c r="H933" s="36" t="n">
        <f aca="false">IF(A933="","",DATE(YEAR(A933),MONTH(A933),1))</f>
        <v>46235</v>
      </c>
      <c r="I933" s="37" t="str">
        <f aca="false">IF(B933="","",IFERROR(INDEX(st_ID,MATCH(B933,st_Name,0)),"Unknown"))</f>
        <v>QP-07</v>
      </c>
      <c r="J933" s="37" t="str">
        <f aca="false">IF(C933="","",IFERROR(INDEX(cl_Code,MATCH(C933,cl_Name,0)),"Unknown"))</f>
        <v>CLH</v>
      </c>
      <c r="K933" s="37" t="str">
        <f aca="false">IF(D933="","",IFERROR(INDEX(rt_Billable,MATCH(D933,rt_Code,0)),"Unknown"))</f>
        <v>Yes</v>
      </c>
      <c r="L933" s="38" t="n">
        <f aca="false">IF(K933&lt;&gt;"Yes","",IFERROR(INDEX(cr_Rate,MATCH(J933&amp;"|"&amp;D933,cr_Key,0)),INDEX(rt_Rate,MATCH(D933,rt_Code,0))))</f>
        <v>95</v>
      </c>
      <c r="M933" s="25" t="n">
        <f aca="false">IF(L933="","",ROUND(N(E933)*L933,2))</f>
        <v>95</v>
      </c>
      <c r="N933" s="39" t="n">
        <f aca="false">IF(OR(A933="",B933=""),"",SUMIFS(tl_Hours,tl_StaffID,I933,tl_Date,A933))</f>
        <v>8</v>
      </c>
      <c r="O933" s="40" t="str">
        <f aca="false">IF(A933&amp;B933&amp;D933="","",IF(OR(A933="",B933="",D933="",E933=""),"Incomplete",IF(K933="Unknown","Unknown code",IF(AND(K933="Yes",C933=""),"Billable, needs client",IF(N933&gt;MaxDayHours,"Over "&amp;MaxDayHours&amp;" hours that day","")))))</f>
        <v/>
      </c>
    </row>
    <row r="934" customFormat="false" ht="15" hidden="false" customHeight="false" outlineLevel="0" collapsed="false">
      <c r="A934" s="31" t="n">
        <v>46253</v>
      </c>
      <c r="B934" s="32" t="s">
        <v>106</v>
      </c>
      <c r="C934" s="32" t="s">
        <v>112</v>
      </c>
      <c r="D934" s="33" t="s">
        <v>88</v>
      </c>
      <c r="E934" s="34" t="n">
        <v>1.5</v>
      </c>
      <c r="F934" s="32"/>
      <c r="G934" s="35" t="n">
        <f aca="false">IF(A934="","",A934+7-WEEKDAY(A934))</f>
        <v>46256</v>
      </c>
      <c r="H934" s="36" t="n">
        <f aca="false">IF(A934="","",DATE(YEAR(A934),MONTH(A934),1))</f>
        <v>46235</v>
      </c>
      <c r="I934" s="37" t="str">
        <f aca="false">IF(B934="","",IFERROR(INDEX(st_ID,MATCH(B934,st_Name,0)),"Unknown"))</f>
        <v>QP-07</v>
      </c>
      <c r="J934" s="37" t="str">
        <f aca="false">IF(C934="","",IFERROR(INDEX(cl_Code,MATCH(C934,cl_Name,0)),"Unknown"))</f>
        <v>PCA</v>
      </c>
      <c r="K934" s="37" t="str">
        <f aca="false">IF(D934="","",IFERROR(INDEX(rt_Billable,MATCH(D934,rt_Code,0)),"Unknown"))</f>
        <v>Yes</v>
      </c>
      <c r="L934" s="38" t="n">
        <f aca="false">IF(K934&lt;&gt;"Yes","",IFERROR(INDEX(cr_Rate,MATCH(J934&amp;"|"&amp;D934,cr_Key,0)),INDEX(rt_Rate,MATCH(D934,rt_Code,0))))</f>
        <v>110</v>
      </c>
      <c r="M934" s="25" t="n">
        <f aca="false">IF(L934="","",ROUND(N(E934)*L934,2))</f>
        <v>165</v>
      </c>
      <c r="N934" s="39" t="n">
        <f aca="false">IF(OR(A934="",B934=""),"",SUMIFS(tl_Hours,tl_StaffID,I934,tl_Date,A934))</f>
        <v>8</v>
      </c>
      <c r="O934" s="40" t="str">
        <f aca="false">IF(A934&amp;B934&amp;D934="","",IF(OR(A934="",B934="",D934="",E934=""),"Incomplete",IF(K934="Unknown","Unknown code",IF(AND(K934="Yes",C934=""),"Billable, needs client",IF(N934&gt;MaxDayHours,"Over "&amp;MaxDayHours&amp;" hours that day","")))))</f>
        <v/>
      </c>
    </row>
    <row r="935" customFormat="false" ht="15" hidden="false" customHeight="false" outlineLevel="0" collapsed="false">
      <c r="A935" s="31" t="n">
        <v>46253</v>
      </c>
      <c r="B935" s="32" t="s">
        <v>106</v>
      </c>
      <c r="C935" s="32" t="s">
        <v>112</v>
      </c>
      <c r="D935" s="33" t="s">
        <v>104</v>
      </c>
      <c r="E935" s="34" t="n">
        <v>1.25</v>
      </c>
      <c r="F935" s="32"/>
      <c r="G935" s="35" t="n">
        <f aca="false">IF(A935="","",A935+7-WEEKDAY(A935))</f>
        <v>46256</v>
      </c>
      <c r="H935" s="36" t="n">
        <f aca="false">IF(A935="","",DATE(YEAR(A935),MONTH(A935),1))</f>
        <v>46235</v>
      </c>
      <c r="I935" s="37" t="str">
        <f aca="false">IF(B935="","",IFERROR(INDEX(st_ID,MATCH(B935,st_Name,0)),"Unknown"))</f>
        <v>QP-07</v>
      </c>
      <c r="J935" s="37" t="str">
        <f aca="false">IF(C935="","",IFERROR(INDEX(cl_Code,MATCH(C935,cl_Name,0)),"Unknown"))</f>
        <v>PCA</v>
      </c>
      <c r="K935" s="37" t="str">
        <f aca="false">IF(D935="","",IFERROR(INDEX(rt_Billable,MATCH(D935,rt_Code,0)),"Unknown"))</f>
        <v>Yes</v>
      </c>
      <c r="L935" s="38" t="n">
        <f aca="false">IF(K935&lt;&gt;"Yes","",IFERROR(INDEX(cr_Rate,MATCH(J935&amp;"|"&amp;D935,cr_Key,0)),INDEX(rt_Rate,MATCH(D935,rt_Code,0))))</f>
        <v>70</v>
      </c>
      <c r="M935" s="25" t="n">
        <f aca="false">IF(L935="","",ROUND(N(E935)*L935,2))</f>
        <v>87.5</v>
      </c>
      <c r="N935" s="39" t="n">
        <f aca="false">IF(OR(A935="",B935=""),"",SUMIFS(tl_Hours,tl_StaffID,I935,tl_Date,A935))</f>
        <v>8</v>
      </c>
      <c r="O935" s="40" t="str">
        <f aca="false">IF(A935&amp;B935&amp;D935="","",IF(OR(A935="",B935="",D935="",E935=""),"Incomplete",IF(K935="Unknown","Unknown code",IF(AND(K935="Yes",C935=""),"Billable, needs client",IF(N935&gt;MaxDayHours,"Over "&amp;MaxDayHours&amp;" hours that day","")))))</f>
        <v/>
      </c>
    </row>
    <row r="936" customFormat="false" ht="15" hidden="false" customHeight="false" outlineLevel="0" collapsed="false">
      <c r="A936" s="31" t="n">
        <v>46253</v>
      </c>
      <c r="B936" s="32" t="s">
        <v>106</v>
      </c>
      <c r="C936" s="32"/>
      <c r="D936" s="33" t="s">
        <v>93</v>
      </c>
      <c r="E936" s="34" t="n">
        <v>0.5</v>
      </c>
      <c r="F936" s="32"/>
      <c r="G936" s="35" t="n">
        <f aca="false">IF(A936="","",A936+7-WEEKDAY(A936))</f>
        <v>46256</v>
      </c>
      <c r="H936" s="36" t="n">
        <f aca="false">IF(A936="","",DATE(YEAR(A936),MONTH(A936),1))</f>
        <v>46235</v>
      </c>
      <c r="I936" s="37" t="str">
        <f aca="false">IF(B936="","",IFERROR(INDEX(st_ID,MATCH(B936,st_Name,0)),"Unknown"))</f>
        <v>QP-07</v>
      </c>
      <c r="J936" s="37" t="str">
        <f aca="false">IF(C936="","",IFERROR(INDEX(cl_Code,MATCH(C936,cl_Name,0)),"Unknown"))</f>
        <v/>
      </c>
      <c r="K936" s="37" t="str">
        <f aca="false">IF(D936="","",IFERROR(INDEX(rt_Billable,MATCH(D936,rt_Code,0)),"Unknown"))</f>
        <v>No</v>
      </c>
      <c r="L936" s="38" t="str">
        <f aca="false">IF(K936&lt;&gt;"Yes","",IFERROR(INDEX(cr_Rate,MATCH(J936&amp;"|"&amp;D936,cr_Key,0)),INDEX(rt_Rate,MATCH(D936,rt_Code,0))))</f>
        <v/>
      </c>
      <c r="M936" s="25" t="str">
        <f aca="false">IF(L936="","",ROUND(N(E936)*L936,2))</f>
        <v/>
      </c>
      <c r="N936" s="39" t="n">
        <f aca="false">IF(OR(A936="",B936=""),"",SUMIFS(tl_Hours,tl_StaffID,I936,tl_Date,A936))</f>
        <v>8</v>
      </c>
      <c r="O936" s="40" t="str">
        <f aca="false">IF(A936&amp;B936&amp;D936="","",IF(OR(A936="",B936="",D936="",E936=""),"Incomplete",IF(K936="Unknown","Unknown code",IF(AND(K936="Yes",C936=""),"Billable, needs client",IF(N936&gt;MaxDayHours,"Over "&amp;MaxDayHours&amp;" hours that day","")))))</f>
        <v/>
      </c>
    </row>
    <row r="937" customFormat="false" ht="15" hidden="false" customHeight="false" outlineLevel="0" collapsed="false">
      <c r="A937" s="31" t="n">
        <v>46253</v>
      </c>
      <c r="B937" s="32" t="s">
        <v>106</v>
      </c>
      <c r="C937" s="32"/>
      <c r="D937" s="33" t="s">
        <v>98</v>
      </c>
      <c r="E937" s="34" t="n">
        <v>1</v>
      </c>
      <c r="F937" s="32" t="s">
        <v>99</v>
      </c>
      <c r="G937" s="35" t="n">
        <f aca="false">IF(A937="","",A937+7-WEEKDAY(A937))</f>
        <v>46256</v>
      </c>
      <c r="H937" s="36" t="n">
        <f aca="false">IF(A937="","",DATE(YEAR(A937),MONTH(A937),1))</f>
        <v>46235</v>
      </c>
      <c r="I937" s="37" t="str">
        <f aca="false">IF(B937="","",IFERROR(INDEX(st_ID,MATCH(B937,st_Name,0)),"Unknown"))</f>
        <v>QP-07</v>
      </c>
      <c r="J937" s="37" t="str">
        <f aca="false">IF(C937="","",IFERROR(INDEX(cl_Code,MATCH(C937,cl_Name,0)),"Unknown"))</f>
        <v/>
      </c>
      <c r="K937" s="37" t="str">
        <f aca="false">IF(D937="","",IFERROR(INDEX(rt_Billable,MATCH(D937,rt_Code,0)),"Unknown"))</f>
        <v>No</v>
      </c>
      <c r="L937" s="38" t="str">
        <f aca="false">IF(K937&lt;&gt;"Yes","",IFERROR(INDEX(cr_Rate,MATCH(J937&amp;"|"&amp;D937,cr_Key,0)),INDEX(rt_Rate,MATCH(D937,rt_Code,0))))</f>
        <v/>
      </c>
      <c r="M937" s="25" t="str">
        <f aca="false">IF(L937="","",ROUND(N(E937)*L937,2))</f>
        <v/>
      </c>
      <c r="N937" s="39" t="n">
        <f aca="false">IF(OR(A937="",B937=""),"",SUMIFS(tl_Hours,tl_StaffID,I937,tl_Date,A937))</f>
        <v>8</v>
      </c>
      <c r="O937" s="40" t="str">
        <f aca="false">IF(A937&amp;B937&amp;D937="","",IF(OR(A937="",B937="",D937="",E937=""),"Incomplete",IF(K937="Unknown","Unknown code",IF(AND(K937="Yes",C937=""),"Billable, needs client",IF(N937&gt;MaxDayHours,"Over "&amp;MaxDayHours&amp;" hours that day","")))))</f>
        <v/>
      </c>
    </row>
    <row r="938" customFormat="false" ht="15" hidden="false" customHeight="false" outlineLevel="0" collapsed="false">
      <c r="A938" s="31" t="n">
        <v>46253</v>
      </c>
      <c r="B938" s="32" t="s">
        <v>106</v>
      </c>
      <c r="C938" s="32"/>
      <c r="D938" s="33" t="s">
        <v>96</v>
      </c>
      <c r="E938" s="34" t="n">
        <v>1</v>
      </c>
      <c r="F938" s="32"/>
      <c r="G938" s="35" t="n">
        <f aca="false">IF(A938="","",A938+7-WEEKDAY(A938))</f>
        <v>46256</v>
      </c>
      <c r="H938" s="36" t="n">
        <f aca="false">IF(A938="","",DATE(YEAR(A938),MONTH(A938),1))</f>
        <v>46235</v>
      </c>
      <c r="I938" s="37" t="str">
        <f aca="false">IF(B938="","",IFERROR(INDEX(st_ID,MATCH(B938,st_Name,0)),"Unknown"))</f>
        <v>QP-07</v>
      </c>
      <c r="J938" s="37" t="str">
        <f aca="false">IF(C938="","",IFERROR(INDEX(cl_Code,MATCH(C938,cl_Name,0)),"Unknown"))</f>
        <v/>
      </c>
      <c r="K938" s="37" t="str">
        <f aca="false">IF(D938="","",IFERROR(INDEX(rt_Billable,MATCH(D938,rt_Code,0)),"Unknown"))</f>
        <v>No</v>
      </c>
      <c r="L938" s="38" t="str">
        <f aca="false">IF(K938&lt;&gt;"Yes","",IFERROR(INDEX(cr_Rate,MATCH(J938&amp;"|"&amp;D938,cr_Key,0)),INDEX(rt_Rate,MATCH(D938,rt_Code,0))))</f>
        <v/>
      </c>
      <c r="M938" s="25" t="str">
        <f aca="false">IF(L938="","",ROUND(N(E938)*L938,2))</f>
        <v/>
      </c>
      <c r="N938" s="39" t="n">
        <f aca="false">IF(OR(A938="",B938=""),"",SUMIFS(tl_Hours,tl_StaffID,I938,tl_Date,A938))</f>
        <v>8</v>
      </c>
      <c r="O938" s="40" t="str">
        <f aca="false">IF(A938&amp;B938&amp;D938="","",IF(OR(A938="",B938="",D938="",E938=""),"Incomplete",IF(K938="Unknown","Unknown code",IF(AND(K938="Yes",C938=""),"Billable, needs client",IF(N938&gt;MaxDayHours,"Over "&amp;MaxDayHours&amp;" hours that day","")))))</f>
        <v/>
      </c>
    </row>
    <row r="939" customFormat="false" ht="15" hidden="false" customHeight="false" outlineLevel="0" collapsed="false">
      <c r="A939" s="31" t="n">
        <v>46253</v>
      </c>
      <c r="B939" s="32" t="s">
        <v>107</v>
      </c>
      <c r="C939" s="32"/>
      <c r="D939" s="33" t="s">
        <v>108</v>
      </c>
      <c r="E939" s="34" t="n">
        <v>6.5</v>
      </c>
      <c r="F939" s="32"/>
      <c r="G939" s="35" t="n">
        <f aca="false">IF(A939="","",A939+7-WEEKDAY(A939))</f>
        <v>46256</v>
      </c>
      <c r="H939" s="36" t="n">
        <f aca="false">IF(A939="","",DATE(YEAR(A939),MONTH(A939),1))</f>
        <v>46235</v>
      </c>
      <c r="I939" s="37" t="str">
        <f aca="false">IF(B939="","",IFERROR(INDEX(st_ID,MATCH(B939,st_Name,0)),"Unknown"))</f>
        <v>QP-08</v>
      </c>
      <c r="J939" s="37" t="str">
        <f aca="false">IF(C939="","",IFERROR(INDEX(cl_Code,MATCH(C939,cl_Name,0)),"Unknown"))</f>
        <v/>
      </c>
      <c r="K939" s="37" t="str">
        <f aca="false">IF(D939="","",IFERROR(INDEX(rt_Billable,MATCH(D939,rt_Code,0)),"Unknown"))</f>
        <v>No</v>
      </c>
      <c r="L939" s="38" t="str">
        <f aca="false">IF(K939&lt;&gt;"Yes","",IFERROR(INDEX(cr_Rate,MATCH(J939&amp;"|"&amp;D939,cr_Key,0)),INDEX(rt_Rate,MATCH(D939,rt_Code,0))))</f>
        <v/>
      </c>
      <c r="M939" s="25" t="str">
        <f aca="false">IF(L939="","",ROUND(N(E939)*L939,2))</f>
        <v/>
      </c>
      <c r="N939" s="39" t="n">
        <f aca="false">IF(OR(A939="",B939=""),"",SUMIFS(tl_Hours,tl_StaffID,I939,tl_Date,A939))</f>
        <v>8</v>
      </c>
      <c r="O939" s="40" t="str">
        <f aca="false">IF(A939&amp;B939&amp;D939="","",IF(OR(A939="",B939="",D939="",E939=""),"Incomplete",IF(K939="Unknown","Unknown code",IF(AND(K939="Yes",C939=""),"Billable, needs client",IF(N939&gt;MaxDayHours,"Over "&amp;MaxDayHours&amp;" hours that day","")))))</f>
        <v/>
      </c>
    </row>
    <row r="940" customFormat="false" ht="15" hidden="false" customHeight="false" outlineLevel="0" collapsed="false">
      <c r="A940" s="31" t="n">
        <v>46253</v>
      </c>
      <c r="B940" s="32" t="s">
        <v>107</v>
      </c>
      <c r="C940" s="32"/>
      <c r="D940" s="33" t="s">
        <v>98</v>
      </c>
      <c r="E940" s="34" t="n">
        <v>1.5</v>
      </c>
      <c r="F940" s="32"/>
      <c r="G940" s="35" t="n">
        <f aca="false">IF(A940="","",A940+7-WEEKDAY(A940))</f>
        <v>46256</v>
      </c>
      <c r="H940" s="36" t="n">
        <f aca="false">IF(A940="","",DATE(YEAR(A940),MONTH(A940),1))</f>
        <v>46235</v>
      </c>
      <c r="I940" s="37" t="str">
        <f aca="false">IF(B940="","",IFERROR(INDEX(st_ID,MATCH(B940,st_Name,0)),"Unknown"))</f>
        <v>QP-08</v>
      </c>
      <c r="J940" s="37" t="str">
        <f aca="false">IF(C940="","",IFERROR(INDEX(cl_Code,MATCH(C940,cl_Name,0)),"Unknown"))</f>
        <v/>
      </c>
      <c r="K940" s="37" t="str">
        <f aca="false">IF(D940="","",IFERROR(INDEX(rt_Billable,MATCH(D940,rt_Code,0)),"Unknown"))</f>
        <v>No</v>
      </c>
      <c r="L940" s="38" t="str">
        <f aca="false">IF(K940&lt;&gt;"Yes","",IFERROR(INDEX(cr_Rate,MATCH(J940&amp;"|"&amp;D940,cr_Key,0)),INDEX(rt_Rate,MATCH(D940,rt_Code,0))))</f>
        <v/>
      </c>
      <c r="M940" s="25" t="str">
        <f aca="false">IF(L940="","",ROUND(N(E940)*L940,2))</f>
        <v/>
      </c>
      <c r="N940" s="39" t="n">
        <f aca="false">IF(OR(A940="",B940=""),"",SUMIFS(tl_Hours,tl_StaffID,I940,tl_Date,A940))</f>
        <v>8</v>
      </c>
      <c r="O940" s="40" t="str">
        <f aca="false">IF(A940&amp;B940&amp;D940="","",IF(OR(A940="",B940="",D940="",E940=""),"Incomplete",IF(K940="Unknown","Unknown code",IF(AND(K940="Yes",C940=""),"Billable, needs client",IF(N940&gt;MaxDayHours,"Over "&amp;MaxDayHours&amp;" hours that day","")))))</f>
        <v/>
      </c>
    </row>
    <row r="941" customFormat="false" ht="15" hidden="false" customHeight="false" outlineLevel="0" collapsed="false">
      <c r="A941" s="31" t="n">
        <v>46254</v>
      </c>
      <c r="B941" s="32" t="s">
        <v>86</v>
      </c>
      <c r="C941" s="32" t="s">
        <v>112</v>
      </c>
      <c r="D941" s="33" t="s">
        <v>104</v>
      </c>
      <c r="E941" s="34" t="n">
        <v>3.5</v>
      </c>
      <c r="F941" s="32"/>
      <c r="G941" s="35" t="n">
        <f aca="false">IF(A941="","",A941+7-WEEKDAY(A941))</f>
        <v>46256</v>
      </c>
      <c r="H941" s="36" t="n">
        <f aca="false">IF(A941="","",DATE(YEAR(A941),MONTH(A941),1))</f>
        <v>46235</v>
      </c>
      <c r="I941" s="37" t="str">
        <f aca="false">IF(B941="","",IFERROR(INDEX(st_ID,MATCH(B941,st_Name,0)),"Unknown"))</f>
        <v>QP-01</v>
      </c>
      <c r="J941" s="37" t="str">
        <f aca="false">IF(C941="","",IFERROR(INDEX(cl_Code,MATCH(C941,cl_Name,0)),"Unknown"))</f>
        <v>PCA</v>
      </c>
      <c r="K941" s="37" t="str">
        <f aca="false">IF(D941="","",IFERROR(INDEX(rt_Billable,MATCH(D941,rt_Code,0)),"Unknown"))</f>
        <v>Yes</v>
      </c>
      <c r="L941" s="38" t="n">
        <f aca="false">IF(K941&lt;&gt;"Yes","",IFERROR(INDEX(cr_Rate,MATCH(J941&amp;"|"&amp;D941,cr_Key,0)),INDEX(rt_Rate,MATCH(D941,rt_Code,0))))</f>
        <v>70</v>
      </c>
      <c r="M941" s="25" t="n">
        <f aca="false">IF(L941="","",ROUND(N(E941)*L941,2))</f>
        <v>245</v>
      </c>
      <c r="N941" s="39" t="n">
        <f aca="false">IF(OR(A941="",B941=""),"",SUMIFS(tl_Hours,tl_StaffID,I941,tl_Date,A941))</f>
        <v>8</v>
      </c>
      <c r="O941" s="40" t="str">
        <f aca="false">IF(A941&amp;B941&amp;D941="","",IF(OR(A941="",B941="",D941="",E941=""),"Incomplete",IF(K941="Unknown","Unknown code",IF(AND(K941="Yes",C941=""),"Billable, needs client",IF(N941&gt;MaxDayHours,"Over "&amp;MaxDayHours&amp;" hours that day","")))))</f>
        <v/>
      </c>
    </row>
    <row r="942" customFormat="false" ht="15" hidden="false" customHeight="false" outlineLevel="0" collapsed="false">
      <c r="A942" s="31" t="n">
        <v>46254</v>
      </c>
      <c r="B942" s="32" t="s">
        <v>86</v>
      </c>
      <c r="C942" s="32" t="s">
        <v>112</v>
      </c>
      <c r="D942" s="33" t="s">
        <v>88</v>
      </c>
      <c r="E942" s="34" t="n">
        <v>2.75</v>
      </c>
      <c r="F942" s="32"/>
      <c r="G942" s="35" t="n">
        <f aca="false">IF(A942="","",A942+7-WEEKDAY(A942))</f>
        <v>46256</v>
      </c>
      <c r="H942" s="36" t="n">
        <f aca="false">IF(A942="","",DATE(YEAR(A942),MONTH(A942),1))</f>
        <v>46235</v>
      </c>
      <c r="I942" s="37" t="str">
        <f aca="false">IF(B942="","",IFERROR(INDEX(st_ID,MATCH(B942,st_Name,0)),"Unknown"))</f>
        <v>QP-01</v>
      </c>
      <c r="J942" s="37" t="str">
        <f aca="false">IF(C942="","",IFERROR(INDEX(cl_Code,MATCH(C942,cl_Name,0)),"Unknown"))</f>
        <v>PCA</v>
      </c>
      <c r="K942" s="37" t="str">
        <f aca="false">IF(D942="","",IFERROR(INDEX(rt_Billable,MATCH(D942,rt_Code,0)),"Unknown"))</f>
        <v>Yes</v>
      </c>
      <c r="L942" s="38" t="n">
        <f aca="false">IF(K942&lt;&gt;"Yes","",IFERROR(INDEX(cr_Rate,MATCH(J942&amp;"|"&amp;D942,cr_Key,0)),INDEX(rt_Rate,MATCH(D942,rt_Code,0))))</f>
        <v>110</v>
      </c>
      <c r="M942" s="25" t="n">
        <f aca="false">IF(L942="","",ROUND(N(E942)*L942,2))</f>
        <v>302.5</v>
      </c>
      <c r="N942" s="39" t="n">
        <f aca="false">IF(OR(A942="",B942=""),"",SUMIFS(tl_Hours,tl_StaffID,I942,tl_Date,A942))</f>
        <v>8</v>
      </c>
      <c r="O942" s="40" t="str">
        <f aca="false">IF(A942&amp;B942&amp;D942="","",IF(OR(A942="",B942="",D942="",E942=""),"Incomplete",IF(K942="Unknown","Unknown code",IF(AND(K942="Yes",C942=""),"Billable, needs client",IF(N942&gt;MaxDayHours,"Over "&amp;MaxDayHours&amp;" hours that day","")))))</f>
        <v/>
      </c>
    </row>
    <row r="943" customFormat="false" ht="15" hidden="false" customHeight="false" outlineLevel="0" collapsed="false">
      <c r="A943" s="31" t="n">
        <v>46254</v>
      </c>
      <c r="B943" s="32" t="s">
        <v>86</v>
      </c>
      <c r="C943" s="32"/>
      <c r="D943" s="33" t="s">
        <v>96</v>
      </c>
      <c r="E943" s="34" t="n">
        <v>1.75</v>
      </c>
      <c r="F943" s="32"/>
      <c r="G943" s="35" t="n">
        <f aca="false">IF(A943="","",A943+7-WEEKDAY(A943))</f>
        <v>46256</v>
      </c>
      <c r="H943" s="36" t="n">
        <f aca="false">IF(A943="","",DATE(YEAR(A943),MONTH(A943),1))</f>
        <v>46235</v>
      </c>
      <c r="I943" s="37" t="str">
        <f aca="false">IF(B943="","",IFERROR(INDEX(st_ID,MATCH(B943,st_Name,0)),"Unknown"))</f>
        <v>QP-01</v>
      </c>
      <c r="J943" s="37" t="str">
        <f aca="false">IF(C943="","",IFERROR(INDEX(cl_Code,MATCH(C943,cl_Name,0)),"Unknown"))</f>
        <v/>
      </c>
      <c r="K943" s="37" t="str">
        <f aca="false">IF(D943="","",IFERROR(INDEX(rt_Billable,MATCH(D943,rt_Code,0)),"Unknown"))</f>
        <v>No</v>
      </c>
      <c r="L943" s="38" t="str">
        <f aca="false">IF(K943&lt;&gt;"Yes","",IFERROR(INDEX(cr_Rate,MATCH(J943&amp;"|"&amp;D943,cr_Key,0)),INDEX(rt_Rate,MATCH(D943,rt_Code,0))))</f>
        <v/>
      </c>
      <c r="M943" s="25" t="str">
        <f aca="false">IF(L943="","",ROUND(N(E943)*L943,2))</f>
        <v/>
      </c>
      <c r="N943" s="39" t="n">
        <f aca="false">IF(OR(A943="",B943=""),"",SUMIFS(tl_Hours,tl_StaffID,I943,tl_Date,A943))</f>
        <v>8</v>
      </c>
      <c r="O943" s="40" t="str">
        <f aca="false">IF(A943&amp;B943&amp;D943="","",IF(OR(A943="",B943="",D943="",E943=""),"Incomplete",IF(K943="Unknown","Unknown code",IF(AND(K943="Yes",C943=""),"Billable, needs client",IF(N943&gt;MaxDayHours,"Over "&amp;MaxDayHours&amp;" hours that day","")))))</f>
        <v/>
      </c>
    </row>
    <row r="944" customFormat="false" ht="15" hidden="false" customHeight="false" outlineLevel="0" collapsed="false">
      <c r="A944" s="31" t="n">
        <v>46254</v>
      </c>
      <c r="B944" s="32" t="s">
        <v>100</v>
      </c>
      <c r="C944" s="32" t="s">
        <v>102</v>
      </c>
      <c r="D944" s="33" t="s">
        <v>88</v>
      </c>
      <c r="E944" s="34" t="n">
        <v>4</v>
      </c>
      <c r="F944" s="32"/>
      <c r="G944" s="35" t="n">
        <f aca="false">IF(A944="","",A944+7-WEEKDAY(A944))</f>
        <v>46256</v>
      </c>
      <c r="H944" s="36" t="n">
        <f aca="false">IF(A944="","",DATE(YEAR(A944),MONTH(A944),1))</f>
        <v>46235</v>
      </c>
      <c r="I944" s="37" t="str">
        <f aca="false">IF(B944="","",IFERROR(INDEX(st_ID,MATCH(B944,st_Name,0)),"Unknown"))</f>
        <v>QP-03</v>
      </c>
      <c r="J944" s="37" t="str">
        <f aca="false">IF(C944="","",IFERROR(INDEX(cl_Code,MATCH(C944,cl_Name,0)),"Unknown"))</f>
        <v>CLH</v>
      </c>
      <c r="K944" s="37" t="str">
        <f aca="false">IF(D944="","",IFERROR(INDEX(rt_Billable,MATCH(D944,rt_Code,0)),"Unknown"))</f>
        <v>Yes</v>
      </c>
      <c r="L944" s="38" t="n">
        <f aca="false">IF(K944&lt;&gt;"Yes","",IFERROR(INDEX(cr_Rate,MATCH(J944&amp;"|"&amp;D944,cr_Key,0)),INDEX(rt_Rate,MATCH(D944,rt_Code,0))))</f>
        <v>110</v>
      </c>
      <c r="M944" s="25" t="n">
        <f aca="false">IF(L944="","",ROUND(N(E944)*L944,2))</f>
        <v>440</v>
      </c>
      <c r="N944" s="39" t="n">
        <f aca="false">IF(OR(A944="",B944=""),"",SUMIFS(tl_Hours,tl_StaffID,I944,tl_Date,A944))</f>
        <v>8</v>
      </c>
      <c r="O944" s="40" t="str">
        <f aca="false">IF(A944&amp;B944&amp;D944="","",IF(OR(A944="",B944="",D944="",E944=""),"Incomplete",IF(K944="Unknown","Unknown code",IF(AND(K944="Yes",C944=""),"Billable, needs client",IF(N944&gt;MaxDayHours,"Over "&amp;MaxDayHours&amp;" hours that day","")))))</f>
        <v/>
      </c>
    </row>
    <row r="945" customFormat="false" ht="15" hidden="false" customHeight="false" outlineLevel="0" collapsed="false">
      <c r="A945" s="31" t="n">
        <v>46254</v>
      </c>
      <c r="B945" s="32" t="s">
        <v>100</v>
      </c>
      <c r="C945" s="32" t="s">
        <v>102</v>
      </c>
      <c r="D945" s="33" t="s">
        <v>104</v>
      </c>
      <c r="E945" s="34" t="n">
        <v>0.75</v>
      </c>
      <c r="F945" s="32"/>
      <c r="G945" s="35" t="n">
        <f aca="false">IF(A945="","",A945+7-WEEKDAY(A945))</f>
        <v>46256</v>
      </c>
      <c r="H945" s="36" t="n">
        <f aca="false">IF(A945="","",DATE(YEAR(A945),MONTH(A945),1))</f>
        <v>46235</v>
      </c>
      <c r="I945" s="37" t="str">
        <f aca="false">IF(B945="","",IFERROR(INDEX(st_ID,MATCH(B945,st_Name,0)),"Unknown"))</f>
        <v>QP-03</v>
      </c>
      <c r="J945" s="37" t="str">
        <f aca="false">IF(C945="","",IFERROR(INDEX(cl_Code,MATCH(C945,cl_Name,0)),"Unknown"))</f>
        <v>CLH</v>
      </c>
      <c r="K945" s="37" t="str">
        <f aca="false">IF(D945="","",IFERROR(INDEX(rt_Billable,MATCH(D945,rt_Code,0)),"Unknown"))</f>
        <v>Yes</v>
      </c>
      <c r="L945" s="38" t="n">
        <f aca="false">IF(K945&lt;&gt;"Yes","",IFERROR(INDEX(cr_Rate,MATCH(J945&amp;"|"&amp;D945,cr_Key,0)),INDEX(rt_Rate,MATCH(D945,rt_Code,0))))</f>
        <v>65</v>
      </c>
      <c r="M945" s="25" t="n">
        <f aca="false">IF(L945="","",ROUND(N(E945)*L945,2))</f>
        <v>48.75</v>
      </c>
      <c r="N945" s="39" t="n">
        <f aca="false">IF(OR(A945="",B945=""),"",SUMIFS(tl_Hours,tl_StaffID,I945,tl_Date,A945))</f>
        <v>8</v>
      </c>
      <c r="O945" s="40" t="str">
        <f aca="false">IF(A945&amp;B945&amp;D945="","",IF(OR(A945="",B945="",D945="",E945=""),"Incomplete",IF(K945="Unknown","Unknown code",IF(AND(K945="Yes",C945=""),"Billable, needs client",IF(N945&gt;MaxDayHours,"Over "&amp;MaxDayHours&amp;" hours that day","")))))</f>
        <v/>
      </c>
    </row>
    <row r="946" customFormat="false" ht="15" hidden="false" customHeight="false" outlineLevel="0" collapsed="false">
      <c r="A946" s="31" t="n">
        <v>46254</v>
      </c>
      <c r="B946" s="32" t="s">
        <v>100</v>
      </c>
      <c r="C946" s="32"/>
      <c r="D946" s="33" t="s">
        <v>96</v>
      </c>
      <c r="E946" s="34" t="n">
        <v>3.25</v>
      </c>
      <c r="F946" s="32"/>
      <c r="G946" s="35" t="n">
        <f aca="false">IF(A946="","",A946+7-WEEKDAY(A946))</f>
        <v>46256</v>
      </c>
      <c r="H946" s="36" t="n">
        <f aca="false">IF(A946="","",DATE(YEAR(A946),MONTH(A946),1))</f>
        <v>46235</v>
      </c>
      <c r="I946" s="37" t="str">
        <f aca="false">IF(B946="","",IFERROR(INDEX(st_ID,MATCH(B946,st_Name,0)),"Unknown"))</f>
        <v>QP-03</v>
      </c>
      <c r="J946" s="37" t="str">
        <f aca="false">IF(C946="","",IFERROR(INDEX(cl_Code,MATCH(C946,cl_Name,0)),"Unknown"))</f>
        <v/>
      </c>
      <c r="K946" s="37" t="str">
        <f aca="false">IF(D946="","",IFERROR(INDEX(rt_Billable,MATCH(D946,rt_Code,0)),"Unknown"))</f>
        <v>No</v>
      </c>
      <c r="L946" s="38" t="str">
        <f aca="false">IF(K946&lt;&gt;"Yes","",IFERROR(INDEX(cr_Rate,MATCH(J946&amp;"|"&amp;D946,cr_Key,0)),INDEX(rt_Rate,MATCH(D946,rt_Code,0))))</f>
        <v/>
      </c>
      <c r="M946" s="25" t="str">
        <f aca="false">IF(L946="","",ROUND(N(E946)*L946,2))</f>
        <v/>
      </c>
      <c r="N946" s="39" t="n">
        <f aca="false">IF(OR(A946="",B946=""),"",SUMIFS(tl_Hours,tl_StaffID,I946,tl_Date,A946))</f>
        <v>8</v>
      </c>
      <c r="O946" s="40" t="str">
        <f aca="false">IF(A946&amp;B946&amp;D946="","",IF(OR(A946="",B946="",D946="",E946=""),"Incomplete",IF(K946="Unknown","Unknown code",IF(AND(K946="Yes",C946=""),"Billable, needs client",IF(N946&gt;MaxDayHours,"Over "&amp;MaxDayHours&amp;" hours that day","")))))</f>
        <v/>
      </c>
    </row>
    <row r="947" customFormat="false" ht="15" hidden="false" customHeight="false" outlineLevel="0" collapsed="false">
      <c r="A947" s="31" t="n">
        <v>46254</v>
      </c>
      <c r="B947" s="32" t="s">
        <v>101</v>
      </c>
      <c r="C947" s="32" t="s">
        <v>87</v>
      </c>
      <c r="D947" s="33" t="s">
        <v>88</v>
      </c>
      <c r="E947" s="34" t="n">
        <v>4.75</v>
      </c>
      <c r="F947" s="32"/>
      <c r="G947" s="35" t="n">
        <f aca="false">IF(A947="","",A947+7-WEEKDAY(A947))</f>
        <v>46256</v>
      </c>
      <c r="H947" s="36" t="n">
        <f aca="false">IF(A947="","",DATE(YEAR(A947),MONTH(A947),1))</f>
        <v>46235</v>
      </c>
      <c r="I947" s="37" t="str">
        <f aca="false">IF(B947="","",IFERROR(INDEX(st_ID,MATCH(B947,st_Name,0)),"Unknown"))</f>
        <v>QP-04</v>
      </c>
      <c r="J947" s="37" t="str">
        <f aca="false">IF(C947="","",IFERROR(INDEX(cl_Code,MATCH(C947,cl_Name,0)),"Unknown"))</f>
        <v>HCS</v>
      </c>
      <c r="K947" s="37" t="str">
        <f aca="false">IF(D947="","",IFERROR(INDEX(rt_Billable,MATCH(D947,rt_Code,0)),"Unknown"))</f>
        <v>Yes</v>
      </c>
      <c r="L947" s="38" t="n">
        <f aca="false">IF(K947&lt;&gt;"Yes","",IFERROR(INDEX(cr_Rate,MATCH(J947&amp;"|"&amp;D947,cr_Key,0)),INDEX(rt_Rate,MATCH(D947,rt_Code,0))))</f>
        <v>98</v>
      </c>
      <c r="M947" s="25" t="n">
        <f aca="false">IF(L947="","",ROUND(N(E947)*L947,2))</f>
        <v>465.5</v>
      </c>
      <c r="N947" s="39" t="n">
        <f aca="false">IF(OR(A947="",B947=""),"",SUMIFS(tl_Hours,tl_StaffID,I947,tl_Date,A947))</f>
        <v>8</v>
      </c>
      <c r="O947" s="40" t="str">
        <f aca="false">IF(A947&amp;B947&amp;D947="","",IF(OR(A947="",B947="",D947="",E947=""),"Incomplete",IF(K947="Unknown","Unknown code",IF(AND(K947="Yes",C947=""),"Billable, needs client",IF(N947&gt;MaxDayHours,"Over "&amp;MaxDayHours&amp;" hours that day","")))))</f>
        <v/>
      </c>
    </row>
    <row r="948" customFormat="false" ht="15" hidden="false" customHeight="false" outlineLevel="0" collapsed="false">
      <c r="A948" s="31" t="n">
        <v>46254</v>
      </c>
      <c r="B948" s="32" t="s">
        <v>101</v>
      </c>
      <c r="C948" s="32" t="s">
        <v>87</v>
      </c>
      <c r="D948" s="33" t="s">
        <v>89</v>
      </c>
      <c r="E948" s="34" t="n">
        <v>1</v>
      </c>
      <c r="F948" s="32"/>
      <c r="G948" s="35" t="n">
        <f aca="false">IF(A948="","",A948+7-WEEKDAY(A948))</f>
        <v>46256</v>
      </c>
      <c r="H948" s="36" t="n">
        <f aca="false">IF(A948="","",DATE(YEAR(A948),MONTH(A948),1))</f>
        <v>46235</v>
      </c>
      <c r="I948" s="37" t="str">
        <f aca="false">IF(B948="","",IFERROR(INDEX(st_ID,MATCH(B948,st_Name,0)),"Unknown"))</f>
        <v>QP-04</v>
      </c>
      <c r="J948" s="37" t="str">
        <f aca="false">IF(C948="","",IFERROR(INDEX(cl_Code,MATCH(C948,cl_Name,0)),"Unknown"))</f>
        <v>HCS</v>
      </c>
      <c r="K948" s="37" t="str">
        <f aca="false">IF(D948="","",IFERROR(INDEX(rt_Billable,MATCH(D948,rt_Code,0)),"Unknown"))</f>
        <v>Yes</v>
      </c>
      <c r="L948" s="38" t="n">
        <f aca="false">IF(K948&lt;&gt;"Yes","",IFERROR(INDEX(cr_Rate,MATCH(J948&amp;"|"&amp;D948,cr_Key,0)),INDEX(rt_Rate,MATCH(D948,rt_Code,0))))</f>
        <v>88</v>
      </c>
      <c r="M948" s="25" t="n">
        <f aca="false">IF(L948="","",ROUND(N(E948)*L948,2))</f>
        <v>88</v>
      </c>
      <c r="N948" s="39" t="n">
        <f aca="false">IF(OR(A948="",B948=""),"",SUMIFS(tl_Hours,tl_StaffID,I948,tl_Date,A948))</f>
        <v>8</v>
      </c>
      <c r="O948" s="40" t="str">
        <f aca="false">IF(A948&amp;B948&amp;D948="","",IF(OR(A948="",B948="",D948="",E948=""),"Incomplete",IF(K948="Unknown","Unknown code",IF(AND(K948="Yes",C948=""),"Billable, needs client",IF(N948&gt;MaxDayHours,"Over "&amp;MaxDayHours&amp;" hours that day","")))))</f>
        <v/>
      </c>
    </row>
    <row r="949" customFormat="false" ht="15" hidden="false" customHeight="false" outlineLevel="0" collapsed="false">
      <c r="A949" s="31" t="n">
        <v>46254</v>
      </c>
      <c r="B949" s="32" t="s">
        <v>101</v>
      </c>
      <c r="C949" s="32"/>
      <c r="D949" s="33" t="s">
        <v>96</v>
      </c>
      <c r="E949" s="34" t="n">
        <v>2.25</v>
      </c>
      <c r="F949" s="32"/>
      <c r="G949" s="35" t="n">
        <f aca="false">IF(A949="","",A949+7-WEEKDAY(A949))</f>
        <v>46256</v>
      </c>
      <c r="H949" s="36" t="n">
        <f aca="false">IF(A949="","",DATE(YEAR(A949),MONTH(A949),1))</f>
        <v>46235</v>
      </c>
      <c r="I949" s="37" t="str">
        <f aca="false">IF(B949="","",IFERROR(INDEX(st_ID,MATCH(B949,st_Name,0)),"Unknown"))</f>
        <v>QP-04</v>
      </c>
      <c r="J949" s="37" t="str">
        <f aca="false">IF(C949="","",IFERROR(INDEX(cl_Code,MATCH(C949,cl_Name,0)),"Unknown"))</f>
        <v/>
      </c>
      <c r="K949" s="37" t="str">
        <f aca="false">IF(D949="","",IFERROR(INDEX(rt_Billable,MATCH(D949,rt_Code,0)),"Unknown"))</f>
        <v>No</v>
      </c>
      <c r="L949" s="38" t="str">
        <f aca="false">IF(K949&lt;&gt;"Yes","",IFERROR(INDEX(cr_Rate,MATCH(J949&amp;"|"&amp;D949,cr_Key,0)),INDEX(rt_Rate,MATCH(D949,rt_Code,0))))</f>
        <v/>
      </c>
      <c r="M949" s="25" t="str">
        <f aca="false">IF(L949="","",ROUND(N(E949)*L949,2))</f>
        <v/>
      </c>
      <c r="N949" s="39" t="n">
        <f aca="false">IF(OR(A949="",B949=""),"",SUMIFS(tl_Hours,tl_StaffID,I949,tl_Date,A949))</f>
        <v>8</v>
      </c>
      <c r="O949" s="40" t="str">
        <f aca="false">IF(A949&amp;B949&amp;D949="","",IF(OR(A949="",B949="",D949="",E949=""),"Incomplete",IF(K949="Unknown","Unknown code",IF(AND(K949="Yes",C949=""),"Billable, needs client",IF(N949&gt;MaxDayHours,"Over "&amp;MaxDayHours&amp;" hours that day","")))))</f>
        <v/>
      </c>
    </row>
    <row r="950" customFormat="false" ht="15" hidden="false" customHeight="false" outlineLevel="0" collapsed="false">
      <c r="A950" s="31" t="n">
        <v>46254</v>
      </c>
      <c r="B950" s="32" t="s">
        <v>103</v>
      </c>
      <c r="C950" s="32" t="s">
        <v>90</v>
      </c>
      <c r="D950" s="33" t="s">
        <v>91</v>
      </c>
      <c r="E950" s="34" t="n">
        <v>3.75</v>
      </c>
      <c r="F950" s="32"/>
      <c r="G950" s="35" t="n">
        <f aca="false">IF(A950="","",A950+7-WEEKDAY(A950))</f>
        <v>46256</v>
      </c>
      <c r="H950" s="36" t="n">
        <f aca="false">IF(A950="","",DATE(YEAR(A950),MONTH(A950),1))</f>
        <v>46235</v>
      </c>
      <c r="I950" s="37" t="str">
        <f aca="false">IF(B950="","",IFERROR(INDEX(st_ID,MATCH(B950,st_Name,0)),"Unknown"))</f>
        <v>QP-05</v>
      </c>
      <c r="J950" s="37" t="str">
        <f aca="false">IF(C950="","",IFERROR(INDEX(cl_Code,MATCH(C950,cl_Name,0)),"Unknown"))</f>
        <v>BSE</v>
      </c>
      <c r="K950" s="37" t="str">
        <f aca="false">IF(D950="","",IFERROR(INDEX(rt_Billable,MATCH(D950,rt_Code,0)),"Unknown"))</f>
        <v>Yes</v>
      </c>
      <c r="L950" s="38" t="n">
        <f aca="false">IF(K950&lt;&gt;"Yes","",IFERROR(INDEX(cr_Rate,MATCH(J950&amp;"|"&amp;D950,cr_Key,0)),INDEX(rt_Rate,MATCH(D950,rt_Code,0))))</f>
        <v>100</v>
      </c>
      <c r="M950" s="25" t="n">
        <f aca="false">IF(L950="","",ROUND(N(E950)*L950,2))</f>
        <v>375</v>
      </c>
      <c r="N950" s="39" t="n">
        <f aca="false">IF(OR(A950="",B950=""),"",SUMIFS(tl_Hours,tl_StaffID,I950,tl_Date,A950))</f>
        <v>8</v>
      </c>
      <c r="O950" s="40" t="str">
        <f aca="false">IF(A950&amp;B950&amp;D950="","",IF(OR(A950="",B950="",D950="",E950=""),"Incomplete",IF(K950="Unknown","Unknown code",IF(AND(K950="Yes",C950=""),"Billable, needs client",IF(N950&gt;MaxDayHours,"Over "&amp;MaxDayHours&amp;" hours that day","")))))</f>
        <v/>
      </c>
    </row>
    <row r="951" customFormat="false" ht="15" hidden="false" customHeight="false" outlineLevel="0" collapsed="false">
      <c r="A951" s="31" t="n">
        <v>46254</v>
      </c>
      <c r="B951" s="32" t="s">
        <v>103</v>
      </c>
      <c r="C951" s="32" t="s">
        <v>90</v>
      </c>
      <c r="D951" s="33" t="s">
        <v>104</v>
      </c>
      <c r="E951" s="34" t="n">
        <v>1.25</v>
      </c>
      <c r="F951" s="32"/>
      <c r="G951" s="35" t="n">
        <f aca="false">IF(A951="","",A951+7-WEEKDAY(A951))</f>
        <v>46256</v>
      </c>
      <c r="H951" s="36" t="n">
        <f aca="false">IF(A951="","",DATE(YEAR(A951),MONTH(A951),1))</f>
        <v>46235</v>
      </c>
      <c r="I951" s="37" t="str">
        <f aca="false">IF(B951="","",IFERROR(INDEX(st_ID,MATCH(B951,st_Name,0)),"Unknown"))</f>
        <v>QP-05</v>
      </c>
      <c r="J951" s="37" t="str">
        <f aca="false">IF(C951="","",IFERROR(INDEX(cl_Code,MATCH(C951,cl_Name,0)),"Unknown"))</f>
        <v>BSE</v>
      </c>
      <c r="K951" s="37" t="str">
        <f aca="false">IF(D951="","",IFERROR(INDEX(rt_Billable,MATCH(D951,rt_Code,0)),"Unknown"))</f>
        <v>Yes</v>
      </c>
      <c r="L951" s="38" t="n">
        <f aca="false">IF(K951&lt;&gt;"Yes","",IFERROR(INDEX(cr_Rate,MATCH(J951&amp;"|"&amp;D951,cr_Key,0)),INDEX(rt_Rate,MATCH(D951,rt_Code,0))))</f>
        <v>70</v>
      </c>
      <c r="M951" s="25" t="n">
        <f aca="false">IF(L951="","",ROUND(N(E951)*L951,2))</f>
        <v>87.5</v>
      </c>
      <c r="N951" s="39" t="n">
        <f aca="false">IF(OR(A951="",B951=""),"",SUMIFS(tl_Hours,tl_StaffID,I951,tl_Date,A951))</f>
        <v>8</v>
      </c>
      <c r="O951" s="40" t="str">
        <f aca="false">IF(A951&amp;B951&amp;D951="","",IF(OR(A951="",B951="",D951="",E951=""),"Incomplete",IF(K951="Unknown","Unknown code",IF(AND(K951="Yes",C951=""),"Billable, needs client",IF(N951&gt;MaxDayHours,"Over "&amp;MaxDayHours&amp;" hours that day","")))))</f>
        <v/>
      </c>
    </row>
    <row r="952" customFormat="false" ht="15" hidden="false" customHeight="false" outlineLevel="0" collapsed="false">
      <c r="A952" s="31" t="n">
        <v>46254</v>
      </c>
      <c r="B952" s="32" t="s">
        <v>103</v>
      </c>
      <c r="C952" s="32"/>
      <c r="D952" s="33" t="s">
        <v>96</v>
      </c>
      <c r="E952" s="34" t="n">
        <v>3</v>
      </c>
      <c r="F952" s="32"/>
      <c r="G952" s="35" t="n">
        <f aca="false">IF(A952="","",A952+7-WEEKDAY(A952))</f>
        <v>46256</v>
      </c>
      <c r="H952" s="36" t="n">
        <f aca="false">IF(A952="","",DATE(YEAR(A952),MONTH(A952),1))</f>
        <v>46235</v>
      </c>
      <c r="I952" s="37" t="str">
        <f aca="false">IF(B952="","",IFERROR(INDEX(st_ID,MATCH(B952,st_Name,0)),"Unknown"))</f>
        <v>QP-05</v>
      </c>
      <c r="J952" s="37" t="str">
        <f aca="false">IF(C952="","",IFERROR(INDEX(cl_Code,MATCH(C952,cl_Name,0)),"Unknown"))</f>
        <v/>
      </c>
      <c r="K952" s="37" t="str">
        <f aca="false">IF(D952="","",IFERROR(INDEX(rt_Billable,MATCH(D952,rt_Code,0)),"Unknown"))</f>
        <v>No</v>
      </c>
      <c r="L952" s="38" t="str">
        <f aca="false">IF(K952&lt;&gt;"Yes","",IFERROR(INDEX(cr_Rate,MATCH(J952&amp;"|"&amp;D952,cr_Key,0)),INDEX(rt_Rate,MATCH(D952,rt_Code,0))))</f>
        <v/>
      </c>
      <c r="M952" s="25" t="str">
        <f aca="false">IF(L952="","",ROUND(N(E952)*L952,2))</f>
        <v/>
      </c>
      <c r="N952" s="39" t="n">
        <f aca="false">IF(OR(A952="",B952=""),"",SUMIFS(tl_Hours,tl_StaffID,I952,tl_Date,A952))</f>
        <v>8</v>
      </c>
      <c r="O952" s="40" t="str">
        <f aca="false">IF(A952&amp;B952&amp;D952="","",IF(OR(A952="",B952="",D952="",E952=""),"Incomplete",IF(K952="Unknown","Unknown code",IF(AND(K952="Yes",C952=""),"Billable, needs client",IF(N952&gt;MaxDayHours,"Over "&amp;MaxDayHours&amp;" hours that day","")))))</f>
        <v/>
      </c>
    </row>
    <row r="953" customFormat="false" ht="15" hidden="false" customHeight="false" outlineLevel="0" collapsed="false">
      <c r="A953" s="31" t="n">
        <v>46254</v>
      </c>
      <c r="B953" s="32" t="s">
        <v>105</v>
      </c>
      <c r="C953" s="32" t="s">
        <v>90</v>
      </c>
      <c r="D953" s="33" t="s">
        <v>91</v>
      </c>
      <c r="E953" s="34" t="n">
        <v>3.75</v>
      </c>
      <c r="F953" s="32"/>
      <c r="G953" s="35" t="n">
        <f aca="false">IF(A953="","",A953+7-WEEKDAY(A953))</f>
        <v>46256</v>
      </c>
      <c r="H953" s="36" t="n">
        <f aca="false">IF(A953="","",DATE(YEAR(A953),MONTH(A953),1))</f>
        <v>46235</v>
      </c>
      <c r="I953" s="37" t="str">
        <f aca="false">IF(B953="","",IFERROR(INDEX(st_ID,MATCH(B953,st_Name,0)),"Unknown"))</f>
        <v>QP-06</v>
      </c>
      <c r="J953" s="37" t="str">
        <f aca="false">IF(C953="","",IFERROR(INDEX(cl_Code,MATCH(C953,cl_Name,0)),"Unknown"))</f>
        <v>BSE</v>
      </c>
      <c r="K953" s="37" t="str">
        <f aca="false">IF(D953="","",IFERROR(INDEX(rt_Billable,MATCH(D953,rt_Code,0)),"Unknown"))</f>
        <v>Yes</v>
      </c>
      <c r="L953" s="38" t="n">
        <f aca="false">IF(K953&lt;&gt;"Yes","",IFERROR(INDEX(cr_Rate,MATCH(J953&amp;"|"&amp;D953,cr_Key,0)),INDEX(rt_Rate,MATCH(D953,rt_Code,0))))</f>
        <v>100</v>
      </c>
      <c r="M953" s="25" t="n">
        <f aca="false">IF(L953="","",ROUND(N(E953)*L953,2))</f>
        <v>375</v>
      </c>
      <c r="N953" s="39" t="n">
        <f aca="false">IF(OR(A953="",B953=""),"",SUMIFS(tl_Hours,tl_StaffID,I953,tl_Date,A953))</f>
        <v>8</v>
      </c>
      <c r="O953" s="40" t="str">
        <f aca="false">IF(A953&amp;B953&amp;D953="","",IF(OR(A953="",B953="",D953="",E953=""),"Incomplete",IF(K953="Unknown","Unknown code",IF(AND(K953="Yes",C953=""),"Billable, needs client",IF(N953&gt;MaxDayHours,"Over "&amp;MaxDayHours&amp;" hours that day","")))))</f>
        <v/>
      </c>
    </row>
    <row r="954" customFormat="false" ht="15" hidden="false" customHeight="false" outlineLevel="0" collapsed="false">
      <c r="A954" s="31" t="n">
        <v>46254</v>
      </c>
      <c r="B954" s="32" t="s">
        <v>105</v>
      </c>
      <c r="C954" s="32" t="s">
        <v>90</v>
      </c>
      <c r="D954" s="33" t="s">
        <v>92</v>
      </c>
      <c r="E954" s="34" t="n">
        <v>1</v>
      </c>
      <c r="F954" s="32"/>
      <c r="G954" s="35" t="n">
        <f aca="false">IF(A954="","",A954+7-WEEKDAY(A954))</f>
        <v>46256</v>
      </c>
      <c r="H954" s="36" t="n">
        <f aca="false">IF(A954="","",DATE(YEAR(A954),MONTH(A954),1))</f>
        <v>46235</v>
      </c>
      <c r="I954" s="37" t="str">
        <f aca="false">IF(B954="","",IFERROR(INDEX(st_ID,MATCH(B954,st_Name,0)),"Unknown"))</f>
        <v>QP-06</v>
      </c>
      <c r="J954" s="37" t="str">
        <f aca="false">IF(C954="","",IFERROR(INDEX(cl_Code,MATCH(C954,cl_Name,0)),"Unknown"))</f>
        <v>BSE</v>
      </c>
      <c r="K954" s="37" t="str">
        <f aca="false">IF(D954="","",IFERROR(INDEX(rt_Billable,MATCH(D954,rt_Code,0)),"Unknown"))</f>
        <v>Yes</v>
      </c>
      <c r="L954" s="38" t="n">
        <f aca="false">IF(K954&lt;&gt;"Yes","",IFERROR(INDEX(cr_Rate,MATCH(J954&amp;"|"&amp;D954,cr_Key,0)),INDEX(rt_Rate,MATCH(D954,rt_Code,0))))</f>
        <v>145</v>
      </c>
      <c r="M954" s="25" t="n">
        <f aca="false">IF(L954="","",ROUND(N(E954)*L954,2))</f>
        <v>145</v>
      </c>
      <c r="N954" s="39" t="n">
        <f aca="false">IF(OR(A954="",B954=""),"",SUMIFS(tl_Hours,tl_StaffID,I954,tl_Date,A954))</f>
        <v>8</v>
      </c>
      <c r="O954" s="40" t="str">
        <f aca="false">IF(A954&amp;B954&amp;D954="","",IF(OR(A954="",B954="",D954="",E954=""),"Incomplete",IF(K954="Unknown","Unknown code",IF(AND(K954="Yes",C954=""),"Billable, needs client",IF(N954&gt;MaxDayHours,"Over "&amp;MaxDayHours&amp;" hours that day","")))))</f>
        <v/>
      </c>
    </row>
    <row r="955" customFormat="false" ht="15" hidden="false" customHeight="false" outlineLevel="0" collapsed="false">
      <c r="A955" s="31" t="n">
        <v>46254</v>
      </c>
      <c r="B955" s="32" t="s">
        <v>105</v>
      </c>
      <c r="C955" s="32"/>
      <c r="D955" s="33" t="s">
        <v>96</v>
      </c>
      <c r="E955" s="34" t="n">
        <v>3.25</v>
      </c>
      <c r="F955" s="32"/>
      <c r="G955" s="35" t="n">
        <f aca="false">IF(A955="","",A955+7-WEEKDAY(A955))</f>
        <v>46256</v>
      </c>
      <c r="H955" s="36" t="n">
        <f aca="false">IF(A955="","",DATE(YEAR(A955),MONTH(A955),1))</f>
        <v>46235</v>
      </c>
      <c r="I955" s="37" t="str">
        <f aca="false">IF(B955="","",IFERROR(INDEX(st_ID,MATCH(B955,st_Name,0)),"Unknown"))</f>
        <v>QP-06</v>
      </c>
      <c r="J955" s="37" t="str">
        <f aca="false">IF(C955="","",IFERROR(INDEX(cl_Code,MATCH(C955,cl_Name,0)),"Unknown"))</f>
        <v/>
      </c>
      <c r="K955" s="37" t="str">
        <f aca="false">IF(D955="","",IFERROR(INDEX(rt_Billable,MATCH(D955,rt_Code,0)),"Unknown"))</f>
        <v>No</v>
      </c>
      <c r="L955" s="38" t="str">
        <f aca="false">IF(K955&lt;&gt;"Yes","",IFERROR(INDEX(cr_Rate,MATCH(J955&amp;"|"&amp;D955,cr_Key,0)),INDEX(rt_Rate,MATCH(D955,rt_Code,0))))</f>
        <v/>
      </c>
      <c r="M955" s="25" t="str">
        <f aca="false">IF(L955="","",ROUND(N(E955)*L955,2))</f>
        <v/>
      </c>
      <c r="N955" s="39" t="n">
        <f aca="false">IF(OR(A955="",B955=""),"",SUMIFS(tl_Hours,tl_StaffID,I955,tl_Date,A955))</f>
        <v>8</v>
      </c>
      <c r="O955" s="40" t="str">
        <f aca="false">IF(A955&amp;B955&amp;D955="","",IF(OR(A955="",B955="",D955="",E955=""),"Incomplete",IF(K955="Unknown","Unknown code",IF(AND(K955="Yes",C955=""),"Billable, needs client",IF(N955&gt;MaxDayHours,"Over "&amp;MaxDayHours&amp;" hours that day","")))))</f>
        <v/>
      </c>
    </row>
    <row r="956" customFormat="false" ht="15" hidden="false" customHeight="false" outlineLevel="0" collapsed="false">
      <c r="A956" s="31" t="n">
        <v>46254</v>
      </c>
      <c r="B956" s="32" t="s">
        <v>106</v>
      </c>
      <c r="C956" s="32" t="s">
        <v>87</v>
      </c>
      <c r="D956" s="33" t="s">
        <v>104</v>
      </c>
      <c r="E956" s="34" t="n">
        <v>2</v>
      </c>
      <c r="F956" s="32"/>
      <c r="G956" s="35" t="n">
        <f aca="false">IF(A956="","",A956+7-WEEKDAY(A956))</f>
        <v>46256</v>
      </c>
      <c r="H956" s="36" t="n">
        <f aca="false">IF(A956="","",DATE(YEAR(A956),MONTH(A956),1))</f>
        <v>46235</v>
      </c>
      <c r="I956" s="37" t="str">
        <f aca="false">IF(B956="","",IFERROR(INDEX(st_ID,MATCH(B956,st_Name,0)),"Unknown"))</f>
        <v>QP-07</v>
      </c>
      <c r="J956" s="37" t="str">
        <f aca="false">IF(C956="","",IFERROR(INDEX(cl_Code,MATCH(C956,cl_Name,0)),"Unknown"))</f>
        <v>HCS</v>
      </c>
      <c r="K956" s="37" t="str">
        <f aca="false">IF(D956="","",IFERROR(INDEX(rt_Billable,MATCH(D956,rt_Code,0)),"Unknown"))</f>
        <v>Yes</v>
      </c>
      <c r="L956" s="38" t="n">
        <f aca="false">IF(K956&lt;&gt;"Yes","",IFERROR(INDEX(cr_Rate,MATCH(J956&amp;"|"&amp;D956,cr_Key,0)),INDEX(rt_Rate,MATCH(D956,rt_Code,0))))</f>
        <v>62</v>
      </c>
      <c r="M956" s="25" t="n">
        <f aca="false">IF(L956="","",ROUND(N(E956)*L956,2))</f>
        <v>124</v>
      </c>
      <c r="N956" s="39" t="n">
        <f aca="false">IF(OR(A956="",B956=""),"",SUMIFS(tl_Hours,tl_StaffID,I956,tl_Date,A956))</f>
        <v>8</v>
      </c>
      <c r="O956" s="40" t="str">
        <f aca="false">IF(A956&amp;B956&amp;D956="","",IF(OR(A956="",B956="",D956="",E956=""),"Incomplete",IF(K956="Unknown","Unknown code",IF(AND(K956="Yes",C956=""),"Billable, needs client",IF(N956&gt;MaxDayHours,"Over "&amp;MaxDayHours&amp;" hours that day","")))))</f>
        <v/>
      </c>
    </row>
    <row r="957" customFormat="false" ht="15" hidden="false" customHeight="false" outlineLevel="0" collapsed="false">
      <c r="A957" s="31" t="n">
        <v>46254</v>
      </c>
      <c r="B957" s="32" t="s">
        <v>106</v>
      </c>
      <c r="C957" s="32" t="s">
        <v>87</v>
      </c>
      <c r="D957" s="33" t="s">
        <v>89</v>
      </c>
      <c r="E957" s="34" t="n">
        <v>0.5</v>
      </c>
      <c r="F957" s="32"/>
      <c r="G957" s="35" t="n">
        <f aca="false">IF(A957="","",A957+7-WEEKDAY(A957))</f>
        <v>46256</v>
      </c>
      <c r="H957" s="36" t="n">
        <f aca="false">IF(A957="","",DATE(YEAR(A957),MONTH(A957),1))</f>
        <v>46235</v>
      </c>
      <c r="I957" s="37" t="str">
        <f aca="false">IF(B957="","",IFERROR(INDEX(st_ID,MATCH(B957,st_Name,0)),"Unknown"))</f>
        <v>QP-07</v>
      </c>
      <c r="J957" s="37" t="str">
        <f aca="false">IF(C957="","",IFERROR(INDEX(cl_Code,MATCH(C957,cl_Name,0)),"Unknown"))</f>
        <v>HCS</v>
      </c>
      <c r="K957" s="37" t="str">
        <f aca="false">IF(D957="","",IFERROR(INDEX(rt_Billable,MATCH(D957,rt_Code,0)),"Unknown"))</f>
        <v>Yes</v>
      </c>
      <c r="L957" s="38" t="n">
        <f aca="false">IF(K957&lt;&gt;"Yes","",IFERROR(INDEX(cr_Rate,MATCH(J957&amp;"|"&amp;D957,cr_Key,0)),INDEX(rt_Rate,MATCH(D957,rt_Code,0))))</f>
        <v>88</v>
      </c>
      <c r="M957" s="25" t="n">
        <f aca="false">IF(L957="","",ROUND(N(E957)*L957,2))</f>
        <v>44</v>
      </c>
      <c r="N957" s="39" t="n">
        <f aca="false">IF(OR(A957="",B957=""),"",SUMIFS(tl_Hours,tl_StaffID,I957,tl_Date,A957))</f>
        <v>8</v>
      </c>
      <c r="O957" s="40" t="str">
        <f aca="false">IF(A957&amp;B957&amp;D957="","",IF(OR(A957="",B957="",D957="",E957=""),"Incomplete",IF(K957="Unknown","Unknown code",IF(AND(K957="Yes",C957=""),"Billable, needs client",IF(N957&gt;MaxDayHours,"Over "&amp;MaxDayHours&amp;" hours that day","")))))</f>
        <v/>
      </c>
    </row>
    <row r="958" customFormat="false" ht="15" hidden="false" customHeight="false" outlineLevel="0" collapsed="false">
      <c r="A958" s="31" t="n">
        <v>46254</v>
      </c>
      <c r="B958" s="32" t="s">
        <v>106</v>
      </c>
      <c r="C958" s="32" t="s">
        <v>102</v>
      </c>
      <c r="D958" s="33" t="s">
        <v>88</v>
      </c>
      <c r="E958" s="34" t="n">
        <v>1.75</v>
      </c>
      <c r="F958" s="32"/>
      <c r="G958" s="35" t="n">
        <f aca="false">IF(A958="","",A958+7-WEEKDAY(A958))</f>
        <v>46256</v>
      </c>
      <c r="H958" s="36" t="n">
        <f aca="false">IF(A958="","",DATE(YEAR(A958),MONTH(A958),1))</f>
        <v>46235</v>
      </c>
      <c r="I958" s="37" t="str">
        <f aca="false">IF(B958="","",IFERROR(INDEX(st_ID,MATCH(B958,st_Name,0)),"Unknown"))</f>
        <v>QP-07</v>
      </c>
      <c r="J958" s="37" t="str">
        <f aca="false">IF(C958="","",IFERROR(INDEX(cl_Code,MATCH(C958,cl_Name,0)),"Unknown"))</f>
        <v>CLH</v>
      </c>
      <c r="K958" s="37" t="str">
        <f aca="false">IF(D958="","",IFERROR(INDEX(rt_Billable,MATCH(D958,rt_Code,0)),"Unknown"))</f>
        <v>Yes</v>
      </c>
      <c r="L958" s="38" t="n">
        <f aca="false">IF(K958&lt;&gt;"Yes","",IFERROR(INDEX(cr_Rate,MATCH(J958&amp;"|"&amp;D958,cr_Key,0)),INDEX(rt_Rate,MATCH(D958,rt_Code,0))))</f>
        <v>110</v>
      </c>
      <c r="M958" s="25" t="n">
        <f aca="false">IF(L958="","",ROUND(N(E958)*L958,2))</f>
        <v>192.5</v>
      </c>
      <c r="N958" s="39" t="n">
        <f aca="false">IF(OR(A958="",B958=""),"",SUMIFS(tl_Hours,tl_StaffID,I958,tl_Date,A958))</f>
        <v>8</v>
      </c>
      <c r="O958" s="40" t="str">
        <f aca="false">IF(A958&amp;B958&amp;D958="","",IF(OR(A958="",B958="",D958="",E958=""),"Incomplete",IF(K958="Unknown","Unknown code",IF(AND(K958="Yes",C958=""),"Billable, needs client",IF(N958&gt;MaxDayHours,"Over "&amp;MaxDayHours&amp;" hours that day","")))))</f>
        <v/>
      </c>
    </row>
    <row r="959" customFormat="false" ht="15" hidden="false" customHeight="false" outlineLevel="0" collapsed="false">
      <c r="A959" s="31" t="n">
        <v>46254</v>
      </c>
      <c r="B959" s="32" t="s">
        <v>106</v>
      </c>
      <c r="C959" s="32" t="s">
        <v>102</v>
      </c>
      <c r="D959" s="33" t="s">
        <v>89</v>
      </c>
      <c r="E959" s="34" t="n">
        <v>0.75</v>
      </c>
      <c r="F959" s="32"/>
      <c r="G959" s="35" t="n">
        <f aca="false">IF(A959="","",A959+7-WEEKDAY(A959))</f>
        <v>46256</v>
      </c>
      <c r="H959" s="36" t="n">
        <f aca="false">IF(A959="","",DATE(YEAR(A959),MONTH(A959),1))</f>
        <v>46235</v>
      </c>
      <c r="I959" s="37" t="str">
        <f aca="false">IF(B959="","",IFERROR(INDEX(st_ID,MATCH(B959,st_Name,0)),"Unknown"))</f>
        <v>QP-07</v>
      </c>
      <c r="J959" s="37" t="str">
        <f aca="false">IF(C959="","",IFERROR(INDEX(cl_Code,MATCH(C959,cl_Name,0)),"Unknown"))</f>
        <v>CLH</v>
      </c>
      <c r="K959" s="37" t="str">
        <f aca="false">IF(D959="","",IFERROR(INDEX(rt_Billable,MATCH(D959,rt_Code,0)),"Unknown"))</f>
        <v>Yes</v>
      </c>
      <c r="L959" s="38" t="n">
        <f aca="false">IF(K959&lt;&gt;"Yes","",IFERROR(INDEX(cr_Rate,MATCH(J959&amp;"|"&amp;D959,cr_Key,0)),INDEX(rt_Rate,MATCH(D959,rt_Code,0))))</f>
        <v>95</v>
      </c>
      <c r="M959" s="25" t="n">
        <f aca="false">IF(L959="","",ROUND(N(E959)*L959,2))</f>
        <v>71.25</v>
      </c>
      <c r="N959" s="39" t="n">
        <f aca="false">IF(OR(A959="",B959=""),"",SUMIFS(tl_Hours,tl_StaffID,I959,tl_Date,A959))</f>
        <v>8</v>
      </c>
      <c r="O959" s="40" t="str">
        <f aca="false">IF(A959&amp;B959&amp;D959="","",IF(OR(A959="",B959="",D959="",E959=""),"Incomplete",IF(K959="Unknown","Unknown code",IF(AND(K959="Yes",C959=""),"Billable, needs client",IF(N959&gt;MaxDayHours,"Over "&amp;MaxDayHours&amp;" hours that day","")))))</f>
        <v/>
      </c>
    </row>
    <row r="960" customFormat="false" ht="15" hidden="false" customHeight="false" outlineLevel="0" collapsed="false">
      <c r="A960" s="31" t="n">
        <v>46254</v>
      </c>
      <c r="B960" s="32" t="s">
        <v>106</v>
      </c>
      <c r="C960" s="32"/>
      <c r="D960" s="33" t="s">
        <v>93</v>
      </c>
      <c r="E960" s="34" t="n">
        <v>0.5</v>
      </c>
      <c r="F960" s="32"/>
      <c r="G960" s="35" t="n">
        <f aca="false">IF(A960="","",A960+7-WEEKDAY(A960))</f>
        <v>46256</v>
      </c>
      <c r="H960" s="36" t="n">
        <f aca="false">IF(A960="","",DATE(YEAR(A960),MONTH(A960),1))</f>
        <v>46235</v>
      </c>
      <c r="I960" s="37" t="str">
        <f aca="false">IF(B960="","",IFERROR(INDEX(st_ID,MATCH(B960,st_Name,0)),"Unknown"))</f>
        <v>QP-07</v>
      </c>
      <c r="J960" s="37" t="str">
        <f aca="false">IF(C960="","",IFERROR(INDEX(cl_Code,MATCH(C960,cl_Name,0)),"Unknown"))</f>
        <v/>
      </c>
      <c r="K960" s="37" t="str">
        <f aca="false">IF(D960="","",IFERROR(INDEX(rt_Billable,MATCH(D960,rt_Code,0)),"Unknown"))</f>
        <v>No</v>
      </c>
      <c r="L960" s="38" t="str">
        <f aca="false">IF(K960&lt;&gt;"Yes","",IFERROR(INDEX(cr_Rate,MATCH(J960&amp;"|"&amp;D960,cr_Key,0)),INDEX(rt_Rate,MATCH(D960,rt_Code,0))))</f>
        <v/>
      </c>
      <c r="M960" s="25" t="str">
        <f aca="false">IF(L960="","",ROUND(N(E960)*L960,2))</f>
        <v/>
      </c>
      <c r="N960" s="39" t="n">
        <f aca="false">IF(OR(A960="",B960=""),"",SUMIFS(tl_Hours,tl_StaffID,I960,tl_Date,A960))</f>
        <v>8</v>
      </c>
      <c r="O960" s="40" t="str">
        <f aca="false">IF(A960&amp;B960&amp;D960="","",IF(OR(A960="",B960="",D960="",E960=""),"Incomplete",IF(K960="Unknown","Unknown code",IF(AND(K960="Yes",C960=""),"Billable, needs client",IF(N960&gt;MaxDayHours,"Over "&amp;MaxDayHours&amp;" hours that day","")))))</f>
        <v/>
      </c>
    </row>
    <row r="961" customFormat="false" ht="15" hidden="false" customHeight="false" outlineLevel="0" collapsed="false">
      <c r="A961" s="31" t="n">
        <v>46254</v>
      </c>
      <c r="B961" s="32" t="s">
        <v>106</v>
      </c>
      <c r="C961" s="32"/>
      <c r="D961" s="33" t="s">
        <v>96</v>
      </c>
      <c r="E961" s="34" t="n">
        <v>2.5</v>
      </c>
      <c r="F961" s="32"/>
      <c r="G961" s="35" t="n">
        <f aca="false">IF(A961="","",A961+7-WEEKDAY(A961))</f>
        <v>46256</v>
      </c>
      <c r="H961" s="36" t="n">
        <f aca="false">IF(A961="","",DATE(YEAR(A961),MONTH(A961),1))</f>
        <v>46235</v>
      </c>
      <c r="I961" s="37" t="str">
        <f aca="false">IF(B961="","",IFERROR(INDEX(st_ID,MATCH(B961,st_Name,0)),"Unknown"))</f>
        <v>QP-07</v>
      </c>
      <c r="J961" s="37" t="str">
        <f aca="false">IF(C961="","",IFERROR(INDEX(cl_Code,MATCH(C961,cl_Name,0)),"Unknown"))</f>
        <v/>
      </c>
      <c r="K961" s="37" t="str">
        <f aca="false">IF(D961="","",IFERROR(INDEX(rt_Billable,MATCH(D961,rt_Code,0)),"Unknown"))</f>
        <v>No</v>
      </c>
      <c r="L961" s="38" t="str">
        <f aca="false">IF(K961&lt;&gt;"Yes","",IFERROR(INDEX(cr_Rate,MATCH(J961&amp;"|"&amp;D961,cr_Key,0)),INDEX(rt_Rate,MATCH(D961,rt_Code,0))))</f>
        <v/>
      </c>
      <c r="M961" s="25" t="str">
        <f aca="false">IF(L961="","",ROUND(N(E961)*L961,2))</f>
        <v/>
      </c>
      <c r="N961" s="39" t="n">
        <f aca="false">IF(OR(A961="",B961=""),"",SUMIFS(tl_Hours,tl_StaffID,I961,tl_Date,A961))</f>
        <v>8</v>
      </c>
      <c r="O961" s="40" t="str">
        <f aca="false">IF(A961&amp;B961&amp;D961="","",IF(OR(A961="",B961="",D961="",E961=""),"Incomplete",IF(K961="Unknown","Unknown code",IF(AND(K961="Yes",C961=""),"Billable, needs client",IF(N961&gt;MaxDayHours,"Over "&amp;MaxDayHours&amp;" hours that day","")))))</f>
        <v/>
      </c>
    </row>
    <row r="962" customFormat="false" ht="15" hidden="false" customHeight="false" outlineLevel="0" collapsed="false">
      <c r="A962" s="31" t="n">
        <v>46254</v>
      </c>
      <c r="B962" s="32" t="s">
        <v>107</v>
      </c>
      <c r="C962" s="32"/>
      <c r="D962" s="33" t="s">
        <v>108</v>
      </c>
      <c r="E962" s="34" t="n">
        <v>6</v>
      </c>
      <c r="F962" s="32"/>
      <c r="G962" s="35" t="n">
        <f aca="false">IF(A962="","",A962+7-WEEKDAY(A962))</f>
        <v>46256</v>
      </c>
      <c r="H962" s="36" t="n">
        <f aca="false">IF(A962="","",DATE(YEAR(A962),MONTH(A962),1))</f>
        <v>46235</v>
      </c>
      <c r="I962" s="37" t="str">
        <f aca="false">IF(B962="","",IFERROR(INDEX(st_ID,MATCH(B962,st_Name,0)),"Unknown"))</f>
        <v>QP-08</v>
      </c>
      <c r="J962" s="37" t="str">
        <f aca="false">IF(C962="","",IFERROR(INDEX(cl_Code,MATCH(C962,cl_Name,0)),"Unknown"))</f>
        <v/>
      </c>
      <c r="K962" s="37" t="str">
        <f aca="false">IF(D962="","",IFERROR(INDEX(rt_Billable,MATCH(D962,rt_Code,0)),"Unknown"))</f>
        <v>No</v>
      </c>
      <c r="L962" s="38" t="str">
        <f aca="false">IF(K962&lt;&gt;"Yes","",IFERROR(INDEX(cr_Rate,MATCH(J962&amp;"|"&amp;D962,cr_Key,0)),INDEX(rt_Rate,MATCH(D962,rt_Code,0))))</f>
        <v/>
      </c>
      <c r="M962" s="25" t="str">
        <f aca="false">IF(L962="","",ROUND(N(E962)*L962,2))</f>
        <v/>
      </c>
      <c r="N962" s="39" t="n">
        <f aca="false">IF(OR(A962="",B962=""),"",SUMIFS(tl_Hours,tl_StaffID,I962,tl_Date,A962))</f>
        <v>8</v>
      </c>
      <c r="O962" s="40" t="str">
        <f aca="false">IF(A962&amp;B962&amp;D962="","",IF(OR(A962="",B962="",D962="",E962=""),"Incomplete",IF(K962="Unknown","Unknown code",IF(AND(K962="Yes",C962=""),"Billable, needs client",IF(N962&gt;MaxDayHours,"Over "&amp;MaxDayHours&amp;" hours that day","")))))</f>
        <v/>
      </c>
    </row>
    <row r="963" customFormat="false" ht="15" hidden="false" customHeight="false" outlineLevel="0" collapsed="false">
      <c r="A963" s="31" t="n">
        <v>46254</v>
      </c>
      <c r="B963" s="32" t="s">
        <v>107</v>
      </c>
      <c r="C963" s="32"/>
      <c r="D963" s="33" t="s">
        <v>98</v>
      </c>
      <c r="E963" s="34" t="n">
        <v>2</v>
      </c>
      <c r="F963" s="32"/>
      <c r="G963" s="35" t="n">
        <f aca="false">IF(A963="","",A963+7-WEEKDAY(A963))</f>
        <v>46256</v>
      </c>
      <c r="H963" s="36" t="n">
        <f aca="false">IF(A963="","",DATE(YEAR(A963),MONTH(A963),1))</f>
        <v>46235</v>
      </c>
      <c r="I963" s="37" t="str">
        <f aca="false">IF(B963="","",IFERROR(INDEX(st_ID,MATCH(B963,st_Name,0)),"Unknown"))</f>
        <v>QP-08</v>
      </c>
      <c r="J963" s="37" t="str">
        <f aca="false">IF(C963="","",IFERROR(INDEX(cl_Code,MATCH(C963,cl_Name,0)),"Unknown"))</f>
        <v/>
      </c>
      <c r="K963" s="37" t="str">
        <f aca="false">IF(D963="","",IFERROR(INDEX(rt_Billable,MATCH(D963,rt_Code,0)),"Unknown"))</f>
        <v>No</v>
      </c>
      <c r="L963" s="38" t="str">
        <f aca="false">IF(K963&lt;&gt;"Yes","",IFERROR(INDEX(cr_Rate,MATCH(J963&amp;"|"&amp;D963,cr_Key,0)),INDEX(rt_Rate,MATCH(D963,rt_Code,0))))</f>
        <v/>
      </c>
      <c r="M963" s="25" t="str">
        <f aca="false">IF(L963="","",ROUND(N(E963)*L963,2))</f>
        <v/>
      </c>
      <c r="N963" s="39" t="n">
        <f aca="false">IF(OR(A963="",B963=""),"",SUMIFS(tl_Hours,tl_StaffID,I963,tl_Date,A963))</f>
        <v>8</v>
      </c>
      <c r="O963" s="40" t="str">
        <f aca="false">IF(A963&amp;B963&amp;D963="","",IF(OR(A963="",B963="",D963="",E963=""),"Incomplete",IF(K963="Unknown","Unknown code",IF(AND(K963="Yes",C963=""),"Billable, needs client",IF(N963&gt;MaxDayHours,"Over "&amp;MaxDayHours&amp;" hours that day","")))))</f>
        <v/>
      </c>
    </row>
    <row r="964" customFormat="false" ht="15" hidden="false" customHeight="false" outlineLevel="0" collapsed="false">
      <c r="A964" s="31" t="n">
        <v>46255</v>
      </c>
      <c r="B964" s="32" t="s">
        <v>86</v>
      </c>
      <c r="C964" s="32" t="s">
        <v>90</v>
      </c>
      <c r="D964" s="33" t="s">
        <v>91</v>
      </c>
      <c r="E964" s="34" t="n">
        <v>1.75</v>
      </c>
      <c r="F964" s="32"/>
      <c r="G964" s="35" t="n">
        <f aca="false">IF(A964="","",A964+7-WEEKDAY(A964))</f>
        <v>46256</v>
      </c>
      <c r="H964" s="36" t="n">
        <f aca="false">IF(A964="","",DATE(YEAR(A964),MONTH(A964),1))</f>
        <v>46235</v>
      </c>
      <c r="I964" s="37" t="str">
        <f aca="false">IF(B964="","",IFERROR(INDEX(st_ID,MATCH(B964,st_Name,0)),"Unknown"))</f>
        <v>QP-01</v>
      </c>
      <c r="J964" s="37" t="str">
        <f aca="false">IF(C964="","",IFERROR(INDEX(cl_Code,MATCH(C964,cl_Name,0)),"Unknown"))</f>
        <v>BSE</v>
      </c>
      <c r="K964" s="37" t="str">
        <f aca="false">IF(D964="","",IFERROR(INDEX(rt_Billable,MATCH(D964,rt_Code,0)),"Unknown"))</f>
        <v>Yes</v>
      </c>
      <c r="L964" s="38" t="n">
        <f aca="false">IF(K964&lt;&gt;"Yes","",IFERROR(INDEX(cr_Rate,MATCH(J964&amp;"|"&amp;D964,cr_Key,0)),INDEX(rt_Rate,MATCH(D964,rt_Code,0))))</f>
        <v>100</v>
      </c>
      <c r="M964" s="25" t="n">
        <f aca="false">IF(L964="","",ROUND(N(E964)*L964,2))</f>
        <v>175</v>
      </c>
      <c r="N964" s="39" t="n">
        <f aca="false">IF(OR(A964="",B964=""),"",SUMIFS(tl_Hours,tl_StaffID,I964,tl_Date,A964))</f>
        <v>8</v>
      </c>
      <c r="O964" s="40" t="str">
        <f aca="false">IF(A964&amp;B964&amp;D964="","",IF(OR(A964="",B964="",D964="",E964=""),"Incomplete",IF(K964="Unknown","Unknown code",IF(AND(K964="Yes",C964=""),"Billable, needs client",IF(N964&gt;MaxDayHours,"Over "&amp;MaxDayHours&amp;" hours that day","")))))</f>
        <v/>
      </c>
    </row>
    <row r="965" customFormat="false" ht="15" hidden="false" customHeight="false" outlineLevel="0" collapsed="false">
      <c r="A965" s="31" t="n">
        <v>46255</v>
      </c>
      <c r="B965" s="32" t="s">
        <v>86</v>
      </c>
      <c r="C965" s="32" t="s">
        <v>90</v>
      </c>
      <c r="D965" s="33" t="s">
        <v>88</v>
      </c>
      <c r="E965" s="34" t="n">
        <v>1</v>
      </c>
      <c r="F965" s="32"/>
      <c r="G965" s="35" t="n">
        <f aca="false">IF(A965="","",A965+7-WEEKDAY(A965))</f>
        <v>46256</v>
      </c>
      <c r="H965" s="36" t="n">
        <f aca="false">IF(A965="","",DATE(YEAR(A965),MONTH(A965),1))</f>
        <v>46235</v>
      </c>
      <c r="I965" s="37" t="str">
        <f aca="false">IF(B965="","",IFERROR(INDEX(st_ID,MATCH(B965,st_Name,0)),"Unknown"))</f>
        <v>QP-01</v>
      </c>
      <c r="J965" s="37" t="str">
        <f aca="false">IF(C965="","",IFERROR(INDEX(cl_Code,MATCH(C965,cl_Name,0)),"Unknown"))</f>
        <v>BSE</v>
      </c>
      <c r="K965" s="37" t="str">
        <f aca="false">IF(D965="","",IFERROR(INDEX(rt_Billable,MATCH(D965,rt_Code,0)),"Unknown"))</f>
        <v>Yes</v>
      </c>
      <c r="L965" s="38" t="n">
        <f aca="false">IF(K965&lt;&gt;"Yes","",IFERROR(INDEX(cr_Rate,MATCH(J965&amp;"|"&amp;D965,cr_Key,0)),INDEX(rt_Rate,MATCH(D965,rt_Code,0))))</f>
        <v>104</v>
      </c>
      <c r="M965" s="25" t="n">
        <f aca="false">IF(L965="","",ROUND(N(E965)*L965,2))</f>
        <v>104</v>
      </c>
      <c r="N965" s="39" t="n">
        <f aca="false">IF(OR(A965="",B965=""),"",SUMIFS(tl_Hours,tl_StaffID,I965,tl_Date,A965))</f>
        <v>8</v>
      </c>
      <c r="O965" s="40" t="str">
        <f aca="false">IF(A965&amp;B965&amp;D965="","",IF(OR(A965="",B965="",D965="",E965=""),"Incomplete",IF(K965="Unknown","Unknown code",IF(AND(K965="Yes",C965=""),"Billable, needs client",IF(N965&gt;MaxDayHours,"Over "&amp;MaxDayHours&amp;" hours that day","")))))</f>
        <v/>
      </c>
    </row>
    <row r="966" customFormat="false" ht="15" hidden="false" customHeight="false" outlineLevel="0" collapsed="false">
      <c r="A966" s="31" t="n">
        <v>46255</v>
      </c>
      <c r="B966" s="32" t="s">
        <v>86</v>
      </c>
      <c r="C966" s="32" t="s">
        <v>112</v>
      </c>
      <c r="D966" s="33" t="s">
        <v>104</v>
      </c>
      <c r="E966" s="34" t="n">
        <v>2.25</v>
      </c>
      <c r="F966" s="32"/>
      <c r="G966" s="35" t="n">
        <f aca="false">IF(A966="","",A966+7-WEEKDAY(A966))</f>
        <v>46256</v>
      </c>
      <c r="H966" s="36" t="n">
        <f aca="false">IF(A966="","",DATE(YEAR(A966),MONTH(A966),1))</f>
        <v>46235</v>
      </c>
      <c r="I966" s="37" t="str">
        <f aca="false">IF(B966="","",IFERROR(INDEX(st_ID,MATCH(B966,st_Name,0)),"Unknown"))</f>
        <v>QP-01</v>
      </c>
      <c r="J966" s="37" t="str">
        <f aca="false">IF(C966="","",IFERROR(INDEX(cl_Code,MATCH(C966,cl_Name,0)),"Unknown"))</f>
        <v>PCA</v>
      </c>
      <c r="K966" s="37" t="str">
        <f aca="false">IF(D966="","",IFERROR(INDEX(rt_Billable,MATCH(D966,rt_Code,0)),"Unknown"))</f>
        <v>Yes</v>
      </c>
      <c r="L966" s="38" t="n">
        <f aca="false">IF(K966&lt;&gt;"Yes","",IFERROR(INDEX(cr_Rate,MATCH(J966&amp;"|"&amp;D966,cr_Key,0)),INDEX(rt_Rate,MATCH(D966,rt_Code,0))))</f>
        <v>70</v>
      </c>
      <c r="M966" s="25" t="n">
        <f aca="false">IF(L966="","",ROUND(N(E966)*L966,2))</f>
        <v>157.5</v>
      </c>
      <c r="N966" s="39" t="n">
        <f aca="false">IF(OR(A966="",B966=""),"",SUMIFS(tl_Hours,tl_StaffID,I966,tl_Date,A966))</f>
        <v>8</v>
      </c>
      <c r="O966" s="40" t="str">
        <f aca="false">IF(A966&amp;B966&amp;D966="","",IF(OR(A966="",B966="",D966="",E966=""),"Incomplete",IF(K966="Unknown","Unknown code",IF(AND(K966="Yes",C966=""),"Billable, needs client",IF(N966&gt;MaxDayHours,"Over "&amp;MaxDayHours&amp;" hours that day","")))))</f>
        <v/>
      </c>
    </row>
    <row r="967" customFormat="false" ht="15" hidden="false" customHeight="false" outlineLevel="0" collapsed="false">
      <c r="A967" s="31" t="n">
        <v>46255</v>
      </c>
      <c r="B967" s="32" t="s">
        <v>86</v>
      </c>
      <c r="C967" s="32" t="s">
        <v>112</v>
      </c>
      <c r="D967" s="33" t="s">
        <v>92</v>
      </c>
      <c r="E967" s="34" t="n">
        <v>0.5</v>
      </c>
      <c r="F967" s="32"/>
      <c r="G967" s="35" t="n">
        <f aca="false">IF(A967="","",A967+7-WEEKDAY(A967))</f>
        <v>46256</v>
      </c>
      <c r="H967" s="36" t="n">
        <f aca="false">IF(A967="","",DATE(YEAR(A967),MONTH(A967),1))</f>
        <v>46235</v>
      </c>
      <c r="I967" s="37" t="str">
        <f aca="false">IF(B967="","",IFERROR(INDEX(st_ID,MATCH(B967,st_Name,0)),"Unknown"))</f>
        <v>QP-01</v>
      </c>
      <c r="J967" s="37" t="str">
        <f aca="false">IF(C967="","",IFERROR(INDEX(cl_Code,MATCH(C967,cl_Name,0)),"Unknown"))</f>
        <v>PCA</v>
      </c>
      <c r="K967" s="37" t="str">
        <f aca="false">IF(D967="","",IFERROR(INDEX(rt_Billable,MATCH(D967,rt_Code,0)),"Unknown"))</f>
        <v>Yes</v>
      </c>
      <c r="L967" s="38" t="n">
        <f aca="false">IF(K967&lt;&gt;"Yes","",IFERROR(INDEX(cr_Rate,MATCH(J967&amp;"|"&amp;D967,cr_Key,0)),INDEX(rt_Rate,MATCH(D967,rt_Code,0))))</f>
        <v>150</v>
      </c>
      <c r="M967" s="25" t="n">
        <f aca="false">IF(L967="","",ROUND(N(E967)*L967,2))</f>
        <v>75</v>
      </c>
      <c r="N967" s="39" t="n">
        <f aca="false">IF(OR(A967="",B967=""),"",SUMIFS(tl_Hours,tl_StaffID,I967,tl_Date,A967))</f>
        <v>8</v>
      </c>
      <c r="O967" s="40" t="str">
        <f aca="false">IF(A967&amp;B967&amp;D967="","",IF(OR(A967="",B967="",D967="",E967=""),"Incomplete",IF(K967="Unknown","Unknown code",IF(AND(K967="Yes",C967=""),"Billable, needs client",IF(N967&gt;MaxDayHours,"Over "&amp;MaxDayHours&amp;" hours that day","")))))</f>
        <v/>
      </c>
    </row>
    <row r="968" customFormat="false" ht="15" hidden="false" customHeight="false" outlineLevel="0" collapsed="false">
      <c r="A968" s="31" t="n">
        <v>46255</v>
      </c>
      <c r="B968" s="32" t="s">
        <v>86</v>
      </c>
      <c r="C968" s="32"/>
      <c r="D968" s="33" t="s">
        <v>93</v>
      </c>
      <c r="E968" s="34" t="n">
        <v>0.5</v>
      </c>
      <c r="F968" s="32"/>
      <c r="G968" s="35" t="n">
        <f aca="false">IF(A968="","",A968+7-WEEKDAY(A968))</f>
        <v>46256</v>
      </c>
      <c r="H968" s="36" t="n">
        <f aca="false">IF(A968="","",DATE(YEAR(A968),MONTH(A968),1))</f>
        <v>46235</v>
      </c>
      <c r="I968" s="37" t="str">
        <f aca="false">IF(B968="","",IFERROR(INDEX(st_ID,MATCH(B968,st_Name,0)),"Unknown"))</f>
        <v>QP-01</v>
      </c>
      <c r="J968" s="37" t="str">
        <f aca="false">IF(C968="","",IFERROR(INDEX(cl_Code,MATCH(C968,cl_Name,0)),"Unknown"))</f>
        <v/>
      </c>
      <c r="K968" s="37" t="str">
        <f aca="false">IF(D968="","",IFERROR(INDEX(rt_Billable,MATCH(D968,rt_Code,0)),"Unknown"))</f>
        <v>No</v>
      </c>
      <c r="L968" s="38" t="str">
        <f aca="false">IF(K968&lt;&gt;"Yes","",IFERROR(INDEX(cr_Rate,MATCH(J968&amp;"|"&amp;D968,cr_Key,0)),INDEX(rt_Rate,MATCH(D968,rt_Code,0))))</f>
        <v/>
      </c>
      <c r="M968" s="25" t="str">
        <f aca="false">IF(L968="","",ROUND(N(E968)*L968,2))</f>
        <v/>
      </c>
      <c r="N968" s="39" t="n">
        <f aca="false">IF(OR(A968="",B968=""),"",SUMIFS(tl_Hours,tl_StaffID,I968,tl_Date,A968))</f>
        <v>8</v>
      </c>
      <c r="O968" s="40" t="str">
        <f aca="false">IF(A968&amp;B968&amp;D968="","",IF(OR(A968="",B968="",D968="",E968=""),"Incomplete",IF(K968="Unknown","Unknown code",IF(AND(K968="Yes",C968=""),"Billable, needs client",IF(N968&gt;MaxDayHours,"Over "&amp;MaxDayHours&amp;" hours that day","")))))</f>
        <v/>
      </c>
    </row>
    <row r="969" customFormat="false" ht="15" hidden="false" customHeight="false" outlineLevel="0" collapsed="false">
      <c r="A969" s="31" t="n">
        <v>46255</v>
      </c>
      <c r="B969" s="32" t="s">
        <v>86</v>
      </c>
      <c r="C969" s="32"/>
      <c r="D969" s="33" t="s">
        <v>94</v>
      </c>
      <c r="E969" s="34" t="n">
        <v>1.5</v>
      </c>
      <c r="F969" s="32" t="s">
        <v>95</v>
      </c>
      <c r="G969" s="35" t="n">
        <f aca="false">IF(A969="","",A969+7-WEEKDAY(A969))</f>
        <v>46256</v>
      </c>
      <c r="H969" s="36" t="n">
        <f aca="false">IF(A969="","",DATE(YEAR(A969),MONTH(A969),1))</f>
        <v>46235</v>
      </c>
      <c r="I969" s="37" t="str">
        <f aca="false">IF(B969="","",IFERROR(INDEX(st_ID,MATCH(B969,st_Name,0)),"Unknown"))</f>
        <v>QP-01</v>
      </c>
      <c r="J969" s="37" t="str">
        <f aca="false">IF(C969="","",IFERROR(INDEX(cl_Code,MATCH(C969,cl_Name,0)),"Unknown"))</f>
        <v/>
      </c>
      <c r="K969" s="37" t="str">
        <f aca="false">IF(D969="","",IFERROR(INDEX(rt_Billable,MATCH(D969,rt_Code,0)),"Unknown"))</f>
        <v>No</v>
      </c>
      <c r="L969" s="38" t="str">
        <f aca="false">IF(K969&lt;&gt;"Yes","",IFERROR(INDEX(cr_Rate,MATCH(J969&amp;"|"&amp;D969,cr_Key,0)),INDEX(rt_Rate,MATCH(D969,rt_Code,0))))</f>
        <v/>
      </c>
      <c r="M969" s="25" t="str">
        <f aca="false">IF(L969="","",ROUND(N(E969)*L969,2))</f>
        <v/>
      </c>
      <c r="N969" s="39" t="n">
        <f aca="false">IF(OR(A969="",B969=""),"",SUMIFS(tl_Hours,tl_StaffID,I969,tl_Date,A969))</f>
        <v>8</v>
      </c>
      <c r="O969" s="40" t="str">
        <f aca="false">IF(A969&amp;B969&amp;D969="","",IF(OR(A969="",B969="",D969="",E969=""),"Incomplete",IF(K969="Unknown","Unknown code",IF(AND(K969="Yes",C969=""),"Billable, needs client",IF(N969&gt;MaxDayHours,"Over "&amp;MaxDayHours&amp;" hours that day","")))))</f>
        <v/>
      </c>
    </row>
    <row r="970" customFormat="false" ht="15" hidden="false" customHeight="false" outlineLevel="0" collapsed="false">
      <c r="A970" s="31" t="n">
        <v>46255</v>
      </c>
      <c r="B970" s="32" t="s">
        <v>86</v>
      </c>
      <c r="C970" s="32"/>
      <c r="D970" s="33" t="s">
        <v>96</v>
      </c>
      <c r="E970" s="34" t="n">
        <v>0.5</v>
      </c>
      <c r="F970" s="32"/>
      <c r="G970" s="35" t="n">
        <f aca="false">IF(A970="","",A970+7-WEEKDAY(A970))</f>
        <v>46256</v>
      </c>
      <c r="H970" s="36" t="n">
        <f aca="false">IF(A970="","",DATE(YEAR(A970),MONTH(A970),1))</f>
        <v>46235</v>
      </c>
      <c r="I970" s="37" t="str">
        <f aca="false">IF(B970="","",IFERROR(INDEX(st_ID,MATCH(B970,st_Name,0)),"Unknown"))</f>
        <v>QP-01</v>
      </c>
      <c r="J970" s="37" t="str">
        <f aca="false">IF(C970="","",IFERROR(INDEX(cl_Code,MATCH(C970,cl_Name,0)),"Unknown"))</f>
        <v/>
      </c>
      <c r="K970" s="37" t="str">
        <f aca="false">IF(D970="","",IFERROR(INDEX(rt_Billable,MATCH(D970,rt_Code,0)),"Unknown"))</f>
        <v>No</v>
      </c>
      <c r="L970" s="38" t="str">
        <f aca="false">IF(K970&lt;&gt;"Yes","",IFERROR(INDEX(cr_Rate,MATCH(J970&amp;"|"&amp;D970,cr_Key,0)),INDEX(rt_Rate,MATCH(D970,rt_Code,0))))</f>
        <v/>
      </c>
      <c r="M970" s="25" t="str">
        <f aca="false">IF(L970="","",ROUND(N(E970)*L970,2))</f>
        <v/>
      </c>
      <c r="N970" s="39" t="n">
        <f aca="false">IF(OR(A970="",B970=""),"",SUMIFS(tl_Hours,tl_StaffID,I970,tl_Date,A970))</f>
        <v>8</v>
      </c>
      <c r="O970" s="40" t="str">
        <f aca="false">IF(A970&amp;B970&amp;D970="","",IF(OR(A970="",B970="",D970="",E970=""),"Incomplete",IF(K970="Unknown","Unknown code",IF(AND(K970="Yes",C970=""),"Billable, needs client",IF(N970&gt;MaxDayHours,"Over "&amp;MaxDayHours&amp;" hours that day","")))))</f>
        <v/>
      </c>
    </row>
    <row r="971" customFormat="false" ht="15" hidden="false" customHeight="false" outlineLevel="0" collapsed="false">
      <c r="A971" s="31" t="n">
        <v>46255</v>
      </c>
      <c r="B971" s="32" t="s">
        <v>101</v>
      </c>
      <c r="C971" s="32" t="s">
        <v>102</v>
      </c>
      <c r="D971" s="33" t="s">
        <v>88</v>
      </c>
      <c r="E971" s="34" t="n">
        <v>1.75</v>
      </c>
      <c r="F971" s="32"/>
      <c r="G971" s="35" t="n">
        <f aca="false">IF(A971="","",A971+7-WEEKDAY(A971))</f>
        <v>46256</v>
      </c>
      <c r="H971" s="36" t="n">
        <f aca="false">IF(A971="","",DATE(YEAR(A971),MONTH(A971),1))</f>
        <v>46235</v>
      </c>
      <c r="I971" s="37" t="str">
        <f aca="false">IF(B971="","",IFERROR(INDEX(st_ID,MATCH(B971,st_Name,0)),"Unknown"))</f>
        <v>QP-04</v>
      </c>
      <c r="J971" s="37" t="str">
        <f aca="false">IF(C971="","",IFERROR(INDEX(cl_Code,MATCH(C971,cl_Name,0)),"Unknown"))</f>
        <v>CLH</v>
      </c>
      <c r="K971" s="37" t="str">
        <f aca="false">IF(D971="","",IFERROR(INDEX(rt_Billable,MATCH(D971,rt_Code,0)),"Unknown"))</f>
        <v>Yes</v>
      </c>
      <c r="L971" s="38" t="n">
        <f aca="false">IF(K971&lt;&gt;"Yes","",IFERROR(INDEX(cr_Rate,MATCH(J971&amp;"|"&amp;D971,cr_Key,0)),INDEX(rt_Rate,MATCH(D971,rt_Code,0))))</f>
        <v>110</v>
      </c>
      <c r="M971" s="25" t="n">
        <f aca="false">IF(L971="","",ROUND(N(E971)*L971,2))</f>
        <v>192.5</v>
      </c>
      <c r="N971" s="39" t="n">
        <f aca="false">IF(OR(A971="",B971=""),"",SUMIFS(tl_Hours,tl_StaffID,I971,tl_Date,A971))</f>
        <v>8</v>
      </c>
      <c r="O971" s="40" t="str">
        <f aca="false">IF(A971&amp;B971&amp;D971="","",IF(OR(A971="",B971="",D971="",E971=""),"Incomplete",IF(K971="Unknown","Unknown code",IF(AND(K971="Yes",C971=""),"Billable, needs client",IF(N971&gt;MaxDayHours,"Over "&amp;MaxDayHours&amp;" hours that day","")))))</f>
        <v/>
      </c>
    </row>
    <row r="972" customFormat="false" ht="15" hidden="false" customHeight="false" outlineLevel="0" collapsed="false">
      <c r="A972" s="31" t="n">
        <v>46255</v>
      </c>
      <c r="B972" s="32" t="s">
        <v>101</v>
      </c>
      <c r="C972" s="32" t="s">
        <v>102</v>
      </c>
      <c r="D972" s="33" t="s">
        <v>89</v>
      </c>
      <c r="E972" s="34" t="n">
        <v>1</v>
      </c>
      <c r="F972" s="32"/>
      <c r="G972" s="35" t="n">
        <f aca="false">IF(A972="","",A972+7-WEEKDAY(A972))</f>
        <v>46256</v>
      </c>
      <c r="H972" s="36" t="n">
        <f aca="false">IF(A972="","",DATE(YEAR(A972),MONTH(A972),1))</f>
        <v>46235</v>
      </c>
      <c r="I972" s="37" t="str">
        <f aca="false">IF(B972="","",IFERROR(INDEX(st_ID,MATCH(B972,st_Name,0)),"Unknown"))</f>
        <v>QP-04</v>
      </c>
      <c r="J972" s="37" t="str">
        <f aca="false">IF(C972="","",IFERROR(INDEX(cl_Code,MATCH(C972,cl_Name,0)),"Unknown"))</f>
        <v>CLH</v>
      </c>
      <c r="K972" s="37" t="str">
        <f aca="false">IF(D972="","",IFERROR(INDEX(rt_Billable,MATCH(D972,rt_Code,0)),"Unknown"))</f>
        <v>Yes</v>
      </c>
      <c r="L972" s="38" t="n">
        <f aca="false">IF(K972&lt;&gt;"Yes","",IFERROR(INDEX(cr_Rate,MATCH(J972&amp;"|"&amp;D972,cr_Key,0)),INDEX(rt_Rate,MATCH(D972,rt_Code,0))))</f>
        <v>95</v>
      </c>
      <c r="M972" s="25" t="n">
        <f aca="false">IF(L972="","",ROUND(N(E972)*L972,2))</f>
        <v>95</v>
      </c>
      <c r="N972" s="39" t="n">
        <f aca="false">IF(OR(A972="",B972=""),"",SUMIFS(tl_Hours,tl_StaffID,I972,tl_Date,A972))</f>
        <v>8</v>
      </c>
      <c r="O972" s="40" t="str">
        <f aca="false">IF(A972&amp;B972&amp;D972="","",IF(OR(A972="",B972="",D972="",E972=""),"Incomplete",IF(K972="Unknown","Unknown code",IF(AND(K972="Yes",C972=""),"Billable, needs client",IF(N972&gt;MaxDayHours,"Over "&amp;MaxDayHours&amp;" hours that day","")))))</f>
        <v/>
      </c>
    </row>
    <row r="973" customFormat="false" ht="15" hidden="false" customHeight="false" outlineLevel="0" collapsed="false">
      <c r="A973" s="31" t="n">
        <v>46255</v>
      </c>
      <c r="B973" s="32" t="s">
        <v>101</v>
      </c>
      <c r="C973" s="32" t="s">
        <v>87</v>
      </c>
      <c r="D973" s="33" t="s">
        <v>104</v>
      </c>
      <c r="E973" s="34" t="n">
        <v>1.75</v>
      </c>
      <c r="F973" s="32"/>
      <c r="G973" s="35" t="n">
        <f aca="false">IF(A973="","",A973+7-WEEKDAY(A973))</f>
        <v>46256</v>
      </c>
      <c r="H973" s="36" t="n">
        <f aca="false">IF(A973="","",DATE(YEAR(A973),MONTH(A973),1))</f>
        <v>46235</v>
      </c>
      <c r="I973" s="37" t="str">
        <f aca="false">IF(B973="","",IFERROR(INDEX(st_ID,MATCH(B973,st_Name,0)),"Unknown"))</f>
        <v>QP-04</v>
      </c>
      <c r="J973" s="37" t="str">
        <f aca="false">IF(C973="","",IFERROR(INDEX(cl_Code,MATCH(C973,cl_Name,0)),"Unknown"))</f>
        <v>HCS</v>
      </c>
      <c r="K973" s="37" t="str">
        <f aca="false">IF(D973="","",IFERROR(INDEX(rt_Billable,MATCH(D973,rt_Code,0)),"Unknown"))</f>
        <v>Yes</v>
      </c>
      <c r="L973" s="38" t="n">
        <f aca="false">IF(K973&lt;&gt;"Yes","",IFERROR(INDEX(cr_Rate,MATCH(J973&amp;"|"&amp;D973,cr_Key,0)),INDEX(rt_Rate,MATCH(D973,rt_Code,0))))</f>
        <v>62</v>
      </c>
      <c r="M973" s="25" t="n">
        <f aca="false">IF(L973="","",ROUND(N(E973)*L973,2))</f>
        <v>108.5</v>
      </c>
      <c r="N973" s="39" t="n">
        <f aca="false">IF(OR(A973="",B973=""),"",SUMIFS(tl_Hours,tl_StaffID,I973,tl_Date,A973))</f>
        <v>8</v>
      </c>
      <c r="O973" s="40" t="str">
        <f aca="false">IF(A973&amp;B973&amp;D973="","",IF(OR(A973="",B973="",D973="",E973=""),"Incomplete",IF(K973="Unknown","Unknown code",IF(AND(K973="Yes",C973=""),"Billable, needs client",IF(N973&gt;MaxDayHours,"Over "&amp;MaxDayHours&amp;" hours that day","")))))</f>
        <v/>
      </c>
    </row>
    <row r="974" customFormat="false" ht="15" hidden="false" customHeight="false" outlineLevel="0" collapsed="false">
      <c r="A974" s="31" t="n">
        <v>46255</v>
      </c>
      <c r="B974" s="32" t="s">
        <v>101</v>
      </c>
      <c r="C974" s="32" t="s">
        <v>87</v>
      </c>
      <c r="D974" s="33" t="s">
        <v>89</v>
      </c>
      <c r="E974" s="34" t="n">
        <v>1</v>
      </c>
      <c r="F974" s="32"/>
      <c r="G974" s="35" t="n">
        <f aca="false">IF(A974="","",A974+7-WEEKDAY(A974))</f>
        <v>46256</v>
      </c>
      <c r="H974" s="36" t="n">
        <f aca="false">IF(A974="","",DATE(YEAR(A974),MONTH(A974),1))</f>
        <v>46235</v>
      </c>
      <c r="I974" s="37" t="str">
        <f aca="false">IF(B974="","",IFERROR(INDEX(st_ID,MATCH(B974,st_Name,0)),"Unknown"))</f>
        <v>QP-04</v>
      </c>
      <c r="J974" s="37" t="str">
        <f aca="false">IF(C974="","",IFERROR(INDEX(cl_Code,MATCH(C974,cl_Name,0)),"Unknown"))</f>
        <v>HCS</v>
      </c>
      <c r="K974" s="37" t="str">
        <f aca="false">IF(D974="","",IFERROR(INDEX(rt_Billable,MATCH(D974,rt_Code,0)),"Unknown"))</f>
        <v>Yes</v>
      </c>
      <c r="L974" s="38" t="n">
        <f aca="false">IF(K974&lt;&gt;"Yes","",IFERROR(INDEX(cr_Rate,MATCH(J974&amp;"|"&amp;D974,cr_Key,0)),INDEX(rt_Rate,MATCH(D974,rt_Code,0))))</f>
        <v>88</v>
      </c>
      <c r="M974" s="25" t="n">
        <f aca="false">IF(L974="","",ROUND(N(E974)*L974,2))</f>
        <v>88</v>
      </c>
      <c r="N974" s="39" t="n">
        <f aca="false">IF(OR(A974="",B974=""),"",SUMIFS(tl_Hours,tl_StaffID,I974,tl_Date,A974))</f>
        <v>8</v>
      </c>
      <c r="O974" s="40" t="str">
        <f aca="false">IF(A974&amp;B974&amp;D974="","",IF(OR(A974="",B974="",D974="",E974=""),"Incomplete",IF(K974="Unknown","Unknown code",IF(AND(K974="Yes",C974=""),"Billable, needs client",IF(N974&gt;MaxDayHours,"Over "&amp;MaxDayHours&amp;" hours that day","")))))</f>
        <v/>
      </c>
    </row>
    <row r="975" customFormat="false" ht="15" hidden="false" customHeight="false" outlineLevel="0" collapsed="false">
      <c r="A975" s="31" t="n">
        <v>46255</v>
      </c>
      <c r="B975" s="32" t="s">
        <v>101</v>
      </c>
      <c r="C975" s="32"/>
      <c r="D975" s="33" t="s">
        <v>93</v>
      </c>
      <c r="E975" s="34" t="n">
        <v>0.5</v>
      </c>
      <c r="F975" s="32"/>
      <c r="G975" s="35" t="n">
        <f aca="false">IF(A975="","",A975+7-WEEKDAY(A975))</f>
        <v>46256</v>
      </c>
      <c r="H975" s="36" t="n">
        <f aca="false">IF(A975="","",DATE(YEAR(A975),MONTH(A975),1))</f>
        <v>46235</v>
      </c>
      <c r="I975" s="37" t="str">
        <f aca="false">IF(B975="","",IFERROR(INDEX(st_ID,MATCH(B975,st_Name,0)),"Unknown"))</f>
        <v>QP-04</v>
      </c>
      <c r="J975" s="37" t="str">
        <f aca="false">IF(C975="","",IFERROR(INDEX(cl_Code,MATCH(C975,cl_Name,0)),"Unknown"))</f>
        <v/>
      </c>
      <c r="K975" s="37" t="str">
        <f aca="false">IF(D975="","",IFERROR(INDEX(rt_Billable,MATCH(D975,rt_Code,0)),"Unknown"))</f>
        <v>No</v>
      </c>
      <c r="L975" s="38" t="str">
        <f aca="false">IF(K975&lt;&gt;"Yes","",IFERROR(INDEX(cr_Rate,MATCH(J975&amp;"|"&amp;D975,cr_Key,0)),INDEX(rt_Rate,MATCH(D975,rt_Code,0))))</f>
        <v/>
      </c>
      <c r="M975" s="25" t="str">
        <f aca="false">IF(L975="","",ROUND(N(E975)*L975,2))</f>
        <v/>
      </c>
      <c r="N975" s="39" t="n">
        <f aca="false">IF(OR(A975="",B975=""),"",SUMIFS(tl_Hours,tl_StaffID,I975,tl_Date,A975))</f>
        <v>8</v>
      </c>
      <c r="O975" s="40" t="str">
        <f aca="false">IF(A975&amp;B975&amp;D975="","",IF(OR(A975="",B975="",D975="",E975=""),"Incomplete",IF(K975="Unknown","Unknown code",IF(AND(K975="Yes",C975=""),"Billable, needs client",IF(N975&gt;MaxDayHours,"Over "&amp;MaxDayHours&amp;" hours that day","")))))</f>
        <v/>
      </c>
    </row>
    <row r="976" customFormat="false" ht="15" hidden="false" customHeight="false" outlineLevel="0" collapsed="false">
      <c r="A976" s="31" t="n">
        <v>46255</v>
      </c>
      <c r="B976" s="32" t="s">
        <v>101</v>
      </c>
      <c r="C976" s="32"/>
      <c r="D976" s="33" t="s">
        <v>94</v>
      </c>
      <c r="E976" s="34" t="n">
        <v>1.5</v>
      </c>
      <c r="F976" s="32" t="s">
        <v>95</v>
      </c>
      <c r="G976" s="35" t="n">
        <f aca="false">IF(A976="","",A976+7-WEEKDAY(A976))</f>
        <v>46256</v>
      </c>
      <c r="H976" s="36" t="n">
        <f aca="false">IF(A976="","",DATE(YEAR(A976),MONTH(A976),1))</f>
        <v>46235</v>
      </c>
      <c r="I976" s="37" t="str">
        <f aca="false">IF(B976="","",IFERROR(INDEX(st_ID,MATCH(B976,st_Name,0)),"Unknown"))</f>
        <v>QP-04</v>
      </c>
      <c r="J976" s="37" t="str">
        <f aca="false">IF(C976="","",IFERROR(INDEX(cl_Code,MATCH(C976,cl_Name,0)),"Unknown"))</f>
        <v/>
      </c>
      <c r="K976" s="37" t="str">
        <f aca="false">IF(D976="","",IFERROR(INDEX(rt_Billable,MATCH(D976,rt_Code,0)),"Unknown"))</f>
        <v>No</v>
      </c>
      <c r="L976" s="38" t="str">
        <f aca="false">IF(K976&lt;&gt;"Yes","",IFERROR(INDEX(cr_Rate,MATCH(J976&amp;"|"&amp;D976,cr_Key,0)),INDEX(rt_Rate,MATCH(D976,rt_Code,0))))</f>
        <v/>
      </c>
      <c r="M976" s="25" t="str">
        <f aca="false">IF(L976="","",ROUND(N(E976)*L976,2))</f>
        <v/>
      </c>
      <c r="N976" s="39" t="n">
        <f aca="false">IF(OR(A976="",B976=""),"",SUMIFS(tl_Hours,tl_StaffID,I976,tl_Date,A976))</f>
        <v>8</v>
      </c>
      <c r="O976" s="40" t="str">
        <f aca="false">IF(A976&amp;B976&amp;D976="","",IF(OR(A976="",B976="",D976="",E976=""),"Incomplete",IF(K976="Unknown","Unknown code",IF(AND(K976="Yes",C976=""),"Billable, needs client",IF(N976&gt;MaxDayHours,"Over "&amp;MaxDayHours&amp;" hours that day","")))))</f>
        <v/>
      </c>
    </row>
    <row r="977" customFormat="false" ht="15" hidden="false" customHeight="false" outlineLevel="0" collapsed="false">
      <c r="A977" s="31" t="n">
        <v>46255</v>
      </c>
      <c r="B977" s="32" t="s">
        <v>101</v>
      </c>
      <c r="C977" s="32"/>
      <c r="D977" s="33" t="s">
        <v>96</v>
      </c>
      <c r="E977" s="34" t="n">
        <v>0.5</v>
      </c>
      <c r="F977" s="32"/>
      <c r="G977" s="35" t="n">
        <f aca="false">IF(A977="","",A977+7-WEEKDAY(A977))</f>
        <v>46256</v>
      </c>
      <c r="H977" s="36" t="n">
        <f aca="false">IF(A977="","",DATE(YEAR(A977),MONTH(A977),1))</f>
        <v>46235</v>
      </c>
      <c r="I977" s="37" t="str">
        <f aca="false">IF(B977="","",IFERROR(INDEX(st_ID,MATCH(B977,st_Name,0)),"Unknown"))</f>
        <v>QP-04</v>
      </c>
      <c r="J977" s="37" t="str">
        <f aca="false">IF(C977="","",IFERROR(INDEX(cl_Code,MATCH(C977,cl_Name,0)),"Unknown"))</f>
        <v/>
      </c>
      <c r="K977" s="37" t="str">
        <f aca="false">IF(D977="","",IFERROR(INDEX(rt_Billable,MATCH(D977,rt_Code,0)),"Unknown"))</f>
        <v>No</v>
      </c>
      <c r="L977" s="38" t="str">
        <f aca="false">IF(K977&lt;&gt;"Yes","",IFERROR(INDEX(cr_Rate,MATCH(J977&amp;"|"&amp;D977,cr_Key,0)),INDEX(rt_Rate,MATCH(D977,rt_Code,0))))</f>
        <v/>
      </c>
      <c r="M977" s="25" t="str">
        <f aca="false">IF(L977="","",ROUND(N(E977)*L977,2))</f>
        <v/>
      </c>
      <c r="N977" s="39" t="n">
        <f aca="false">IF(OR(A977="",B977=""),"",SUMIFS(tl_Hours,tl_StaffID,I977,tl_Date,A977))</f>
        <v>8</v>
      </c>
      <c r="O977" s="40" t="str">
        <f aca="false">IF(A977&amp;B977&amp;D977="","",IF(OR(A977="",B977="",D977="",E977=""),"Incomplete",IF(K977="Unknown","Unknown code",IF(AND(K977="Yes",C977=""),"Billable, needs client",IF(N977&gt;MaxDayHours,"Over "&amp;MaxDayHours&amp;" hours that day","")))))</f>
        <v/>
      </c>
    </row>
    <row r="978" customFormat="false" ht="15" hidden="false" customHeight="false" outlineLevel="0" collapsed="false">
      <c r="A978" s="31" t="n">
        <v>46255</v>
      </c>
      <c r="B978" s="32" t="s">
        <v>103</v>
      </c>
      <c r="C978" s="32" t="s">
        <v>90</v>
      </c>
      <c r="D978" s="33" t="s">
        <v>88</v>
      </c>
      <c r="E978" s="34" t="n">
        <v>4</v>
      </c>
      <c r="F978" s="32"/>
      <c r="G978" s="35" t="n">
        <f aca="false">IF(A978="","",A978+7-WEEKDAY(A978))</f>
        <v>46256</v>
      </c>
      <c r="H978" s="36" t="n">
        <f aca="false">IF(A978="","",DATE(YEAR(A978),MONTH(A978),1))</f>
        <v>46235</v>
      </c>
      <c r="I978" s="37" t="str">
        <f aca="false">IF(B978="","",IFERROR(INDEX(st_ID,MATCH(B978,st_Name,0)),"Unknown"))</f>
        <v>QP-05</v>
      </c>
      <c r="J978" s="37" t="str">
        <f aca="false">IF(C978="","",IFERROR(INDEX(cl_Code,MATCH(C978,cl_Name,0)),"Unknown"))</f>
        <v>BSE</v>
      </c>
      <c r="K978" s="37" t="str">
        <f aca="false">IF(D978="","",IFERROR(INDEX(rt_Billable,MATCH(D978,rt_Code,0)),"Unknown"))</f>
        <v>Yes</v>
      </c>
      <c r="L978" s="38" t="n">
        <f aca="false">IF(K978&lt;&gt;"Yes","",IFERROR(INDEX(cr_Rate,MATCH(J978&amp;"|"&amp;D978,cr_Key,0)),INDEX(rt_Rate,MATCH(D978,rt_Code,0))))</f>
        <v>104</v>
      </c>
      <c r="M978" s="25" t="n">
        <f aca="false">IF(L978="","",ROUND(N(E978)*L978,2))</f>
        <v>416</v>
      </c>
      <c r="N978" s="39" t="n">
        <f aca="false">IF(OR(A978="",B978=""),"",SUMIFS(tl_Hours,tl_StaffID,I978,tl_Date,A978))</f>
        <v>8</v>
      </c>
      <c r="O978" s="40" t="str">
        <f aca="false">IF(A978&amp;B978&amp;D978="","",IF(OR(A978="",B978="",D978="",E978=""),"Incomplete",IF(K978="Unknown","Unknown code",IF(AND(K978="Yes",C978=""),"Billable, needs client",IF(N978&gt;MaxDayHours,"Over "&amp;MaxDayHours&amp;" hours that day","")))))</f>
        <v/>
      </c>
    </row>
    <row r="979" customFormat="false" ht="15" hidden="false" customHeight="false" outlineLevel="0" collapsed="false">
      <c r="A979" s="31" t="n">
        <v>46255</v>
      </c>
      <c r="B979" s="32" t="s">
        <v>103</v>
      </c>
      <c r="C979" s="32" t="s">
        <v>90</v>
      </c>
      <c r="D979" s="33" t="s">
        <v>92</v>
      </c>
      <c r="E979" s="34" t="n">
        <v>1.75</v>
      </c>
      <c r="F979" s="32"/>
      <c r="G979" s="35" t="n">
        <f aca="false">IF(A979="","",A979+7-WEEKDAY(A979))</f>
        <v>46256</v>
      </c>
      <c r="H979" s="36" t="n">
        <f aca="false">IF(A979="","",DATE(YEAR(A979),MONTH(A979),1))</f>
        <v>46235</v>
      </c>
      <c r="I979" s="37" t="str">
        <f aca="false">IF(B979="","",IFERROR(INDEX(st_ID,MATCH(B979,st_Name,0)),"Unknown"))</f>
        <v>QP-05</v>
      </c>
      <c r="J979" s="37" t="str">
        <f aca="false">IF(C979="","",IFERROR(INDEX(cl_Code,MATCH(C979,cl_Name,0)),"Unknown"))</f>
        <v>BSE</v>
      </c>
      <c r="K979" s="37" t="str">
        <f aca="false">IF(D979="","",IFERROR(INDEX(rt_Billable,MATCH(D979,rt_Code,0)),"Unknown"))</f>
        <v>Yes</v>
      </c>
      <c r="L979" s="38" t="n">
        <f aca="false">IF(K979&lt;&gt;"Yes","",IFERROR(INDEX(cr_Rate,MATCH(J979&amp;"|"&amp;D979,cr_Key,0)),INDEX(rt_Rate,MATCH(D979,rt_Code,0))))</f>
        <v>145</v>
      </c>
      <c r="M979" s="25" t="n">
        <f aca="false">IF(L979="","",ROUND(N(E979)*L979,2))</f>
        <v>253.75</v>
      </c>
      <c r="N979" s="39" t="n">
        <f aca="false">IF(OR(A979="",B979=""),"",SUMIFS(tl_Hours,tl_StaffID,I979,tl_Date,A979))</f>
        <v>8</v>
      </c>
      <c r="O979" s="40" t="str">
        <f aca="false">IF(A979&amp;B979&amp;D979="","",IF(OR(A979="",B979="",D979="",E979=""),"Incomplete",IF(K979="Unknown","Unknown code",IF(AND(K979="Yes",C979=""),"Billable, needs client",IF(N979&gt;MaxDayHours,"Over "&amp;MaxDayHours&amp;" hours that day","")))))</f>
        <v/>
      </c>
    </row>
    <row r="980" customFormat="false" ht="15" hidden="false" customHeight="false" outlineLevel="0" collapsed="false">
      <c r="A980" s="31" t="n">
        <v>46255</v>
      </c>
      <c r="B980" s="32" t="s">
        <v>103</v>
      </c>
      <c r="C980" s="32"/>
      <c r="D980" s="33" t="s">
        <v>96</v>
      </c>
      <c r="E980" s="34" t="n">
        <v>2.25</v>
      </c>
      <c r="F980" s="32"/>
      <c r="G980" s="35" t="n">
        <f aca="false">IF(A980="","",A980+7-WEEKDAY(A980))</f>
        <v>46256</v>
      </c>
      <c r="H980" s="36" t="n">
        <f aca="false">IF(A980="","",DATE(YEAR(A980),MONTH(A980),1))</f>
        <v>46235</v>
      </c>
      <c r="I980" s="37" t="str">
        <f aca="false">IF(B980="","",IFERROR(INDEX(st_ID,MATCH(B980,st_Name,0)),"Unknown"))</f>
        <v>QP-05</v>
      </c>
      <c r="J980" s="37" t="str">
        <f aca="false">IF(C980="","",IFERROR(INDEX(cl_Code,MATCH(C980,cl_Name,0)),"Unknown"))</f>
        <v/>
      </c>
      <c r="K980" s="37" t="str">
        <f aca="false">IF(D980="","",IFERROR(INDEX(rt_Billable,MATCH(D980,rt_Code,0)),"Unknown"))</f>
        <v>No</v>
      </c>
      <c r="L980" s="38" t="str">
        <f aca="false">IF(K980&lt;&gt;"Yes","",IFERROR(INDEX(cr_Rate,MATCH(J980&amp;"|"&amp;D980,cr_Key,0)),INDEX(rt_Rate,MATCH(D980,rt_Code,0))))</f>
        <v/>
      </c>
      <c r="M980" s="25" t="str">
        <f aca="false">IF(L980="","",ROUND(N(E980)*L980,2))</f>
        <v/>
      </c>
      <c r="N980" s="39" t="n">
        <f aca="false">IF(OR(A980="",B980=""),"",SUMIFS(tl_Hours,tl_StaffID,I980,tl_Date,A980))</f>
        <v>8</v>
      </c>
      <c r="O980" s="40" t="str">
        <f aca="false">IF(A980&amp;B980&amp;D980="","",IF(OR(A980="",B980="",D980="",E980=""),"Incomplete",IF(K980="Unknown","Unknown code",IF(AND(K980="Yes",C980=""),"Billable, needs client",IF(N980&gt;MaxDayHours,"Over "&amp;MaxDayHours&amp;" hours that day","")))))</f>
        <v/>
      </c>
    </row>
    <row r="981" customFormat="false" ht="15" hidden="false" customHeight="false" outlineLevel="0" collapsed="false">
      <c r="A981" s="31" t="n">
        <v>46255</v>
      </c>
      <c r="B981" s="32" t="s">
        <v>105</v>
      </c>
      <c r="C981" s="32" t="s">
        <v>90</v>
      </c>
      <c r="D981" s="33" t="s">
        <v>91</v>
      </c>
      <c r="E981" s="34" t="n">
        <v>4</v>
      </c>
      <c r="F981" s="32"/>
      <c r="G981" s="35" t="n">
        <f aca="false">IF(A981="","",A981+7-WEEKDAY(A981))</f>
        <v>46256</v>
      </c>
      <c r="H981" s="36" t="n">
        <f aca="false">IF(A981="","",DATE(YEAR(A981),MONTH(A981),1))</f>
        <v>46235</v>
      </c>
      <c r="I981" s="37" t="str">
        <f aca="false">IF(B981="","",IFERROR(INDEX(st_ID,MATCH(B981,st_Name,0)),"Unknown"))</f>
        <v>QP-06</v>
      </c>
      <c r="J981" s="37" t="str">
        <f aca="false">IF(C981="","",IFERROR(INDEX(cl_Code,MATCH(C981,cl_Name,0)),"Unknown"))</f>
        <v>BSE</v>
      </c>
      <c r="K981" s="37" t="str">
        <f aca="false">IF(D981="","",IFERROR(INDEX(rt_Billable,MATCH(D981,rt_Code,0)),"Unknown"))</f>
        <v>Yes</v>
      </c>
      <c r="L981" s="38" t="n">
        <f aca="false">IF(K981&lt;&gt;"Yes","",IFERROR(INDEX(cr_Rate,MATCH(J981&amp;"|"&amp;D981,cr_Key,0)),INDEX(rt_Rate,MATCH(D981,rt_Code,0))))</f>
        <v>100</v>
      </c>
      <c r="M981" s="25" t="n">
        <f aca="false">IF(L981="","",ROUND(N(E981)*L981,2))</f>
        <v>400</v>
      </c>
      <c r="N981" s="39" t="n">
        <f aca="false">IF(OR(A981="",B981=""),"",SUMIFS(tl_Hours,tl_StaffID,I981,tl_Date,A981))</f>
        <v>8</v>
      </c>
      <c r="O981" s="40" t="str">
        <f aca="false">IF(A981&amp;B981&amp;D981="","",IF(OR(A981="",B981="",D981="",E981=""),"Incomplete",IF(K981="Unknown","Unknown code",IF(AND(K981="Yes",C981=""),"Billable, needs client",IF(N981&gt;MaxDayHours,"Over "&amp;MaxDayHours&amp;" hours that day","")))))</f>
        <v/>
      </c>
    </row>
    <row r="982" customFormat="false" ht="15" hidden="false" customHeight="false" outlineLevel="0" collapsed="false">
      <c r="A982" s="31" t="n">
        <v>46255</v>
      </c>
      <c r="B982" s="32" t="s">
        <v>105</v>
      </c>
      <c r="C982" s="32" t="s">
        <v>90</v>
      </c>
      <c r="D982" s="33" t="s">
        <v>88</v>
      </c>
      <c r="E982" s="34" t="n">
        <v>1.5</v>
      </c>
      <c r="F982" s="32"/>
      <c r="G982" s="35" t="n">
        <f aca="false">IF(A982="","",A982+7-WEEKDAY(A982))</f>
        <v>46256</v>
      </c>
      <c r="H982" s="36" t="n">
        <f aca="false">IF(A982="","",DATE(YEAR(A982),MONTH(A982),1))</f>
        <v>46235</v>
      </c>
      <c r="I982" s="37" t="str">
        <f aca="false">IF(B982="","",IFERROR(INDEX(st_ID,MATCH(B982,st_Name,0)),"Unknown"))</f>
        <v>QP-06</v>
      </c>
      <c r="J982" s="37" t="str">
        <f aca="false">IF(C982="","",IFERROR(INDEX(cl_Code,MATCH(C982,cl_Name,0)),"Unknown"))</f>
        <v>BSE</v>
      </c>
      <c r="K982" s="37" t="str">
        <f aca="false">IF(D982="","",IFERROR(INDEX(rt_Billable,MATCH(D982,rt_Code,0)),"Unknown"))</f>
        <v>Yes</v>
      </c>
      <c r="L982" s="38" t="n">
        <f aca="false">IF(K982&lt;&gt;"Yes","",IFERROR(INDEX(cr_Rate,MATCH(J982&amp;"|"&amp;D982,cr_Key,0)),INDEX(rt_Rate,MATCH(D982,rt_Code,0))))</f>
        <v>104</v>
      </c>
      <c r="M982" s="25" t="n">
        <f aca="false">IF(L982="","",ROUND(N(E982)*L982,2))</f>
        <v>156</v>
      </c>
      <c r="N982" s="39" t="n">
        <f aca="false">IF(OR(A982="",B982=""),"",SUMIFS(tl_Hours,tl_StaffID,I982,tl_Date,A982))</f>
        <v>8</v>
      </c>
      <c r="O982" s="40" t="str">
        <f aca="false">IF(A982&amp;B982&amp;D982="","",IF(OR(A982="",B982="",D982="",E982=""),"Incomplete",IF(K982="Unknown","Unknown code",IF(AND(K982="Yes",C982=""),"Billable, needs client",IF(N982&gt;MaxDayHours,"Over "&amp;MaxDayHours&amp;" hours that day","")))))</f>
        <v/>
      </c>
    </row>
    <row r="983" customFormat="false" ht="15" hidden="false" customHeight="false" outlineLevel="0" collapsed="false">
      <c r="A983" s="31" t="n">
        <v>46255</v>
      </c>
      <c r="B983" s="32" t="s">
        <v>105</v>
      </c>
      <c r="C983" s="32"/>
      <c r="D983" s="33" t="s">
        <v>96</v>
      </c>
      <c r="E983" s="34" t="n">
        <v>2.5</v>
      </c>
      <c r="F983" s="32"/>
      <c r="G983" s="35" t="n">
        <f aca="false">IF(A983="","",A983+7-WEEKDAY(A983))</f>
        <v>46256</v>
      </c>
      <c r="H983" s="36" t="n">
        <f aca="false">IF(A983="","",DATE(YEAR(A983),MONTH(A983),1))</f>
        <v>46235</v>
      </c>
      <c r="I983" s="37" t="str">
        <f aca="false">IF(B983="","",IFERROR(INDEX(st_ID,MATCH(B983,st_Name,0)),"Unknown"))</f>
        <v>QP-06</v>
      </c>
      <c r="J983" s="37" t="str">
        <f aca="false">IF(C983="","",IFERROR(INDEX(cl_Code,MATCH(C983,cl_Name,0)),"Unknown"))</f>
        <v/>
      </c>
      <c r="K983" s="37" t="str">
        <f aca="false">IF(D983="","",IFERROR(INDEX(rt_Billable,MATCH(D983,rt_Code,0)),"Unknown"))</f>
        <v>No</v>
      </c>
      <c r="L983" s="38" t="str">
        <f aca="false">IF(K983&lt;&gt;"Yes","",IFERROR(INDEX(cr_Rate,MATCH(J983&amp;"|"&amp;D983,cr_Key,0)),INDEX(rt_Rate,MATCH(D983,rt_Code,0))))</f>
        <v/>
      </c>
      <c r="M983" s="25" t="str">
        <f aca="false">IF(L983="","",ROUND(N(E983)*L983,2))</f>
        <v/>
      </c>
      <c r="N983" s="39" t="n">
        <f aca="false">IF(OR(A983="",B983=""),"",SUMIFS(tl_Hours,tl_StaffID,I983,tl_Date,A983))</f>
        <v>8</v>
      </c>
      <c r="O983" s="40" t="str">
        <f aca="false">IF(A983&amp;B983&amp;D983="","",IF(OR(A983="",B983="",D983="",E983=""),"Incomplete",IF(K983="Unknown","Unknown code",IF(AND(K983="Yes",C983=""),"Billable, needs client",IF(N983&gt;MaxDayHours,"Over "&amp;MaxDayHours&amp;" hours that day","")))))</f>
        <v/>
      </c>
    </row>
    <row r="984" customFormat="false" ht="15" hidden="false" customHeight="false" outlineLevel="0" collapsed="false">
      <c r="A984" s="31" t="n">
        <v>46255</v>
      </c>
      <c r="B984" s="32" t="s">
        <v>106</v>
      </c>
      <c r="C984" s="32" t="s">
        <v>87</v>
      </c>
      <c r="D984" s="33" t="s">
        <v>104</v>
      </c>
      <c r="E984" s="34" t="n">
        <v>2.25</v>
      </c>
      <c r="F984" s="32"/>
      <c r="G984" s="35" t="n">
        <f aca="false">IF(A984="","",A984+7-WEEKDAY(A984))</f>
        <v>46256</v>
      </c>
      <c r="H984" s="36" t="n">
        <f aca="false">IF(A984="","",DATE(YEAR(A984),MONTH(A984),1))</f>
        <v>46235</v>
      </c>
      <c r="I984" s="37" t="str">
        <f aca="false">IF(B984="","",IFERROR(INDEX(st_ID,MATCH(B984,st_Name,0)),"Unknown"))</f>
        <v>QP-07</v>
      </c>
      <c r="J984" s="37" t="str">
        <f aca="false">IF(C984="","",IFERROR(INDEX(cl_Code,MATCH(C984,cl_Name,0)),"Unknown"))</f>
        <v>HCS</v>
      </c>
      <c r="K984" s="37" t="str">
        <f aca="false">IF(D984="","",IFERROR(INDEX(rt_Billable,MATCH(D984,rt_Code,0)),"Unknown"))</f>
        <v>Yes</v>
      </c>
      <c r="L984" s="38" t="n">
        <f aca="false">IF(K984&lt;&gt;"Yes","",IFERROR(INDEX(cr_Rate,MATCH(J984&amp;"|"&amp;D984,cr_Key,0)),INDEX(rt_Rate,MATCH(D984,rt_Code,0))))</f>
        <v>62</v>
      </c>
      <c r="M984" s="25" t="n">
        <f aca="false">IF(L984="","",ROUND(N(E984)*L984,2))</f>
        <v>139.5</v>
      </c>
      <c r="N984" s="39" t="n">
        <f aca="false">IF(OR(A984="",B984=""),"",SUMIFS(tl_Hours,tl_StaffID,I984,tl_Date,A984))</f>
        <v>8</v>
      </c>
      <c r="O984" s="40" t="str">
        <f aca="false">IF(A984&amp;B984&amp;D984="","",IF(OR(A984="",B984="",D984="",E984=""),"Incomplete",IF(K984="Unknown","Unknown code",IF(AND(K984="Yes",C984=""),"Billable, needs client",IF(N984&gt;MaxDayHours,"Over "&amp;MaxDayHours&amp;" hours that day","")))))</f>
        <v/>
      </c>
    </row>
    <row r="985" customFormat="false" ht="15" hidden="false" customHeight="false" outlineLevel="0" collapsed="false">
      <c r="A985" s="31" t="n">
        <v>46255</v>
      </c>
      <c r="B985" s="32" t="s">
        <v>106</v>
      </c>
      <c r="C985" s="32" t="s">
        <v>87</v>
      </c>
      <c r="D985" s="33" t="s">
        <v>88</v>
      </c>
      <c r="E985" s="34" t="n">
        <v>0.5</v>
      </c>
      <c r="F985" s="32"/>
      <c r="G985" s="35" t="n">
        <f aca="false">IF(A985="","",A985+7-WEEKDAY(A985))</f>
        <v>46256</v>
      </c>
      <c r="H985" s="36" t="n">
        <f aca="false">IF(A985="","",DATE(YEAR(A985),MONTH(A985),1))</f>
        <v>46235</v>
      </c>
      <c r="I985" s="37" t="str">
        <f aca="false">IF(B985="","",IFERROR(INDEX(st_ID,MATCH(B985,st_Name,0)),"Unknown"))</f>
        <v>QP-07</v>
      </c>
      <c r="J985" s="37" t="str">
        <f aca="false">IF(C985="","",IFERROR(INDEX(cl_Code,MATCH(C985,cl_Name,0)),"Unknown"))</f>
        <v>HCS</v>
      </c>
      <c r="K985" s="37" t="str">
        <f aca="false">IF(D985="","",IFERROR(INDEX(rt_Billable,MATCH(D985,rt_Code,0)),"Unknown"))</f>
        <v>Yes</v>
      </c>
      <c r="L985" s="38" t="n">
        <f aca="false">IF(K985&lt;&gt;"Yes","",IFERROR(INDEX(cr_Rate,MATCH(J985&amp;"|"&amp;D985,cr_Key,0)),INDEX(rt_Rate,MATCH(D985,rt_Code,0))))</f>
        <v>98</v>
      </c>
      <c r="M985" s="25" t="n">
        <f aca="false">IF(L985="","",ROUND(N(E985)*L985,2))</f>
        <v>49</v>
      </c>
      <c r="N985" s="39" t="n">
        <f aca="false">IF(OR(A985="",B985=""),"",SUMIFS(tl_Hours,tl_StaffID,I985,tl_Date,A985))</f>
        <v>8</v>
      </c>
      <c r="O985" s="40" t="str">
        <f aca="false">IF(A985&amp;B985&amp;D985="","",IF(OR(A985="",B985="",D985="",E985=""),"Incomplete",IF(K985="Unknown","Unknown code",IF(AND(K985="Yes",C985=""),"Billable, needs client",IF(N985&gt;MaxDayHours,"Over "&amp;MaxDayHours&amp;" hours that day","")))))</f>
        <v/>
      </c>
    </row>
    <row r="986" customFormat="false" ht="15" hidden="false" customHeight="false" outlineLevel="0" collapsed="false">
      <c r="A986" s="31" t="n">
        <v>46255</v>
      </c>
      <c r="B986" s="32" t="s">
        <v>106</v>
      </c>
      <c r="C986" s="32" t="s">
        <v>112</v>
      </c>
      <c r="D986" s="33" t="s">
        <v>88</v>
      </c>
      <c r="E986" s="34" t="n">
        <v>1.75</v>
      </c>
      <c r="F986" s="32"/>
      <c r="G986" s="35" t="n">
        <f aca="false">IF(A986="","",A986+7-WEEKDAY(A986))</f>
        <v>46256</v>
      </c>
      <c r="H986" s="36" t="n">
        <f aca="false">IF(A986="","",DATE(YEAR(A986),MONTH(A986),1))</f>
        <v>46235</v>
      </c>
      <c r="I986" s="37" t="str">
        <f aca="false">IF(B986="","",IFERROR(INDEX(st_ID,MATCH(B986,st_Name,0)),"Unknown"))</f>
        <v>QP-07</v>
      </c>
      <c r="J986" s="37" t="str">
        <f aca="false">IF(C986="","",IFERROR(INDEX(cl_Code,MATCH(C986,cl_Name,0)),"Unknown"))</f>
        <v>PCA</v>
      </c>
      <c r="K986" s="37" t="str">
        <f aca="false">IF(D986="","",IFERROR(INDEX(rt_Billable,MATCH(D986,rt_Code,0)),"Unknown"))</f>
        <v>Yes</v>
      </c>
      <c r="L986" s="38" t="n">
        <f aca="false">IF(K986&lt;&gt;"Yes","",IFERROR(INDEX(cr_Rate,MATCH(J986&amp;"|"&amp;D986,cr_Key,0)),INDEX(rt_Rate,MATCH(D986,rt_Code,0))))</f>
        <v>110</v>
      </c>
      <c r="M986" s="25" t="n">
        <f aca="false">IF(L986="","",ROUND(N(E986)*L986,2))</f>
        <v>192.5</v>
      </c>
      <c r="N986" s="39" t="n">
        <f aca="false">IF(OR(A986="",B986=""),"",SUMIFS(tl_Hours,tl_StaffID,I986,tl_Date,A986))</f>
        <v>8</v>
      </c>
      <c r="O986" s="40" t="str">
        <f aca="false">IF(A986&amp;B986&amp;D986="","",IF(OR(A986="",B986="",D986="",E986=""),"Incomplete",IF(K986="Unknown","Unknown code",IF(AND(K986="Yes",C986=""),"Billable, needs client",IF(N986&gt;MaxDayHours,"Over "&amp;MaxDayHours&amp;" hours that day","")))))</f>
        <v/>
      </c>
    </row>
    <row r="987" customFormat="false" ht="15" hidden="false" customHeight="false" outlineLevel="0" collapsed="false">
      <c r="A987" s="31" t="n">
        <v>46255</v>
      </c>
      <c r="B987" s="32" t="s">
        <v>106</v>
      </c>
      <c r="C987" s="32" t="s">
        <v>112</v>
      </c>
      <c r="D987" s="33" t="s">
        <v>104</v>
      </c>
      <c r="E987" s="34" t="n">
        <v>1</v>
      </c>
      <c r="F987" s="32"/>
      <c r="G987" s="35" t="n">
        <f aca="false">IF(A987="","",A987+7-WEEKDAY(A987))</f>
        <v>46256</v>
      </c>
      <c r="H987" s="36" t="n">
        <f aca="false">IF(A987="","",DATE(YEAR(A987),MONTH(A987),1))</f>
        <v>46235</v>
      </c>
      <c r="I987" s="37" t="str">
        <f aca="false">IF(B987="","",IFERROR(INDEX(st_ID,MATCH(B987,st_Name,0)),"Unknown"))</f>
        <v>QP-07</v>
      </c>
      <c r="J987" s="37" t="str">
        <f aca="false">IF(C987="","",IFERROR(INDEX(cl_Code,MATCH(C987,cl_Name,0)),"Unknown"))</f>
        <v>PCA</v>
      </c>
      <c r="K987" s="37" t="str">
        <f aca="false">IF(D987="","",IFERROR(INDEX(rt_Billable,MATCH(D987,rt_Code,0)),"Unknown"))</f>
        <v>Yes</v>
      </c>
      <c r="L987" s="38" t="n">
        <f aca="false">IF(K987&lt;&gt;"Yes","",IFERROR(INDEX(cr_Rate,MATCH(J987&amp;"|"&amp;D987,cr_Key,0)),INDEX(rt_Rate,MATCH(D987,rt_Code,0))))</f>
        <v>70</v>
      </c>
      <c r="M987" s="25" t="n">
        <f aca="false">IF(L987="","",ROUND(N(E987)*L987,2))</f>
        <v>70</v>
      </c>
      <c r="N987" s="39" t="n">
        <f aca="false">IF(OR(A987="",B987=""),"",SUMIFS(tl_Hours,tl_StaffID,I987,tl_Date,A987))</f>
        <v>8</v>
      </c>
      <c r="O987" s="40" t="str">
        <f aca="false">IF(A987&amp;B987&amp;D987="","",IF(OR(A987="",B987="",D987="",E987=""),"Incomplete",IF(K987="Unknown","Unknown code",IF(AND(K987="Yes",C987=""),"Billable, needs client",IF(N987&gt;MaxDayHours,"Over "&amp;MaxDayHours&amp;" hours that day","")))))</f>
        <v/>
      </c>
    </row>
    <row r="988" customFormat="false" ht="15" hidden="false" customHeight="false" outlineLevel="0" collapsed="false">
      <c r="A988" s="31" t="n">
        <v>46255</v>
      </c>
      <c r="B988" s="32" t="s">
        <v>106</v>
      </c>
      <c r="C988" s="32"/>
      <c r="D988" s="33" t="s">
        <v>93</v>
      </c>
      <c r="E988" s="34" t="n">
        <v>0.5</v>
      </c>
      <c r="F988" s="32"/>
      <c r="G988" s="35" t="n">
        <f aca="false">IF(A988="","",A988+7-WEEKDAY(A988))</f>
        <v>46256</v>
      </c>
      <c r="H988" s="36" t="n">
        <f aca="false">IF(A988="","",DATE(YEAR(A988),MONTH(A988),1))</f>
        <v>46235</v>
      </c>
      <c r="I988" s="37" t="str">
        <f aca="false">IF(B988="","",IFERROR(INDEX(st_ID,MATCH(B988,st_Name,0)),"Unknown"))</f>
        <v>QP-07</v>
      </c>
      <c r="J988" s="37" t="str">
        <f aca="false">IF(C988="","",IFERROR(INDEX(cl_Code,MATCH(C988,cl_Name,0)),"Unknown"))</f>
        <v/>
      </c>
      <c r="K988" s="37" t="str">
        <f aca="false">IF(D988="","",IFERROR(INDEX(rt_Billable,MATCH(D988,rt_Code,0)),"Unknown"))</f>
        <v>No</v>
      </c>
      <c r="L988" s="38" t="str">
        <f aca="false">IF(K988&lt;&gt;"Yes","",IFERROR(INDEX(cr_Rate,MATCH(J988&amp;"|"&amp;D988,cr_Key,0)),INDEX(rt_Rate,MATCH(D988,rt_Code,0))))</f>
        <v/>
      </c>
      <c r="M988" s="25" t="str">
        <f aca="false">IF(L988="","",ROUND(N(E988)*L988,2))</f>
        <v/>
      </c>
      <c r="N988" s="39" t="n">
        <f aca="false">IF(OR(A988="",B988=""),"",SUMIFS(tl_Hours,tl_StaffID,I988,tl_Date,A988))</f>
        <v>8</v>
      </c>
      <c r="O988" s="40" t="str">
        <f aca="false">IF(A988&amp;B988&amp;D988="","",IF(OR(A988="",B988="",D988="",E988=""),"Incomplete",IF(K988="Unknown","Unknown code",IF(AND(K988="Yes",C988=""),"Billable, needs client",IF(N988&gt;MaxDayHours,"Over "&amp;MaxDayHours&amp;" hours that day","")))))</f>
        <v/>
      </c>
    </row>
    <row r="989" customFormat="false" ht="15" hidden="false" customHeight="false" outlineLevel="0" collapsed="false">
      <c r="A989" s="31" t="n">
        <v>46255</v>
      </c>
      <c r="B989" s="32" t="s">
        <v>106</v>
      </c>
      <c r="C989" s="32"/>
      <c r="D989" s="33" t="s">
        <v>96</v>
      </c>
      <c r="E989" s="34" t="n">
        <v>2</v>
      </c>
      <c r="F989" s="32"/>
      <c r="G989" s="35" t="n">
        <f aca="false">IF(A989="","",A989+7-WEEKDAY(A989))</f>
        <v>46256</v>
      </c>
      <c r="H989" s="36" t="n">
        <f aca="false">IF(A989="","",DATE(YEAR(A989),MONTH(A989),1))</f>
        <v>46235</v>
      </c>
      <c r="I989" s="37" t="str">
        <f aca="false">IF(B989="","",IFERROR(INDEX(st_ID,MATCH(B989,st_Name,0)),"Unknown"))</f>
        <v>QP-07</v>
      </c>
      <c r="J989" s="37" t="str">
        <f aca="false">IF(C989="","",IFERROR(INDEX(cl_Code,MATCH(C989,cl_Name,0)),"Unknown"))</f>
        <v/>
      </c>
      <c r="K989" s="37" t="str">
        <f aca="false">IF(D989="","",IFERROR(INDEX(rt_Billable,MATCH(D989,rt_Code,0)),"Unknown"))</f>
        <v>No</v>
      </c>
      <c r="L989" s="38" t="str">
        <f aca="false">IF(K989&lt;&gt;"Yes","",IFERROR(INDEX(cr_Rate,MATCH(J989&amp;"|"&amp;D989,cr_Key,0)),INDEX(rt_Rate,MATCH(D989,rt_Code,0))))</f>
        <v/>
      </c>
      <c r="M989" s="25" t="str">
        <f aca="false">IF(L989="","",ROUND(N(E989)*L989,2))</f>
        <v/>
      </c>
      <c r="N989" s="39" t="n">
        <f aca="false">IF(OR(A989="",B989=""),"",SUMIFS(tl_Hours,tl_StaffID,I989,tl_Date,A989))</f>
        <v>8</v>
      </c>
      <c r="O989" s="40" t="str">
        <f aca="false">IF(A989&amp;B989&amp;D989="","",IF(OR(A989="",B989="",D989="",E989=""),"Incomplete",IF(K989="Unknown","Unknown code",IF(AND(K989="Yes",C989=""),"Billable, needs client",IF(N989&gt;MaxDayHours,"Over "&amp;MaxDayHours&amp;" hours that day","")))))</f>
        <v/>
      </c>
    </row>
    <row r="990" customFormat="false" ht="15" hidden="false" customHeight="false" outlineLevel="0" collapsed="false">
      <c r="A990" s="31" t="n">
        <v>46255</v>
      </c>
      <c r="B990" s="32" t="s">
        <v>107</v>
      </c>
      <c r="C990" s="32"/>
      <c r="D990" s="33" t="s">
        <v>108</v>
      </c>
      <c r="E990" s="34" t="n">
        <v>7</v>
      </c>
      <c r="F990" s="32"/>
      <c r="G990" s="35" t="n">
        <f aca="false">IF(A990="","",A990+7-WEEKDAY(A990))</f>
        <v>46256</v>
      </c>
      <c r="H990" s="36" t="n">
        <f aca="false">IF(A990="","",DATE(YEAR(A990),MONTH(A990),1))</f>
        <v>46235</v>
      </c>
      <c r="I990" s="37" t="str">
        <f aca="false">IF(B990="","",IFERROR(INDEX(st_ID,MATCH(B990,st_Name,0)),"Unknown"))</f>
        <v>QP-08</v>
      </c>
      <c r="J990" s="37" t="str">
        <f aca="false">IF(C990="","",IFERROR(INDEX(cl_Code,MATCH(C990,cl_Name,0)),"Unknown"))</f>
        <v/>
      </c>
      <c r="K990" s="37" t="str">
        <f aca="false">IF(D990="","",IFERROR(INDEX(rt_Billable,MATCH(D990,rt_Code,0)),"Unknown"))</f>
        <v>No</v>
      </c>
      <c r="L990" s="38" t="str">
        <f aca="false">IF(K990&lt;&gt;"Yes","",IFERROR(INDEX(cr_Rate,MATCH(J990&amp;"|"&amp;D990,cr_Key,0)),INDEX(rt_Rate,MATCH(D990,rt_Code,0))))</f>
        <v/>
      </c>
      <c r="M990" s="25" t="str">
        <f aca="false">IF(L990="","",ROUND(N(E990)*L990,2))</f>
        <v/>
      </c>
      <c r="N990" s="39" t="n">
        <f aca="false">IF(OR(A990="",B990=""),"",SUMIFS(tl_Hours,tl_StaffID,I990,tl_Date,A990))</f>
        <v>8</v>
      </c>
      <c r="O990" s="40" t="str">
        <f aca="false">IF(A990&amp;B990&amp;D990="","",IF(OR(A990="",B990="",D990="",E990=""),"Incomplete",IF(K990="Unknown","Unknown code",IF(AND(K990="Yes",C990=""),"Billable, needs client",IF(N990&gt;MaxDayHours,"Over "&amp;MaxDayHours&amp;" hours that day","")))))</f>
        <v/>
      </c>
    </row>
    <row r="991" customFormat="false" ht="15" hidden="false" customHeight="false" outlineLevel="0" collapsed="false">
      <c r="A991" s="31" t="n">
        <v>46255</v>
      </c>
      <c r="B991" s="32" t="s">
        <v>107</v>
      </c>
      <c r="C991" s="32"/>
      <c r="D991" s="33" t="s">
        <v>98</v>
      </c>
      <c r="E991" s="34" t="n">
        <v>1</v>
      </c>
      <c r="F991" s="32"/>
      <c r="G991" s="35" t="n">
        <f aca="false">IF(A991="","",A991+7-WEEKDAY(A991))</f>
        <v>46256</v>
      </c>
      <c r="H991" s="36" t="n">
        <f aca="false">IF(A991="","",DATE(YEAR(A991),MONTH(A991),1))</f>
        <v>46235</v>
      </c>
      <c r="I991" s="37" t="str">
        <f aca="false">IF(B991="","",IFERROR(INDEX(st_ID,MATCH(B991,st_Name,0)),"Unknown"))</f>
        <v>QP-08</v>
      </c>
      <c r="J991" s="37" t="str">
        <f aca="false">IF(C991="","",IFERROR(INDEX(cl_Code,MATCH(C991,cl_Name,0)),"Unknown"))</f>
        <v/>
      </c>
      <c r="K991" s="37" t="str">
        <f aca="false">IF(D991="","",IFERROR(INDEX(rt_Billable,MATCH(D991,rt_Code,0)),"Unknown"))</f>
        <v>No</v>
      </c>
      <c r="L991" s="38" t="str">
        <f aca="false">IF(K991&lt;&gt;"Yes","",IFERROR(INDEX(cr_Rate,MATCH(J991&amp;"|"&amp;D991,cr_Key,0)),INDEX(rt_Rate,MATCH(D991,rt_Code,0))))</f>
        <v/>
      </c>
      <c r="M991" s="25" t="str">
        <f aca="false">IF(L991="","",ROUND(N(E991)*L991,2))</f>
        <v/>
      </c>
      <c r="N991" s="39" t="n">
        <f aca="false">IF(OR(A991="",B991=""),"",SUMIFS(tl_Hours,tl_StaffID,I991,tl_Date,A991))</f>
        <v>8</v>
      </c>
      <c r="O991" s="40" t="str">
        <f aca="false">IF(A991&amp;B991&amp;D991="","",IF(OR(A991="",B991="",D991="",E991=""),"Incomplete",IF(K991="Unknown","Unknown code",IF(AND(K991="Yes",C991=""),"Billable, needs client",IF(N991&gt;MaxDayHours,"Over "&amp;MaxDayHours&amp;" hours that day","")))))</f>
        <v/>
      </c>
    </row>
    <row r="992" customFormat="false" ht="15" hidden="false" customHeight="false" outlineLevel="0" collapsed="false">
      <c r="A992" s="31" t="n">
        <v>46258</v>
      </c>
      <c r="B992" s="32" t="s">
        <v>86</v>
      </c>
      <c r="C992" s="32" t="s">
        <v>87</v>
      </c>
      <c r="D992" s="33" t="s">
        <v>104</v>
      </c>
      <c r="E992" s="34" t="n">
        <v>2.25</v>
      </c>
      <c r="F992" s="32"/>
      <c r="G992" s="35" t="n">
        <f aca="false">IF(A992="","",A992+7-WEEKDAY(A992))</f>
        <v>46263</v>
      </c>
      <c r="H992" s="36" t="n">
        <f aca="false">IF(A992="","",DATE(YEAR(A992),MONTH(A992),1))</f>
        <v>46235</v>
      </c>
      <c r="I992" s="37" t="str">
        <f aca="false">IF(B992="","",IFERROR(INDEX(st_ID,MATCH(B992,st_Name,0)),"Unknown"))</f>
        <v>QP-01</v>
      </c>
      <c r="J992" s="37" t="str">
        <f aca="false">IF(C992="","",IFERROR(INDEX(cl_Code,MATCH(C992,cl_Name,0)),"Unknown"))</f>
        <v>HCS</v>
      </c>
      <c r="K992" s="37" t="str">
        <f aca="false">IF(D992="","",IFERROR(INDEX(rt_Billable,MATCH(D992,rt_Code,0)),"Unknown"))</f>
        <v>Yes</v>
      </c>
      <c r="L992" s="38" t="n">
        <f aca="false">IF(K992&lt;&gt;"Yes","",IFERROR(INDEX(cr_Rate,MATCH(J992&amp;"|"&amp;D992,cr_Key,0)),INDEX(rt_Rate,MATCH(D992,rt_Code,0))))</f>
        <v>62</v>
      </c>
      <c r="M992" s="25" t="n">
        <f aca="false">IF(L992="","",ROUND(N(E992)*L992,2))</f>
        <v>139.5</v>
      </c>
      <c r="N992" s="39" t="n">
        <f aca="false">IF(OR(A992="",B992=""),"",SUMIFS(tl_Hours,tl_StaffID,I992,tl_Date,A992))</f>
        <v>8</v>
      </c>
      <c r="O992" s="40" t="str">
        <f aca="false">IF(A992&amp;B992&amp;D992="","",IF(OR(A992="",B992="",D992="",E992=""),"Incomplete",IF(K992="Unknown","Unknown code",IF(AND(K992="Yes",C992=""),"Billable, needs client",IF(N992&gt;MaxDayHours,"Over "&amp;MaxDayHours&amp;" hours that day","")))))</f>
        <v/>
      </c>
    </row>
    <row r="993" customFormat="false" ht="15" hidden="false" customHeight="false" outlineLevel="0" collapsed="false">
      <c r="A993" s="31" t="n">
        <v>46258</v>
      </c>
      <c r="B993" s="32" t="s">
        <v>86</v>
      </c>
      <c r="C993" s="32" t="s">
        <v>87</v>
      </c>
      <c r="D993" s="33" t="s">
        <v>92</v>
      </c>
      <c r="E993" s="34" t="n">
        <v>0.75</v>
      </c>
      <c r="F993" s="32"/>
      <c r="G993" s="35" t="n">
        <f aca="false">IF(A993="","",A993+7-WEEKDAY(A993))</f>
        <v>46263</v>
      </c>
      <c r="H993" s="36" t="n">
        <f aca="false">IF(A993="","",DATE(YEAR(A993),MONTH(A993),1))</f>
        <v>46235</v>
      </c>
      <c r="I993" s="37" t="str">
        <f aca="false">IF(B993="","",IFERROR(INDEX(st_ID,MATCH(B993,st_Name,0)),"Unknown"))</f>
        <v>QP-01</v>
      </c>
      <c r="J993" s="37" t="str">
        <f aca="false">IF(C993="","",IFERROR(INDEX(cl_Code,MATCH(C993,cl_Name,0)),"Unknown"))</f>
        <v>HCS</v>
      </c>
      <c r="K993" s="37" t="str">
        <f aca="false">IF(D993="","",IFERROR(INDEX(rt_Billable,MATCH(D993,rt_Code,0)),"Unknown"))</f>
        <v>Yes</v>
      </c>
      <c r="L993" s="38" t="n">
        <f aca="false">IF(K993&lt;&gt;"Yes","",IFERROR(INDEX(cr_Rate,MATCH(J993&amp;"|"&amp;D993,cr_Key,0)),INDEX(rt_Rate,MATCH(D993,rt_Code,0))))</f>
        <v>140</v>
      </c>
      <c r="M993" s="25" t="n">
        <f aca="false">IF(L993="","",ROUND(N(E993)*L993,2))</f>
        <v>105</v>
      </c>
      <c r="N993" s="39" t="n">
        <f aca="false">IF(OR(A993="",B993=""),"",SUMIFS(tl_Hours,tl_StaffID,I993,tl_Date,A993))</f>
        <v>8</v>
      </c>
      <c r="O993" s="40" t="str">
        <f aca="false">IF(A993&amp;B993&amp;D993="","",IF(OR(A993="",B993="",D993="",E993=""),"Incomplete",IF(K993="Unknown","Unknown code",IF(AND(K993="Yes",C993=""),"Billable, needs client",IF(N993&gt;MaxDayHours,"Over "&amp;MaxDayHours&amp;" hours that day","")))))</f>
        <v/>
      </c>
    </row>
    <row r="994" customFormat="false" ht="15" hidden="false" customHeight="false" outlineLevel="0" collapsed="false">
      <c r="A994" s="31" t="n">
        <v>46258</v>
      </c>
      <c r="B994" s="32" t="s">
        <v>86</v>
      </c>
      <c r="C994" s="32" t="s">
        <v>112</v>
      </c>
      <c r="D994" s="33" t="s">
        <v>104</v>
      </c>
      <c r="E994" s="34" t="n">
        <v>2.25</v>
      </c>
      <c r="F994" s="32"/>
      <c r="G994" s="35" t="n">
        <f aca="false">IF(A994="","",A994+7-WEEKDAY(A994))</f>
        <v>46263</v>
      </c>
      <c r="H994" s="36" t="n">
        <f aca="false">IF(A994="","",DATE(YEAR(A994),MONTH(A994),1))</f>
        <v>46235</v>
      </c>
      <c r="I994" s="37" t="str">
        <f aca="false">IF(B994="","",IFERROR(INDEX(st_ID,MATCH(B994,st_Name,0)),"Unknown"))</f>
        <v>QP-01</v>
      </c>
      <c r="J994" s="37" t="str">
        <f aca="false">IF(C994="","",IFERROR(INDEX(cl_Code,MATCH(C994,cl_Name,0)),"Unknown"))</f>
        <v>PCA</v>
      </c>
      <c r="K994" s="37" t="str">
        <f aca="false">IF(D994="","",IFERROR(INDEX(rt_Billable,MATCH(D994,rt_Code,0)),"Unknown"))</f>
        <v>Yes</v>
      </c>
      <c r="L994" s="38" t="n">
        <f aca="false">IF(K994&lt;&gt;"Yes","",IFERROR(INDEX(cr_Rate,MATCH(J994&amp;"|"&amp;D994,cr_Key,0)),INDEX(rt_Rate,MATCH(D994,rt_Code,0))))</f>
        <v>70</v>
      </c>
      <c r="M994" s="25" t="n">
        <f aca="false">IF(L994="","",ROUND(N(E994)*L994,2))</f>
        <v>157.5</v>
      </c>
      <c r="N994" s="39" t="n">
        <f aca="false">IF(OR(A994="",B994=""),"",SUMIFS(tl_Hours,tl_StaffID,I994,tl_Date,A994))</f>
        <v>8</v>
      </c>
      <c r="O994" s="40" t="str">
        <f aca="false">IF(A994&amp;B994&amp;D994="","",IF(OR(A994="",B994="",D994="",E994=""),"Incomplete",IF(K994="Unknown","Unknown code",IF(AND(K994="Yes",C994=""),"Billable, needs client",IF(N994&gt;MaxDayHours,"Over "&amp;MaxDayHours&amp;" hours that day","")))))</f>
        <v/>
      </c>
    </row>
    <row r="995" customFormat="false" ht="15" hidden="false" customHeight="false" outlineLevel="0" collapsed="false">
      <c r="A995" s="31" t="n">
        <v>46258</v>
      </c>
      <c r="B995" s="32" t="s">
        <v>86</v>
      </c>
      <c r="C995" s="32" t="s">
        <v>112</v>
      </c>
      <c r="D995" s="33" t="s">
        <v>89</v>
      </c>
      <c r="E995" s="34" t="n">
        <v>0.75</v>
      </c>
      <c r="F995" s="32"/>
      <c r="G995" s="35" t="n">
        <f aca="false">IF(A995="","",A995+7-WEEKDAY(A995))</f>
        <v>46263</v>
      </c>
      <c r="H995" s="36" t="n">
        <f aca="false">IF(A995="","",DATE(YEAR(A995),MONTH(A995),1))</f>
        <v>46235</v>
      </c>
      <c r="I995" s="37" t="str">
        <f aca="false">IF(B995="","",IFERROR(INDEX(st_ID,MATCH(B995,st_Name,0)),"Unknown"))</f>
        <v>QP-01</v>
      </c>
      <c r="J995" s="37" t="str">
        <f aca="false">IF(C995="","",IFERROR(INDEX(cl_Code,MATCH(C995,cl_Name,0)),"Unknown"))</f>
        <v>PCA</v>
      </c>
      <c r="K995" s="37" t="str">
        <f aca="false">IF(D995="","",IFERROR(INDEX(rt_Billable,MATCH(D995,rt_Code,0)),"Unknown"))</f>
        <v>Yes</v>
      </c>
      <c r="L995" s="38" t="n">
        <f aca="false">IF(K995&lt;&gt;"Yes","",IFERROR(INDEX(cr_Rate,MATCH(J995&amp;"|"&amp;D995,cr_Key,0)),INDEX(rt_Rate,MATCH(D995,rt_Code,0))))</f>
        <v>95</v>
      </c>
      <c r="M995" s="25" t="n">
        <f aca="false">IF(L995="","",ROUND(N(E995)*L995,2))</f>
        <v>71.25</v>
      </c>
      <c r="N995" s="39" t="n">
        <f aca="false">IF(OR(A995="",B995=""),"",SUMIFS(tl_Hours,tl_StaffID,I995,tl_Date,A995))</f>
        <v>8</v>
      </c>
      <c r="O995" s="40" t="str">
        <f aca="false">IF(A995&amp;B995&amp;D995="","",IF(OR(A995="",B995="",D995="",E995=""),"Incomplete",IF(K995="Unknown","Unknown code",IF(AND(K995="Yes",C995=""),"Billable, needs client",IF(N995&gt;MaxDayHours,"Over "&amp;MaxDayHours&amp;" hours that day","")))))</f>
        <v/>
      </c>
    </row>
    <row r="996" customFormat="false" ht="15" hidden="false" customHeight="false" outlineLevel="0" collapsed="false">
      <c r="A996" s="31" t="n">
        <v>46258</v>
      </c>
      <c r="B996" s="32" t="s">
        <v>86</v>
      </c>
      <c r="C996" s="32"/>
      <c r="D996" s="33" t="s">
        <v>93</v>
      </c>
      <c r="E996" s="34" t="n">
        <v>0.5</v>
      </c>
      <c r="F996" s="32"/>
      <c r="G996" s="35" t="n">
        <f aca="false">IF(A996="","",A996+7-WEEKDAY(A996))</f>
        <v>46263</v>
      </c>
      <c r="H996" s="36" t="n">
        <f aca="false">IF(A996="","",DATE(YEAR(A996),MONTH(A996),1))</f>
        <v>46235</v>
      </c>
      <c r="I996" s="37" t="str">
        <f aca="false">IF(B996="","",IFERROR(INDEX(st_ID,MATCH(B996,st_Name,0)),"Unknown"))</f>
        <v>QP-01</v>
      </c>
      <c r="J996" s="37" t="str">
        <f aca="false">IF(C996="","",IFERROR(INDEX(cl_Code,MATCH(C996,cl_Name,0)),"Unknown"))</f>
        <v/>
      </c>
      <c r="K996" s="37" t="str">
        <f aca="false">IF(D996="","",IFERROR(INDEX(rt_Billable,MATCH(D996,rt_Code,0)),"Unknown"))</f>
        <v>No</v>
      </c>
      <c r="L996" s="38" t="str">
        <f aca="false">IF(K996&lt;&gt;"Yes","",IFERROR(INDEX(cr_Rate,MATCH(J996&amp;"|"&amp;D996,cr_Key,0)),INDEX(rt_Rate,MATCH(D996,rt_Code,0))))</f>
        <v/>
      </c>
      <c r="M996" s="25" t="str">
        <f aca="false">IF(L996="","",ROUND(N(E996)*L996,2))</f>
        <v/>
      </c>
      <c r="N996" s="39" t="n">
        <f aca="false">IF(OR(A996="",B996=""),"",SUMIFS(tl_Hours,tl_StaffID,I996,tl_Date,A996))</f>
        <v>8</v>
      </c>
      <c r="O996" s="40" t="str">
        <f aca="false">IF(A996&amp;B996&amp;D996="","",IF(OR(A996="",B996="",D996="",E996=""),"Incomplete",IF(K996="Unknown","Unknown code",IF(AND(K996="Yes",C996=""),"Billable, needs client",IF(N996&gt;MaxDayHours,"Over "&amp;MaxDayHours&amp;" hours that day","")))))</f>
        <v/>
      </c>
    </row>
    <row r="997" customFormat="false" ht="15" hidden="false" customHeight="false" outlineLevel="0" collapsed="false">
      <c r="A997" s="31" t="n">
        <v>46258</v>
      </c>
      <c r="B997" s="32" t="s">
        <v>86</v>
      </c>
      <c r="C997" s="32"/>
      <c r="D997" s="33" t="s">
        <v>96</v>
      </c>
      <c r="E997" s="34" t="n">
        <v>1.5</v>
      </c>
      <c r="F997" s="32"/>
      <c r="G997" s="35" t="n">
        <f aca="false">IF(A997="","",A997+7-WEEKDAY(A997))</f>
        <v>46263</v>
      </c>
      <c r="H997" s="36" t="n">
        <f aca="false">IF(A997="","",DATE(YEAR(A997),MONTH(A997),1))</f>
        <v>46235</v>
      </c>
      <c r="I997" s="37" t="str">
        <f aca="false">IF(B997="","",IFERROR(INDEX(st_ID,MATCH(B997,st_Name,0)),"Unknown"))</f>
        <v>QP-01</v>
      </c>
      <c r="J997" s="37" t="str">
        <f aca="false">IF(C997="","",IFERROR(INDEX(cl_Code,MATCH(C997,cl_Name,0)),"Unknown"))</f>
        <v/>
      </c>
      <c r="K997" s="37" t="str">
        <f aca="false">IF(D997="","",IFERROR(INDEX(rt_Billable,MATCH(D997,rt_Code,0)),"Unknown"))</f>
        <v>No</v>
      </c>
      <c r="L997" s="38" t="str">
        <f aca="false">IF(K997&lt;&gt;"Yes","",IFERROR(INDEX(cr_Rate,MATCH(J997&amp;"|"&amp;D997,cr_Key,0)),INDEX(rt_Rate,MATCH(D997,rt_Code,0))))</f>
        <v/>
      </c>
      <c r="M997" s="25" t="str">
        <f aca="false">IF(L997="","",ROUND(N(E997)*L997,2))</f>
        <v/>
      </c>
      <c r="N997" s="39" t="n">
        <f aca="false">IF(OR(A997="",B997=""),"",SUMIFS(tl_Hours,tl_StaffID,I997,tl_Date,A997))</f>
        <v>8</v>
      </c>
      <c r="O997" s="40" t="str">
        <f aca="false">IF(A997&amp;B997&amp;D997="","",IF(OR(A997="",B997="",D997="",E997=""),"Incomplete",IF(K997="Unknown","Unknown code",IF(AND(K997="Yes",C997=""),"Billable, needs client",IF(N997&gt;MaxDayHours,"Over "&amp;MaxDayHours&amp;" hours that day","")))))</f>
        <v/>
      </c>
    </row>
    <row r="998" customFormat="false" ht="15" hidden="false" customHeight="false" outlineLevel="0" collapsed="false">
      <c r="A998" s="31" t="n">
        <v>46258</v>
      </c>
      <c r="B998" s="32" t="s">
        <v>97</v>
      </c>
      <c r="C998" s="32" t="s">
        <v>87</v>
      </c>
      <c r="D998" s="33" t="s">
        <v>104</v>
      </c>
      <c r="E998" s="34" t="n">
        <v>3.75</v>
      </c>
      <c r="F998" s="32"/>
      <c r="G998" s="35" t="n">
        <f aca="false">IF(A998="","",A998+7-WEEKDAY(A998))</f>
        <v>46263</v>
      </c>
      <c r="H998" s="36" t="n">
        <f aca="false">IF(A998="","",DATE(YEAR(A998),MONTH(A998),1))</f>
        <v>46235</v>
      </c>
      <c r="I998" s="37" t="str">
        <f aca="false">IF(B998="","",IFERROR(INDEX(st_ID,MATCH(B998,st_Name,0)),"Unknown"))</f>
        <v>QP-02</v>
      </c>
      <c r="J998" s="37" t="str">
        <f aca="false">IF(C998="","",IFERROR(INDEX(cl_Code,MATCH(C998,cl_Name,0)),"Unknown"))</f>
        <v>HCS</v>
      </c>
      <c r="K998" s="37" t="str">
        <f aca="false">IF(D998="","",IFERROR(INDEX(rt_Billable,MATCH(D998,rt_Code,0)),"Unknown"))</f>
        <v>Yes</v>
      </c>
      <c r="L998" s="38" t="n">
        <f aca="false">IF(K998&lt;&gt;"Yes","",IFERROR(INDEX(cr_Rate,MATCH(J998&amp;"|"&amp;D998,cr_Key,0)),INDEX(rt_Rate,MATCH(D998,rt_Code,0))))</f>
        <v>62</v>
      </c>
      <c r="M998" s="25" t="n">
        <f aca="false">IF(L998="","",ROUND(N(E998)*L998,2))</f>
        <v>232.5</v>
      </c>
      <c r="N998" s="39" t="n">
        <f aca="false">IF(OR(A998="",B998=""),"",SUMIFS(tl_Hours,tl_StaffID,I998,tl_Date,A998))</f>
        <v>8</v>
      </c>
      <c r="O998" s="40" t="str">
        <f aca="false">IF(A998&amp;B998&amp;D998="","",IF(OR(A998="",B998="",D998="",E998=""),"Incomplete",IF(K998="Unknown","Unknown code",IF(AND(K998="Yes",C998=""),"Billable, needs client",IF(N998&gt;MaxDayHours,"Over "&amp;MaxDayHours&amp;" hours that day","")))))</f>
        <v/>
      </c>
    </row>
    <row r="999" customFormat="false" ht="15" hidden="false" customHeight="false" outlineLevel="0" collapsed="false">
      <c r="A999" s="31" t="n">
        <v>46258</v>
      </c>
      <c r="B999" s="32" t="s">
        <v>97</v>
      </c>
      <c r="C999" s="32" t="s">
        <v>87</v>
      </c>
      <c r="D999" s="33" t="s">
        <v>89</v>
      </c>
      <c r="E999" s="34" t="n">
        <v>2.25</v>
      </c>
      <c r="F999" s="32"/>
      <c r="G999" s="35" t="n">
        <f aca="false">IF(A999="","",A999+7-WEEKDAY(A999))</f>
        <v>46263</v>
      </c>
      <c r="H999" s="36" t="n">
        <f aca="false">IF(A999="","",DATE(YEAR(A999),MONTH(A999),1))</f>
        <v>46235</v>
      </c>
      <c r="I999" s="37" t="str">
        <f aca="false">IF(B999="","",IFERROR(INDEX(st_ID,MATCH(B999,st_Name,0)),"Unknown"))</f>
        <v>QP-02</v>
      </c>
      <c r="J999" s="37" t="str">
        <f aca="false">IF(C999="","",IFERROR(INDEX(cl_Code,MATCH(C999,cl_Name,0)),"Unknown"))</f>
        <v>HCS</v>
      </c>
      <c r="K999" s="37" t="str">
        <f aca="false">IF(D999="","",IFERROR(INDEX(rt_Billable,MATCH(D999,rt_Code,0)),"Unknown"))</f>
        <v>Yes</v>
      </c>
      <c r="L999" s="38" t="n">
        <f aca="false">IF(K999&lt;&gt;"Yes","",IFERROR(INDEX(cr_Rate,MATCH(J999&amp;"|"&amp;D999,cr_Key,0)),INDEX(rt_Rate,MATCH(D999,rt_Code,0))))</f>
        <v>88</v>
      </c>
      <c r="M999" s="25" t="n">
        <f aca="false">IF(L999="","",ROUND(N(E999)*L999,2))</f>
        <v>198</v>
      </c>
      <c r="N999" s="39" t="n">
        <f aca="false">IF(OR(A999="",B999=""),"",SUMIFS(tl_Hours,tl_StaffID,I999,tl_Date,A999))</f>
        <v>8</v>
      </c>
      <c r="O999" s="40" t="str">
        <f aca="false">IF(A999&amp;B999&amp;D999="","",IF(OR(A999="",B999="",D999="",E999=""),"Incomplete",IF(K999="Unknown","Unknown code",IF(AND(K999="Yes",C999=""),"Billable, needs client",IF(N999&gt;MaxDayHours,"Over "&amp;MaxDayHours&amp;" hours that day","")))))</f>
        <v/>
      </c>
    </row>
    <row r="1000" customFormat="false" ht="15" hidden="false" customHeight="false" outlineLevel="0" collapsed="false">
      <c r="A1000" s="31" t="n">
        <v>46258</v>
      </c>
      <c r="B1000" s="32" t="s">
        <v>97</v>
      </c>
      <c r="C1000" s="32"/>
      <c r="D1000" s="33" t="s">
        <v>96</v>
      </c>
      <c r="E1000" s="34" t="n">
        <v>2</v>
      </c>
      <c r="F1000" s="32"/>
      <c r="G1000" s="35" t="n">
        <f aca="false">IF(A1000="","",A1000+7-WEEKDAY(A1000))</f>
        <v>46263</v>
      </c>
      <c r="H1000" s="36" t="n">
        <f aca="false">IF(A1000="","",DATE(YEAR(A1000),MONTH(A1000),1))</f>
        <v>46235</v>
      </c>
      <c r="I1000" s="37" t="str">
        <f aca="false">IF(B1000="","",IFERROR(INDEX(st_ID,MATCH(B1000,st_Name,0)),"Unknown"))</f>
        <v>QP-02</v>
      </c>
      <c r="J1000" s="37" t="str">
        <f aca="false">IF(C1000="","",IFERROR(INDEX(cl_Code,MATCH(C1000,cl_Name,0)),"Unknown"))</f>
        <v/>
      </c>
      <c r="K1000" s="37" t="str">
        <f aca="false">IF(D1000="","",IFERROR(INDEX(rt_Billable,MATCH(D1000,rt_Code,0)),"Unknown"))</f>
        <v>No</v>
      </c>
      <c r="L1000" s="38" t="str">
        <f aca="false">IF(K1000&lt;&gt;"Yes","",IFERROR(INDEX(cr_Rate,MATCH(J1000&amp;"|"&amp;D1000,cr_Key,0)),INDEX(rt_Rate,MATCH(D1000,rt_Code,0))))</f>
        <v/>
      </c>
      <c r="M1000" s="25" t="str">
        <f aca="false">IF(L1000="","",ROUND(N(E1000)*L1000,2))</f>
        <v/>
      </c>
      <c r="N1000" s="39" t="n">
        <f aca="false">IF(OR(A1000="",B1000=""),"",SUMIFS(tl_Hours,tl_StaffID,I1000,tl_Date,A1000))</f>
        <v>8</v>
      </c>
      <c r="O1000" s="40" t="str">
        <f aca="false">IF(A1000&amp;B1000&amp;D1000="","",IF(OR(A1000="",B1000="",D1000="",E1000=""),"Incomplete",IF(K1000="Unknown","Unknown code",IF(AND(K1000="Yes",C1000=""),"Billable, needs client",IF(N1000&gt;MaxDayHours,"Over "&amp;MaxDayHours&amp;" hours that day","")))))</f>
        <v/>
      </c>
    </row>
    <row r="1001" customFormat="false" ht="15" hidden="false" customHeight="false" outlineLevel="0" collapsed="false">
      <c r="A1001" s="31" t="n">
        <v>46258</v>
      </c>
      <c r="B1001" s="32" t="s">
        <v>101</v>
      </c>
      <c r="C1001" s="32" t="s">
        <v>102</v>
      </c>
      <c r="D1001" s="33" t="s">
        <v>88</v>
      </c>
      <c r="E1001" s="34" t="n">
        <v>3.25</v>
      </c>
      <c r="F1001" s="32"/>
      <c r="G1001" s="35" t="n">
        <f aca="false">IF(A1001="","",A1001+7-WEEKDAY(A1001))</f>
        <v>46263</v>
      </c>
      <c r="H1001" s="36" t="n">
        <f aca="false">IF(A1001="","",DATE(YEAR(A1001),MONTH(A1001),1))</f>
        <v>46235</v>
      </c>
      <c r="I1001" s="37" t="str">
        <f aca="false">IF(B1001="","",IFERROR(INDEX(st_ID,MATCH(B1001,st_Name,0)),"Unknown"))</f>
        <v>QP-04</v>
      </c>
      <c r="J1001" s="37" t="str">
        <f aca="false">IF(C1001="","",IFERROR(INDEX(cl_Code,MATCH(C1001,cl_Name,0)),"Unknown"))</f>
        <v>CLH</v>
      </c>
      <c r="K1001" s="37" t="str">
        <f aca="false">IF(D1001="","",IFERROR(INDEX(rt_Billable,MATCH(D1001,rt_Code,0)),"Unknown"))</f>
        <v>Yes</v>
      </c>
      <c r="L1001" s="38" t="n">
        <f aca="false">IF(K1001&lt;&gt;"Yes","",IFERROR(INDEX(cr_Rate,MATCH(J1001&amp;"|"&amp;D1001,cr_Key,0)),INDEX(rt_Rate,MATCH(D1001,rt_Code,0))))</f>
        <v>110</v>
      </c>
      <c r="M1001" s="25" t="n">
        <f aca="false">IF(L1001="","",ROUND(N(E1001)*L1001,2))</f>
        <v>357.5</v>
      </c>
      <c r="N1001" s="39" t="n">
        <f aca="false">IF(OR(A1001="",B1001=""),"",SUMIFS(tl_Hours,tl_StaffID,I1001,tl_Date,A1001))</f>
        <v>8</v>
      </c>
      <c r="O1001" s="40" t="str">
        <f aca="false">IF(A1001&amp;B1001&amp;D1001="","",IF(OR(A1001="",B1001="",D1001="",E1001=""),"Incomplete",IF(K1001="Unknown","Unknown code",IF(AND(K1001="Yes",C1001=""),"Billable, needs client",IF(N1001&gt;MaxDayHours,"Over "&amp;MaxDayHours&amp;" hours that day","")))))</f>
        <v/>
      </c>
    </row>
    <row r="1002" customFormat="false" ht="15" hidden="false" customHeight="false" outlineLevel="0" collapsed="false">
      <c r="A1002" s="31" t="n">
        <v>46258</v>
      </c>
      <c r="B1002" s="32" t="s">
        <v>101</v>
      </c>
      <c r="C1002" s="32" t="s">
        <v>102</v>
      </c>
      <c r="D1002" s="33" t="s">
        <v>104</v>
      </c>
      <c r="E1002" s="34" t="n">
        <v>2.25</v>
      </c>
      <c r="F1002" s="32"/>
      <c r="G1002" s="35" t="n">
        <f aca="false">IF(A1002="","",A1002+7-WEEKDAY(A1002))</f>
        <v>46263</v>
      </c>
      <c r="H1002" s="36" t="n">
        <f aca="false">IF(A1002="","",DATE(YEAR(A1002),MONTH(A1002),1))</f>
        <v>46235</v>
      </c>
      <c r="I1002" s="37" t="str">
        <f aca="false">IF(B1002="","",IFERROR(INDEX(st_ID,MATCH(B1002,st_Name,0)),"Unknown"))</f>
        <v>QP-04</v>
      </c>
      <c r="J1002" s="37" t="str">
        <f aca="false">IF(C1002="","",IFERROR(INDEX(cl_Code,MATCH(C1002,cl_Name,0)),"Unknown"))</f>
        <v>CLH</v>
      </c>
      <c r="K1002" s="37" t="str">
        <f aca="false">IF(D1002="","",IFERROR(INDEX(rt_Billable,MATCH(D1002,rt_Code,0)),"Unknown"))</f>
        <v>Yes</v>
      </c>
      <c r="L1002" s="38" t="n">
        <f aca="false">IF(K1002&lt;&gt;"Yes","",IFERROR(INDEX(cr_Rate,MATCH(J1002&amp;"|"&amp;D1002,cr_Key,0)),INDEX(rt_Rate,MATCH(D1002,rt_Code,0))))</f>
        <v>65</v>
      </c>
      <c r="M1002" s="25" t="n">
        <f aca="false">IF(L1002="","",ROUND(N(E1002)*L1002,2))</f>
        <v>146.25</v>
      </c>
      <c r="N1002" s="39" t="n">
        <f aca="false">IF(OR(A1002="",B1002=""),"",SUMIFS(tl_Hours,tl_StaffID,I1002,tl_Date,A1002))</f>
        <v>8</v>
      </c>
      <c r="O1002" s="40" t="str">
        <f aca="false">IF(A1002&amp;B1002&amp;D1002="","",IF(OR(A1002="",B1002="",D1002="",E1002=""),"Incomplete",IF(K1002="Unknown","Unknown code",IF(AND(K1002="Yes",C1002=""),"Billable, needs client",IF(N1002&gt;MaxDayHours,"Over "&amp;MaxDayHours&amp;" hours that day","")))))</f>
        <v/>
      </c>
    </row>
    <row r="1003" customFormat="false" ht="15" hidden="false" customHeight="false" outlineLevel="0" collapsed="false">
      <c r="A1003" s="31" t="n">
        <v>46258</v>
      </c>
      <c r="B1003" s="32" t="s">
        <v>101</v>
      </c>
      <c r="C1003" s="32"/>
      <c r="D1003" s="33" t="s">
        <v>96</v>
      </c>
      <c r="E1003" s="34" t="n">
        <v>2.5</v>
      </c>
      <c r="F1003" s="32"/>
      <c r="G1003" s="35" t="n">
        <f aca="false">IF(A1003="","",A1003+7-WEEKDAY(A1003))</f>
        <v>46263</v>
      </c>
      <c r="H1003" s="36" t="n">
        <f aca="false">IF(A1003="","",DATE(YEAR(A1003),MONTH(A1003),1))</f>
        <v>46235</v>
      </c>
      <c r="I1003" s="37" t="str">
        <f aca="false">IF(B1003="","",IFERROR(INDEX(st_ID,MATCH(B1003,st_Name,0)),"Unknown"))</f>
        <v>QP-04</v>
      </c>
      <c r="J1003" s="37" t="str">
        <f aca="false">IF(C1003="","",IFERROR(INDEX(cl_Code,MATCH(C1003,cl_Name,0)),"Unknown"))</f>
        <v/>
      </c>
      <c r="K1003" s="37" t="str">
        <f aca="false">IF(D1003="","",IFERROR(INDEX(rt_Billable,MATCH(D1003,rt_Code,0)),"Unknown"))</f>
        <v>No</v>
      </c>
      <c r="L1003" s="38" t="str">
        <f aca="false">IF(K1003&lt;&gt;"Yes","",IFERROR(INDEX(cr_Rate,MATCH(J1003&amp;"|"&amp;D1003,cr_Key,0)),INDEX(rt_Rate,MATCH(D1003,rt_Code,0))))</f>
        <v/>
      </c>
      <c r="M1003" s="25" t="str">
        <f aca="false">IF(L1003="","",ROUND(N(E1003)*L1003,2))</f>
        <v/>
      </c>
      <c r="N1003" s="39" t="n">
        <f aca="false">IF(OR(A1003="",B1003=""),"",SUMIFS(tl_Hours,tl_StaffID,I1003,tl_Date,A1003))</f>
        <v>8</v>
      </c>
      <c r="O1003" s="40" t="str">
        <f aca="false">IF(A1003&amp;B1003&amp;D1003="","",IF(OR(A1003="",B1003="",D1003="",E1003=""),"Incomplete",IF(K1003="Unknown","Unknown code",IF(AND(K1003="Yes",C1003=""),"Billable, needs client",IF(N1003&gt;MaxDayHours,"Over "&amp;MaxDayHours&amp;" hours that day","")))))</f>
        <v/>
      </c>
    </row>
    <row r="1004" customFormat="false" ht="15" hidden="false" customHeight="false" outlineLevel="0" collapsed="false">
      <c r="A1004" s="31" t="n">
        <v>46258</v>
      </c>
      <c r="B1004" s="32" t="s">
        <v>103</v>
      </c>
      <c r="C1004" s="32" t="s">
        <v>111</v>
      </c>
      <c r="D1004" s="33" t="s">
        <v>88</v>
      </c>
      <c r="E1004" s="34" t="n">
        <v>2.25</v>
      </c>
      <c r="F1004" s="32"/>
      <c r="G1004" s="35" t="n">
        <f aca="false">IF(A1004="","",A1004+7-WEEKDAY(A1004))</f>
        <v>46263</v>
      </c>
      <c r="H1004" s="36" t="n">
        <f aca="false">IF(A1004="","",DATE(YEAR(A1004),MONTH(A1004),1))</f>
        <v>46235</v>
      </c>
      <c r="I1004" s="37" t="str">
        <f aca="false">IF(B1004="","",IFERROR(INDEX(st_ID,MATCH(B1004,st_Name,0)),"Unknown"))</f>
        <v>QP-05</v>
      </c>
      <c r="J1004" s="37" t="str">
        <f aca="false">IF(C1004="","",IFERROR(INDEX(cl_Code,MATCH(C1004,cl_Name,0)),"Unknown"))</f>
        <v>WMS</v>
      </c>
      <c r="K1004" s="37" t="str">
        <f aca="false">IF(D1004="","",IFERROR(INDEX(rt_Billable,MATCH(D1004,rt_Code,0)),"Unknown"))</f>
        <v>Yes</v>
      </c>
      <c r="L1004" s="38" t="n">
        <f aca="false">IF(K1004&lt;&gt;"Yes","",IFERROR(INDEX(cr_Rate,MATCH(J1004&amp;"|"&amp;D1004,cr_Key,0)),INDEX(rt_Rate,MATCH(D1004,rt_Code,0))))</f>
        <v>110</v>
      </c>
      <c r="M1004" s="25" t="n">
        <f aca="false">IF(L1004="","",ROUND(N(E1004)*L1004,2))</f>
        <v>247.5</v>
      </c>
      <c r="N1004" s="39" t="n">
        <f aca="false">IF(OR(A1004="",B1004=""),"",SUMIFS(tl_Hours,tl_StaffID,I1004,tl_Date,A1004))</f>
        <v>8</v>
      </c>
      <c r="O1004" s="40" t="str">
        <f aca="false">IF(A1004&amp;B1004&amp;D1004="","",IF(OR(A1004="",B1004="",D1004="",E1004=""),"Incomplete",IF(K1004="Unknown","Unknown code",IF(AND(K1004="Yes",C1004=""),"Billable, needs client",IF(N1004&gt;MaxDayHours,"Over "&amp;MaxDayHours&amp;" hours that day","")))))</f>
        <v/>
      </c>
    </row>
    <row r="1005" customFormat="false" ht="15" hidden="false" customHeight="false" outlineLevel="0" collapsed="false">
      <c r="A1005" s="31" t="n">
        <v>46258</v>
      </c>
      <c r="B1005" s="32" t="s">
        <v>103</v>
      </c>
      <c r="C1005" s="32" t="s">
        <v>111</v>
      </c>
      <c r="D1005" s="33" t="s">
        <v>104</v>
      </c>
      <c r="E1005" s="34" t="n">
        <v>0.25</v>
      </c>
      <c r="F1005" s="32"/>
      <c r="G1005" s="35" t="n">
        <f aca="false">IF(A1005="","",A1005+7-WEEKDAY(A1005))</f>
        <v>46263</v>
      </c>
      <c r="H1005" s="36" t="n">
        <f aca="false">IF(A1005="","",DATE(YEAR(A1005),MONTH(A1005),1))</f>
        <v>46235</v>
      </c>
      <c r="I1005" s="37" t="str">
        <f aca="false">IF(B1005="","",IFERROR(INDEX(st_ID,MATCH(B1005,st_Name,0)),"Unknown"))</f>
        <v>QP-05</v>
      </c>
      <c r="J1005" s="37" t="str">
        <f aca="false">IF(C1005="","",IFERROR(INDEX(cl_Code,MATCH(C1005,cl_Name,0)),"Unknown"))</f>
        <v>WMS</v>
      </c>
      <c r="K1005" s="37" t="str">
        <f aca="false">IF(D1005="","",IFERROR(INDEX(rt_Billable,MATCH(D1005,rt_Code,0)),"Unknown"))</f>
        <v>Yes</v>
      </c>
      <c r="L1005" s="38" t="n">
        <f aca="false">IF(K1005&lt;&gt;"Yes","",IFERROR(INDEX(cr_Rate,MATCH(J1005&amp;"|"&amp;D1005,cr_Key,0)),INDEX(rt_Rate,MATCH(D1005,rt_Code,0))))</f>
        <v>70</v>
      </c>
      <c r="M1005" s="25" t="n">
        <f aca="false">IF(L1005="","",ROUND(N(E1005)*L1005,2))</f>
        <v>17.5</v>
      </c>
      <c r="N1005" s="39" t="n">
        <f aca="false">IF(OR(A1005="",B1005=""),"",SUMIFS(tl_Hours,tl_StaffID,I1005,tl_Date,A1005))</f>
        <v>8</v>
      </c>
      <c r="O1005" s="40" t="str">
        <f aca="false">IF(A1005&amp;B1005&amp;D1005="","",IF(OR(A1005="",B1005="",D1005="",E1005=""),"Incomplete",IF(K1005="Unknown","Unknown code",IF(AND(K1005="Yes",C1005=""),"Billable, needs client",IF(N1005&gt;MaxDayHours,"Over "&amp;MaxDayHours&amp;" hours that day","")))))</f>
        <v/>
      </c>
    </row>
    <row r="1006" customFormat="false" ht="15" hidden="false" customHeight="false" outlineLevel="0" collapsed="false">
      <c r="A1006" s="31" t="n">
        <v>46258</v>
      </c>
      <c r="B1006" s="32" t="s">
        <v>103</v>
      </c>
      <c r="C1006" s="32" t="s">
        <v>87</v>
      </c>
      <c r="D1006" s="33" t="s">
        <v>88</v>
      </c>
      <c r="E1006" s="34" t="n">
        <v>2.25</v>
      </c>
      <c r="F1006" s="32"/>
      <c r="G1006" s="35" t="n">
        <f aca="false">IF(A1006="","",A1006+7-WEEKDAY(A1006))</f>
        <v>46263</v>
      </c>
      <c r="H1006" s="36" t="n">
        <f aca="false">IF(A1006="","",DATE(YEAR(A1006),MONTH(A1006),1))</f>
        <v>46235</v>
      </c>
      <c r="I1006" s="37" t="str">
        <f aca="false">IF(B1006="","",IFERROR(INDEX(st_ID,MATCH(B1006,st_Name,0)),"Unknown"))</f>
        <v>QP-05</v>
      </c>
      <c r="J1006" s="37" t="str">
        <f aca="false">IF(C1006="","",IFERROR(INDEX(cl_Code,MATCH(C1006,cl_Name,0)),"Unknown"))</f>
        <v>HCS</v>
      </c>
      <c r="K1006" s="37" t="str">
        <f aca="false">IF(D1006="","",IFERROR(INDEX(rt_Billable,MATCH(D1006,rt_Code,0)),"Unknown"))</f>
        <v>Yes</v>
      </c>
      <c r="L1006" s="38" t="n">
        <f aca="false">IF(K1006&lt;&gt;"Yes","",IFERROR(INDEX(cr_Rate,MATCH(J1006&amp;"|"&amp;D1006,cr_Key,0)),INDEX(rt_Rate,MATCH(D1006,rt_Code,0))))</f>
        <v>98</v>
      </c>
      <c r="M1006" s="25" t="n">
        <f aca="false">IF(L1006="","",ROUND(N(E1006)*L1006,2))</f>
        <v>220.5</v>
      </c>
      <c r="N1006" s="39" t="n">
        <f aca="false">IF(OR(A1006="",B1006=""),"",SUMIFS(tl_Hours,tl_StaffID,I1006,tl_Date,A1006))</f>
        <v>8</v>
      </c>
      <c r="O1006" s="40" t="str">
        <f aca="false">IF(A1006&amp;B1006&amp;D1006="","",IF(OR(A1006="",B1006="",D1006="",E1006=""),"Incomplete",IF(K1006="Unknown","Unknown code",IF(AND(K1006="Yes",C1006=""),"Billable, needs client",IF(N1006&gt;MaxDayHours,"Over "&amp;MaxDayHours&amp;" hours that day","")))))</f>
        <v/>
      </c>
    </row>
    <row r="1007" customFormat="false" ht="15" hidden="false" customHeight="false" outlineLevel="0" collapsed="false">
      <c r="A1007" s="31" t="n">
        <v>46258</v>
      </c>
      <c r="B1007" s="32" t="s">
        <v>103</v>
      </c>
      <c r="C1007" s="32" t="s">
        <v>87</v>
      </c>
      <c r="D1007" s="33" t="s">
        <v>104</v>
      </c>
      <c r="E1007" s="34" t="n">
        <v>0.25</v>
      </c>
      <c r="F1007" s="32"/>
      <c r="G1007" s="35" t="n">
        <f aca="false">IF(A1007="","",A1007+7-WEEKDAY(A1007))</f>
        <v>46263</v>
      </c>
      <c r="H1007" s="36" t="n">
        <f aca="false">IF(A1007="","",DATE(YEAR(A1007),MONTH(A1007),1))</f>
        <v>46235</v>
      </c>
      <c r="I1007" s="37" t="str">
        <f aca="false">IF(B1007="","",IFERROR(INDEX(st_ID,MATCH(B1007,st_Name,0)),"Unknown"))</f>
        <v>QP-05</v>
      </c>
      <c r="J1007" s="37" t="str">
        <f aca="false">IF(C1007="","",IFERROR(INDEX(cl_Code,MATCH(C1007,cl_Name,0)),"Unknown"))</f>
        <v>HCS</v>
      </c>
      <c r="K1007" s="37" t="str">
        <f aca="false">IF(D1007="","",IFERROR(INDEX(rt_Billable,MATCH(D1007,rt_Code,0)),"Unknown"))</f>
        <v>Yes</v>
      </c>
      <c r="L1007" s="38" t="n">
        <f aca="false">IF(K1007&lt;&gt;"Yes","",IFERROR(INDEX(cr_Rate,MATCH(J1007&amp;"|"&amp;D1007,cr_Key,0)),INDEX(rt_Rate,MATCH(D1007,rt_Code,0))))</f>
        <v>62</v>
      </c>
      <c r="M1007" s="25" t="n">
        <f aca="false">IF(L1007="","",ROUND(N(E1007)*L1007,2))</f>
        <v>15.5</v>
      </c>
      <c r="N1007" s="39" t="n">
        <f aca="false">IF(OR(A1007="",B1007=""),"",SUMIFS(tl_Hours,tl_StaffID,I1007,tl_Date,A1007))</f>
        <v>8</v>
      </c>
      <c r="O1007" s="40" t="str">
        <f aca="false">IF(A1007&amp;B1007&amp;D1007="","",IF(OR(A1007="",B1007="",D1007="",E1007=""),"Incomplete",IF(K1007="Unknown","Unknown code",IF(AND(K1007="Yes",C1007=""),"Billable, needs client",IF(N1007&gt;MaxDayHours,"Over "&amp;MaxDayHours&amp;" hours that day","")))))</f>
        <v/>
      </c>
    </row>
    <row r="1008" customFormat="false" ht="15" hidden="false" customHeight="false" outlineLevel="0" collapsed="false">
      <c r="A1008" s="31" t="n">
        <v>46258</v>
      </c>
      <c r="B1008" s="32" t="s">
        <v>103</v>
      </c>
      <c r="C1008" s="32"/>
      <c r="D1008" s="33" t="s">
        <v>93</v>
      </c>
      <c r="E1008" s="34" t="n">
        <v>0.5</v>
      </c>
      <c r="F1008" s="32"/>
      <c r="G1008" s="35" t="n">
        <f aca="false">IF(A1008="","",A1008+7-WEEKDAY(A1008))</f>
        <v>46263</v>
      </c>
      <c r="H1008" s="36" t="n">
        <f aca="false">IF(A1008="","",DATE(YEAR(A1008),MONTH(A1008),1))</f>
        <v>46235</v>
      </c>
      <c r="I1008" s="37" t="str">
        <f aca="false">IF(B1008="","",IFERROR(INDEX(st_ID,MATCH(B1008,st_Name,0)),"Unknown"))</f>
        <v>QP-05</v>
      </c>
      <c r="J1008" s="37" t="str">
        <f aca="false">IF(C1008="","",IFERROR(INDEX(cl_Code,MATCH(C1008,cl_Name,0)),"Unknown"))</f>
        <v/>
      </c>
      <c r="K1008" s="37" t="str">
        <f aca="false">IF(D1008="","",IFERROR(INDEX(rt_Billable,MATCH(D1008,rt_Code,0)),"Unknown"))</f>
        <v>No</v>
      </c>
      <c r="L1008" s="38" t="str">
        <f aca="false">IF(K1008&lt;&gt;"Yes","",IFERROR(INDEX(cr_Rate,MATCH(J1008&amp;"|"&amp;D1008,cr_Key,0)),INDEX(rt_Rate,MATCH(D1008,rt_Code,0))))</f>
        <v/>
      </c>
      <c r="M1008" s="25" t="str">
        <f aca="false">IF(L1008="","",ROUND(N(E1008)*L1008,2))</f>
        <v/>
      </c>
      <c r="N1008" s="39" t="n">
        <f aca="false">IF(OR(A1008="",B1008=""),"",SUMIFS(tl_Hours,tl_StaffID,I1008,tl_Date,A1008))</f>
        <v>8</v>
      </c>
      <c r="O1008" s="40" t="str">
        <f aca="false">IF(A1008&amp;B1008&amp;D1008="","",IF(OR(A1008="",B1008="",D1008="",E1008=""),"Incomplete",IF(K1008="Unknown","Unknown code",IF(AND(K1008="Yes",C1008=""),"Billable, needs client",IF(N1008&gt;MaxDayHours,"Over "&amp;MaxDayHours&amp;" hours that day","")))))</f>
        <v/>
      </c>
    </row>
    <row r="1009" customFormat="false" ht="15" hidden="false" customHeight="false" outlineLevel="0" collapsed="false">
      <c r="A1009" s="31" t="n">
        <v>46258</v>
      </c>
      <c r="B1009" s="32" t="s">
        <v>103</v>
      </c>
      <c r="C1009" s="32"/>
      <c r="D1009" s="33" t="s">
        <v>96</v>
      </c>
      <c r="E1009" s="34" t="n">
        <v>2.5</v>
      </c>
      <c r="F1009" s="32"/>
      <c r="G1009" s="35" t="n">
        <f aca="false">IF(A1009="","",A1009+7-WEEKDAY(A1009))</f>
        <v>46263</v>
      </c>
      <c r="H1009" s="36" t="n">
        <f aca="false">IF(A1009="","",DATE(YEAR(A1009),MONTH(A1009),1))</f>
        <v>46235</v>
      </c>
      <c r="I1009" s="37" t="str">
        <f aca="false">IF(B1009="","",IFERROR(INDEX(st_ID,MATCH(B1009,st_Name,0)),"Unknown"))</f>
        <v>QP-05</v>
      </c>
      <c r="J1009" s="37" t="str">
        <f aca="false">IF(C1009="","",IFERROR(INDEX(cl_Code,MATCH(C1009,cl_Name,0)),"Unknown"))</f>
        <v/>
      </c>
      <c r="K1009" s="37" t="str">
        <f aca="false">IF(D1009="","",IFERROR(INDEX(rt_Billable,MATCH(D1009,rt_Code,0)),"Unknown"))</f>
        <v>No</v>
      </c>
      <c r="L1009" s="38" t="str">
        <f aca="false">IF(K1009&lt;&gt;"Yes","",IFERROR(INDEX(cr_Rate,MATCH(J1009&amp;"|"&amp;D1009,cr_Key,0)),INDEX(rt_Rate,MATCH(D1009,rt_Code,0))))</f>
        <v/>
      </c>
      <c r="M1009" s="25" t="str">
        <f aca="false">IF(L1009="","",ROUND(N(E1009)*L1009,2))</f>
        <v/>
      </c>
      <c r="N1009" s="39" t="n">
        <f aca="false">IF(OR(A1009="",B1009=""),"",SUMIFS(tl_Hours,tl_StaffID,I1009,tl_Date,A1009))</f>
        <v>8</v>
      </c>
      <c r="O1009" s="40" t="str">
        <f aca="false">IF(A1009&amp;B1009&amp;D1009="","",IF(OR(A1009="",B1009="",D1009="",E1009=""),"Incomplete",IF(K1009="Unknown","Unknown code",IF(AND(K1009="Yes",C1009=""),"Billable, needs client",IF(N1009&gt;MaxDayHours,"Over "&amp;MaxDayHours&amp;" hours that day","")))))</f>
        <v/>
      </c>
    </row>
    <row r="1010" customFormat="false" ht="15" hidden="false" customHeight="false" outlineLevel="0" collapsed="false">
      <c r="A1010" s="31" t="n">
        <v>46258</v>
      </c>
      <c r="B1010" s="32" t="s">
        <v>105</v>
      </c>
      <c r="C1010" s="32" t="s">
        <v>87</v>
      </c>
      <c r="D1010" s="33" t="s">
        <v>88</v>
      </c>
      <c r="E1010" s="34" t="n">
        <v>3.5</v>
      </c>
      <c r="F1010" s="32"/>
      <c r="G1010" s="35" t="n">
        <f aca="false">IF(A1010="","",A1010+7-WEEKDAY(A1010))</f>
        <v>46263</v>
      </c>
      <c r="H1010" s="36" t="n">
        <f aca="false">IF(A1010="","",DATE(YEAR(A1010),MONTH(A1010),1))</f>
        <v>46235</v>
      </c>
      <c r="I1010" s="37" t="str">
        <f aca="false">IF(B1010="","",IFERROR(INDEX(st_ID,MATCH(B1010,st_Name,0)),"Unknown"))</f>
        <v>QP-06</v>
      </c>
      <c r="J1010" s="37" t="str">
        <f aca="false">IF(C1010="","",IFERROR(INDEX(cl_Code,MATCH(C1010,cl_Name,0)),"Unknown"))</f>
        <v>HCS</v>
      </c>
      <c r="K1010" s="37" t="str">
        <f aca="false">IF(D1010="","",IFERROR(INDEX(rt_Billable,MATCH(D1010,rt_Code,0)),"Unknown"))</f>
        <v>Yes</v>
      </c>
      <c r="L1010" s="38" t="n">
        <f aca="false">IF(K1010&lt;&gt;"Yes","",IFERROR(INDEX(cr_Rate,MATCH(J1010&amp;"|"&amp;D1010,cr_Key,0)),INDEX(rt_Rate,MATCH(D1010,rt_Code,0))))</f>
        <v>98</v>
      </c>
      <c r="M1010" s="25" t="n">
        <f aca="false">IF(L1010="","",ROUND(N(E1010)*L1010,2))</f>
        <v>343</v>
      </c>
      <c r="N1010" s="39" t="n">
        <f aca="false">IF(OR(A1010="",B1010=""),"",SUMIFS(tl_Hours,tl_StaffID,I1010,tl_Date,A1010))</f>
        <v>8</v>
      </c>
      <c r="O1010" s="40" t="str">
        <f aca="false">IF(A1010&amp;B1010&amp;D1010="","",IF(OR(A1010="",B1010="",D1010="",E1010=""),"Incomplete",IF(K1010="Unknown","Unknown code",IF(AND(K1010="Yes",C1010=""),"Billable, needs client",IF(N1010&gt;MaxDayHours,"Over "&amp;MaxDayHours&amp;" hours that day","")))))</f>
        <v/>
      </c>
    </row>
    <row r="1011" customFormat="false" ht="15" hidden="false" customHeight="false" outlineLevel="0" collapsed="false">
      <c r="A1011" s="31" t="n">
        <v>46258</v>
      </c>
      <c r="B1011" s="32" t="s">
        <v>105</v>
      </c>
      <c r="C1011" s="32" t="s">
        <v>87</v>
      </c>
      <c r="D1011" s="33" t="s">
        <v>89</v>
      </c>
      <c r="E1011" s="34" t="n">
        <v>2</v>
      </c>
      <c r="F1011" s="32"/>
      <c r="G1011" s="35" t="n">
        <f aca="false">IF(A1011="","",A1011+7-WEEKDAY(A1011))</f>
        <v>46263</v>
      </c>
      <c r="H1011" s="36" t="n">
        <f aca="false">IF(A1011="","",DATE(YEAR(A1011),MONTH(A1011),1))</f>
        <v>46235</v>
      </c>
      <c r="I1011" s="37" t="str">
        <f aca="false">IF(B1011="","",IFERROR(INDEX(st_ID,MATCH(B1011,st_Name,0)),"Unknown"))</f>
        <v>QP-06</v>
      </c>
      <c r="J1011" s="37" t="str">
        <f aca="false">IF(C1011="","",IFERROR(INDEX(cl_Code,MATCH(C1011,cl_Name,0)),"Unknown"))</f>
        <v>HCS</v>
      </c>
      <c r="K1011" s="37" t="str">
        <f aca="false">IF(D1011="","",IFERROR(INDEX(rt_Billable,MATCH(D1011,rt_Code,0)),"Unknown"))</f>
        <v>Yes</v>
      </c>
      <c r="L1011" s="38" t="n">
        <f aca="false">IF(K1011&lt;&gt;"Yes","",IFERROR(INDEX(cr_Rate,MATCH(J1011&amp;"|"&amp;D1011,cr_Key,0)),INDEX(rt_Rate,MATCH(D1011,rt_Code,0))))</f>
        <v>88</v>
      </c>
      <c r="M1011" s="25" t="n">
        <f aca="false">IF(L1011="","",ROUND(N(E1011)*L1011,2))</f>
        <v>176</v>
      </c>
      <c r="N1011" s="39" t="n">
        <f aca="false">IF(OR(A1011="",B1011=""),"",SUMIFS(tl_Hours,tl_StaffID,I1011,tl_Date,A1011))</f>
        <v>8</v>
      </c>
      <c r="O1011" s="40" t="str">
        <f aca="false">IF(A1011&amp;B1011&amp;D1011="","",IF(OR(A1011="",B1011="",D1011="",E1011=""),"Incomplete",IF(K1011="Unknown","Unknown code",IF(AND(K1011="Yes",C1011=""),"Billable, needs client",IF(N1011&gt;MaxDayHours,"Over "&amp;MaxDayHours&amp;" hours that day","")))))</f>
        <v/>
      </c>
    </row>
    <row r="1012" customFormat="false" ht="15" hidden="false" customHeight="false" outlineLevel="0" collapsed="false">
      <c r="A1012" s="31" t="n">
        <v>46258</v>
      </c>
      <c r="B1012" s="32" t="s">
        <v>105</v>
      </c>
      <c r="C1012" s="32"/>
      <c r="D1012" s="33" t="s">
        <v>96</v>
      </c>
      <c r="E1012" s="34" t="n">
        <v>2.5</v>
      </c>
      <c r="F1012" s="32"/>
      <c r="G1012" s="35" t="n">
        <f aca="false">IF(A1012="","",A1012+7-WEEKDAY(A1012))</f>
        <v>46263</v>
      </c>
      <c r="H1012" s="36" t="n">
        <f aca="false">IF(A1012="","",DATE(YEAR(A1012),MONTH(A1012),1))</f>
        <v>46235</v>
      </c>
      <c r="I1012" s="37" t="str">
        <f aca="false">IF(B1012="","",IFERROR(INDEX(st_ID,MATCH(B1012,st_Name,0)),"Unknown"))</f>
        <v>QP-06</v>
      </c>
      <c r="J1012" s="37" t="str">
        <f aca="false">IF(C1012="","",IFERROR(INDEX(cl_Code,MATCH(C1012,cl_Name,0)),"Unknown"))</f>
        <v/>
      </c>
      <c r="K1012" s="37" t="str">
        <f aca="false">IF(D1012="","",IFERROR(INDEX(rt_Billable,MATCH(D1012,rt_Code,0)),"Unknown"))</f>
        <v>No</v>
      </c>
      <c r="L1012" s="38" t="str">
        <f aca="false">IF(K1012&lt;&gt;"Yes","",IFERROR(INDEX(cr_Rate,MATCH(J1012&amp;"|"&amp;D1012,cr_Key,0)),INDEX(rt_Rate,MATCH(D1012,rt_Code,0))))</f>
        <v/>
      </c>
      <c r="M1012" s="25" t="str">
        <f aca="false">IF(L1012="","",ROUND(N(E1012)*L1012,2))</f>
        <v/>
      </c>
      <c r="N1012" s="39" t="n">
        <f aca="false">IF(OR(A1012="",B1012=""),"",SUMIFS(tl_Hours,tl_StaffID,I1012,tl_Date,A1012))</f>
        <v>8</v>
      </c>
      <c r="O1012" s="40" t="str">
        <f aca="false">IF(A1012&amp;B1012&amp;D1012="","",IF(OR(A1012="",B1012="",D1012="",E1012=""),"Incomplete",IF(K1012="Unknown","Unknown code",IF(AND(K1012="Yes",C1012=""),"Billable, needs client",IF(N1012&gt;MaxDayHours,"Over "&amp;MaxDayHours&amp;" hours that day","")))))</f>
        <v/>
      </c>
    </row>
    <row r="1013" customFormat="false" ht="15" hidden="false" customHeight="false" outlineLevel="0" collapsed="false">
      <c r="A1013" s="31" t="n">
        <v>46258</v>
      </c>
      <c r="B1013" s="32" t="s">
        <v>106</v>
      </c>
      <c r="C1013" s="32" t="s">
        <v>87</v>
      </c>
      <c r="D1013" s="33" t="s">
        <v>104</v>
      </c>
      <c r="E1013" s="34" t="n">
        <v>3.5</v>
      </c>
      <c r="F1013" s="32"/>
      <c r="G1013" s="35" t="n">
        <f aca="false">IF(A1013="","",A1013+7-WEEKDAY(A1013))</f>
        <v>46263</v>
      </c>
      <c r="H1013" s="36" t="n">
        <f aca="false">IF(A1013="","",DATE(YEAR(A1013),MONTH(A1013),1))</f>
        <v>46235</v>
      </c>
      <c r="I1013" s="37" t="str">
        <f aca="false">IF(B1013="","",IFERROR(INDEX(st_ID,MATCH(B1013,st_Name,0)),"Unknown"))</f>
        <v>QP-07</v>
      </c>
      <c r="J1013" s="37" t="str">
        <f aca="false">IF(C1013="","",IFERROR(INDEX(cl_Code,MATCH(C1013,cl_Name,0)),"Unknown"))</f>
        <v>HCS</v>
      </c>
      <c r="K1013" s="37" t="str">
        <f aca="false">IF(D1013="","",IFERROR(INDEX(rt_Billable,MATCH(D1013,rt_Code,0)),"Unknown"))</f>
        <v>Yes</v>
      </c>
      <c r="L1013" s="38" t="n">
        <f aca="false">IF(K1013&lt;&gt;"Yes","",IFERROR(INDEX(cr_Rate,MATCH(J1013&amp;"|"&amp;D1013,cr_Key,0)),INDEX(rt_Rate,MATCH(D1013,rt_Code,0))))</f>
        <v>62</v>
      </c>
      <c r="M1013" s="25" t="n">
        <f aca="false">IF(L1013="","",ROUND(N(E1013)*L1013,2))</f>
        <v>217</v>
      </c>
      <c r="N1013" s="39" t="n">
        <f aca="false">IF(OR(A1013="",B1013=""),"",SUMIFS(tl_Hours,tl_StaffID,I1013,tl_Date,A1013))</f>
        <v>8</v>
      </c>
      <c r="O1013" s="40" t="str">
        <f aca="false">IF(A1013&amp;B1013&amp;D1013="","",IF(OR(A1013="",B1013="",D1013="",E1013=""),"Incomplete",IF(K1013="Unknown","Unknown code",IF(AND(K1013="Yes",C1013=""),"Billable, needs client",IF(N1013&gt;MaxDayHours,"Over "&amp;MaxDayHours&amp;" hours that day","")))))</f>
        <v/>
      </c>
    </row>
    <row r="1014" customFormat="false" ht="15" hidden="false" customHeight="false" outlineLevel="0" collapsed="false">
      <c r="A1014" s="31" t="n">
        <v>46258</v>
      </c>
      <c r="B1014" s="32" t="s">
        <v>106</v>
      </c>
      <c r="C1014" s="32" t="s">
        <v>87</v>
      </c>
      <c r="D1014" s="33" t="s">
        <v>113</v>
      </c>
      <c r="E1014" s="34" t="n">
        <v>2</v>
      </c>
      <c r="F1014" s="32"/>
      <c r="G1014" s="35" t="n">
        <f aca="false">IF(A1014="","",A1014+7-WEEKDAY(A1014))</f>
        <v>46263</v>
      </c>
      <c r="H1014" s="36" t="n">
        <f aca="false">IF(A1014="","",DATE(YEAR(A1014),MONTH(A1014),1))</f>
        <v>46235</v>
      </c>
      <c r="I1014" s="37" t="str">
        <f aca="false">IF(B1014="","",IFERROR(INDEX(st_ID,MATCH(B1014,st_Name,0)),"Unknown"))</f>
        <v>QP-07</v>
      </c>
      <c r="J1014" s="37" t="str">
        <f aca="false">IF(C1014="","",IFERROR(INDEX(cl_Code,MATCH(C1014,cl_Name,0)),"Unknown"))</f>
        <v>HCS</v>
      </c>
      <c r="K1014" s="37" t="str">
        <f aca="false">IF(D1014="","",IFERROR(INDEX(rt_Billable,MATCH(D1014,rt_Code,0)),"Unknown"))</f>
        <v>Yes</v>
      </c>
      <c r="L1014" s="38" t="n">
        <f aca="false">IF(K1014&lt;&gt;"Yes","",IFERROR(INDEX(cr_Rate,MATCH(J1014&amp;"|"&amp;D1014,cr_Key,0)),INDEX(rt_Rate,MATCH(D1014,rt_Code,0))))</f>
        <v>85</v>
      </c>
      <c r="M1014" s="25" t="n">
        <f aca="false">IF(L1014="","",ROUND(N(E1014)*L1014,2))</f>
        <v>170</v>
      </c>
      <c r="N1014" s="39" t="n">
        <f aca="false">IF(OR(A1014="",B1014=""),"",SUMIFS(tl_Hours,tl_StaffID,I1014,tl_Date,A1014))</f>
        <v>8</v>
      </c>
      <c r="O1014" s="40" t="str">
        <f aca="false">IF(A1014&amp;B1014&amp;D1014="","",IF(OR(A1014="",B1014="",D1014="",E1014=""),"Incomplete",IF(K1014="Unknown","Unknown code",IF(AND(K1014="Yes",C1014=""),"Billable, needs client",IF(N1014&gt;MaxDayHours,"Over "&amp;MaxDayHours&amp;" hours that day","")))))</f>
        <v/>
      </c>
    </row>
    <row r="1015" customFormat="false" ht="15" hidden="false" customHeight="false" outlineLevel="0" collapsed="false">
      <c r="A1015" s="31" t="n">
        <v>46258</v>
      </c>
      <c r="B1015" s="32" t="s">
        <v>106</v>
      </c>
      <c r="C1015" s="32"/>
      <c r="D1015" s="33" t="s">
        <v>96</v>
      </c>
      <c r="E1015" s="34" t="n">
        <v>2.5</v>
      </c>
      <c r="F1015" s="32"/>
      <c r="G1015" s="35" t="n">
        <f aca="false">IF(A1015="","",A1015+7-WEEKDAY(A1015))</f>
        <v>46263</v>
      </c>
      <c r="H1015" s="36" t="n">
        <f aca="false">IF(A1015="","",DATE(YEAR(A1015),MONTH(A1015),1))</f>
        <v>46235</v>
      </c>
      <c r="I1015" s="37" t="str">
        <f aca="false">IF(B1015="","",IFERROR(INDEX(st_ID,MATCH(B1015,st_Name,0)),"Unknown"))</f>
        <v>QP-07</v>
      </c>
      <c r="J1015" s="37" t="str">
        <f aca="false">IF(C1015="","",IFERROR(INDEX(cl_Code,MATCH(C1015,cl_Name,0)),"Unknown"))</f>
        <v/>
      </c>
      <c r="K1015" s="37" t="str">
        <f aca="false">IF(D1015="","",IFERROR(INDEX(rt_Billable,MATCH(D1015,rt_Code,0)),"Unknown"))</f>
        <v>No</v>
      </c>
      <c r="L1015" s="38" t="str">
        <f aca="false">IF(K1015&lt;&gt;"Yes","",IFERROR(INDEX(cr_Rate,MATCH(J1015&amp;"|"&amp;D1015,cr_Key,0)),INDEX(rt_Rate,MATCH(D1015,rt_Code,0))))</f>
        <v/>
      </c>
      <c r="M1015" s="25" t="str">
        <f aca="false">IF(L1015="","",ROUND(N(E1015)*L1015,2))</f>
        <v/>
      </c>
      <c r="N1015" s="39" t="n">
        <f aca="false">IF(OR(A1015="",B1015=""),"",SUMIFS(tl_Hours,tl_StaffID,I1015,tl_Date,A1015))</f>
        <v>8</v>
      </c>
      <c r="O1015" s="40" t="str">
        <f aca="false">IF(A1015&amp;B1015&amp;D1015="","",IF(OR(A1015="",B1015="",D1015="",E1015=""),"Incomplete",IF(K1015="Unknown","Unknown code",IF(AND(K1015="Yes",C1015=""),"Billable, needs client",IF(N1015&gt;MaxDayHours,"Over "&amp;MaxDayHours&amp;" hours that day","")))))</f>
        <v/>
      </c>
    </row>
    <row r="1016" customFormat="false" ht="15" hidden="false" customHeight="false" outlineLevel="0" collapsed="false">
      <c r="A1016" s="31" t="n">
        <v>46258</v>
      </c>
      <c r="B1016" s="32" t="s">
        <v>107</v>
      </c>
      <c r="C1016" s="32"/>
      <c r="D1016" s="33" t="s">
        <v>108</v>
      </c>
      <c r="E1016" s="34" t="n">
        <v>7</v>
      </c>
      <c r="F1016" s="32"/>
      <c r="G1016" s="35" t="n">
        <f aca="false">IF(A1016="","",A1016+7-WEEKDAY(A1016))</f>
        <v>46263</v>
      </c>
      <c r="H1016" s="36" t="n">
        <f aca="false">IF(A1016="","",DATE(YEAR(A1016),MONTH(A1016),1))</f>
        <v>46235</v>
      </c>
      <c r="I1016" s="37" t="str">
        <f aca="false">IF(B1016="","",IFERROR(INDEX(st_ID,MATCH(B1016,st_Name,0)),"Unknown"))</f>
        <v>QP-08</v>
      </c>
      <c r="J1016" s="37" t="str">
        <f aca="false">IF(C1016="","",IFERROR(INDEX(cl_Code,MATCH(C1016,cl_Name,0)),"Unknown"))</f>
        <v/>
      </c>
      <c r="K1016" s="37" t="str">
        <f aca="false">IF(D1016="","",IFERROR(INDEX(rt_Billable,MATCH(D1016,rt_Code,0)),"Unknown"))</f>
        <v>No</v>
      </c>
      <c r="L1016" s="38" t="str">
        <f aca="false">IF(K1016&lt;&gt;"Yes","",IFERROR(INDEX(cr_Rate,MATCH(J1016&amp;"|"&amp;D1016,cr_Key,0)),INDEX(rt_Rate,MATCH(D1016,rt_Code,0))))</f>
        <v/>
      </c>
      <c r="M1016" s="25" t="str">
        <f aca="false">IF(L1016="","",ROUND(N(E1016)*L1016,2))</f>
        <v/>
      </c>
      <c r="N1016" s="39" t="n">
        <f aca="false">IF(OR(A1016="",B1016=""),"",SUMIFS(tl_Hours,tl_StaffID,I1016,tl_Date,A1016))</f>
        <v>8</v>
      </c>
      <c r="O1016" s="40" t="str">
        <f aca="false">IF(A1016&amp;B1016&amp;D1016="","",IF(OR(A1016="",B1016="",D1016="",E1016=""),"Incomplete",IF(K1016="Unknown","Unknown code",IF(AND(K1016="Yes",C1016=""),"Billable, needs client",IF(N1016&gt;MaxDayHours,"Over "&amp;MaxDayHours&amp;" hours that day","")))))</f>
        <v/>
      </c>
    </row>
    <row r="1017" customFormat="false" ht="15" hidden="false" customHeight="false" outlineLevel="0" collapsed="false">
      <c r="A1017" s="31" t="n">
        <v>46258</v>
      </c>
      <c r="B1017" s="32" t="s">
        <v>107</v>
      </c>
      <c r="C1017" s="32"/>
      <c r="D1017" s="33" t="s">
        <v>98</v>
      </c>
      <c r="E1017" s="34" t="n">
        <v>1</v>
      </c>
      <c r="F1017" s="32"/>
      <c r="G1017" s="35" t="n">
        <f aca="false">IF(A1017="","",A1017+7-WEEKDAY(A1017))</f>
        <v>46263</v>
      </c>
      <c r="H1017" s="36" t="n">
        <f aca="false">IF(A1017="","",DATE(YEAR(A1017),MONTH(A1017),1))</f>
        <v>46235</v>
      </c>
      <c r="I1017" s="37" t="str">
        <f aca="false">IF(B1017="","",IFERROR(INDEX(st_ID,MATCH(B1017,st_Name,0)),"Unknown"))</f>
        <v>QP-08</v>
      </c>
      <c r="J1017" s="37" t="str">
        <f aca="false">IF(C1017="","",IFERROR(INDEX(cl_Code,MATCH(C1017,cl_Name,0)),"Unknown"))</f>
        <v/>
      </c>
      <c r="K1017" s="37" t="str">
        <f aca="false">IF(D1017="","",IFERROR(INDEX(rt_Billable,MATCH(D1017,rt_Code,0)),"Unknown"))</f>
        <v>No</v>
      </c>
      <c r="L1017" s="38" t="str">
        <f aca="false">IF(K1017&lt;&gt;"Yes","",IFERROR(INDEX(cr_Rate,MATCH(J1017&amp;"|"&amp;D1017,cr_Key,0)),INDEX(rt_Rate,MATCH(D1017,rt_Code,0))))</f>
        <v/>
      </c>
      <c r="M1017" s="25" t="str">
        <f aca="false">IF(L1017="","",ROUND(N(E1017)*L1017,2))</f>
        <v/>
      </c>
      <c r="N1017" s="39" t="n">
        <f aca="false">IF(OR(A1017="",B1017=""),"",SUMIFS(tl_Hours,tl_StaffID,I1017,tl_Date,A1017))</f>
        <v>8</v>
      </c>
      <c r="O1017" s="40" t="str">
        <f aca="false">IF(A1017&amp;B1017&amp;D1017="","",IF(OR(A1017="",B1017="",D1017="",E1017=""),"Incomplete",IF(K1017="Unknown","Unknown code",IF(AND(K1017="Yes",C1017=""),"Billable, needs client",IF(N1017&gt;MaxDayHours,"Over "&amp;MaxDayHours&amp;" hours that day","")))))</f>
        <v/>
      </c>
    </row>
    <row r="1018" customFormat="false" ht="15" hidden="false" customHeight="false" outlineLevel="0" collapsed="false">
      <c r="A1018" s="31" t="n">
        <v>46259</v>
      </c>
      <c r="B1018" s="32" t="s">
        <v>86</v>
      </c>
      <c r="C1018" s="32" t="s">
        <v>90</v>
      </c>
      <c r="D1018" s="33" t="s">
        <v>91</v>
      </c>
      <c r="E1018" s="34" t="n">
        <v>3.75</v>
      </c>
      <c r="F1018" s="32"/>
      <c r="G1018" s="35" t="n">
        <f aca="false">IF(A1018="","",A1018+7-WEEKDAY(A1018))</f>
        <v>46263</v>
      </c>
      <c r="H1018" s="36" t="n">
        <f aca="false">IF(A1018="","",DATE(YEAR(A1018),MONTH(A1018),1))</f>
        <v>46235</v>
      </c>
      <c r="I1018" s="37" t="str">
        <f aca="false">IF(B1018="","",IFERROR(INDEX(st_ID,MATCH(B1018,st_Name,0)),"Unknown"))</f>
        <v>QP-01</v>
      </c>
      <c r="J1018" s="37" t="str">
        <f aca="false">IF(C1018="","",IFERROR(INDEX(cl_Code,MATCH(C1018,cl_Name,0)),"Unknown"))</f>
        <v>BSE</v>
      </c>
      <c r="K1018" s="37" t="str">
        <f aca="false">IF(D1018="","",IFERROR(INDEX(rt_Billable,MATCH(D1018,rt_Code,0)),"Unknown"))</f>
        <v>Yes</v>
      </c>
      <c r="L1018" s="38" t="n">
        <f aca="false">IF(K1018&lt;&gt;"Yes","",IFERROR(INDEX(cr_Rate,MATCH(J1018&amp;"|"&amp;D1018,cr_Key,0)),INDEX(rt_Rate,MATCH(D1018,rt_Code,0))))</f>
        <v>100</v>
      </c>
      <c r="M1018" s="25" t="n">
        <f aca="false">IF(L1018="","",ROUND(N(E1018)*L1018,2))</f>
        <v>375</v>
      </c>
      <c r="N1018" s="39" t="n">
        <f aca="false">IF(OR(A1018="",B1018=""),"",SUMIFS(tl_Hours,tl_StaffID,I1018,tl_Date,A1018))</f>
        <v>8</v>
      </c>
      <c r="O1018" s="40" t="str">
        <f aca="false">IF(A1018&amp;B1018&amp;D1018="","",IF(OR(A1018="",B1018="",D1018="",E1018=""),"Incomplete",IF(K1018="Unknown","Unknown code",IF(AND(K1018="Yes",C1018=""),"Billable, needs client",IF(N1018&gt;MaxDayHours,"Over "&amp;MaxDayHours&amp;" hours that day","")))))</f>
        <v/>
      </c>
    </row>
    <row r="1019" customFormat="false" ht="15" hidden="false" customHeight="false" outlineLevel="0" collapsed="false">
      <c r="A1019" s="31" t="n">
        <v>46259</v>
      </c>
      <c r="B1019" s="32" t="s">
        <v>86</v>
      </c>
      <c r="C1019" s="32" t="s">
        <v>90</v>
      </c>
      <c r="D1019" s="33" t="s">
        <v>104</v>
      </c>
      <c r="E1019" s="34" t="n">
        <v>1.75</v>
      </c>
      <c r="F1019" s="32"/>
      <c r="G1019" s="35" t="n">
        <f aca="false">IF(A1019="","",A1019+7-WEEKDAY(A1019))</f>
        <v>46263</v>
      </c>
      <c r="H1019" s="36" t="n">
        <f aca="false">IF(A1019="","",DATE(YEAR(A1019),MONTH(A1019),1))</f>
        <v>46235</v>
      </c>
      <c r="I1019" s="37" t="str">
        <f aca="false">IF(B1019="","",IFERROR(INDEX(st_ID,MATCH(B1019,st_Name,0)),"Unknown"))</f>
        <v>QP-01</v>
      </c>
      <c r="J1019" s="37" t="str">
        <f aca="false">IF(C1019="","",IFERROR(INDEX(cl_Code,MATCH(C1019,cl_Name,0)),"Unknown"))</f>
        <v>BSE</v>
      </c>
      <c r="K1019" s="37" t="str">
        <f aca="false">IF(D1019="","",IFERROR(INDEX(rt_Billable,MATCH(D1019,rt_Code,0)),"Unknown"))</f>
        <v>Yes</v>
      </c>
      <c r="L1019" s="38" t="n">
        <f aca="false">IF(K1019&lt;&gt;"Yes","",IFERROR(INDEX(cr_Rate,MATCH(J1019&amp;"|"&amp;D1019,cr_Key,0)),INDEX(rt_Rate,MATCH(D1019,rt_Code,0))))</f>
        <v>70</v>
      </c>
      <c r="M1019" s="25" t="n">
        <f aca="false">IF(L1019="","",ROUND(N(E1019)*L1019,2))</f>
        <v>122.5</v>
      </c>
      <c r="N1019" s="39" t="n">
        <f aca="false">IF(OR(A1019="",B1019=""),"",SUMIFS(tl_Hours,tl_StaffID,I1019,tl_Date,A1019))</f>
        <v>8</v>
      </c>
      <c r="O1019" s="40" t="str">
        <f aca="false">IF(A1019&amp;B1019&amp;D1019="","",IF(OR(A1019="",B1019="",D1019="",E1019=""),"Incomplete",IF(K1019="Unknown","Unknown code",IF(AND(K1019="Yes",C1019=""),"Billable, needs client",IF(N1019&gt;MaxDayHours,"Over "&amp;MaxDayHours&amp;" hours that day","")))))</f>
        <v/>
      </c>
    </row>
    <row r="1020" customFormat="false" ht="15" hidden="false" customHeight="false" outlineLevel="0" collapsed="false">
      <c r="A1020" s="31" t="n">
        <v>46259</v>
      </c>
      <c r="B1020" s="32" t="s">
        <v>86</v>
      </c>
      <c r="C1020" s="32"/>
      <c r="D1020" s="33" t="s">
        <v>94</v>
      </c>
      <c r="E1020" s="34" t="n">
        <v>1.5</v>
      </c>
      <c r="F1020" s="32" t="s">
        <v>95</v>
      </c>
      <c r="G1020" s="35" t="n">
        <f aca="false">IF(A1020="","",A1020+7-WEEKDAY(A1020))</f>
        <v>46263</v>
      </c>
      <c r="H1020" s="36" t="n">
        <f aca="false">IF(A1020="","",DATE(YEAR(A1020),MONTH(A1020),1))</f>
        <v>46235</v>
      </c>
      <c r="I1020" s="37" t="str">
        <f aca="false">IF(B1020="","",IFERROR(INDEX(st_ID,MATCH(B1020,st_Name,0)),"Unknown"))</f>
        <v>QP-01</v>
      </c>
      <c r="J1020" s="37" t="str">
        <f aca="false">IF(C1020="","",IFERROR(INDEX(cl_Code,MATCH(C1020,cl_Name,0)),"Unknown"))</f>
        <v/>
      </c>
      <c r="K1020" s="37" t="str">
        <f aca="false">IF(D1020="","",IFERROR(INDEX(rt_Billable,MATCH(D1020,rt_Code,0)),"Unknown"))</f>
        <v>No</v>
      </c>
      <c r="L1020" s="38" t="str">
        <f aca="false">IF(K1020&lt;&gt;"Yes","",IFERROR(INDEX(cr_Rate,MATCH(J1020&amp;"|"&amp;D1020,cr_Key,0)),INDEX(rt_Rate,MATCH(D1020,rt_Code,0))))</f>
        <v/>
      </c>
      <c r="M1020" s="25" t="str">
        <f aca="false">IF(L1020="","",ROUND(N(E1020)*L1020,2))</f>
        <v/>
      </c>
      <c r="N1020" s="39" t="n">
        <f aca="false">IF(OR(A1020="",B1020=""),"",SUMIFS(tl_Hours,tl_StaffID,I1020,tl_Date,A1020))</f>
        <v>8</v>
      </c>
      <c r="O1020" s="40" t="str">
        <f aca="false">IF(A1020&amp;B1020&amp;D1020="","",IF(OR(A1020="",B1020="",D1020="",E1020=""),"Incomplete",IF(K1020="Unknown","Unknown code",IF(AND(K1020="Yes",C1020=""),"Billable, needs client",IF(N1020&gt;MaxDayHours,"Over "&amp;MaxDayHours&amp;" hours that day","")))))</f>
        <v/>
      </c>
    </row>
    <row r="1021" customFormat="false" ht="15" hidden="false" customHeight="false" outlineLevel="0" collapsed="false">
      <c r="A1021" s="31" t="n">
        <v>46259</v>
      </c>
      <c r="B1021" s="32" t="s">
        <v>86</v>
      </c>
      <c r="C1021" s="32"/>
      <c r="D1021" s="33" t="s">
        <v>96</v>
      </c>
      <c r="E1021" s="34" t="n">
        <v>1</v>
      </c>
      <c r="F1021" s="32"/>
      <c r="G1021" s="35" t="n">
        <f aca="false">IF(A1021="","",A1021+7-WEEKDAY(A1021))</f>
        <v>46263</v>
      </c>
      <c r="H1021" s="36" t="n">
        <f aca="false">IF(A1021="","",DATE(YEAR(A1021),MONTH(A1021),1))</f>
        <v>46235</v>
      </c>
      <c r="I1021" s="37" t="str">
        <f aca="false">IF(B1021="","",IFERROR(INDEX(st_ID,MATCH(B1021,st_Name,0)),"Unknown"))</f>
        <v>QP-01</v>
      </c>
      <c r="J1021" s="37" t="str">
        <f aca="false">IF(C1021="","",IFERROR(INDEX(cl_Code,MATCH(C1021,cl_Name,0)),"Unknown"))</f>
        <v/>
      </c>
      <c r="K1021" s="37" t="str">
        <f aca="false">IF(D1021="","",IFERROR(INDEX(rt_Billable,MATCH(D1021,rt_Code,0)),"Unknown"))</f>
        <v>No</v>
      </c>
      <c r="L1021" s="38" t="str">
        <f aca="false">IF(K1021&lt;&gt;"Yes","",IFERROR(INDEX(cr_Rate,MATCH(J1021&amp;"|"&amp;D1021,cr_Key,0)),INDEX(rt_Rate,MATCH(D1021,rt_Code,0))))</f>
        <v/>
      </c>
      <c r="M1021" s="25" t="str">
        <f aca="false">IF(L1021="","",ROUND(N(E1021)*L1021,2))</f>
        <v/>
      </c>
      <c r="N1021" s="39" t="n">
        <f aca="false">IF(OR(A1021="",B1021=""),"",SUMIFS(tl_Hours,tl_StaffID,I1021,tl_Date,A1021))</f>
        <v>8</v>
      </c>
      <c r="O1021" s="40" t="str">
        <f aca="false">IF(A1021&amp;B1021&amp;D1021="","",IF(OR(A1021="",B1021="",D1021="",E1021=""),"Incomplete",IF(K1021="Unknown","Unknown code",IF(AND(K1021="Yes",C1021=""),"Billable, needs client",IF(N1021&gt;MaxDayHours,"Over "&amp;MaxDayHours&amp;" hours that day","")))))</f>
        <v/>
      </c>
    </row>
    <row r="1022" customFormat="false" ht="15" hidden="false" customHeight="false" outlineLevel="0" collapsed="false">
      <c r="A1022" s="31" t="n">
        <v>46259</v>
      </c>
      <c r="B1022" s="32" t="s">
        <v>97</v>
      </c>
      <c r="C1022" s="32" t="s">
        <v>90</v>
      </c>
      <c r="D1022" s="33" t="s">
        <v>88</v>
      </c>
      <c r="E1022" s="34" t="n">
        <v>2</v>
      </c>
      <c r="F1022" s="32"/>
      <c r="G1022" s="35" t="n">
        <f aca="false">IF(A1022="","",A1022+7-WEEKDAY(A1022))</f>
        <v>46263</v>
      </c>
      <c r="H1022" s="36" t="n">
        <f aca="false">IF(A1022="","",DATE(YEAR(A1022),MONTH(A1022),1))</f>
        <v>46235</v>
      </c>
      <c r="I1022" s="37" t="str">
        <f aca="false">IF(B1022="","",IFERROR(INDEX(st_ID,MATCH(B1022,st_Name,0)),"Unknown"))</f>
        <v>QP-02</v>
      </c>
      <c r="J1022" s="37" t="str">
        <f aca="false">IF(C1022="","",IFERROR(INDEX(cl_Code,MATCH(C1022,cl_Name,0)),"Unknown"))</f>
        <v>BSE</v>
      </c>
      <c r="K1022" s="37" t="str">
        <f aca="false">IF(D1022="","",IFERROR(INDEX(rt_Billable,MATCH(D1022,rt_Code,0)),"Unknown"))</f>
        <v>Yes</v>
      </c>
      <c r="L1022" s="38" t="n">
        <f aca="false">IF(K1022&lt;&gt;"Yes","",IFERROR(INDEX(cr_Rate,MATCH(J1022&amp;"|"&amp;D1022,cr_Key,0)),INDEX(rt_Rate,MATCH(D1022,rt_Code,0))))</f>
        <v>104</v>
      </c>
      <c r="M1022" s="25" t="n">
        <f aca="false">IF(L1022="","",ROUND(N(E1022)*L1022,2))</f>
        <v>208</v>
      </c>
      <c r="N1022" s="39" t="n">
        <f aca="false">IF(OR(A1022="",B1022=""),"",SUMIFS(tl_Hours,tl_StaffID,I1022,tl_Date,A1022))</f>
        <v>8</v>
      </c>
      <c r="O1022" s="40" t="str">
        <f aca="false">IF(A1022&amp;B1022&amp;D1022="","",IF(OR(A1022="",B1022="",D1022="",E1022=""),"Incomplete",IF(K1022="Unknown","Unknown code",IF(AND(K1022="Yes",C1022=""),"Billable, needs client",IF(N1022&gt;MaxDayHours,"Over "&amp;MaxDayHours&amp;" hours that day","")))))</f>
        <v/>
      </c>
    </row>
    <row r="1023" customFormat="false" ht="15" hidden="false" customHeight="false" outlineLevel="0" collapsed="false">
      <c r="A1023" s="31" t="n">
        <v>46259</v>
      </c>
      <c r="B1023" s="32" t="s">
        <v>97</v>
      </c>
      <c r="C1023" s="32" t="s">
        <v>90</v>
      </c>
      <c r="D1023" s="33" t="s">
        <v>104</v>
      </c>
      <c r="E1023" s="34" t="n">
        <v>0.75</v>
      </c>
      <c r="F1023" s="32"/>
      <c r="G1023" s="35" t="n">
        <f aca="false">IF(A1023="","",A1023+7-WEEKDAY(A1023))</f>
        <v>46263</v>
      </c>
      <c r="H1023" s="36" t="n">
        <f aca="false">IF(A1023="","",DATE(YEAR(A1023),MONTH(A1023),1))</f>
        <v>46235</v>
      </c>
      <c r="I1023" s="37" t="str">
        <f aca="false">IF(B1023="","",IFERROR(INDEX(st_ID,MATCH(B1023,st_Name,0)),"Unknown"))</f>
        <v>QP-02</v>
      </c>
      <c r="J1023" s="37" t="str">
        <f aca="false">IF(C1023="","",IFERROR(INDEX(cl_Code,MATCH(C1023,cl_Name,0)),"Unknown"))</f>
        <v>BSE</v>
      </c>
      <c r="K1023" s="37" t="str">
        <f aca="false">IF(D1023="","",IFERROR(INDEX(rt_Billable,MATCH(D1023,rt_Code,0)),"Unknown"))</f>
        <v>Yes</v>
      </c>
      <c r="L1023" s="38" t="n">
        <f aca="false">IF(K1023&lt;&gt;"Yes","",IFERROR(INDEX(cr_Rate,MATCH(J1023&amp;"|"&amp;D1023,cr_Key,0)),INDEX(rt_Rate,MATCH(D1023,rt_Code,0))))</f>
        <v>70</v>
      </c>
      <c r="M1023" s="25" t="n">
        <f aca="false">IF(L1023="","",ROUND(N(E1023)*L1023,2))</f>
        <v>52.5</v>
      </c>
      <c r="N1023" s="39" t="n">
        <f aca="false">IF(OR(A1023="",B1023=""),"",SUMIFS(tl_Hours,tl_StaffID,I1023,tl_Date,A1023))</f>
        <v>8</v>
      </c>
      <c r="O1023" s="40" t="str">
        <f aca="false">IF(A1023&amp;B1023&amp;D1023="","",IF(OR(A1023="",B1023="",D1023="",E1023=""),"Incomplete",IF(K1023="Unknown","Unknown code",IF(AND(K1023="Yes",C1023=""),"Billable, needs client",IF(N1023&gt;MaxDayHours,"Over "&amp;MaxDayHours&amp;" hours that day","")))))</f>
        <v/>
      </c>
    </row>
    <row r="1024" customFormat="false" ht="15" hidden="false" customHeight="false" outlineLevel="0" collapsed="false">
      <c r="A1024" s="31" t="n">
        <v>46259</v>
      </c>
      <c r="B1024" s="32" t="s">
        <v>97</v>
      </c>
      <c r="C1024" s="32" t="s">
        <v>111</v>
      </c>
      <c r="D1024" s="33" t="s">
        <v>88</v>
      </c>
      <c r="E1024" s="34" t="n">
        <v>2</v>
      </c>
      <c r="F1024" s="32"/>
      <c r="G1024" s="35" t="n">
        <f aca="false">IF(A1024="","",A1024+7-WEEKDAY(A1024))</f>
        <v>46263</v>
      </c>
      <c r="H1024" s="36" t="n">
        <f aca="false">IF(A1024="","",DATE(YEAR(A1024),MONTH(A1024),1))</f>
        <v>46235</v>
      </c>
      <c r="I1024" s="37" t="str">
        <f aca="false">IF(B1024="","",IFERROR(INDEX(st_ID,MATCH(B1024,st_Name,0)),"Unknown"))</f>
        <v>QP-02</v>
      </c>
      <c r="J1024" s="37" t="str">
        <f aca="false">IF(C1024="","",IFERROR(INDEX(cl_Code,MATCH(C1024,cl_Name,0)),"Unknown"))</f>
        <v>WMS</v>
      </c>
      <c r="K1024" s="37" t="str">
        <f aca="false">IF(D1024="","",IFERROR(INDEX(rt_Billable,MATCH(D1024,rt_Code,0)),"Unknown"))</f>
        <v>Yes</v>
      </c>
      <c r="L1024" s="38" t="n">
        <f aca="false">IF(K1024&lt;&gt;"Yes","",IFERROR(INDEX(cr_Rate,MATCH(J1024&amp;"|"&amp;D1024,cr_Key,0)),INDEX(rt_Rate,MATCH(D1024,rt_Code,0))))</f>
        <v>110</v>
      </c>
      <c r="M1024" s="25" t="n">
        <f aca="false">IF(L1024="","",ROUND(N(E1024)*L1024,2))</f>
        <v>220</v>
      </c>
      <c r="N1024" s="39" t="n">
        <f aca="false">IF(OR(A1024="",B1024=""),"",SUMIFS(tl_Hours,tl_StaffID,I1024,tl_Date,A1024))</f>
        <v>8</v>
      </c>
      <c r="O1024" s="40" t="str">
        <f aca="false">IF(A1024&amp;B1024&amp;D1024="","",IF(OR(A1024="",B1024="",D1024="",E1024=""),"Incomplete",IF(K1024="Unknown","Unknown code",IF(AND(K1024="Yes",C1024=""),"Billable, needs client",IF(N1024&gt;MaxDayHours,"Over "&amp;MaxDayHours&amp;" hours that day","")))))</f>
        <v/>
      </c>
    </row>
    <row r="1025" customFormat="false" ht="15" hidden="false" customHeight="false" outlineLevel="0" collapsed="false">
      <c r="A1025" s="31" t="n">
        <v>46259</v>
      </c>
      <c r="B1025" s="32" t="s">
        <v>97</v>
      </c>
      <c r="C1025" s="32" t="s">
        <v>111</v>
      </c>
      <c r="D1025" s="33" t="s">
        <v>92</v>
      </c>
      <c r="E1025" s="34" t="n">
        <v>0.75</v>
      </c>
      <c r="F1025" s="32"/>
      <c r="G1025" s="35" t="n">
        <f aca="false">IF(A1025="","",A1025+7-WEEKDAY(A1025))</f>
        <v>46263</v>
      </c>
      <c r="H1025" s="36" t="n">
        <f aca="false">IF(A1025="","",DATE(YEAR(A1025),MONTH(A1025),1))</f>
        <v>46235</v>
      </c>
      <c r="I1025" s="37" t="str">
        <f aca="false">IF(B1025="","",IFERROR(INDEX(st_ID,MATCH(B1025,st_Name,0)),"Unknown"))</f>
        <v>QP-02</v>
      </c>
      <c r="J1025" s="37" t="str">
        <f aca="false">IF(C1025="","",IFERROR(INDEX(cl_Code,MATCH(C1025,cl_Name,0)),"Unknown"))</f>
        <v>WMS</v>
      </c>
      <c r="K1025" s="37" t="str">
        <f aca="false">IF(D1025="","",IFERROR(INDEX(rt_Billable,MATCH(D1025,rt_Code,0)),"Unknown"))</f>
        <v>Yes</v>
      </c>
      <c r="L1025" s="38" t="n">
        <f aca="false">IF(K1025&lt;&gt;"Yes","",IFERROR(INDEX(cr_Rate,MATCH(J1025&amp;"|"&amp;D1025,cr_Key,0)),INDEX(rt_Rate,MATCH(D1025,rt_Code,0))))</f>
        <v>150</v>
      </c>
      <c r="M1025" s="25" t="n">
        <f aca="false">IF(L1025="","",ROUND(N(E1025)*L1025,2))</f>
        <v>112.5</v>
      </c>
      <c r="N1025" s="39" t="n">
        <f aca="false">IF(OR(A1025="",B1025=""),"",SUMIFS(tl_Hours,tl_StaffID,I1025,tl_Date,A1025))</f>
        <v>8</v>
      </c>
      <c r="O1025" s="40" t="str">
        <f aca="false">IF(A1025&amp;B1025&amp;D1025="","",IF(OR(A1025="",B1025="",D1025="",E1025=""),"Incomplete",IF(K1025="Unknown","Unknown code",IF(AND(K1025="Yes",C1025=""),"Billable, needs client",IF(N1025&gt;MaxDayHours,"Over "&amp;MaxDayHours&amp;" hours that day","")))))</f>
        <v/>
      </c>
    </row>
    <row r="1026" customFormat="false" ht="15" hidden="false" customHeight="false" outlineLevel="0" collapsed="false">
      <c r="A1026" s="31" t="n">
        <v>46259</v>
      </c>
      <c r="B1026" s="32" t="s">
        <v>97</v>
      </c>
      <c r="C1026" s="32"/>
      <c r="D1026" s="33" t="s">
        <v>93</v>
      </c>
      <c r="E1026" s="34" t="n">
        <v>0.5</v>
      </c>
      <c r="F1026" s="32"/>
      <c r="G1026" s="35" t="n">
        <f aca="false">IF(A1026="","",A1026+7-WEEKDAY(A1026))</f>
        <v>46263</v>
      </c>
      <c r="H1026" s="36" t="n">
        <f aca="false">IF(A1026="","",DATE(YEAR(A1026),MONTH(A1026),1))</f>
        <v>46235</v>
      </c>
      <c r="I1026" s="37" t="str">
        <f aca="false">IF(B1026="","",IFERROR(INDEX(st_ID,MATCH(B1026,st_Name,0)),"Unknown"))</f>
        <v>QP-02</v>
      </c>
      <c r="J1026" s="37" t="str">
        <f aca="false">IF(C1026="","",IFERROR(INDEX(cl_Code,MATCH(C1026,cl_Name,0)),"Unknown"))</f>
        <v/>
      </c>
      <c r="K1026" s="37" t="str">
        <f aca="false">IF(D1026="","",IFERROR(INDEX(rt_Billable,MATCH(D1026,rt_Code,0)),"Unknown"))</f>
        <v>No</v>
      </c>
      <c r="L1026" s="38" t="str">
        <f aca="false">IF(K1026&lt;&gt;"Yes","",IFERROR(INDEX(cr_Rate,MATCH(J1026&amp;"|"&amp;D1026,cr_Key,0)),INDEX(rt_Rate,MATCH(D1026,rt_Code,0))))</f>
        <v/>
      </c>
      <c r="M1026" s="25" t="str">
        <f aca="false">IF(L1026="","",ROUND(N(E1026)*L1026,2))</f>
        <v/>
      </c>
      <c r="N1026" s="39" t="n">
        <f aca="false">IF(OR(A1026="",B1026=""),"",SUMIFS(tl_Hours,tl_StaffID,I1026,tl_Date,A1026))</f>
        <v>8</v>
      </c>
      <c r="O1026" s="40" t="str">
        <f aca="false">IF(A1026&amp;B1026&amp;D1026="","",IF(OR(A1026="",B1026="",D1026="",E1026=""),"Incomplete",IF(K1026="Unknown","Unknown code",IF(AND(K1026="Yes",C1026=""),"Billable, needs client",IF(N1026&gt;MaxDayHours,"Over "&amp;MaxDayHours&amp;" hours that day","")))))</f>
        <v/>
      </c>
    </row>
    <row r="1027" customFormat="false" ht="15" hidden="false" customHeight="false" outlineLevel="0" collapsed="false">
      <c r="A1027" s="31" t="n">
        <v>46259</v>
      </c>
      <c r="B1027" s="32" t="s">
        <v>97</v>
      </c>
      <c r="C1027" s="32"/>
      <c r="D1027" s="33" t="s">
        <v>94</v>
      </c>
      <c r="E1027" s="34" t="n">
        <v>1.5</v>
      </c>
      <c r="F1027" s="32" t="s">
        <v>95</v>
      </c>
      <c r="G1027" s="35" t="n">
        <f aca="false">IF(A1027="","",A1027+7-WEEKDAY(A1027))</f>
        <v>46263</v>
      </c>
      <c r="H1027" s="36" t="n">
        <f aca="false">IF(A1027="","",DATE(YEAR(A1027),MONTH(A1027),1))</f>
        <v>46235</v>
      </c>
      <c r="I1027" s="37" t="str">
        <f aca="false">IF(B1027="","",IFERROR(INDEX(st_ID,MATCH(B1027,st_Name,0)),"Unknown"))</f>
        <v>QP-02</v>
      </c>
      <c r="J1027" s="37" t="str">
        <f aca="false">IF(C1027="","",IFERROR(INDEX(cl_Code,MATCH(C1027,cl_Name,0)),"Unknown"))</f>
        <v/>
      </c>
      <c r="K1027" s="37" t="str">
        <f aca="false">IF(D1027="","",IFERROR(INDEX(rt_Billable,MATCH(D1027,rt_Code,0)),"Unknown"))</f>
        <v>No</v>
      </c>
      <c r="L1027" s="38" t="str">
        <f aca="false">IF(K1027&lt;&gt;"Yes","",IFERROR(INDEX(cr_Rate,MATCH(J1027&amp;"|"&amp;D1027,cr_Key,0)),INDEX(rt_Rate,MATCH(D1027,rt_Code,0))))</f>
        <v/>
      </c>
      <c r="M1027" s="25" t="str">
        <f aca="false">IF(L1027="","",ROUND(N(E1027)*L1027,2))</f>
        <v/>
      </c>
      <c r="N1027" s="39" t="n">
        <f aca="false">IF(OR(A1027="",B1027=""),"",SUMIFS(tl_Hours,tl_StaffID,I1027,tl_Date,A1027))</f>
        <v>8</v>
      </c>
      <c r="O1027" s="40" t="str">
        <f aca="false">IF(A1027&amp;B1027&amp;D1027="","",IF(OR(A1027="",B1027="",D1027="",E1027=""),"Incomplete",IF(K1027="Unknown","Unknown code",IF(AND(K1027="Yes",C1027=""),"Billable, needs client",IF(N1027&gt;MaxDayHours,"Over "&amp;MaxDayHours&amp;" hours that day","")))))</f>
        <v/>
      </c>
    </row>
    <row r="1028" customFormat="false" ht="15" hidden="false" customHeight="false" outlineLevel="0" collapsed="false">
      <c r="A1028" s="31" t="n">
        <v>46259</v>
      </c>
      <c r="B1028" s="32" t="s">
        <v>97</v>
      </c>
      <c r="C1028" s="32"/>
      <c r="D1028" s="33" t="s">
        <v>96</v>
      </c>
      <c r="E1028" s="34" t="n">
        <v>0.5</v>
      </c>
      <c r="F1028" s="32"/>
      <c r="G1028" s="35" t="n">
        <f aca="false">IF(A1028="","",A1028+7-WEEKDAY(A1028))</f>
        <v>46263</v>
      </c>
      <c r="H1028" s="36" t="n">
        <f aca="false">IF(A1028="","",DATE(YEAR(A1028),MONTH(A1028),1))</f>
        <v>46235</v>
      </c>
      <c r="I1028" s="37" t="str">
        <f aca="false">IF(B1028="","",IFERROR(INDEX(st_ID,MATCH(B1028,st_Name,0)),"Unknown"))</f>
        <v>QP-02</v>
      </c>
      <c r="J1028" s="37" t="str">
        <f aca="false">IF(C1028="","",IFERROR(INDEX(cl_Code,MATCH(C1028,cl_Name,0)),"Unknown"))</f>
        <v/>
      </c>
      <c r="K1028" s="37" t="str">
        <f aca="false">IF(D1028="","",IFERROR(INDEX(rt_Billable,MATCH(D1028,rt_Code,0)),"Unknown"))</f>
        <v>No</v>
      </c>
      <c r="L1028" s="38" t="str">
        <f aca="false">IF(K1028&lt;&gt;"Yes","",IFERROR(INDEX(cr_Rate,MATCH(J1028&amp;"|"&amp;D1028,cr_Key,0)),INDEX(rt_Rate,MATCH(D1028,rt_Code,0))))</f>
        <v/>
      </c>
      <c r="M1028" s="25" t="str">
        <f aca="false">IF(L1028="","",ROUND(N(E1028)*L1028,2))</f>
        <v/>
      </c>
      <c r="N1028" s="39" t="n">
        <f aca="false">IF(OR(A1028="",B1028=""),"",SUMIFS(tl_Hours,tl_StaffID,I1028,tl_Date,A1028))</f>
        <v>8</v>
      </c>
      <c r="O1028" s="40" t="str">
        <f aca="false">IF(A1028&amp;B1028&amp;D1028="","",IF(OR(A1028="",B1028="",D1028="",E1028=""),"Incomplete",IF(K1028="Unknown","Unknown code",IF(AND(K1028="Yes",C1028=""),"Billable, needs client",IF(N1028&gt;MaxDayHours,"Over "&amp;MaxDayHours&amp;" hours that day","")))))</f>
        <v/>
      </c>
    </row>
    <row r="1029" customFormat="false" ht="15" hidden="false" customHeight="false" outlineLevel="0" collapsed="false">
      <c r="A1029" s="31" t="n">
        <v>46259</v>
      </c>
      <c r="B1029" s="32" t="s">
        <v>100</v>
      </c>
      <c r="C1029" s="32" t="s">
        <v>102</v>
      </c>
      <c r="D1029" s="33" t="s">
        <v>104</v>
      </c>
      <c r="E1029" s="34" t="n">
        <v>3.75</v>
      </c>
      <c r="F1029" s="32"/>
      <c r="G1029" s="35" t="n">
        <f aca="false">IF(A1029="","",A1029+7-WEEKDAY(A1029))</f>
        <v>46263</v>
      </c>
      <c r="H1029" s="36" t="n">
        <f aca="false">IF(A1029="","",DATE(YEAR(A1029),MONTH(A1029),1))</f>
        <v>46235</v>
      </c>
      <c r="I1029" s="37" t="str">
        <f aca="false">IF(B1029="","",IFERROR(INDEX(st_ID,MATCH(B1029,st_Name,0)),"Unknown"))</f>
        <v>QP-03</v>
      </c>
      <c r="J1029" s="37" t="str">
        <f aca="false">IF(C1029="","",IFERROR(INDEX(cl_Code,MATCH(C1029,cl_Name,0)),"Unknown"))</f>
        <v>CLH</v>
      </c>
      <c r="K1029" s="37" t="str">
        <f aca="false">IF(D1029="","",IFERROR(INDEX(rt_Billable,MATCH(D1029,rt_Code,0)),"Unknown"))</f>
        <v>Yes</v>
      </c>
      <c r="L1029" s="38" t="n">
        <f aca="false">IF(K1029&lt;&gt;"Yes","",IFERROR(INDEX(cr_Rate,MATCH(J1029&amp;"|"&amp;D1029,cr_Key,0)),INDEX(rt_Rate,MATCH(D1029,rt_Code,0))))</f>
        <v>65</v>
      </c>
      <c r="M1029" s="25" t="n">
        <f aca="false">IF(L1029="","",ROUND(N(E1029)*L1029,2))</f>
        <v>243.75</v>
      </c>
      <c r="N1029" s="39" t="n">
        <f aca="false">IF(OR(A1029="",B1029=""),"",SUMIFS(tl_Hours,tl_StaffID,I1029,tl_Date,A1029))</f>
        <v>8</v>
      </c>
      <c r="O1029" s="40" t="str">
        <f aca="false">IF(A1029&amp;B1029&amp;D1029="","",IF(OR(A1029="",B1029="",D1029="",E1029=""),"Incomplete",IF(K1029="Unknown","Unknown code",IF(AND(K1029="Yes",C1029=""),"Billable, needs client",IF(N1029&gt;MaxDayHours,"Over "&amp;MaxDayHours&amp;" hours that day","")))))</f>
        <v/>
      </c>
    </row>
    <row r="1030" customFormat="false" ht="15" hidden="false" customHeight="false" outlineLevel="0" collapsed="false">
      <c r="A1030" s="31" t="n">
        <v>46259</v>
      </c>
      <c r="B1030" s="32" t="s">
        <v>100</v>
      </c>
      <c r="C1030" s="32" t="s">
        <v>102</v>
      </c>
      <c r="D1030" s="33" t="s">
        <v>113</v>
      </c>
      <c r="E1030" s="34" t="n">
        <v>1</v>
      </c>
      <c r="F1030" s="32"/>
      <c r="G1030" s="35" t="n">
        <f aca="false">IF(A1030="","",A1030+7-WEEKDAY(A1030))</f>
        <v>46263</v>
      </c>
      <c r="H1030" s="36" t="n">
        <f aca="false">IF(A1030="","",DATE(YEAR(A1030),MONTH(A1030),1))</f>
        <v>46235</v>
      </c>
      <c r="I1030" s="37" t="str">
        <f aca="false">IF(B1030="","",IFERROR(INDEX(st_ID,MATCH(B1030,st_Name,0)),"Unknown"))</f>
        <v>QP-03</v>
      </c>
      <c r="J1030" s="37" t="str">
        <f aca="false">IF(C1030="","",IFERROR(INDEX(cl_Code,MATCH(C1030,cl_Name,0)),"Unknown"))</f>
        <v>CLH</v>
      </c>
      <c r="K1030" s="37" t="str">
        <f aca="false">IF(D1030="","",IFERROR(INDEX(rt_Billable,MATCH(D1030,rt_Code,0)),"Unknown"))</f>
        <v>Yes</v>
      </c>
      <c r="L1030" s="38" t="n">
        <f aca="false">IF(K1030&lt;&gt;"Yes","",IFERROR(INDEX(cr_Rate,MATCH(J1030&amp;"|"&amp;D1030,cr_Key,0)),INDEX(rt_Rate,MATCH(D1030,rt_Code,0))))</f>
        <v>75</v>
      </c>
      <c r="M1030" s="25" t="n">
        <f aca="false">IF(L1030="","",ROUND(N(E1030)*L1030,2))</f>
        <v>75</v>
      </c>
      <c r="N1030" s="39" t="n">
        <f aca="false">IF(OR(A1030="",B1030=""),"",SUMIFS(tl_Hours,tl_StaffID,I1030,tl_Date,A1030))</f>
        <v>8</v>
      </c>
      <c r="O1030" s="40" t="str">
        <f aca="false">IF(A1030&amp;B1030&amp;D1030="","",IF(OR(A1030="",B1030="",D1030="",E1030=""),"Incomplete",IF(K1030="Unknown","Unknown code",IF(AND(K1030="Yes",C1030=""),"Billable, needs client",IF(N1030&gt;MaxDayHours,"Over "&amp;MaxDayHours&amp;" hours that day","")))))</f>
        <v/>
      </c>
    </row>
    <row r="1031" customFormat="false" ht="15" hidden="false" customHeight="false" outlineLevel="0" collapsed="false">
      <c r="A1031" s="31" t="n">
        <v>46259</v>
      </c>
      <c r="B1031" s="32" t="s">
        <v>100</v>
      </c>
      <c r="C1031" s="32"/>
      <c r="D1031" s="33" t="s">
        <v>96</v>
      </c>
      <c r="E1031" s="34" t="n">
        <v>3.25</v>
      </c>
      <c r="F1031" s="32"/>
      <c r="G1031" s="35" t="n">
        <f aca="false">IF(A1031="","",A1031+7-WEEKDAY(A1031))</f>
        <v>46263</v>
      </c>
      <c r="H1031" s="36" t="n">
        <f aca="false">IF(A1031="","",DATE(YEAR(A1031),MONTH(A1031),1))</f>
        <v>46235</v>
      </c>
      <c r="I1031" s="37" t="str">
        <f aca="false">IF(B1031="","",IFERROR(INDEX(st_ID,MATCH(B1031,st_Name,0)),"Unknown"))</f>
        <v>QP-03</v>
      </c>
      <c r="J1031" s="37" t="str">
        <f aca="false">IF(C1031="","",IFERROR(INDEX(cl_Code,MATCH(C1031,cl_Name,0)),"Unknown"))</f>
        <v/>
      </c>
      <c r="K1031" s="37" t="str">
        <f aca="false">IF(D1031="","",IFERROR(INDEX(rt_Billable,MATCH(D1031,rt_Code,0)),"Unknown"))</f>
        <v>No</v>
      </c>
      <c r="L1031" s="38" t="str">
        <f aca="false">IF(K1031&lt;&gt;"Yes","",IFERROR(INDEX(cr_Rate,MATCH(J1031&amp;"|"&amp;D1031,cr_Key,0)),INDEX(rt_Rate,MATCH(D1031,rt_Code,0))))</f>
        <v/>
      </c>
      <c r="M1031" s="25" t="str">
        <f aca="false">IF(L1031="","",ROUND(N(E1031)*L1031,2))</f>
        <v/>
      </c>
      <c r="N1031" s="39" t="n">
        <f aca="false">IF(OR(A1031="",B1031=""),"",SUMIFS(tl_Hours,tl_StaffID,I1031,tl_Date,A1031))</f>
        <v>8</v>
      </c>
      <c r="O1031" s="40" t="str">
        <f aca="false">IF(A1031&amp;B1031&amp;D1031="","",IF(OR(A1031="",B1031="",D1031="",E1031=""),"Incomplete",IF(K1031="Unknown","Unknown code",IF(AND(K1031="Yes",C1031=""),"Billable, needs client",IF(N1031&gt;MaxDayHours,"Over "&amp;MaxDayHours&amp;" hours that day","")))))</f>
        <v/>
      </c>
    </row>
    <row r="1032" customFormat="false" ht="15" hidden="false" customHeight="false" outlineLevel="0" collapsed="false">
      <c r="A1032" s="31" t="n">
        <v>46259</v>
      </c>
      <c r="B1032" s="32" t="s">
        <v>101</v>
      </c>
      <c r="C1032" s="32" t="s">
        <v>112</v>
      </c>
      <c r="D1032" s="33" t="s">
        <v>104</v>
      </c>
      <c r="E1032" s="34" t="n">
        <v>4.5</v>
      </c>
      <c r="F1032" s="32"/>
      <c r="G1032" s="35" t="n">
        <f aca="false">IF(A1032="","",A1032+7-WEEKDAY(A1032))</f>
        <v>46263</v>
      </c>
      <c r="H1032" s="36" t="n">
        <f aca="false">IF(A1032="","",DATE(YEAR(A1032),MONTH(A1032),1))</f>
        <v>46235</v>
      </c>
      <c r="I1032" s="37" t="str">
        <f aca="false">IF(B1032="","",IFERROR(INDEX(st_ID,MATCH(B1032,st_Name,0)),"Unknown"))</f>
        <v>QP-04</v>
      </c>
      <c r="J1032" s="37" t="str">
        <f aca="false">IF(C1032="","",IFERROR(INDEX(cl_Code,MATCH(C1032,cl_Name,0)),"Unknown"))</f>
        <v>PCA</v>
      </c>
      <c r="K1032" s="37" t="str">
        <f aca="false">IF(D1032="","",IFERROR(INDEX(rt_Billable,MATCH(D1032,rt_Code,0)),"Unknown"))</f>
        <v>Yes</v>
      </c>
      <c r="L1032" s="38" t="n">
        <f aca="false">IF(K1032&lt;&gt;"Yes","",IFERROR(INDEX(cr_Rate,MATCH(J1032&amp;"|"&amp;D1032,cr_Key,0)),INDEX(rt_Rate,MATCH(D1032,rt_Code,0))))</f>
        <v>70</v>
      </c>
      <c r="M1032" s="25" t="n">
        <f aca="false">IF(L1032="","",ROUND(N(E1032)*L1032,2))</f>
        <v>315</v>
      </c>
      <c r="N1032" s="39" t="n">
        <f aca="false">IF(OR(A1032="",B1032=""),"",SUMIFS(tl_Hours,tl_StaffID,I1032,tl_Date,A1032))</f>
        <v>8</v>
      </c>
      <c r="O1032" s="40" t="str">
        <f aca="false">IF(A1032&amp;B1032&amp;D1032="","",IF(OR(A1032="",B1032="",D1032="",E1032=""),"Incomplete",IF(K1032="Unknown","Unknown code",IF(AND(K1032="Yes",C1032=""),"Billable, needs client",IF(N1032&gt;MaxDayHours,"Over "&amp;MaxDayHours&amp;" hours that day","")))))</f>
        <v/>
      </c>
    </row>
    <row r="1033" customFormat="false" ht="15" hidden="false" customHeight="false" outlineLevel="0" collapsed="false">
      <c r="A1033" s="31" t="n">
        <v>46259</v>
      </c>
      <c r="B1033" s="32" t="s">
        <v>101</v>
      </c>
      <c r="C1033" s="32" t="s">
        <v>112</v>
      </c>
      <c r="D1033" s="33" t="s">
        <v>89</v>
      </c>
      <c r="E1033" s="34" t="n">
        <v>1.75</v>
      </c>
      <c r="F1033" s="32"/>
      <c r="G1033" s="35" t="n">
        <f aca="false">IF(A1033="","",A1033+7-WEEKDAY(A1033))</f>
        <v>46263</v>
      </c>
      <c r="H1033" s="36" t="n">
        <f aca="false">IF(A1033="","",DATE(YEAR(A1033),MONTH(A1033),1))</f>
        <v>46235</v>
      </c>
      <c r="I1033" s="37" t="str">
        <f aca="false">IF(B1033="","",IFERROR(INDEX(st_ID,MATCH(B1033,st_Name,0)),"Unknown"))</f>
        <v>QP-04</v>
      </c>
      <c r="J1033" s="37" t="str">
        <f aca="false">IF(C1033="","",IFERROR(INDEX(cl_Code,MATCH(C1033,cl_Name,0)),"Unknown"))</f>
        <v>PCA</v>
      </c>
      <c r="K1033" s="37" t="str">
        <f aca="false">IF(D1033="","",IFERROR(INDEX(rt_Billable,MATCH(D1033,rt_Code,0)),"Unknown"))</f>
        <v>Yes</v>
      </c>
      <c r="L1033" s="38" t="n">
        <f aca="false">IF(K1033&lt;&gt;"Yes","",IFERROR(INDEX(cr_Rate,MATCH(J1033&amp;"|"&amp;D1033,cr_Key,0)),INDEX(rt_Rate,MATCH(D1033,rt_Code,0))))</f>
        <v>95</v>
      </c>
      <c r="M1033" s="25" t="n">
        <f aca="false">IF(L1033="","",ROUND(N(E1033)*L1033,2))</f>
        <v>166.25</v>
      </c>
      <c r="N1033" s="39" t="n">
        <f aca="false">IF(OR(A1033="",B1033=""),"",SUMIFS(tl_Hours,tl_StaffID,I1033,tl_Date,A1033))</f>
        <v>8</v>
      </c>
      <c r="O1033" s="40" t="str">
        <f aca="false">IF(A1033&amp;B1033&amp;D1033="","",IF(OR(A1033="",B1033="",D1033="",E1033=""),"Incomplete",IF(K1033="Unknown","Unknown code",IF(AND(K1033="Yes",C1033=""),"Billable, needs client",IF(N1033&gt;MaxDayHours,"Over "&amp;MaxDayHours&amp;" hours that day","")))))</f>
        <v/>
      </c>
    </row>
    <row r="1034" customFormat="false" ht="15" hidden="false" customHeight="false" outlineLevel="0" collapsed="false">
      <c r="A1034" s="31" t="n">
        <v>46259</v>
      </c>
      <c r="B1034" s="32" t="s">
        <v>101</v>
      </c>
      <c r="C1034" s="32"/>
      <c r="D1034" s="33" t="s">
        <v>96</v>
      </c>
      <c r="E1034" s="34" t="n">
        <v>1.75</v>
      </c>
      <c r="F1034" s="32"/>
      <c r="G1034" s="35" t="n">
        <f aca="false">IF(A1034="","",A1034+7-WEEKDAY(A1034))</f>
        <v>46263</v>
      </c>
      <c r="H1034" s="36" t="n">
        <f aca="false">IF(A1034="","",DATE(YEAR(A1034),MONTH(A1034),1))</f>
        <v>46235</v>
      </c>
      <c r="I1034" s="37" t="str">
        <f aca="false">IF(B1034="","",IFERROR(INDEX(st_ID,MATCH(B1034,st_Name,0)),"Unknown"))</f>
        <v>QP-04</v>
      </c>
      <c r="J1034" s="37" t="str">
        <f aca="false">IF(C1034="","",IFERROR(INDEX(cl_Code,MATCH(C1034,cl_Name,0)),"Unknown"))</f>
        <v/>
      </c>
      <c r="K1034" s="37" t="str">
        <f aca="false">IF(D1034="","",IFERROR(INDEX(rt_Billable,MATCH(D1034,rt_Code,0)),"Unknown"))</f>
        <v>No</v>
      </c>
      <c r="L1034" s="38" t="str">
        <f aca="false">IF(K1034&lt;&gt;"Yes","",IFERROR(INDEX(cr_Rate,MATCH(J1034&amp;"|"&amp;D1034,cr_Key,0)),INDEX(rt_Rate,MATCH(D1034,rt_Code,0))))</f>
        <v/>
      </c>
      <c r="M1034" s="25" t="str">
        <f aca="false">IF(L1034="","",ROUND(N(E1034)*L1034,2))</f>
        <v/>
      </c>
      <c r="N1034" s="39" t="n">
        <f aca="false">IF(OR(A1034="",B1034=""),"",SUMIFS(tl_Hours,tl_StaffID,I1034,tl_Date,A1034))</f>
        <v>8</v>
      </c>
      <c r="O1034" s="40" t="str">
        <f aca="false">IF(A1034&amp;B1034&amp;D1034="","",IF(OR(A1034="",B1034="",D1034="",E1034=""),"Incomplete",IF(K1034="Unknown","Unknown code",IF(AND(K1034="Yes",C1034=""),"Billable, needs client",IF(N1034&gt;MaxDayHours,"Over "&amp;MaxDayHours&amp;" hours that day","")))))</f>
        <v/>
      </c>
    </row>
    <row r="1035" customFormat="false" ht="15" hidden="false" customHeight="false" outlineLevel="0" collapsed="false">
      <c r="A1035" s="31" t="n">
        <v>46259</v>
      </c>
      <c r="B1035" s="32" t="s">
        <v>103</v>
      </c>
      <c r="C1035" s="32" t="s">
        <v>87</v>
      </c>
      <c r="D1035" s="33" t="s">
        <v>88</v>
      </c>
      <c r="E1035" s="34" t="n">
        <v>1.75</v>
      </c>
      <c r="F1035" s="32"/>
      <c r="G1035" s="35" t="n">
        <f aca="false">IF(A1035="","",A1035+7-WEEKDAY(A1035))</f>
        <v>46263</v>
      </c>
      <c r="H1035" s="36" t="n">
        <f aca="false">IF(A1035="","",DATE(YEAR(A1035),MONTH(A1035),1))</f>
        <v>46235</v>
      </c>
      <c r="I1035" s="37" t="str">
        <f aca="false">IF(B1035="","",IFERROR(INDEX(st_ID,MATCH(B1035,st_Name,0)),"Unknown"))</f>
        <v>QP-05</v>
      </c>
      <c r="J1035" s="37" t="str">
        <f aca="false">IF(C1035="","",IFERROR(INDEX(cl_Code,MATCH(C1035,cl_Name,0)),"Unknown"))</f>
        <v>HCS</v>
      </c>
      <c r="K1035" s="37" t="str">
        <f aca="false">IF(D1035="","",IFERROR(INDEX(rt_Billable,MATCH(D1035,rt_Code,0)),"Unknown"))</f>
        <v>Yes</v>
      </c>
      <c r="L1035" s="38" t="n">
        <f aca="false">IF(K1035&lt;&gt;"Yes","",IFERROR(INDEX(cr_Rate,MATCH(J1035&amp;"|"&amp;D1035,cr_Key,0)),INDEX(rt_Rate,MATCH(D1035,rt_Code,0))))</f>
        <v>98</v>
      </c>
      <c r="M1035" s="25" t="n">
        <f aca="false">IF(L1035="","",ROUND(N(E1035)*L1035,2))</f>
        <v>171.5</v>
      </c>
      <c r="N1035" s="39" t="n">
        <f aca="false">IF(OR(A1035="",B1035=""),"",SUMIFS(tl_Hours,tl_StaffID,I1035,tl_Date,A1035))</f>
        <v>8</v>
      </c>
      <c r="O1035" s="40" t="str">
        <f aca="false">IF(A1035&amp;B1035&amp;D1035="","",IF(OR(A1035="",B1035="",D1035="",E1035=""),"Incomplete",IF(K1035="Unknown","Unknown code",IF(AND(K1035="Yes",C1035=""),"Billable, needs client",IF(N1035&gt;MaxDayHours,"Over "&amp;MaxDayHours&amp;" hours that day","")))))</f>
        <v/>
      </c>
    </row>
    <row r="1036" customFormat="false" ht="15" hidden="false" customHeight="false" outlineLevel="0" collapsed="false">
      <c r="A1036" s="31" t="n">
        <v>46259</v>
      </c>
      <c r="B1036" s="32" t="s">
        <v>103</v>
      </c>
      <c r="C1036" s="32" t="s">
        <v>87</v>
      </c>
      <c r="D1036" s="33" t="s">
        <v>104</v>
      </c>
      <c r="E1036" s="34" t="n">
        <v>0.5</v>
      </c>
      <c r="F1036" s="32"/>
      <c r="G1036" s="35" t="n">
        <f aca="false">IF(A1036="","",A1036+7-WEEKDAY(A1036))</f>
        <v>46263</v>
      </c>
      <c r="H1036" s="36" t="n">
        <f aca="false">IF(A1036="","",DATE(YEAR(A1036),MONTH(A1036),1))</f>
        <v>46235</v>
      </c>
      <c r="I1036" s="37" t="str">
        <f aca="false">IF(B1036="","",IFERROR(INDEX(st_ID,MATCH(B1036,st_Name,0)),"Unknown"))</f>
        <v>QP-05</v>
      </c>
      <c r="J1036" s="37" t="str">
        <f aca="false">IF(C1036="","",IFERROR(INDEX(cl_Code,MATCH(C1036,cl_Name,0)),"Unknown"))</f>
        <v>HCS</v>
      </c>
      <c r="K1036" s="37" t="str">
        <f aca="false">IF(D1036="","",IFERROR(INDEX(rt_Billable,MATCH(D1036,rt_Code,0)),"Unknown"))</f>
        <v>Yes</v>
      </c>
      <c r="L1036" s="38" t="n">
        <f aca="false">IF(K1036&lt;&gt;"Yes","",IFERROR(INDEX(cr_Rate,MATCH(J1036&amp;"|"&amp;D1036,cr_Key,0)),INDEX(rt_Rate,MATCH(D1036,rt_Code,0))))</f>
        <v>62</v>
      </c>
      <c r="M1036" s="25" t="n">
        <f aca="false">IF(L1036="","",ROUND(N(E1036)*L1036,2))</f>
        <v>31</v>
      </c>
      <c r="N1036" s="39" t="n">
        <f aca="false">IF(OR(A1036="",B1036=""),"",SUMIFS(tl_Hours,tl_StaffID,I1036,tl_Date,A1036))</f>
        <v>8</v>
      </c>
      <c r="O1036" s="40" t="str">
        <f aca="false">IF(A1036&amp;B1036&amp;D1036="","",IF(OR(A1036="",B1036="",D1036="",E1036=""),"Incomplete",IF(K1036="Unknown","Unknown code",IF(AND(K1036="Yes",C1036=""),"Billable, needs client",IF(N1036&gt;MaxDayHours,"Over "&amp;MaxDayHours&amp;" hours that day","")))))</f>
        <v/>
      </c>
    </row>
    <row r="1037" customFormat="false" ht="15" hidden="false" customHeight="false" outlineLevel="0" collapsed="false">
      <c r="A1037" s="31" t="n">
        <v>46259</v>
      </c>
      <c r="B1037" s="32" t="s">
        <v>103</v>
      </c>
      <c r="C1037" s="32" t="s">
        <v>90</v>
      </c>
      <c r="D1037" s="33" t="s">
        <v>91</v>
      </c>
      <c r="E1037" s="34" t="n">
        <v>1.75</v>
      </c>
      <c r="F1037" s="32"/>
      <c r="G1037" s="35" t="n">
        <f aca="false">IF(A1037="","",A1037+7-WEEKDAY(A1037))</f>
        <v>46263</v>
      </c>
      <c r="H1037" s="36" t="n">
        <f aca="false">IF(A1037="","",DATE(YEAR(A1037),MONTH(A1037),1))</f>
        <v>46235</v>
      </c>
      <c r="I1037" s="37" t="str">
        <f aca="false">IF(B1037="","",IFERROR(INDEX(st_ID,MATCH(B1037,st_Name,0)),"Unknown"))</f>
        <v>QP-05</v>
      </c>
      <c r="J1037" s="37" t="str">
        <f aca="false">IF(C1037="","",IFERROR(INDEX(cl_Code,MATCH(C1037,cl_Name,0)),"Unknown"))</f>
        <v>BSE</v>
      </c>
      <c r="K1037" s="37" t="str">
        <f aca="false">IF(D1037="","",IFERROR(INDEX(rt_Billable,MATCH(D1037,rt_Code,0)),"Unknown"))</f>
        <v>Yes</v>
      </c>
      <c r="L1037" s="38" t="n">
        <f aca="false">IF(K1037&lt;&gt;"Yes","",IFERROR(INDEX(cr_Rate,MATCH(J1037&amp;"|"&amp;D1037,cr_Key,0)),INDEX(rt_Rate,MATCH(D1037,rt_Code,0))))</f>
        <v>100</v>
      </c>
      <c r="M1037" s="25" t="n">
        <f aca="false">IF(L1037="","",ROUND(N(E1037)*L1037,2))</f>
        <v>175</v>
      </c>
      <c r="N1037" s="39" t="n">
        <f aca="false">IF(OR(A1037="",B1037=""),"",SUMIFS(tl_Hours,tl_StaffID,I1037,tl_Date,A1037))</f>
        <v>8</v>
      </c>
      <c r="O1037" s="40" t="str">
        <f aca="false">IF(A1037&amp;B1037&amp;D1037="","",IF(OR(A1037="",B1037="",D1037="",E1037=""),"Incomplete",IF(K1037="Unknown","Unknown code",IF(AND(K1037="Yes",C1037=""),"Billable, needs client",IF(N1037&gt;MaxDayHours,"Over "&amp;MaxDayHours&amp;" hours that day","")))))</f>
        <v/>
      </c>
    </row>
    <row r="1038" customFormat="false" ht="15" hidden="false" customHeight="false" outlineLevel="0" collapsed="false">
      <c r="A1038" s="31" t="n">
        <v>46259</v>
      </c>
      <c r="B1038" s="32" t="s">
        <v>103</v>
      </c>
      <c r="C1038" s="32" t="s">
        <v>90</v>
      </c>
      <c r="D1038" s="33" t="s">
        <v>88</v>
      </c>
      <c r="E1038" s="34" t="n">
        <v>0.5</v>
      </c>
      <c r="F1038" s="32"/>
      <c r="G1038" s="35" t="n">
        <f aca="false">IF(A1038="","",A1038+7-WEEKDAY(A1038))</f>
        <v>46263</v>
      </c>
      <c r="H1038" s="36" t="n">
        <f aca="false">IF(A1038="","",DATE(YEAR(A1038),MONTH(A1038),1))</f>
        <v>46235</v>
      </c>
      <c r="I1038" s="37" t="str">
        <f aca="false">IF(B1038="","",IFERROR(INDEX(st_ID,MATCH(B1038,st_Name,0)),"Unknown"))</f>
        <v>QP-05</v>
      </c>
      <c r="J1038" s="37" t="str">
        <f aca="false">IF(C1038="","",IFERROR(INDEX(cl_Code,MATCH(C1038,cl_Name,0)),"Unknown"))</f>
        <v>BSE</v>
      </c>
      <c r="K1038" s="37" t="str">
        <f aca="false">IF(D1038="","",IFERROR(INDEX(rt_Billable,MATCH(D1038,rt_Code,0)),"Unknown"))</f>
        <v>Yes</v>
      </c>
      <c r="L1038" s="38" t="n">
        <f aca="false">IF(K1038&lt;&gt;"Yes","",IFERROR(INDEX(cr_Rate,MATCH(J1038&amp;"|"&amp;D1038,cr_Key,0)),INDEX(rt_Rate,MATCH(D1038,rt_Code,0))))</f>
        <v>104</v>
      </c>
      <c r="M1038" s="25" t="n">
        <f aca="false">IF(L1038="","",ROUND(N(E1038)*L1038,2))</f>
        <v>52</v>
      </c>
      <c r="N1038" s="39" t="n">
        <f aca="false">IF(OR(A1038="",B1038=""),"",SUMIFS(tl_Hours,tl_StaffID,I1038,tl_Date,A1038))</f>
        <v>8</v>
      </c>
      <c r="O1038" s="40" t="str">
        <f aca="false">IF(A1038&amp;B1038&amp;D1038="","",IF(OR(A1038="",B1038="",D1038="",E1038=""),"Incomplete",IF(K1038="Unknown","Unknown code",IF(AND(K1038="Yes",C1038=""),"Billable, needs client",IF(N1038&gt;MaxDayHours,"Over "&amp;MaxDayHours&amp;" hours that day","")))))</f>
        <v/>
      </c>
    </row>
    <row r="1039" customFormat="false" ht="15" hidden="false" customHeight="false" outlineLevel="0" collapsed="false">
      <c r="A1039" s="31" t="n">
        <v>46259</v>
      </c>
      <c r="B1039" s="32" t="s">
        <v>103</v>
      </c>
      <c r="C1039" s="32"/>
      <c r="D1039" s="33" t="s">
        <v>93</v>
      </c>
      <c r="E1039" s="34" t="n">
        <v>0.5</v>
      </c>
      <c r="F1039" s="32"/>
      <c r="G1039" s="35" t="n">
        <f aca="false">IF(A1039="","",A1039+7-WEEKDAY(A1039))</f>
        <v>46263</v>
      </c>
      <c r="H1039" s="36" t="n">
        <f aca="false">IF(A1039="","",DATE(YEAR(A1039),MONTH(A1039),1))</f>
        <v>46235</v>
      </c>
      <c r="I1039" s="37" t="str">
        <f aca="false">IF(B1039="","",IFERROR(INDEX(st_ID,MATCH(B1039,st_Name,0)),"Unknown"))</f>
        <v>QP-05</v>
      </c>
      <c r="J1039" s="37" t="str">
        <f aca="false">IF(C1039="","",IFERROR(INDEX(cl_Code,MATCH(C1039,cl_Name,0)),"Unknown"))</f>
        <v/>
      </c>
      <c r="K1039" s="37" t="str">
        <f aca="false">IF(D1039="","",IFERROR(INDEX(rt_Billable,MATCH(D1039,rt_Code,0)),"Unknown"))</f>
        <v>No</v>
      </c>
      <c r="L1039" s="38" t="str">
        <f aca="false">IF(K1039&lt;&gt;"Yes","",IFERROR(INDEX(cr_Rate,MATCH(J1039&amp;"|"&amp;D1039,cr_Key,0)),INDEX(rt_Rate,MATCH(D1039,rt_Code,0))))</f>
        <v/>
      </c>
      <c r="M1039" s="25" t="str">
        <f aca="false">IF(L1039="","",ROUND(N(E1039)*L1039,2))</f>
        <v/>
      </c>
      <c r="N1039" s="39" t="n">
        <f aca="false">IF(OR(A1039="",B1039=""),"",SUMIFS(tl_Hours,tl_StaffID,I1039,tl_Date,A1039))</f>
        <v>8</v>
      </c>
      <c r="O1039" s="40" t="str">
        <f aca="false">IF(A1039&amp;B1039&amp;D1039="","",IF(OR(A1039="",B1039="",D1039="",E1039=""),"Incomplete",IF(K1039="Unknown","Unknown code",IF(AND(K1039="Yes",C1039=""),"Billable, needs client",IF(N1039&gt;MaxDayHours,"Over "&amp;MaxDayHours&amp;" hours that day","")))))</f>
        <v/>
      </c>
    </row>
    <row r="1040" customFormat="false" ht="15" hidden="false" customHeight="false" outlineLevel="0" collapsed="false">
      <c r="A1040" s="31" t="n">
        <v>46259</v>
      </c>
      <c r="B1040" s="32" t="s">
        <v>103</v>
      </c>
      <c r="C1040" s="32"/>
      <c r="D1040" s="33" t="s">
        <v>96</v>
      </c>
      <c r="E1040" s="34" t="n">
        <v>3</v>
      </c>
      <c r="F1040" s="32"/>
      <c r="G1040" s="35" t="n">
        <f aca="false">IF(A1040="","",A1040+7-WEEKDAY(A1040))</f>
        <v>46263</v>
      </c>
      <c r="H1040" s="36" t="n">
        <f aca="false">IF(A1040="","",DATE(YEAR(A1040),MONTH(A1040),1))</f>
        <v>46235</v>
      </c>
      <c r="I1040" s="37" t="str">
        <f aca="false">IF(B1040="","",IFERROR(INDEX(st_ID,MATCH(B1040,st_Name,0)),"Unknown"))</f>
        <v>QP-05</v>
      </c>
      <c r="J1040" s="37" t="str">
        <f aca="false">IF(C1040="","",IFERROR(INDEX(cl_Code,MATCH(C1040,cl_Name,0)),"Unknown"))</f>
        <v/>
      </c>
      <c r="K1040" s="37" t="str">
        <f aca="false">IF(D1040="","",IFERROR(INDEX(rt_Billable,MATCH(D1040,rt_Code,0)),"Unknown"))</f>
        <v>No</v>
      </c>
      <c r="L1040" s="38" t="str">
        <f aca="false">IF(K1040&lt;&gt;"Yes","",IFERROR(INDEX(cr_Rate,MATCH(J1040&amp;"|"&amp;D1040,cr_Key,0)),INDEX(rt_Rate,MATCH(D1040,rt_Code,0))))</f>
        <v/>
      </c>
      <c r="M1040" s="25" t="str">
        <f aca="false">IF(L1040="","",ROUND(N(E1040)*L1040,2))</f>
        <v/>
      </c>
      <c r="N1040" s="39" t="n">
        <f aca="false">IF(OR(A1040="",B1040=""),"",SUMIFS(tl_Hours,tl_StaffID,I1040,tl_Date,A1040))</f>
        <v>8</v>
      </c>
      <c r="O1040" s="40" t="str">
        <f aca="false">IF(A1040&amp;B1040&amp;D1040="","",IF(OR(A1040="",B1040="",D1040="",E1040=""),"Incomplete",IF(K1040="Unknown","Unknown code",IF(AND(K1040="Yes",C1040=""),"Billable, needs client",IF(N1040&gt;MaxDayHours,"Over "&amp;MaxDayHours&amp;" hours that day","")))))</f>
        <v/>
      </c>
    </row>
    <row r="1041" customFormat="false" ht="15" hidden="false" customHeight="false" outlineLevel="0" collapsed="false">
      <c r="A1041" s="31" t="n">
        <v>46259</v>
      </c>
      <c r="B1041" s="32" t="s">
        <v>105</v>
      </c>
      <c r="C1041" s="32" t="s">
        <v>90</v>
      </c>
      <c r="D1041" s="33" t="s">
        <v>91</v>
      </c>
      <c r="E1041" s="34" t="n">
        <v>4</v>
      </c>
      <c r="F1041" s="32"/>
      <c r="G1041" s="35" t="n">
        <f aca="false">IF(A1041="","",A1041+7-WEEKDAY(A1041))</f>
        <v>46263</v>
      </c>
      <c r="H1041" s="36" t="n">
        <f aca="false">IF(A1041="","",DATE(YEAR(A1041),MONTH(A1041),1))</f>
        <v>46235</v>
      </c>
      <c r="I1041" s="37" t="str">
        <f aca="false">IF(B1041="","",IFERROR(INDEX(st_ID,MATCH(B1041,st_Name,0)),"Unknown"))</f>
        <v>QP-06</v>
      </c>
      <c r="J1041" s="37" t="str">
        <f aca="false">IF(C1041="","",IFERROR(INDEX(cl_Code,MATCH(C1041,cl_Name,0)),"Unknown"))</f>
        <v>BSE</v>
      </c>
      <c r="K1041" s="37" t="str">
        <f aca="false">IF(D1041="","",IFERROR(INDEX(rt_Billable,MATCH(D1041,rt_Code,0)),"Unknown"))</f>
        <v>Yes</v>
      </c>
      <c r="L1041" s="38" t="n">
        <f aca="false">IF(K1041&lt;&gt;"Yes","",IFERROR(INDEX(cr_Rate,MATCH(J1041&amp;"|"&amp;D1041,cr_Key,0)),INDEX(rt_Rate,MATCH(D1041,rt_Code,0))))</f>
        <v>100</v>
      </c>
      <c r="M1041" s="25" t="n">
        <f aca="false">IF(L1041="","",ROUND(N(E1041)*L1041,2))</f>
        <v>400</v>
      </c>
      <c r="N1041" s="39" t="n">
        <f aca="false">IF(OR(A1041="",B1041=""),"",SUMIFS(tl_Hours,tl_StaffID,I1041,tl_Date,A1041))</f>
        <v>8</v>
      </c>
      <c r="O1041" s="40" t="str">
        <f aca="false">IF(A1041&amp;B1041&amp;D1041="","",IF(OR(A1041="",B1041="",D1041="",E1041=""),"Incomplete",IF(K1041="Unknown","Unknown code",IF(AND(K1041="Yes",C1041=""),"Billable, needs client",IF(N1041&gt;MaxDayHours,"Over "&amp;MaxDayHours&amp;" hours that day","")))))</f>
        <v/>
      </c>
    </row>
    <row r="1042" customFormat="false" ht="15" hidden="false" customHeight="false" outlineLevel="0" collapsed="false">
      <c r="A1042" s="31" t="n">
        <v>46259</v>
      </c>
      <c r="B1042" s="32" t="s">
        <v>105</v>
      </c>
      <c r="C1042" s="32" t="s">
        <v>90</v>
      </c>
      <c r="D1042" s="33" t="s">
        <v>104</v>
      </c>
      <c r="E1042" s="34" t="n">
        <v>1</v>
      </c>
      <c r="F1042" s="32"/>
      <c r="G1042" s="35" t="n">
        <f aca="false">IF(A1042="","",A1042+7-WEEKDAY(A1042))</f>
        <v>46263</v>
      </c>
      <c r="H1042" s="36" t="n">
        <f aca="false">IF(A1042="","",DATE(YEAR(A1042),MONTH(A1042),1))</f>
        <v>46235</v>
      </c>
      <c r="I1042" s="37" t="str">
        <f aca="false">IF(B1042="","",IFERROR(INDEX(st_ID,MATCH(B1042,st_Name,0)),"Unknown"))</f>
        <v>QP-06</v>
      </c>
      <c r="J1042" s="37" t="str">
        <f aca="false">IF(C1042="","",IFERROR(INDEX(cl_Code,MATCH(C1042,cl_Name,0)),"Unknown"))</f>
        <v>BSE</v>
      </c>
      <c r="K1042" s="37" t="str">
        <f aca="false">IF(D1042="","",IFERROR(INDEX(rt_Billable,MATCH(D1042,rt_Code,0)),"Unknown"))</f>
        <v>Yes</v>
      </c>
      <c r="L1042" s="38" t="n">
        <f aca="false">IF(K1042&lt;&gt;"Yes","",IFERROR(INDEX(cr_Rate,MATCH(J1042&amp;"|"&amp;D1042,cr_Key,0)),INDEX(rt_Rate,MATCH(D1042,rt_Code,0))))</f>
        <v>70</v>
      </c>
      <c r="M1042" s="25" t="n">
        <f aca="false">IF(L1042="","",ROUND(N(E1042)*L1042,2))</f>
        <v>70</v>
      </c>
      <c r="N1042" s="39" t="n">
        <f aca="false">IF(OR(A1042="",B1042=""),"",SUMIFS(tl_Hours,tl_StaffID,I1042,tl_Date,A1042))</f>
        <v>8</v>
      </c>
      <c r="O1042" s="40" t="str">
        <f aca="false">IF(A1042&amp;B1042&amp;D1042="","",IF(OR(A1042="",B1042="",D1042="",E1042=""),"Incomplete",IF(K1042="Unknown","Unknown code",IF(AND(K1042="Yes",C1042=""),"Billable, needs client",IF(N1042&gt;MaxDayHours,"Over "&amp;MaxDayHours&amp;" hours that day","")))))</f>
        <v/>
      </c>
    </row>
    <row r="1043" customFormat="false" ht="15" hidden="false" customHeight="false" outlineLevel="0" collapsed="false">
      <c r="A1043" s="31" t="n">
        <v>46259</v>
      </c>
      <c r="B1043" s="32" t="s">
        <v>105</v>
      </c>
      <c r="C1043" s="32"/>
      <c r="D1043" s="33" t="s">
        <v>96</v>
      </c>
      <c r="E1043" s="34" t="n">
        <v>3</v>
      </c>
      <c r="F1043" s="32"/>
      <c r="G1043" s="35" t="n">
        <f aca="false">IF(A1043="","",A1043+7-WEEKDAY(A1043))</f>
        <v>46263</v>
      </c>
      <c r="H1043" s="36" t="n">
        <f aca="false">IF(A1043="","",DATE(YEAR(A1043),MONTH(A1043),1))</f>
        <v>46235</v>
      </c>
      <c r="I1043" s="37" t="str">
        <f aca="false">IF(B1043="","",IFERROR(INDEX(st_ID,MATCH(B1043,st_Name,0)),"Unknown"))</f>
        <v>QP-06</v>
      </c>
      <c r="J1043" s="37" t="str">
        <f aca="false">IF(C1043="","",IFERROR(INDEX(cl_Code,MATCH(C1043,cl_Name,0)),"Unknown"))</f>
        <v/>
      </c>
      <c r="K1043" s="37" t="str">
        <f aca="false">IF(D1043="","",IFERROR(INDEX(rt_Billable,MATCH(D1043,rt_Code,0)),"Unknown"))</f>
        <v>No</v>
      </c>
      <c r="L1043" s="38" t="str">
        <f aca="false">IF(K1043&lt;&gt;"Yes","",IFERROR(INDEX(cr_Rate,MATCH(J1043&amp;"|"&amp;D1043,cr_Key,0)),INDEX(rt_Rate,MATCH(D1043,rt_Code,0))))</f>
        <v/>
      </c>
      <c r="M1043" s="25" t="str">
        <f aca="false">IF(L1043="","",ROUND(N(E1043)*L1043,2))</f>
        <v/>
      </c>
      <c r="N1043" s="39" t="n">
        <f aca="false">IF(OR(A1043="",B1043=""),"",SUMIFS(tl_Hours,tl_StaffID,I1043,tl_Date,A1043))</f>
        <v>8</v>
      </c>
      <c r="O1043" s="40" t="str">
        <f aca="false">IF(A1043&amp;B1043&amp;D1043="","",IF(OR(A1043="",B1043="",D1043="",E1043=""),"Incomplete",IF(K1043="Unknown","Unknown code",IF(AND(K1043="Yes",C1043=""),"Billable, needs client",IF(N1043&gt;MaxDayHours,"Over "&amp;MaxDayHours&amp;" hours that day","")))))</f>
        <v/>
      </c>
    </row>
    <row r="1044" customFormat="false" ht="15" hidden="false" customHeight="false" outlineLevel="0" collapsed="false">
      <c r="A1044" s="31" t="n">
        <v>46259</v>
      </c>
      <c r="B1044" s="32" t="s">
        <v>106</v>
      </c>
      <c r="C1044" s="32" t="s">
        <v>87</v>
      </c>
      <c r="D1044" s="33" t="s">
        <v>88</v>
      </c>
      <c r="E1044" s="34" t="n">
        <v>4.25</v>
      </c>
      <c r="F1044" s="32"/>
      <c r="G1044" s="35" t="n">
        <f aca="false">IF(A1044="","",A1044+7-WEEKDAY(A1044))</f>
        <v>46263</v>
      </c>
      <c r="H1044" s="36" t="n">
        <f aca="false">IF(A1044="","",DATE(YEAR(A1044),MONTH(A1044),1))</f>
        <v>46235</v>
      </c>
      <c r="I1044" s="37" t="str">
        <f aca="false">IF(B1044="","",IFERROR(INDEX(st_ID,MATCH(B1044,st_Name,0)),"Unknown"))</f>
        <v>QP-07</v>
      </c>
      <c r="J1044" s="37" t="str">
        <f aca="false">IF(C1044="","",IFERROR(INDEX(cl_Code,MATCH(C1044,cl_Name,0)),"Unknown"))</f>
        <v>HCS</v>
      </c>
      <c r="K1044" s="37" t="str">
        <f aca="false">IF(D1044="","",IFERROR(INDEX(rt_Billable,MATCH(D1044,rt_Code,0)),"Unknown"))</f>
        <v>Yes</v>
      </c>
      <c r="L1044" s="38" t="n">
        <f aca="false">IF(K1044&lt;&gt;"Yes","",IFERROR(INDEX(cr_Rate,MATCH(J1044&amp;"|"&amp;D1044,cr_Key,0)),INDEX(rt_Rate,MATCH(D1044,rt_Code,0))))</f>
        <v>98</v>
      </c>
      <c r="M1044" s="25" t="n">
        <f aca="false">IF(L1044="","",ROUND(N(E1044)*L1044,2))</f>
        <v>416.5</v>
      </c>
      <c r="N1044" s="39" t="n">
        <f aca="false">IF(OR(A1044="",B1044=""),"",SUMIFS(tl_Hours,tl_StaffID,I1044,tl_Date,A1044))</f>
        <v>8</v>
      </c>
      <c r="O1044" s="40" t="str">
        <f aca="false">IF(A1044&amp;B1044&amp;D1044="","",IF(OR(A1044="",B1044="",D1044="",E1044=""),"Incomplete",IF(K1044="Unknown","Unknown code",IF(AND(K1044="Yes",C1044=""),"Billable, needs client",IF(N1044&gt;MaxDayHours,"Over "&amp;MaxDayHours&amp;" hours that day","")))))</f>
        <v/>
      </c>
    </row>
    <row r="1045" customFormat="false" ht="15" hidden="false" customHeight="false" outlineLevel="0" collapsed="false">
      <c r="A1045" s="31" t="n">
        <v>46259</v>
      </c>
      <c r="B1045" s="32" t="s">
        <v>106</v>
      </c>
      <c r="C1045" s="32" t="s">
        <v>87</v>
      </c>
      <c r="D1045" s="33" t="s">
        <v>89</v>
      </c>
      <c r="E1045" s="34" t="n">
        <v>1.5</v>
      </c>
      <c r="F1045" s="32"/>
      <c r="G1045" s="35" t="n">
        <f aca="false">IF(A1045="","",A1045+7-WEEKDAY(A1045))</f>
        <v>46263</v>
      </c>
      <c r="H1045" s="36" t="n">
        <f aca="false">IF(A1045="","",DATE(YEAR(A1045),MONTH(A1045),1))</f>
        <v>46235</v>
      </c>
      <c r="I1045" s="37" t="str">
        <f aca="false">IF(B1045="","",IFERROR(INDEX(st_ID,MATCH(B1045,st_Name,0)),"Unknown"))</f>
        <v>QP-07</v>
      </c>
      <c r="J1045" s="37" t="str">
        <f aca="false">IF(C1045="","",IFERROR(INDEX(cl_Code,MATCH(C1045,cl_Name,0)),"Unknown"))</f>
        <v>HCS</v>
      </c>
      <c r="K1045" s="37" t="str">
        <f aca="false">IF(D1045="","",IFERROR(INDEX(rt_Billable,MATCH(D1045,rt_Code,0)),"Unknown"))</f>
        <v>Yes</v>
      </c>
      <c r="L1045" s="38" t="n">
        <f aca="false">IF(K1045&lt;&gt;"Yes","",IFERROR(INDEX(cr_Rate,MATCH(J1045&amp;"|"&amp;D1045,cr_Key,0)),INDEX(rt_Rate,MATCH(D1045,rt_Code,0))))</f>
        <v>88</v>
      </c>
      <c r="M1045" s="25" t="n">
        <f aca="false">IF(L1045="","",ROUND(N(E1045)*L1045,2))</f>
        <v>132</v>
      </c>
      <c r="N1045" s="39" t="n">
        <f aca="false">IF(OR(A1045="",B1045=""),"",SUMIFS(tl_Hours,tl_StaffID,I1045,tl_Date,A1045))</f>
        <v>8</v>
      </c>
      <c r="O1045" s="40" t="str">
        <f aca="false">IF(A1045&amp;B1045&amp;D1045="","",IF(OR(A1045="",B1045="",D1045="",E1045=""),"Incomplete",IF(K1045="Unknown","Unknown code",IF(AND(K1045="Yes",C1045=""),"Billable, needs client",IF(N1045&gt;MaxDayHours,"Over "&amp;MaxDayHours&amp;" hours that day","")))))</f>
        <v/>
      </c>
    </row>
    <row r="1046" customFormat="false" ht="15" hidden="false" customHeight="false" outlineLevel="0" collapsed="false">
      <c r="A1046" s="31" t="n">
        <v>46259</v>
      </c>
      <c r="B1046" s="32" t="s">
        <v>106</v>
      </c>
      <c r="C1046" s="32"/>
      <c r="D1046" s="33" t="s">
        <v>96</v>
      </c>
      <c r="E1046" s="34" t="n">
        <v>2.25</v>
      </c>
      <c r="F1046" s="32"/>
      <c r="G1046" s="35" t="n">
        <f aca="false">IF(A1046="","",A1046+7-WEEKDAY(A1046))</f>
        <v>46263</v>
      </c>
      <c r="H1046" s="36" t="n">
        <f aca="false">IF(A1046="","",DATE(YEAR(A1046),MONTH(A1046),1))</f>
        <v>46235</v>
      </c>
      <c r="I1046" s="37" t="str">
        <f aca="false">IF(B1046="","",IFERROR(INDEX(st_ID,MATCH(B1046,st_Name,0)),"Unknown"))</f>
        <v>QP-07</v>
      </c>
      <c r="J1046" s="37" t="str">
        <f aca="false">IF(C1046="","",IFERROR(INDEX(cl_Code,MATCH(C1046,cl_Name,0)),"Unknown"))</f>
        <v/>
      </c>
      <c r="K1046" s="37" t="str">
        <f aca="false">IF(D1046="","",IFERROR(INDEX(rt_Billable,MATCH(D1046,rt_Code,0)),"Unknown"))</f>
        <v>No</v>
      </c>
      <c r="L1046" s="38" t="str">
        <f aca="false">IF(K1046&lt;&gt;"Yes","",IFERROR(INDEX(cr_Rate,MATCH(J1046&amp;"|"&amp;D1046,cr_Key,0)),INDEX(rt_Rate,MATCH(D1046,rt_Code,0))))</f>
        <v/>
      </c>
      <c r="M1046" s="25" t="str">
        <f aca="false">IF(L1046="","",ROUND(N(E1046)*L1046,2))</f>
        <v/>
      </c>
      <c r="N1046" s="39" t="n">
        <f aca="false">IF(OR(A1046="",B1046=""),"",SUMIFS(tl_Hours,tl_StaffID,I1046,tl_Date,A1046))</f>
        <v>8</v>
      </c>
      <c r="O1046" s="40" t="str">
        <f aca="false">IF(A1046&amp;B1046&amp;D1046="","",IF(OR(A1046="",B1046="",D1046="",E1046=""),"Incomplete",IF(K1046="Unknown","Unknown code",IF(AND(K1046="Yes",C1046=""),"Billable, needs client",IF(N1046&gt;MaxDayHours,"Over "&amp;MaxDayHours&amp;" hours that day","")))))</f>
        <v/>
      </c>
    </row>
    <row r="1047" customFormat="false" ht="15" hidden="false" customHeight="false" outlineLevel="0" collapsed="false">
      <c r="A1047" s="31" t="n">
        <v>46259</v>
      </c>
      <c r="B1047" s="32" t="s">
        <v>107</v>
      </c>
      <c r="C1047" s="32"/>
      <c r="D1047" s="33" t="s">
        <v>108</v>
      </c>
      <c r="E1047" s="34" t="n">
        <v>6.5</v>
      </c>
      <c r="F1047" s="32"/>
      <c r="G1047" s="35" t="n">
        <f aca="false">IF(A1047="","",A1047+7-WEEKDAY(A1047))</f>
        <v>46263</v>
      </c>
      <c r="H1047" s="36" t="n">
        <f aca="false">IF(A1047="","",DATE(YEAR(A1047),MONTH(A1047),1))</f>
        <v>46235</v>
      </c>
      <c r="I1047" s="37" t="str">
        <f aca="false">IF(B1047="","",IFERROR(INDEX(st_ID,MATCH(B1047,st_Name,0)),"Unknown"))</f>
        <v>QP-08</v>
      </c>
      <c r="J1047" s="37" t="str">
        <f aca="false">IF(C1047="","",IFERROR(INDEX(cl_Code,MATCH(C1047,cl_Name,0)),"Unknown"))</f>
        <v/>
      </c>
      <c r="K1047" s="37" t="str">
        <f aca="false">IF(D1047="","",IFERROR(INDEX(rt_Billable,MATCH(D1047,rt_Code,0)),"Unknown"))</f>
        <v>No</v>
      </c>
      <c r="L1047" s="38" t="str">
        <f aca="false">IF(K1047&lt;&gt;"Yes","",IFERROR(INDEX(cr_Rate,MATCH(J1047&amp;"|"&amp;D1047,cr_Key,0)),INDEX(rt_Rate,MATCH(D1047,rt_Code,0))))</f>
        <v/>
      </c>
      <c r="M1047" s="25" t="str">
        <f aca="false">IF(L1047="","",ROUND(N(E1047)*L1047,2))</f>
        <v/>
      </c>
      <c r="N1047" s="39" t="n">
        <f aca="false">IF(OR(A1047="",B1047=""),"",SUMIFS(tl_Hours,tl_StaffID,I1047,tl_Date,A1047))</f>
        <v>8</v>
      </c>
      <c r="O1047" s="40" t="str">
        <f aca="false">IF(A1047&amp;B1047&amp;D1047="","",IF(OR(A1047="",B1047="",D1047="",E1047=""),"Incomplete",IF(K1047="Unknown","Unknown code",IF(AND(K1047="Yes",C1047=""),"Billable, needs client",IF(N1047&gt;MaxDayHours,"Over "&amp;MaxDayHours&amp;" hours that day","")))))</f>
        <v/>
      </c>
    </row>
    <row r="1048" customFormat="false" ht="15" hidden="false" customHeight="false" outlineLevel="0" collapsed="false">
      <c r="A1048" s="31" t="n">
        <v>46259</v>
      </c>
      <c r="B1048" s="32" t="s">
        <v>107</v>
      </c>
      <c r="C1048" s="32"/>
      <c r="D1048" s="33" t="s">
        <v>98</v>
      </c>
      <c r="E1048" s="34" t="n">
        <v>1.5</v>
      </c>
      <c r="F1048" s="32"/>
      <c r="G1048" s="35" t="n">
        <f aca="false">IF(A1048="","",A1048+7-WEEKDAY(A1048))</f>
        <v>46263</v>
      </c>
      <c r="H1048" s="36" t="n">
        <f aca="false">IF(A1048="","",DATE(YEAR(A1048),MONTH(A1048),1))</f>
        <v>46235</v>
      </c>
      <c r="I1048" s="37" t="str">
        <f aca="false">IF(B1048="","",IFERROR(INDEX(st_ID,MATCH(B1048,st_Name,0)),"Unknown"))</f>
        <v>QP-08</v>
      </c>
      <c r="J1048" s="37" t="str">
        <f aca="false">IF(C1048="","",IFERROR(INDEX(cl_Code,MATCH(C1048,cl_Name,0)),"Unknown"))</f>
        <v/>
      </c>
      <c r="K1048" s="37" t="str">
        <f aca="false">IF(D1048="","",IFERROR(INDEX(rt_Billable,MATCH(D1048,rt_Code,0)),"Unknown"))</f>
        <v>No</v>
      </c>
      <c r="L1048" s="38" t="str">
        <f aca="false">IF(K1048&lt;&gt;"Yes","",IFERROR(INDEX(cr_Rate,MATCH(J1048&amp;"|"&amp;D1048,cr_Key,0)),INDEX(rt_Rate,MATCH(D1048,rt_Code,0))))</f>
        <v/>
      </c>
      <c r="M1048" s="25" t="str">
        <f aca="false">IF(L1048="","",ROUND(N(E1048)*L1048,2))</f>
        <v/>
      </c>
      <c r="N1048" s="39" t="n">
        <f aca="false">IF(OR(A1048="",B1048=""),"",SUMIFS(tl_Hours,tl_StaffID,I1048,tl_Date,A1048))</f>
        <v>8</v>
      </c>
      <c r="O1048" s="40" t="str">
        <f aca="false">IF(A1048&amp;B1048&amp;D1048="","",IF(OR(A1048="",B1048="",D1048="",E1048=""),"Incomplete",IF(K1048="Unknown","Unknown code",IF(AND(K1048="Yes",C1048=""),"Billable, needs client",IF(N1048&gt;MaxDayHours,"Over "&amp;MaxDayHours&amp;" hours that day","")))))</f>
        <v/>
      </c>
    </row>
    <row r="1049" customFormat="false" ht="15" hidden="false" customHeight="false" outlineLevel="0" collapsed="false">
      <c r="A1049" s="31" t="n">
        <v>46260</v>
      </c>
      <c r="B1049" s="32" t="s">
        <v>86</v>
      </c>
      <c r="C1049" s="32" t="s">
        <v>90</v>
      </c>
      <c r="D1049" s="33" t="s">
        <v>88</v>
      </c>
      <c r="E1049" s="34" t="n">
        <v>3.75</v>
      </c>
      <c r="F1049" s="32"/>
      <c r="G1049" s="35" t="n">
        <f aca="false">IF(A1049="","",A1049+7-WEEKDAY(A1049))</f>
        <v>46263</v>
      </c>
      <c r="H1049" s="36" t="n">
        <f aca="false">IF(A1049="","",DATE(YEAR(A1049),MONTH(A1049),1))</f>
        <v>46235</v>
      </c>
      <c r="I1049" s="37" t="str">
        <f aca="false">IF(B1049="","",IFERROR(INDEX(st_ID,MATCH(B1049,st_Name,0)),"Unknown"))</f>
        <v>QP-01</v>
      </c>
      <c r="J1049" s="37" t="str">
        <f aca="false">IF(C1049="","",IFERROR(INDEX(cl_Code,MATCH(C1049,cl_Name,0)),"Unknown"))</f>
        <v>BSE</v>
      </c>
      <c r="K1049" s="37" t="str">
        <f aca="false">IF(D1049="","",IFERROR(INDEX(rt_Billable,MATCH(D1049,rt_Code,0)),"Unknown"))</f>
        <v>Yes</v>
      </c>
      <c r="L1049" s="38" t="n">
        <f aca="false">IF(K1049&lt;&gt;"Yes","",IFERROR(INDEX(cr_Rate,MATCH(J1049&amp;"|"&amp;D1049,cr_Key,0)),INDEX(rt_Rate,MATCH(D1049,rt_Code,0))))</f>
        <v>104</v>
      </c>
      <c r="M1049" s="25" t="n">
        <f aca="false">IF(L1049="","",ROUND(N(E1049)*L1049,2))</f>
        <v>390</v>
      </c>
      <c r="N1049" s="39" t="n">
        <f aca="false">IF(OR(A1049="",B1049=""),"",SUMIFS(tl_Hours,tl_StaffID,I1049,tl_Date,A1049))</f>
        <v>8</v>
      </c>
      <c r="O1049" s="40" t="str">
        <f aca="false">IF(A1049&amp;B1049&amp;D1049="","",IF(OR(A1049="",B1049="",D1049="",E1049=""),"Incomplete",IF(K1049="Unknown","Unknown code",IF(AND(K1049="Yes",C1049=""),"Billable, needs client",IF(N1049&gt;MaxDayHours,"Over "&amp;MaxDayHours&amp;" hours that day","")))))</f>
        <v/>
      </c>
    </row>
    <row r="1050" customFormat="false" ht="15" hidden="false" customHeight="false" outlineLevel="0" collapsed="false">
      <c r="A1050" s="31" t="n">
        <v>46260</v>
      </c>
      <c r="B1050" s="32" t="s">
        <v>86</v>
      </c>
      <c r="C1050" s="32" t="s">
        <v>90</v>
      </c>
      <c r="D1050" s="33" t="s">
        <v>89</v>
      </c>
      <c r="E1050" s="34" t="n">
        <v>2.25</v>
      </c>
      <c r="F1050" s="32"/>
      <c r="G1050" s="35" t="n">
        <f aca="false">IF(A1050="","",A1050+7-WEEKDAY(A1050))</f>
        <v>46263</v>
      </c>
      <c r="H1050" s="36" t="n">
        <f aca="false">IF(A1050="","",DATE(YEAR(A1050),MONTH(A1050),1))</f>
        <v>46235</v>
      </c>
      <c r="I1050" s="37" t="str">
        <f aca="false">IF(B1050="","",IFERROR(INDEX(st_ID,MATCH(B1050,st_Name,0)),"Unknown"))</f>
        <v>QP-01</v>
      </c>
      <c r="J1050" s="37" t="str">
        <f aca="false">IF(C1050="","",IFERROR(INDEX(cl_Code,MATCH(C1050,cl_Name,0)),"Unknown"))</f>
        <v>BSE</v>
      </c>
      <c r="K1050" s="37" t="str">
        <f aca="false">IF(D1050="","",IFERROR(INDEX(rt_Billable,MATCH(D1050,rt_Code,0)),"Unknown"))</f>
        <v>Yes</v>
      </c>
      <c r="L1050" s="38" t="n">
        <f aca="false">IF(K1050&lt;&gt;"Yes","",IFERROR(INDEX(cr_Rate,MATCH(J1050&amp;"|"&amp;D1050,cr_Key,0)),INDEX(rt_Rate,MATCH(D1050,rt_Code,0))))</f>
        <v>95</v>
      </c>
      <c r="M1050" s="25" t="n">
        <f aca="false">IF(L1050="","",ROUND(N(E1050)*L1050,2))</f>
        <v>213.75</v>
      </c>
      <c r="N1050" s="39" t="n">
        <f aca="false">IF(OR(A1050="",B1050=""),"",SUMIFS(tl_Hours,tl_StaffID,I1050,tl_Date,A1050))</f>
        <v>8</v>
      </c>
      <c r="O1050" s="40" t="str">
        <f aca="false">IF(A1050&amp;B1050&amp;D1050="","",IF(OR(A1050="",B1050="",D1050="",E1050=""),"Incomplete",IF(K1050="Unknown","Unknown code",IF(AND(K1050="Yes",C1050=""),"Billable, needs client",IF(N1050&gt;MaxDayHours,"Over "&amp;MaxDayHours&amp;" hours that day","")))))</f>
        <v/>
      </c>
    </row>
    <row r="1051" customFormat="false" ht="15" hidden="false" customHeight="false" outlineLevel="0" collapsed="false">
      <c r="A1051" s="31" t="n">
        <v>46260</v>
      </c>
      <c r="B1051" s="32" t="s">
        <v>86</v>
      </c>
      <c r="C1051" s="32"/>
      <c r="D1051" s="33" t="s">
        <v>98</v>
      </c>
      <c r="E1051" s="34" t="n">
        <v>1</v>
      </c>
      <c r="F1051" s="32" t="s">
        <v>99</v>
      </c>
      <c r="G1051" s="35" t="n">
        <f aca="false">IF(A1051="","",A1051+7-WEEKDAY(A1051))</f>
        <v>46263</v>
      </c>
      <c r="H1051" s="36" t="n">
        <f aca="false">IF(A1051="","",DATE(YEAR(A1051),MONTH(A1051),1))</f>
        <v>46235</v>
      </c>
      <c r="I1051" s="37" t="str">
        <f aca="false">IF(B1051="","",IFERROR(INDEX(st_ID,MATCH(B1051,st_Name,0)),"Unknown"))</f>
        <v>QP-01</v>
      </c>
      <c r="J1051" s="37" t="str">
        <f aca="false">IF(C1051="","",IFERROR(INDEX(cl_Code,MATCH(C1051,cl_Name,0)),"Unknown"))</f>
        <v/>
      </c>
      <c r="K1051" s="37" t="str">
        <f aca="false">IF(D1051="","",IFERROR(INDEX(rt_Billable,MATCH(D1051,rt_Code,0)),"Unknown"))</f>
        <v>No</v>
      </c>
      <c r="L1051" s="38" t="str">
        <f aca="false">IF(K1051&lt;&gt;"Yes","",IFERROR(INDEX(cr_Rate,MATCH(J1051&amp;"|"&amp;D1051,cr_Key,0)),INDEX(rt_Rate,MATCH(D1051,rt_Code,0))))</f>
        <v/>
      </c>
      <c r="M1051" s="25" t="str">
        <f aca="false">IF(L1051="","",ROUND(N(E1051)*L1051,2))</f>
        <v/>
      </c>
      <c r="N1051" s="39" t="n">
        <f aca="false">IF(OR(A1051="",B1051=""),"",SUMIFS(tl_Hours,tl_StaffID,I1051,tl_Date,A1051))</f>
        <v>8</v>
      </c>
      <c r="O1051" s="40" t="str">
        <f aca="false">IF(A1051&amp;B1051&amp;D1051="","",IF(OR(A1051="",B1051="",D1051="",E1051=""),"Incomplete",IF(K1051="Unknown","Unknown code",IF(AND(K1051="Yes",C1051=""),"Billable, needs client",IF(N1051&gt;MaxDayHours,"Over "&amp;MaxDayHours&amp;" hours that day","")))))</f>
        <v/>
      </c>
    </row>
    <row r="1052" customFormat="false" ht="15" hidden="false" customHeight="false" outlineLevel="0" collapsed="false">
      <c r="A1052" s="31" t="n">
        <v>46260</v>
      </c>
      <c r="B1052" s="32" t="s">
        <v>86</v>
      </c>
      <c r="C1052" s="32"/>
      <c r="D1052" s="33" t="s">
        <v>96</v>
      </c>
      <c r="E1052" s="34" t="n">
        <v>1</v>
      </c>
      <c r="F1052" s="32"/>
      <c r="G1052" s="35" t="n">
        <f aca="false">IF(A1052="","",A1052+7-WEEKDAY(A1052))</f>
        <v>46263</v>
      </c>
      <c r="H1052" s="36" t="n">
        <f aca="false">IF(A1052="","",DATE(YEAR(A1052),MONTH(A1052),1))</f>
        <v>46235</v>
      </c>
      <c r="I1052" s="37" t="str">
        <f aca="false">IF(B1052="","",IFERROR(INDEX(st_ID,MATCH(B1052,st_Name,0)),"Unknown"))</f>
        <v>QP-01</v>
      </c>
      <c r="J1052" s="37" t="str">
        <f aca="false">IF(C1052="","",IFERROR(INDEX(cl_Code,MATCH(C1052,cl_Name,0)),"Unknown"))</f>
        <v/>
      </c>
      <c r="K1052" s="37" t="str">
        <f aca="false">IF(D1052="","",IFERROR(INDEX(rt_Billable,MATCH(D1052,rt_Code,0)),"Unknown"))</f>
        <v>No</v>
      </c>
      <c r="L1052" s="38" t="str">
        <f aca="false">IF(K1052&lt;&gt;"Yes","",IFERROR(INDEX(cr_Rate,MATCH(J1052&amp;"|"&amp;D1052,cr_Key,0)),INDEX(rt_Rate,MATCH(D1052,rt_Code,0))))</f>
        <v/>
      </c>
      <c r="M1052" s="25" t="str">
        <f aca="false">IF(L1052="","",ROUND(N(E1052)*L1052,2))</f>
        <v/>
      </c>
      <c r="N1052" s="39" t="n">
        <f aca="false">IF(OR(A1052="",B1052=""),"",SUMIFS(tl_Hours,tl_StaffID,I1052,tl_Date,A1052))</f>
        <v>8</v>
      </c>
      <c r="O1052" s="40" t="str">
        <f aca="false">IF(A1052&amp;B1052&amp;D1052="","",IF(OR(A1052="",B1052="",D1052="",E1052=""),"Incomplete",IF(K1052="Unknown","Unknown code",IF(AND(K1052="Yes",C1052=""),"Billable, needs client",IF(N1052&gt;MaxDayHours,"Over "&amp;MaxDayHours&amp;" hours that day","")))))</f>
        <v/>
      </c>
    </row>
    <row r="1053" customFormat="false" ht="15" hidden="false" customHeight="false" outlineLevel="0" collapsed="false">
      <c r="A1053" s="31" t="n">
        <v>46260</v>
      </c>
      <c r="B1053" s="32" t="s">
        <v>97</v>
      </c>
      <c r="C1053" s="32" t="s">
        <v>90</v>
      </c>
      <c r="D1053" s="33" t="s">
        <v>88</v>
      </c>
      <c r="E1053" s="34" t="n">
        <v>2.5</v>
      </c>
      <c r="F1053" s="32"/>
      <c r="G1053" s="35" t="n">
        <f aca="false">IF(A1053="","",A1053+7-WEEKDAY(A1053))</f>
        <v>46263</v>
      </c>
      <c r="H1053" s="36" t="n">
        <f aca="false">IF(A1053="","",DATE(YEAR(A1053),MONTH(A1053),1))</f>
        <v>46235</v>
      </c>
      <c r="I1053" s="37" t="str">
        <f aca="false">IF(B1053="","",IFERROR(INDEX(st_ID,MATCH(B1053,st_Name,0)),"Unknown"))</f>
        <v>QP-02</v>
      </c>
      <c r="J1053" s="37" t="str">
        <f aca="false">IF(C1053="","",IFERROR(INDEX(cl_Code,MATCH(C1053,cl_Name,0)),"Unknown"))</f>
        <v>BSE</v>
      </c>
      <c r="K1053" s="37" t="str">
        <f aca="false">IF(D1053="","",IFERROR(INDEX(rt_Billable,MATCH(D1053,rt_Code,0)),"Unknown"))</f>
        <v>Yes</v>
      </c>
      <c r="L1053" s="38" t="n">
        <f aca="false">IF(K1053&lt;&gt;"Yes","",IFERROR(INDEX(cr_Rate,MATCH(J1053&amp;"|"&amp;D1053,cr_Key,0)),INDEX(rt_Rate,MATCH(D1053,rt_Code,0))))</f>
        <v>104</v>
      </c>
      <c r="M1053" s="25" t="n">
        <f aca="false">IF(L1053="","",ROUND(N(E1053)*L1053,2))</f>
        <v>260</v>
      </c>
      <c r="N1053" s="39" t="n">
        <f aca="false">IF(OR(A1053="",B1053=""),"",SUMIFS(tl_Hours,tl_StaffID,I1053,tl_Date,A1053))</f>
        <v>8</v>
      </c>
      <c r="O1053" s="40" t="str">
        <f aca="false">IF(A1053&amp;B1053&amp;D1053="","",IF(OR(A1053="",B1053="",D1053="",E1053=""),"Incomplete",IF(K1053="Unknown","Unknown code",IF(AND(K1053="Yes",C1053=""),"Billable, needs client",IF(N1053&gt;MaxDayHours,"Over "&amp;MaxDayHours&amp;" hours that day","")))))</f>
        <v/>
      </c>
    </row>
    <row r="1054" customFormat="false" ht="15" hidden="false" customHeight="false" outlineLevel="0" collapsed="false">
      <c r="A1054" s="31" t="n">
        <v>46260</v>
      </c>
      <c r="B1054" s="32" t="s">
        <v>97</v>
      </c>
      <c r="C1054" s="32" t="s">
        <v>90</v>
      </c>
      <c r="D1054" s="33" t="s">
        <v>89</v>
      </c>
      <c r="E1054" s="34" t="n">
        <v>0.5</v>
      </c>
      <c r="F1054" s="32"/>
      <c r="G1054" s="35" t="n">
        <f aca="false">IF(A1054="","",A1054+7-WEEKDAY(A1054))</f>
        <v>46263</v>
      </c>
      <c r="H1054" s="36" t="n">
        <f aca="false">IF(A1054="","",DATE(YEAR(A1054),MONTH(A1054),1))</f>
        <v>46235</v>
      </c>
      <c r="I1054" s="37" t="str">
        <f aca="false">IF(B1054="","",IFERROR(INDEX(st_ID,MATCH(B1054,st_Name,0)),"Unknown"))</f>
        <v>QP-02</v>
      </c>
      <c r="J1054" s="37" t="str">
        <f aca="false">IF(C1054="","",IFERROR(INDEX(cl_Code,MATCH(C1054,cl_Name,0)),"Unknown"))</f>
        <v>BSE</v>
      </c>
      <c r="K1054" s="37" t="str">
        <f aca="false">IF(D1054="","",IFERROR(INDEX(rt_Billable,MATCH(D1054,rt_Code,0)),"Unknown"))</f>
        <v>Yes</v>
      </c>
      <c r="L1054" s="38" t="n">
        <f aca="false">IF(K1054&lt;&gt;"Yes","",IFERROR(INDEX(cr_Rate,MATCH(J1054&amp;"|"&amp;D1054,cr_Key,0)),INDEX(rt_Rate,MATCH(D1054,rt_Code,0))))</f>
        <v>95</v>
      </c>
      <c r="M1054" s="25" t="n">
        <f aca="false">IF(L1054="","",ROUND(N(E1054)*L1054,2))</f>
        <v>47.5</v>
      </c>
      <c r="N1054" s="39" t="n">
        <f aca="false">IF(OR(A1054="",B1054=""),"",SUMIFS(tl_Hours,tl_StaffID,I1054,tl_Date,A1054))</f>
        <v>8</v>
      </c>
      <c r="O1054" s="40" t="str">
        <f aca="false">IF(A1054&amp;B1054&amp;D1054="","",IF(OR(A1054="",B1054="",D1054="",E1054=""),"Incomplete",IF(K1054="Unknown","Unknown code",IF(AND(K1054="Yes",C1054=""),"Billable, needs client",IF(N1054&gt;MaxDayHours,"Over "&amp;MaxDayHours&amp;" hours that day","")))))</f>
        <v/>
      </c>
    </row>
    <row r="1055" customFormat="false" ht="15" hidden="false" customHeight="false" outlineLevel="0" collapsed="false">
      <c r="A1055" s="31" t="n">
        <v>46260</v>
      </c>
      <c r="B1055" s="32" t="s">
        <v>97</v>
      </c>
      <c r="C1055" s="32" t="s">
        <v>111</v>
      </c>
      <c r="D1055" s="33" t="s">
        <v>88</v>
      </c>
      <c r="E1055" s="34" t="n">
        <v>1.75</v>
      </c>
      <c r="F1055" s="32"/>
      <c r="G1055" s="35" t="n">
        <f aca="false">IF(A1055="","",A1055+7-WEEKDAY(A1055))</f>
        <v>46263</v>
      </c>
      <c r="H1055" s="36" t="n">
        <f aca="false">IF(A1055="","",DATE(YEAR(A1055),MONTH(A1055),1))</f>
        <v>46235</v>
      </c>
      <c r="I1055" s="37" t="str">
        <f aca="false">IF(B1055="","",IFERROR(INDEX(st_ID,MATCH(B1055,st_Name,0)),"Unknown"))</f>
        <v>QP-02</v>
      </c>
      <c r="J1055" s="37" t="str">
        <f aca="false">IF(C1055="","",IFERROR(INDEX(cl_Code,MATCH(C1055,cl_Name,0)),"Unknown"))</f>
        <v>WMS</v>
      </c>
      <c r="K1055" s="37" t="str">
        <f aca="false">IF(D1055="","",IFERROR(INDEX(rt_Billable,MATCH(D1055,rt_Code,0)),"Unknown"))</f>
        <v>Yes</v>
      </c>
      <c r="L1055" s="38" t="n">
        <f aca="false">IF(K1055&lt;&gt;"Yes","",IFERROR(INDEX(cr_Rate,MATCH(J1055&amp;"|"&amp;D1055,cr_Key,0)),INDEX(rt_Rate,MATCH(D1055,rt_Code,0))))</f>
        <v>110</v>
      </c>
      <c r="M1055" s="25" t="n">
        <f aca="false">IF(L1055="","",ROUND(N(E1055)*L1055,2))</f>
        <v>192.5</v>
      </c>
      <c r="N1055" s="39" t="n">
        <f aca="false">IF(OR(A1055="",B1055=""),"",SUMIFS(tl_Hours,tl_StaffID,I1055,tl_Date,A1055))</f>
        <v>8</v>
      </c>
      <c r="O1055" s="40" t="str">
        <f aca="false">IF(A1055&amp;B1055&amp;D1055="","",IF(OR(A1055="",B1055="",D1055="",E1055=""),"Incomplete",IF(K1055="Unknown","Unknown code",IF(AND(K1055="Yes",C1055=""),"Billable, needs client",IF(N1055&gt;MaxDayHours,"Over "&amp;MaxDayHours&amp;" hours that day","")))))</f>
        <v/>
      </c>
    </row>
    <row r="1056" customFormat="false" ht="15" hidden="false" customHeight="false" outlineLevel="0" collapsed="false">
      <c r="A1056" s="31" t="n">
        <v>46260</v>
      </c>
      <c r="B1056" s="32" t="s">
        <v>97</v>
      </c>
      <c r="C1056" s="32" t="s">
        <v>111</v>
      </c>
      <c r="D1056" s="33" t="s">
        <v>92</v>
      </c>
      <c r="E1056" s="34" t="n">
        <v>1.25</v>
      </c>
      <c r="F1056" s="32"/>
      <c r="G1056" s="35" t="n">
        <f aca="false">IF(A1056="","",A1056+7-WEEKDAY(A1056))</f>
        <v>46263</v>
      </c>
      <c r="H1056" s="36" t="n">
        <f aca="false">IF(A1056="","",DATE(YEAR(A1056),MONTH(A1056),1))</f>
        <v>46235</v>
      </c>
      <c r="I1056" s="37" t="str">
        <f aca="false">IF(B1056="","",IFERROR(INDEX(st_ID,MATCH(B1056,st_Name,0)),"Unknown"))</f>
        <v>QP-02</v>
      </c>
      <c r="J1056" s="37" t="str">
        <f aca="false">IF(C1056="","",IFERROR(INDEX(cl_Code,MATCH(C1056,cl_Name,0)),"Unknown"))</f>
        <v>WMS</v>
      </c>
      <c r="K1056" s="37" t="str">
        <f aca="false">IF(D1056="","",IFERROR(INDEX(rt_Billable,MATCH(D1056,rt_Code,0)),"Unknown"))</f>
        <v>Yes</v>
      </c>
      <c r="L1056" s="38" t="n">
        <f aca="false">IF(K1056&lt;&gt;"Yes","",IFERROR(INDEX(cr_Rate,MATCH(J1056&amp;"|"&amp;D1056,cr_Key,0)),INDEX(rt_Rate,MATCH(D1056,rt_Code,0))))</f>
        <v>150</v>
      </c>
      <c r="M1056" s="25" t="n">
        <f aca="false">IF(L1056="","",ROUND(N(E1056)*L1056,2))</f>
        <v>187.5</v>
      </c>
      <c r="N1056" s="39" t="n">
        <f aca="false">IF(OR(A1056="",B1056=""),"",SUMIFS(tl_Hours,tl_StaffID,I1056,tl_Date,A1056))</f>
        <v>8</v>
      </c>
      <c r="O1056" s="40" t="str">
        <f aca="false">IF(A1056&amp;B1056&amp;D1056="","",IF(OR(A1056="",B1056="",D1056="",E1056=""),"Incomplete",IF(K1056="Unknown","Unknown code",IF(AND(K1056="Yes",C1056=""),"Billable, needs client",IF(N1056&gt;MaxDayHours,"Over "&amp;MaxDayHours&amp;" hours that day","")))))</f>
        <v/>
      </c>
    </row>
    <row r="1057" customFormat="false" ht="15" hidden="false" customHeight="false" outlineLevel="0" collapsed="false">
      <c r="A1057" s="31" t="n">
        <v>46260</v>
      </c>
      <c r="B1057" s="32" t="s">
        <v>97</v>
      </c>
      <c r="C1057" s="32"/>
      <c r="D1057" s="33" t="s">
        <v>93</v>
      </c>
      <c r="E1057" s="34" t="n">
        <v>0.5</v>
      </c>
      <c r="F1057" s="32"/>
      <c r="G1057" s="35" t="n">
        <f aca="false">IF(A1057="","",A1057+7-WEEKDAY(A1057))</f>
        <v>46263</v>
      </c>
      <c r="H1057" s="36" t="n">
        <f aca="false">IF(A1057="","",DATE(YEAR(A1057),MONTH(A1057),1))</f>
        <v>46235</v>
      </c>
      <c r="I1057" s="37" t="str">
        <f aca="false">IF(B1057="","",IFERROR(INDEX(st_ID,MATCH(B1057,st_Name,0)),"Unknown"))</f>
        <v>QP-02</v>
      </c>
      <c r="J1057" s="37" t="str">
        <f aca="false">IF(C1057="","",IFERROR(INDEX(cl_Code,MATCH(C1057,cl_Name,0)),"Unknown"))</f>
        <v/>
      </c>
      <c r="K1057" s="37" t="str">
        <f aca="false">IF(D1057="","",IFERROR(INDEX(rt_Billable,MATCH(D1057,rt_Code,0)),"Unknown"))</f>
        <v>No</v>
      </c>
      <c r="L1057" s="38" t="str">
        <f aca="false">IF(K1057&lt;&gt;"Yes","",IFERROR(INDEX(cr_Rate,MATCH(J1057&amp;"|"&amp;D1057,cr_Key,0)),INDEX(rt_Rate,MATCH(D1057,rt_Code,0))))</f>
        <v/>
      </c>
      <c r="M1057" s="25" t="str">
        <f aca="false">IF(L1057="","",ROUND(N(E1057)*L1057,2))</f>
        <v/>
      </c>
      <c r="N1057" s="39" t="n">
        <f aca="false">IF(OR(A1057="",B1057=""),"",SUMIFS(tl_Hours,tl_StaffID,I1057,tl_Date,A1057))</f>
        <v>8</v>
      </c>
      <c r="O1057" s="40" t="str">
        <f aca="false">IF(A1057&amp;B1057&amp;D1057="","",IF(OR(A1057="",B1057="",D1057="",E1057=""),"Incomplete",IF(K1057="Unknown","Unknown code",IF(AND(K1057="Yes",C1057=""),"Billable, needs client",IF(N1057&gt;MaxDayHours,"Over "&amp;MaxDayHours&amp;" hours that day","")))))</f>
        <v/>
      </c>
    </row>
    <row r="1058" customFormat="false" ht="15" hidden="false" customHeight="false" outlineLevel="0" collapsed="false">
      <c r="A1058" s="31" t="n">
        <v>46260</v>
      </c>
      <c r="B1058" s="32" t="s">
        <v>97</v>
      </c>
      <c r="C1058" s="32"/>
      <c r="D1058" s="33" t="s">
        <v>98</v>
      </c>
      <c r="E1058" s="34" t="n">
        <v>1</v>
      </c>
      <c r="F1058" s="32" t="s">
        <v>99</v>
      </c>
      <c r="G1058" s="35" t="n">
        <f aca="false">IF(A1058="","",A1058+7-WEEKDAY(A1058))</f>
        <v>46263</v>
      </c>
      <c r="H1058" s="36" t="n">
        <f aca="false">IF(A1058="","",DATE(YEAR(A1058),MONTH(A1058),1))</f>
        <v>46235</v>
      </c>
      <c r="I1058" s="37" t="str">
        <f aca="false">IF(B1058="","",IFERROR(INDEX(st_ID,MATCH(B1058,st_Name,0)),"Unknown"))</f>
        <v>QP-02</v>
      </c>
      <c r="J1058" s="37" t="str">
        <f aca="false">IF(C1058="","",IFERROR(INDEX(cl_Code,MATCH(C1058,cl_Name,0)),"Unknown"))</f>
        <v/>
      </c>
      <c r="K1058" s="37" t="str">
        <f aca="false">IF(D1058="","",IFERROR(INDEX(rt_Billable,MATCH(D1058,rt_Code,0)),"Unknown"))</f>
        <v>No</v>
      </c>
      <c r="L1058" s="38" t="str">
        <f aca="false">IF(K1058&lt;&gt;"Yes","",IFERROR(INDEX(cr_Rate,MATCH(J1058&amp;"|"&amp;D1058,cr_Key,0)),INDEX(rt_Rate,MATCH(D1058,rt_Code,0))))</f>
        <v/>
      </c>
      <c r="M1058" s="25" t="str">
        <f aca="false">IF(L1058="","",ROUND(N(E1058)*L1058,2))</f>
        <v/>
      </c>
      <c r="N1058" s="39" t="n">
        <f aca="false">IF(OR(A1058="",B1058=""),"",SUMIFS(tl_Hours,tl_StaffID,I1058,tl_Date,A1058))</f>
        <v>8</v>
      </c>
      <c r="O1058" s="40" t="str">
        <f aca="false">IF(A1058&amp;B1058&amp;D1058="","",IF(OR(A1058="",B1058="",D1058="",E1058=""),"Incomplete",IF(K1058="Unknown","Unknown code",IF(AND(K1058="Yes",C1058=""),"Billable, needs client",IF(N1058&gt;MaxDayHours,"Over "&amp;MaxDayHours&amp;" hours that day","")))))</f>
        <v/>
      </c>
    </row>
    <row r="1059" customFormat="false" ht="15" hidden="false" customHeight="false" outlineLevel="0" collapsed="false">
      <c r="A1059" s="31" t="n">
        <v>46260</v>
      </c>
      <c r="B1059" s="32" t="s">
        <v>97</v>
      </c>
      <c r="C1059" s="32"/>
      <c r="D1059" s="33" t="s">
        <v>96</v>
      </c>
      <c r="E1059" s="34" t="n">
        <v>0.5</v>
      </c>
      <c r="F1059" s="32"/>
      <c r="G1059" s="35" t="n">
        <f aca="false">IF(A1059="","",A1059+7-WEEKDAY(A1059))</f>
        <v>46263</v>
      </c>
      <c r="H1059" s="36" t="n">
        <f aca="false">IF(A1059="","",DATE(YEAR(A1059),MONTH(A1059),1))</f>
        <v>46235</v>
      </c>
      <c r="I1059" s="37" t="str">
        <f aca="false">IF(B1059="","",IFERROR(INDEX(st_ID,MATCH(B1059,st_Name,0)),"Unknown"))</f>
        <v>QP-02</v>
      </c>
      <c r="J1059" s="37" t="str">
        <f aca="false">IF(C1059="","",IFERROR(INDEX(cl_Code,MATCH(C1059,cl_Name,0)),"Unknown"))</f>
        <v/>
      </c>
      <c r="K1059" s="37" t="str">
        <f aca="false">IF(D1059="","",IFERROR(INDEX(rt_Billable,MATCH(D1059,rt_Code,0)),"Unknown"))</f>
        <v>No</v>
      </c>
      <c r="L1059" s="38" t="str">
        <f aca="false">IF(K1059&lt;&gt;"Yes","",IFERROR(INDEX(cr_Rate,MATCH(J1059&amp;"|"&amp;D1059,cr_Key,0)),INDEX(rt_Rate,MATCH(D1059,rt_Code,0))))</f>
        <v/>
      </c>
      <c r="M1059" s="25" t="str">
        <f aca="false">IF(L1059="","",ROUND(N(E1059)*L1059,2))</f>
        <v/>
      </c>
      <c r="N1059" s="39" t="n">
        <f aca="false">IF(OR(A1059="",B1059=""),"",SUMIFS(tl_Hours,tl_StaffID,I1059,tl_Date,A1059))</f>
        <v>8</v>
      </c>
      <c r="O1059" s="40" t="str">
        <f aca="false">IF(A1059&amp;B1059&amp;D1059="","",IF(OR(A1059="",B1059="",D1059="",E1059=""),"Incomplete",IF(K1059="Unknown","Unknown code",IF(AND(K1059="Yes",C1059=""),"Billable, needs client",IF(N1059&gt;MaxDayHours,"Over "&amp;MaxDayHours&amp;" hours that day","")))))</f>
        <v/>
      </c>
    </row>
    <row r="1060" customFormat="false" ht="15" hidden="false" customHeight="false" outlineLevel="0" collapsed="false">
      <c r="A1060" s="31" t="n">
        <v>46260</v>
      </c>
      <c r="B1060" s="32" t="s">
        <v>100</v>
      </c>
      <c r="C1060" s="32" t="s">
        <v>90</v>
      </c>
      <c r="D1060" s="33" t="s">
        <v>88</v>
      </c>
      <c r="E1060" s="34" t="n">
        <v>1.5</v>
      </c>
      <c r="F1060" s="32"/>
      <c r="G1060" s="35" t="n">
        <f aca="false">IF(A1060="","",A1060+7-WEEKDAY(A1060))</f>
        <v>46263</v>
      </c>
      <c r="H1060" s="36" t="n">
        <f aca="false">IF(A1060="","",DATE(YEAR(A1060),MONTH(A1060),1))</f>
        <v>46235</v>
      </c>
      <c r="I1060" s="37" t="str">
        <f aca="false">IF(B1060="","",IFERROR(INDEX(st_ID,MATCH(B1060,st_Name,0)),"Unknown"))</f>
        <v>QP-03</v>
      </c>
      <c r="J1060" s="37" t="str">
        <f aca="false">IF(C1060="","",IFERROR(INDEX(cl_Code,MATCH(C1060,cl_Name,0)),"Unknown"))</f>
        <v>BSE</v>
      </c>
      <c r="K1060" s="37" t="str">
        <f aca="false">IF(D1060="","",IFERROR(INDEX(rt_Billable,MATCH(D1060,rt_Code,0)),"Unknown"))</f>
        <v>Yes</v>
      </c>
      <c r="L1060" s="38" t="n">
        <f aca="false">IF(K1060&lt;&gt;"Yes","",IFERROR(INDEX(cr_Rate,MATCH(J1060&amp;"|"&amp;D1060,cr_Key,0)),INDEX(rt_Rate,MATCH(D1060,rt_Code,0))))</f>
        <v>104</v>
      </c>
      <c r="M1060" s="25" t="n">
        <f aca="false">IF(L1060="","",ROUND(N(E1060)*L1060,2))</f>
        <v>156</v>
      </c>
      <c r="N1060" s="39" t="n">
        <f aca="false">IF(OR(A1060="",B1060=""),"",SUMIFS(tl_Hours,tl_StaffID,I1060,tl_Date,A1060))</f>
        <v>8</v>
      </c>
      <c r="O1060" s="40" t="str">
        <f aca="false">IF(A1060&amp;B1060&amp;D1060="","",IF(OR(A1060="",B1060="",D1060="",E1060=""),"Incomplete",IF(K1060="Unknown","Unknown code",IF(AND(K1060="Yes",C1060=""),"Billable, needs client",IF(N1060&gt;MaxDayHours,"Over "&amp;MaxDayHours&amp;" hours that day","")))))</f>
        <v/>
      </c>
    </row>
    <row r="1061" customFormat="false" ht="15" hidden="false" customHeight="false" outlineLevel="0" collapsed="false">
      <c r="A1061" s="31" t="n">
        <v>46260</v>
      </c>
      <c r="B1061" s="32" t="s">
        <v>100</v>
      </c>
      <c r="C1061" s="32" t="s">
        <v>90</v>
      </c>
      <c r="D1061" s="33" t="s">
        <v>89</v>
      </c>
      <c r="E1061" s="34" t="n">
        <v>0.75</v>
      </c>
      <c r="F1061" s="32"/>
      <c r="G1061" s="35" t="n">
        <f aca="false">IF(A1061="","",A1061+7-WEEKDAY(A1061))</f>
        <v>46263</v>
      </c>
      <c r="H1061" s="36" t="n">
        <f aca="false">IF(A1061="","",DATE(YEAR(A1061),MONTH(A1061),1))</f>
        <v>46235</v>
      </c>
      <c r="I1061" s="37" t="str">
        <f aca="false">IF(B1061="","",IFERROR(INDEX(st_ID,MATCH(B1061,st_Name,0)),"Unknown"))</f>
        <v>QP-03</v>
      </c>
      <c r="J1061" s="37" t="str">
        <f aca="false">IF(C1061="","",IFERROR(INDEX(cl_Code,MATCH(C1061,cl_Name,0)),"Unknown"))</f>
        <v>BSE</v>
      </c>
      <c r="K1061" s="37" t="str">
        <f aca="false">IF(D1061="","",IFERROR(INDEX(rt_Billable,MATCH(D1061,rt_Code,0)),"Unknown"))</f>
        <v>Yes</v>
      </c>
      <c r="L1061" s="38" t="n">
        <f aca="false">IF(K1061&lt;&gt;"Yes","",IFERROR(INDEX(cr_Rate,MATCH(J1061&amp;"|"&amp;D1061,cr_Key,0)),INDEX(rt_Rate,MATCH(D1061,rt_Code,0))))</f>
        <v>95</v>
      </c>
      <c r="M1061" s="25" t="n">
        <f aca="false">IF(L1061="","",ROUND(N(E1061)*L1061,2))</f>
        <v>71.25</v>
      </c>
      <c r="N1061" s="39" t="n">
        <f aca="false">IF(OR(A1061="",B1061=""),"",SUMIFS(tl_Hours,tl_StaffID,I1061,tl_Date,A1061))</f>
        <v>8</v>
      </c>
      <c r="O1061" s="40" t="str">
        <f aca="false">IF(A1061&amp;B1061&amp;D1061="","",IF(OR(A1061="",B1061="",D1061="",E1061=""),"Incomplete",IF(K1061="Unknown","Unknown code",IF(AND(K1061="Yes",C1061=""),"Billable, needs client",IF(N1061&gt;MaxDayHours,"Over "&amp;MaxDayHours&amp;" hours that day","")))))</f>
        <v/>
      </c>
    </row>
    <row r="1062" customFormat="false" ht="15" hidden="false" customHeight="false" outlineLevel="0" collapsed="false">
      <c r="A1062" s="31" t="n">
        <v>46260</v>
      </c>
      <c r="B1062" s="32" t="s">
        <v>100</v>
      </c>
      <c r="C1062" s="32" t="s">
        <v>102</v>
      </c>
      <c r="D1062" s="33" t="s">
        <v>88</v>
      </c>
      <c r="E1062" s="34" t="n">
        <v>1.5</v>
      </c>
      <c r="F1062" s="32"/>
      <c r="G1062" s="35" t="n">
        <f aca="false">IF(A1062="","",A1062+7-WEEKDAY(A1062))</f>
        <v>46263</v>
      </c>
      <c r="H1062" s="36" t="n">
        <f aca="false">IF(A1062="","",DATE(YEAR(A1062),MONTH(A1062),1))</f>
        <v>46235</v>
      </c>
      <c r="I1062" s="37" t="str">
        <f aca="false">IF(B1062="","",IFERROR(INDEX(st_ID,MATCH(B1062,st_Name,0)),"Unknown"))</f>
        <v>QP-03</v>
      </c>
      <c r="J1062" s="37" t="str">
        <f aca="false">IF(C1062="","",IFERROR(INDEX(cl_Code,MATCH(C1062,cl_Name,0)),"Unknown"))</f>
        <v>CLH</v>
      </c>
      <c r="K1062" s="37" t="str">
        <f aca="false">IF(D1062="","",IFERROR(INDEX(rt_Billable,MATCH(D1062,rt_Code,0)),"Unknown"))</f>
        <v>Yes</v>
      </c>
      <c r="L1062" s="38" t="n">
        <f aca="false">IF(K1062&lt;&gt;"Yes","",IFERROR(INDEX(cr_Rate,MATCH(J1062&amp;"|"&amp;D1062,cr_Key,0)),INDEX(rt_Rate,MATCH(D1062,rt_Code,0))))</f>
        <v>110</v>
      </c>
      <c r="M1062" s="25" t="n">
        <f aca="false">IF(L1062="","",ROUND(N(E1062)*L1062,2))</f>
        <v>165</v>
      </c>
      <c r="N1062" s="39" t="n">
        <f aca="false">IF(OR(A1062="",B1062=""),"",SUMIFS(tl_Hours,tl_StaffID,I1062,tl_Date,A1062))</f>
        <v>8</v>
      </c>
      <c r="O1062" s="40" t="str">
        <f aca="false">IF(A1062&amp;B1062&amp;D1062="","",IF(OR(A1062="",B1062="",D1062="",E1062=""),"Incomplete",IF(K1062="Unknown","Unknown code",IF(AND(K1062="Yes",C1062=""),"Billable, needs client",IF(N1062&gt;MaxDayHours,"Over "&amp;MaxDayHours&amp;" hours that day","")))))</f>
        <v/>
      </c>
    </row>
    <row r="1063" customFormat="false" ht="15" hidden="false" customHeight="false" outlineLevel="0" collapsed="false">
      <c r="A1063" s="31" t="n">
        <v>46260</v>
      </c>
      <c r="B1063" s="32" t="s">
        <v>100</v>
      </c>
      <c r="C1063" s="32" t="s">
        <v>102</v>
      </c>
      <c r="D1063" s="33" t="s">
        <v>104</v>
      </c>
      <c r="E1063" s="34" t="n">
        <v>0.75</v>
      </c>
      <c r="F1063" s="32"/>
      <c r="G1063" s="35" t="n">
        <f aca="false">IF(A1063="","",A1063+7-WEEKDAY(A1063))</f>
        <v>46263</v>
      </c>
      <c r="H1063" s="36" t="n">
        <f aca="false">IF(A1063="","",DATE(YEAR(A1063),MONTH(A1063),1))</f>
        <v>46235</v>
      </c>
      <c r="I1063" s="37" t="str">
        <f aca="false">IF(B1063="","",IFERROR(INDEX(st_ID,MATCH(B1063,st_Name,0)),"Unknown"))</f>
        <v>QP-03</v>
      </c>
      <c r="J1063" s="37" t="str">
        <f aca="false">IF(C1063="","",IFERROR(INDEX(cl_Code,MATCH(C1063,cl_Name,0)),"Unknown"))</f>
        <v>CLH</v>
      </c>
      <c r="K1063" s="37" t="str">
        <f aca="false">IF(D1063="","",IFERROR(INDEX(rt_Billable,MATCH(D1063,rt_Code,0)),"Unknown"))</f>
        <v>Yes</v>
      </c>
      <c r="L1063" s="38" t="n">
        <f aca="false">IF(K1063&lt;&gt;"Yes","",IFERROR(INDEX(cr_Rate,MATCH(J1063&amp;"|"&amp;D1063,cr_Key,0)),INDEX(rt_Rate,MATCH(D1063,rt_Code,0))))</f>
        <v>65</v>
      </c>
      <c r="M1063" s="25" t="n">
        <f aca="false">IF(L1063="","",ROUND(N(E1063)*L1063,2))</f>
        <v>48.75</v>
      </c>
      <c r="N1063" s="39" t="n">
        <f aca="false">IF(OR(A1063="",B1063=""),"",SUMIFS(tl_Hours,tl_StaffID,I1063,tl_Date,A1063))</f>
        <v>8</v>
      </c>
      <c r="O1063" s="40" t="str">
        <f aca="false">IF(A1063&amp;B1063&amp;D1063="","",IF(OR(A1063="",B1063="",D1063="",E1063=""),"Incomplete",IF(K1063="Unknown","Unknown code",IF(AND(K1063="Yes",C1063=""),"Billable, needs client",IF(N1063&gt;MaxDayHours,"Over "&amp;MaxDayHours&amp;" hours that day","")))))</f>
        <v/>
      </c>
    </row>
    <row r="1064" customFormat="false" ht="15" hidden="false" customHeight="false" outlineLevel="0" collapsed="false">
      <c r="A1064" s="31" t="n">
        <v>46260</v>
      </c>
      <c r="B1064" s="32" t="s">
        <v>100</v>
      </c>
      <c r="C1064" s="32"/>
      <c r="D1064" s="33" t="s">
        <v>93</v>
      </c>
      <c r="E1064" s="34" t="n">
        <v>0.5</v>
      </c>
      <c r="F1064" s="32"/>
      <c r="G1064" s="35" t="n">
        <f aca="false">IF(A1064="","",A1064+7-WEEKDAY(A1064))</f>
        <v>46263</v>
      </c>
      <c r="H1064" s="36" t="n">
        <f aca="false">IF(A1064="","",DATE(YEAR(A1064),MONTH(A1064),1))</f>
        <v>46235</v>
      </c>
      <c r="I1064" s="37" t="str">
        <f aca="false">IF(B1064="","",IFERROR(INDEX(st_ID,MATCH(B1064,st_Name,0)),"Unknown"))</f>
        <v>QP-03</v>
      </c>
      <c r="J1064" s="37" t="str">
        <f aca="false">IF(C1064="","",IFERROR(INDEX(cl_Code,MATCH(C1064,cl_Name,0)),"Unknown"))</f>
        <v/>
      </c>
      <c r="K1064" s="37" t="str">
        <f aca="false">IF(D1064="","",IFERROR(INDEX(rt_Billable,MATCH(D1064,rt_Code,0)),"Unknown"))</f>
        <v>No</v>
      </c>
      <c r="L1064" s="38" t="str">
        <f aca="false">IF(K1064&lt;&gt;"Yes","",IFERROR(INDEX(cr_Rate,MATCH(J1064&amp;"|"&amp;D1064,cr_Key,0)),INDEX(rt_Rate,MATCH(D1064,rt_Code,0))))</f>
        <v/>
      </c>
      <c r="M1064" s="25" t="str">
        <f aca="false">IF(L1064="","",ROUND(N(E1064)*L1064,2))</f>
        <v/>
      </c>
      <c r="N1064" s="39" t="n">
        <f aca="false">IF(OR(A1064="",B1064=""),"",SUMIFS(tl_Hours,tl_StaffID,I1064,tl_Date,A1064))</f>
        <v>8</v>
      </c>
      <c r="O1064" s="40" t="str">
        <f aca="false">IF(A1064&amp;B1064&amp;D1064="","",IF(OR(A1064="",B1064="",D1064="",E1064=""),"Incomplete",IF(K1064="Unknown","Unknown code",IF(AND(K1064="Yes",C1064=""),"Billable, needs client",IF(N1064&gt;MaxDayHours,"Over "&amp;MaxDayHours&amp;" hours that day","")))))</f>
        <v/>
      </c>
    </row>
    <row r="1065" customFormat="false" ht="15" hidden="false" customHeight="false" outlineLevel="0" collapsed="false">
      <c r="A1065" s="31" t="n">
        <v>46260</v>
      </c>
      <c r="B1065" s="32" t="s">
        <v>100</v>
      </c>
      <c r="C1065" s="32"/>
      <c r="D1065" s="33" t="s">
        <v>98</v>
      </c>
      <c r="E1065" s="34" t="n">
        <v>1</v>
      </c>
      <c r="F1065" s="32" t="s">
        <v>99</v>
      </c>
      <c r="G1065" s="35" t="n">
        <f aca="false">IF(A1065="","",A1065+7-WEEKDAY(A1065))</f>
        <v>46263</v>
      </c>
      <c r="H1065" s="36" t="n">
        <f aca="false">IF(A1065="","",DATE(YEAR(A1065),MONTH(A1065),1))</f>
        <v>46235</v>
      </c>
      <c r="I1065" s="37" t="str">
        <f aca="false">IF(B1065="","",IFERROR(INDEX(st_ID,MATCH(B1065,st_Name,0)),"Unknown"))</f>
        <v>QP-03</v>
      </c>
      <c r="J1065" s="37" t="str">
        <f aca="false">IF(C1065="","",IFERROR(INDEX(cl_Code,MATCH(C1065,cl_Name,0)),"Unknown"))</f>
        <v/>
      </c>
      <c r="K1065" s="37" t="str">
        <f aca="false">IF(D1065="","",IFERROR(INDEX(rt_Billable,MATCH(D1065,rt_Code,0)),"Unknown"))</f>
        <v>No</v>
      </c>
      <c r="L1065" s="38" t="str">
        <f aca="false">IF(K1065&lt;&gt;"Yes","",IFERROR(INDEX(cr_Rate,MATCH(J1065&amp;"|"&amp;D1065,cr_Key,0)),INDEX(rt_Rate,MATCH(D1065,rt_Code,0))))</f>
        <v/>
      </c>
      <c r="M1065" s="25" t="str">
        <f aca="false">IF(L1065="","",ROUND(N(E1065)*L1065,2))</f>
        <v/>
      </c>
      <c r="N1065" s="39" t="n">
        <f aca="false">IF(OR(A1065="",B1065=""),"",SUMIFS(tl_Hours,tl_StaffID,I1065,tl_Date,A1065))</f>
        <v>8</v>
      </c>
      <c r="O1065" s="40" t="str">
        <f aca="false">IF(A1065&amp;B1065&amp;D1065="","",IF(OR(A1065="",B1065="",D1065="",E1065=""),"Incomplete",IF(K1065="Unknown","Unknown code",IF(AND(K1065="Yes",C1065=""),"Billable, needs client",IF(N1065&gt;MaxDayHours,"Over "&amp;MaxDayHours&amp;" hours that day","")))))</f>
        <v/>
      </c>
    </row>
    <row r="1066" customFormat="false" ht="15" hidden="false" customHeight="false" outlineLevel="0" collapsed="false">
      <c r="A1066" s="31" t="n">
        <v>46260</v>
      </c>
      <c r="B1066" s="32" t="s">
        <v>100</v>
      </c>
      <c r="C1066" s="32"/>
      <c r="D1066" s="33" t="s">
        <v>96</v>
      </c>
      <c r="E1066" s="34" t="n">
        <v>2</v>
      </c>
      <c r="F1066" s="32"/>
      <c r="G1066" s="35" t="n">
        <f aca="false">IF(A1066="","",A1066+7-WEEKDAY(A1066))</f>
        <v>46263</v>
      </c>
      <c r="H1066" s="36" t="n">
        <f aca="false">IF(A1066="","",DATE(YEAR(A1066),MONTH(A1066),1))</f>
        <v>46235</v>
      </c>
      <c r="I1066" s="37" t="str">
        <f aca="false">IF(B1066="","",IFERROR(INDEX(st_ID,MATCH(B1066,st_Name,0)),"Unknown"))</f>
        <v>QP-03</v>
      </c>
      <c r="J1066" s="37" t="str">
        <f aca="false">IF(C1066="","",IFERROR(INDEX(cl_Code,MATCH(C1066,cl_Name,0)),"Unknown"))</f>
        <v/>
      </c>
      <c r="K1066" s="37" t="str">
        <f aca="false">IF(D1066="","",IFERROR(INDEX(rt_Billable,MATCH(D1066,rt_Code,0)),"Unknown"))</f>
        <v>No</v>
      </c>
      <c r="L1066" s="38" t="str">
        <f aca="false">IF(K1066&lt;&gt;"Yes","",IFERROR(INDEX(cr_Rate,MATCH(J1066&amp;"|"&amp;D1066,cr_Key,0)),INDEX(rt_Rate,MATCH(D1066,rt_Code,0))))</f>
        <v/>
      </c>
      <c r="M1066" s="25" t="str">
        <f aca="false">IF(L1066="","",ROUND(N(E1066)*L1066,2))</f>
        <v/>
      </c>
      <c r="N1066" s="39" t="n">
        <f aca="false">IF(OR(A1066="",B1066=""),"",SUMIFS(tl_Hours,tl_StaffID,I1066,tl_Date,A1066))</f>
        <v>8</v>
      </c>
      <c r="O1066" s="40" t="str">
        <f aca="false">IF(A1066&amp;B1066&amp;D1066="","",IF(OR(A1066="",B1066="",D1066="",E1066=""),"Incomplete",IF(K1066="Unknown","Unknown code",IF(AND(K1066="Yes",C1066=""),"Billable, needs client",IF(N1066&gt;MaxDayHours,"Over "&amp;MaxDayHours&amp;" hours that day","")))))</f>
        <v/>
      </c>
    </row>
    <row r="1067" customFormat="false" ht="15" hidden="false" customHeight="false" outlineLevel="0" collapsed="false">
      <c r="A1067" s="31" t="n">
        <v>46260</v>
      </c>
      <c r="B1067" s="32" t="s">
        <v>101</v>
      </c>
      <c r="C1067" s="32" t="s">
        <v>112</v>
      </c>
      <c r="D1067" s="33" t="s">
        <v>104</v>
      </c>
      <c r="E1067" s="34" t="n">
        <v>3.25</v>
      </c>
      <c r="F1067" s="32"/>
      <c r="G1067" s="35" t="n">
        <f aca="false">IF(A1067="","",A1067+7-WEEKDAY(A1067))</f>
        <v>46263</v>
      </c>
      <c r="H1067" s="36" t="n">
        <f aca="false">IF(A1067="","",DATE(YEAR(A1067),MONTH(A1067),1))</f>
        <v>46235</v>
      </c>
      <c r="I1067" s="37" t="str">
        <f aca="false">IF(B1067="","",IFERROR(INDEX(st_ID,MATCH(B1067,st_Name,0)),"Unknown"))</f>
        <v>QP-04</v>
      </c>
      <c r="J1067" s="37" t="str">
        <f aca="false">IF(C1067="","",IFERROR(INDEX(cl_Code,MATCH(C1067,cl_Name,0)),"Unknown"))</f>
        <v>PCA</v>
      </c>
      <c r="K1067" s="37" t="str">
        <f aca="false">IF(D1067="","",IFERROR(INDEX(rt_Billable,MATCH(D1067,rt_Code,0)),"Unknown"))</f>
        <v>Yes</v>
      </c>
      <c r="L1067" s="38" t="n">
        <f aca="false">IF(K1067&lt;&gt;"Yes","",IFERROR(INDEX(cr_Rate,MATCH(J1067&amp;"|"&amp;D1067,cr_Key,0)),INDEX(rt_Rate,MATCH(D1067,rt_Code,0))))</f>
        <v>70</v>
      </c>
      <c r="M1067" s="25" t="n">
        <f aca="false">IF(L1067="","",ROUND(N(E1067)*L1067,2))</f>
        <v>227.5</v>
      </c>
      <c r="N1067" s="39" t="n">
        <f aca="false">IF(OR(A1067="",B1067=""),"",SUMIFS(tl_Hours,tl_StaffID,I1067,tl_Date,A1067))</f>
        <v>8</v>
      </c>
      <c r="O1067" s="40" t="str">
        <f aca="false">IF(A1067&amp;B1067&amp;D1067="","",IF(OR(A1067="",B1067="",D1067="",E1067=""),"Incomplete",IF(K1067="Unknown","Unknown code",IF(AND(K1067="Yes",C1067=""),"Billable, needs client",IF(N1067&gt;MaxDayHours,"Over "&amp;MaxDayHours&amp;" hours that day","")))))</f>
        <v/>
      </c>
    </row>
    <row r="1068" customFormat="false" ht="15" hidden="false" customHeight="false" outlineLevel="0" collapsed="false">
      <c r="A1068" s="31" t="n">
        <v>46260</v>
      </c>
      <c r="B1068" s="32" t="s">
        <v>101</v>
      </c>
      <c r="C1068" s="32" t="s">
        <v>112</v>
      </c>
      <c r="D1068" s="33" t="s">
        <v>89</v>
      </c>
      <c r="E1068" s="34" t="n">
        <v>2.5</v>
      </c>
      <c r="F1068" s="32"/>
      <c r="G1068" s="35" t="n">
        <f aca="false">IF(A1068="","",A1068+7-WEEKDAY(A1068))</f>
        <v>46263</v>
      </c>
      <c r="H1068" s="36" t="n">
        <f aca="false">IF(A1068="","",DATE(YEAR(A1068),MONTH(A1068),1))</f>
        <v>46235</v>
      </c>
      <c r="I1068" s="37" t="str">
        <f aca="false">IF(B1068="","",IFERROR(INDEX(st_ID,MATCH(B1068,st_Name,0)),"Unknown"))</f>
        <v>QP-04</v>
      </c>
      <c r="J1068" s="37" t="str">
        <f aca="false">IF(C1068="","",IFERROR(INDEX(cl_Code,MATCH(C1068,cl_Name,0)),"Unknown"))</f>
        <v>PCA</v>
      </c>
      <c r="K1068" s="37" t="str">
        <f aca="false">IF(D1068="","",IFERROR(INDEX(rt_Billable,MATCH(D1068,rt_Code,0)),"Unknown"))</f>
        <v>Yes</v>
      </c>
      <c r="L1068" s="38" t="n">
        <f aca="false">IF(K1068&lt;&gt;"Yes","",IFERROR(INDEX(cr_Rate,MATCH(J1068&amp;"|"&amp;D1068,cr_Key,0)),INDEX(rt_Rate,MATCH(D1068,rt_Code,0))))</f>
        <v>95</v>
      </c>
      <c r="M1068" s="25" t="n">
        <f aca="false">IF(L1068="","",ROUND(N(E1068)*L1068,2))</f>
        <v>237.5</v>
      </c>
      <c r="N1068" s="39" t="n">
        <f aca="false">IF(OR(A1068="",B1068=""),"",SUMIFS(tl_Hours,tl_StaffID,I1068,tl_Date,A1068))</f>
        <v>8</v>
      </c>
      <c r="O1068" s="40" t="str">
        <f aca="false">IF(A1068&amp;B1068&amp;D1068="","",IF(OR(A1068="",B1068="",D1068="",E1068=""),"Incomplete",IF(K1068="Unknown","Unknown code",IF(AND(K1068="Yes",C1068=""),"Billable, needs client",IF(N1068&gt;MaxDayHours,"Over "&amp;MaxDayHours&amp;" hours that day","")))))</f>
        <v/>
      </c>
    </row>
    <row r="1069" customFormat="false" ht="15" hidden="false" customHeight="false" outlineLevel="0" collapsed="false">
      <c r="A1069" s="31" t="n">
        <v>46260</v>
      </c>
      <c r="B1069" s="32" t="s">
        <v>101</v>
      </c>
      <c r="C1069" s="32"/>
      <c r="D1069" s="33" t="s">
        <v>98</v>
      </c>
      <c r="E1069" s="34" t="n">
        <v>1</v>
      </c>
      <c r="F1069" s="32" t="s">
        <v>99</v>
      </c>
      <c r="G1069" s="35" t="n">
        <f aca="false">IF(A1069="","",A1069+7-WEEKDAY(A1069))</f>
        <v>46263</v>
      </c>
      <c r="H1069" s="36" t="n">
        <f aca="false">IF(A1069="","",DATE(YEAR(A1069),MONTH(A1069),1))</f>
        <v>46235</v>
      </c>
      <c r="I1069" s="37" t="str">
        <f aca="false">IF(B1069="","",IFERROR(INDEX(st_ID,MATCH(B1069,st_Name,0)),"Unknown"))</f>
        <v>QP-04</v>
      </c>
      <c r="J1069" s="37" t="str">
        <f aca="false">IF(C1069="","",IFERROR(INDEX(cl_Code,MATCH(C1069,cl_Name,0)),"Unknown"))</f>
        <v/>
      </c>
      <c r="K1069" s="37" t="str">
        <f aca="false">IF(D1069="","",IFERROR(INDEX(rt_Billable,MATCH(D1069,rt_Code,0)),"Unknown"))</f>
        <v>No</v>
      </c>
      <c r="L1069" s="38" t="str">
        <f aca="false">IF(K1069&lt;&gt;"Yes","",IFERROR(INDEX(cr_Rate,MATCH(J1069&amp;"|"&amp;D1069,cr_Key,0)),INDEX(rt_Rate,MATCH(D1069,rt_Code,0))))</f>
        <v/>
      </c>
      <c r="M1069" s="25" t="str">
        <f aca="false">IF(L1069="","",ROUND(N(E1069)*L1069,2))</f>
        <v/>
      </c>
      <c r="N1069" s="39" t="n">
        <f aca="false">IF(OR(A1069="",B1069=""),"",SUMIFS(tl_Hours,tl_StaffID,I1069,tl_Date,A1069))</f>
        <v>8</v>
      </c>
      <c r="O1069" s="40" t="str">
        <f aca="false">IF(A1069&amp;B1069&amp;D1069="","",IF(OR(A1069="",B1069="",D1069="",E1069=""),"Incomplete",IF(K1069="Unknown","Unknown code",IF(AND(K1069="Yes",C1069=""),"Billable, needs client",IF(N1069&gt;MaxDayHours,"Over "&amp;MaxDayHours&amp;" hours that day","")))))</f>
        <v/>
      </c>
    </row>
    <row r="1070" customFormat="false" ht="15" hidden="false" customHeight="false" outlineLevel="0" collapsed="false">
      <c r="A1070" s="31" t="n">
        <v>46260</v>
      </c>
      <c r="B1070" s="32" t="s">
        <v>101</v>
      </c>
      <c r="C1070" s="32"/>
      <c r="D1070" s="33" t="s">
        <v>96</v>
      </c>
      <c r="E1070" s="34" t="n">
        <v>1.25</v>
      </c>
      <c r="F1070" s="32"/>
      <c r="G1070" s="35" t="n">
        <f aca="false">IF(A1070="","",A1070+7-WEEKDAY(A1070))</f>
        <v>46263</v>
      </c>
      <c r="H1070" s="36" t="n">
        <f aca="false">IF(A1070="","",DATE(YEAR(A1070),MONTH(A1070),1))</f>
        <v>46235</v>
      </c>
      <c r="I1070" s="37" t="str">
        <f aca="false">IF(B1070="","",IFERROR(INDEX(st_ID,MATCH(B1070,st_Name,0)),"Unknown"))</f>
        <v>QP-04</v>
      </c>
      <c r="J1070" s="37" t="str">
        <f aca="false">IF(C1070="","",IFERROR(INDEX(cl_Code,MATCH(C1070,cl_Name,0)),"Unknown"))</f>
        <v/>
      </c>
      <c r="K1070" s="37" t="str">
        <f aca="false">IF(D1070="","",IFERROR(INDEX(rt_Billable,MATCH(D1070,rt_Code,0)),"Unknown"))</f>
        <v>No</v>
      </c>
      <c r="L1070" s="38" t="str">
        <f aca="false">IF(K1070&lt;&gt;"Yes","",IFERROR(INDEX(cr_Rate,MATCH(J1070&amp;"|"&amp;D1070,cr_Key,0)),INDEX(rt_Rate,MATCH(D1070,rt_Code,0))))</f>
        <v/>
      </c>
      <c r="M1070" s="25" t="str">
        <f aca="false">IF(L1070="","",ROUND(N(E1070)*L1070,2))</f>
        <v/>
      </c>
      <c r="N1070" s="39" t="n">
        <f aca="false">IF(OR(A1070="",B1070=""),"",SUMIFS(tl_Hours,tl_StaffID,I1070,tl_Date,A1070))</f>
        <v>8</v>
      </c>
      <c r="O1070" s="40" t="str">
        <f aca="false">IF(A1070&amp;B1070&amp;D1070="","",IF(OR(A1070="",B1070="",D1070="",E1070=""),"Incomplete",IF(K1070="Unknown","Unknown code",IF(AND(K1070="Yes",C1070=""),"Billable, needs client",IF(N1070&gt;MaxDayHours,"Over "&amp;MaxDayHours&amp;" hours that day","")))))</f>
        <v/>
      </c>
    </row>
    <row r="1071" customFormat="false" ht="15" hidden="false" customHeight="false" outlineLevel="0" collapsed="false">
      <c r="A1071" s="31" t="n">
        <v>46260</v>
      </c>
      <c r="B1071" s="32" t="s">
        <v>103</v>
      </c>
      <c r="C1071" s="32" t="s">
        <v>87</v>
      </c>
      <c r="D1071" s="33" t="s">
        <v>88</v>
      </c>
      <c r="E1071" s="34" t="n">
        <v>2.25</v>
      </c>
      <c r="F1071" s="32"/>
      <c r="G1071" s="35" t="n">
        <f aca="false">IF(A1071="","",A1071+7-WEEKDAY(A1071))</f>
        <v>46263</v>
      </c>
      <c r="H1071" s="36" t="n">
        <f aca="false">IF(A1071="","",DATE(YEAR(A1071),MONTH(A1071),1))</f>
        <v>46235</v>
      </c>
      <c r="I1071" s="37" t="str">
        <f aca="false">IF(B1071="","",IFERROR(INDEX(st_ID,MATCH(B1071,st_Name,0)),"Unknown"))</f>
        <v>QP-05</v>
      </c>
      <c r="J1071" s="37" t="str">
        <f aca="false">IF(C1071="","",IFERROR(INDEX(cl_Code,MATCH(C1071,cl_Name,0)),"Unknown"))</f>
        <v>HCS</v>
      </c>
      <c r="K1071" s="37" t="str">
        <f aca="false">IF(D1071="","",IFERROR(INDEX(rt_Billable,MATCH(D1071,rt_Code,0)),"Unknown"))</f>
        <v>Yes</v>
      </c>
      <c r="L1071" s="38" t="n">
        <f aca="false">IF(K1071&lt;&gt;"Yes","",IFERROR(INDEX(cr_Rate,MATCH(J1071&amp;"|"&amp;D1071,cr_Key,0)),INDEX(rt_Rate,MATCH(D1071,rt_Code,0))))</f>
        <v>98</v>
      </c>
      <c r="M1071" s="25" t="n">
        <f aca="false">IF(L1071="","",ROUND(N(E1071)*L1071,2))</f>
        <v>220.5</v>
      </c>
      <c r="N1071" s="39" t="n">
        <f aca="false">IF(OR(A1071="",B1071=""),"",SUMIFS(tl_Hours,tl_StaffID,I1071,tl_Date,A1071))</f>
        <v>8</v>
      </c>
      <c r="O1071" s="40" t="str">
        <f aca="false">IF(A1071&amp;B1071&amp;D1071="","",IF(OR(A1071="",B1071="",D1071="",E1071=""),"Incomplete",IF(K1071="Unknown","Unknown code",IF(AND(K1071="Yes",C1071=""),"Billable, needs client",IF(N1071&gt;MaxDayHours,"Over "&amp;MaxDayHours&amp;" hours that day","")))))</f>
        <v/>
      </c>
    </row>
    <row r="1072" customFormat="false" ht="15" hidden="false" customHeight="false" outlineLevel="0" collapsed="false">
      <c r="A1072" s="31" t="n">
        <v>46260</v>
      </c>
      <c r="B1072" s="32" t="s">
        <v>103</v>
      </c>
      <c r="C1072" s="32" t="s">
        <v>87</v>
      </c>
      <c r="D1072" s="33" t="s">
        <v>89</v>
      </c>
      <c r="E1072" s="34" t="n">
        <v>0.5</v>
      </c>
      <c r="F1072" s="32"/>
      <c r="G1072" s="35" t="n">
        <f aca="false">IF(A1072="","",A1072+7-WEEKDAY(A1072))</f>
        <v>46263</v>
      </c>
      <c r="H1072" s="36" t="n">
        <f aca="false">IF(A1072="","",DATE(YEAR(A1072),MONTH(A1072),1))</f>
        <v>46235</v>
      </c>
      <c r="I1072" s="37" t="str">
        <f aca="false">IF(B1072="","",IFERROR(INDEX(st_ID,MATCH(B1072,st_Name,0)),"Unknown"))</f>
        <v>QP-05</v>
      </c>
      <c r="J1072" s="37" t="str">
        <f aca="false">IF(C1072="","",IFERROR(INDEX(cl_Code,MATCH(C1072,cl_Name,0)),"Unknown"))</f>
        <v>HCS</v>
      </c>
      <c r="K1072" s="37" t="str">
        <f aca="false">IF(D1072="","",IFERROR(INDEX(rt_Billable,MATCH(D1072,rt_Code,0)),"Unknown"))</f>
        <v>Yes</v>
      </c>
      <c r="L1072" s="38" t="n">
        <f aca="false">IF(K1072&lt;&gt;"Yes","",IFERROR(INDEX(cr_Rate,MATCH(J1072&amp;"|"&amp;D1072,cr_Key,0)),INDEX(rt_Rate,MATCH(D1072,rt_Code,0))))</f>
        <v>88</v>
      </c>
      <c r="M1072" s="25" t="n">
        <f aca="false">IF(L1072="","",ROUND(N(E1072)*L1072,2))</f>
        <v>44</v>
      </c>
      <c r="N1072" s="39" t="n">
        <f aca="false">IF(OR(A1072="",B1072=""),"",SUMIFS(tl_Hours,tl_StaffID,I1072,tl_Date,A1072))</f>
        <v>8</v>
      </c>
      <c r="O1072" s="40" t="str">
        <f aca="false">IF(A1072&amp;B1072&amp;D1072="","",IF(OR(A1072="",B1072="",D1072="",E1072=""),"Incomplete",IF(K1072="Unknown","Unknown code",IF(AND(K1072="Yes",C1072=""),"Billable, needs client",IF(N1072&gt;MaxDayHours,"Over "&amp;MaxDayHours&amp;" hours that day","")))))</f>
        <v/>
      </c>
    </row>
    <row r="1073" customFormat="false" ht="15" hidden="false" customHeight="false" outlineLevel="0" collapsed="false">
      <c r="A1073" s="31" t="n">
        <v>46260</v>
      </c>
      <c r="B1073" s="32" t="s">
        <v>103</v>
      </c>
      <c r="C1073" s="32" t="s">
        <v>90</v>
      </c>
      <c r="D1073" s="33" t="s">
        <v>88</v>
      </c>
      <c r="E1073" s="34" t="n">
        <v>2.25</v>
      </c>
      <c r="F1073" s="32"/>
      <c r="G1073" s="35" t="n">
        <f aca="false">IF(A1073="","",A1073+7-WEEKDAY(A1073))</f>
        <v>46263</v>
      </c>
      <c r="H1073" s="36" t="n">
        <f aca="false">IF(A1073="","",DATE(YEAR(A1073),MONTH(A1073),1))</f>
        <v>46235</v>
      </c>
      <c r="I1073" s="37" t="str">
        <f aca="false">IF(B1073="","",IFERROR(INDEX(st_ID,MATCH(B1073,st_Name,0)),"Unknown"))</f>
        <v>QP-05</v>
      </c>
      <c r="J1073" s="37" t="str">
        <f aca="false">IF(C1073="","",IFERROR(INDEX(cl_Code,MATCH(C1073,cl_Name,0)),"Unknown"))</f>
        <v>BSE</v>
      </c>
      <c r="K1073" s="37" t="str">
        <f aca="false">IF(D1073="","",IFERROR(INDEX(rt_Billable,MATCH(D1073,rt_Code,0)),"Unknown"))</f>
        <v>Yes</v>
      </c>
      <c r="L1073" s="38" t="n">
        <f aca="false">IF(K1073&lt;&gt;"Yes","",IFERROR(INDEX(cr_Rate,MATCH(J1073&amp;"|"&amp;D1073,cr_Key,0)),INDEX(rt_Rate,MATCH(D1073,rt_Code,0))))</f>
        <v>104</v>
      </c>
      <c r="M1073" s="25" t="n">
        <f aca="false">IF(L1073="","",ROUND(N(E1073)*L1073,2))</f>
        <v>234</v>
      </c>
      <c r="N1073" s="39" t="n">
        <f aca="false">IF(OR(A1073="",B1073=""),"",SUMIFS(tl_Hours,tl_StaffID,I1073,tl_Date,A1073))</f>
        <v>8</v>
      </c>
      <c r="O1073" s="40" t="str">
        <f aca="false">IF(A1073&amp;B1073&amp;D1073="","",IF(OR(A1073="",B1073="",D1073="",E1073=""),"Incomplete",IF(K1073="Unknown","Unknown code",IF(AND(K1073="Yes",C1073=""),"Billable, needs client",IF(N1073&gt;MaxDayHours,"Over "&amp;MaxDayHours&amp;" hours that day","")))))</f>
        <v/>
      </c>
    </row>
    <row r="1074" customFormat="false" ht="15" hidden="false" customHeight="false" outlineLevel="0" collapsed="false">
      <c r="A1074" s="31" t="n">
        <v>46260</v>
      </c>
      <c r="B1074" s="32" t="s">
        <v>103</v>
      </c>
      <c r="C1074" s="32" t="s">
        <v>90</v>
      </c>
      <c r="D1074" s="33" t="s">
        <v>92</v>
      </c>
      <c r="E1074" s="34" t="n">
        <v>0.5</v>
      </c>
      <c r="F1074" s="32"/>
      <c r="G1074" s="35" t="n">
        <f aca="false">IF(A1074="","",A1074+7-WEEKDAY(A1074))</f>
        <v>46263</v>
      </c>
      <c r="H1074" s="36" t="n">
        <f aca="false">IF(A1074="","",DATE(YEAR(A1074),MONTH(A1074),1))</f>
        <v>46235</v>
      </c>
      <c r="I1074" s="37" t="str">
        <f aca="false">IF(B1074="","",IFERROR(INDEX(st_ID,MATCH(B1074,st_Name,0)),"Unknown"))</f>
        <v>QP-05</v>
      </c>
      <c r="J1074" s="37" t="str">
        <f aca="false">IF(C1074="","",IFERROR(INDEX(cl_Code,MATCH(C1074,cl_Name,0)),"Unknown"))</f>
        <v>BSE</v>
      </c>
      <c r="K1074" s="37" t="str">
        <f aca="false">IF(D1074="","",IFERROR(INDEX(rt_Billable,MATCH(D1074,rt_Code,0)),"Unknown"))</f>
        <v>Yes</v>
      </c>
      <c r="L1074" s="38" t="n">
        <f aca="false">IF(K1074&lt;&gt;"Yes","",IFERROR(INDEX(cr_Rate,MATCH(J1074&amp;"|"&amp;D1074,cr_Key,0)),INDEX(rt_Rate,MATCH(D1074,rt_Code,0))))</f>
        <v>145</v>
      </c>
      <c r="M1074" s="25" t="n">
        <f aca="false">IF(L1074="","",ROUND(N(E1074)*L1074,2))</f>
        <v>72.5</v>
      </c>
      <c r="N1074" s="39" t="n">
        <f aca="false">IF(OR(A1074="",B1074=""),"",SUMIFS(tl_Hours,tl_StaffID,I1074,tl_Date,A1074))</f>
        <v>8</v>
      </c>
      <c r="O1074" s="40" t="str">
        <f aca="false">IF(A1074&amp;B1074&amp;D1074="","",IF(OR(A1074="",B1074="",D1074="",E1074=""),"Incomplete",IF(K1074="Unknown","Unknown code",IF(AND(K1074="Yes",C1074=""),"Billable, needs client",IF(N1074&gt;MaxDayHours,"Over "&amp;MaxDayHours&amp;" hours that day","")))))</f>
        <v/>
      </c>
    </row>
    <row r="1075" customFormat="false" ht="15" hidden="false" customHeight="false" outlineLevel="0" collapsed="false">
      <c r="A1075" s="31" t="n">
        <v>46260</v>
      </c>
      <c r="B1075" s="32" t="s">
        <v>103</v>
      </c>
      <c r="C1075" s="32"/>
      <c r="D1075" s="33" t="s">
        <v>93</v>
      </c>
      <c r="E1075" s="34" t="n">
        <v>0.5</v>
      </c>
      <c r="F1075" s="32"/>
      <c r="G1075" s="35" t="n">
        <f aca="false">IF(A1075="","",A1075+7-WEEKDAY(A1075))</f>
        <v>46263</v>
      </c>
      <c r="H1075" s="36" t="n">
        <f aca="false">IF(A1075="","",DATE(YEAR(A1075),MONTH(A1075),1))</f>
        <v>46235</v>
      </c>
      <c r="I1075" s="37" t="str">
        <f aca="false">IF(B1075="","",IFERROR(INDEX(st_ID,MATCH(B1075,st_Name,0)),"Unknown"))</f>
        <v>QP-05</v>
      </c>
      <c r="J1075" s="37" t="str">
        <f aca="false">IF(C1075="","",IFERROR(INDEX(cl_Code,MATCH(C1075,cl_Name,0)),"Unknown"))</f>
        <v/>
      </c>
      <c r="K1075" s="37" t="str">
        <f aca="false">IF(D1075="","",IFERROR(INDEX(rt_Billable,MATCH(D1075,rt_Code,0)),"Unknown"))</f>
        <v>No</v>
      </c>
      <c r="L1075" s="38" t="str">
        <f aca="false">IF(K1075&lt;&gt;"Yes","",IFERROR(INDEX(cr_Rate,MATCH(J1075&amp;"|"&amp;D1075,cr_Key,0)),INDEX(rt_Rate,MATCH(D1075,rt_Code,0))))</f>
        <v/>
      </c>
      <c r="M1075" s="25" t="str">
        <f aca="false">IF(L1075="","",ROUND(N(E1075)*L1075,2))</f>
        <v/>
      </c>
      <c r="N1075" s="39" t="n">
        <f aca="false">IF(OR(A1075="",B1075=""),"",SUMIFS(tl_Hours,tl_StaffID,I1075,tl_Date,A1075))</f>
        <v>8</v>
      </c>
      <c r="O1075" s="40" t="str">
        <f aca="false">IF(A1075&amp;B1075&amp;D1075="","",IF(OR(A1075="",B1075="",D1075="",E1075=""),"Incomplete",IF(K1075="Unknown","Unknown code",IF(AND(K1075="Yes",C1075=""),"Billable, needs client",IF(N1075&gt;MaxDayHours,"Over "&amp;MaxDayHours&amp;" hours that day","")))))</f>
        <v/>
      </c>
    </row>
    <row r="1076" customFormat="false" ht="15" hidden="false" customHeight="false" outlineLevel="0" collapsed="false">
      <c r="A1076" s="31" t="n">
        <v>46260</v>
      </c>
      <c r="B1076" s="32" t="s">
        <v>103</v>
      </c>
      <c r="C1076" s="32"/>
      <c r="D1076" s="33" t="s">
        <v>98</v>
      </c>
      <c r="E1076" s="34" t="n">
        <v>1</v>
      </c>
      <c r="F1076" s="32" t="s">
        <v>99</v>
      </c>
      <c r="G1076" s="35" t="n">
        <f aca="false">IF(A1076="","",A1076+7-WEEKDAY(A1076))</f>
        <v>46263</v>
      </c>
      <c r="H1076" s="36" t="n">
        <f aca="false">IF(A1076="","",DATE(YEAR(A1076),MONTH(A1076),1))</f>
        <v>46235</v>
      </c>
      <c r="I1076" s="37" t="str">
        <f aca="false">IF(B1076="","",IFERROR(INDEX(st_ID,MATCH(B1076,st_Name,0)),"Unknown"))</f>
        <v>QP-05</v>
      </c>
      <c r="J1076" s="37" t="str">
        <f aca="false">IF(C1076="","",IFERROR(INDEX(cl_Code,MATCH(C1076,cl_Name,0)),"Unknown"))</f>
        <v/>
      </c>
      <c r="K1076" s="37" t="str">
        <f aca="false">IF(D1076="","",IFERROR(INDEX(rt_Billable,MATCH(D1076,rt_Code,0)),"Unknown"))</f>
        <v>No</v>
      </c>
      <c r="L1076" s="38" t="str">
        <f aca="false">IF(K1076&lt;&gt;"Yes","",IFERROR(INDEX(cr_Rate,MATCH(J1076&amp;"|"&amp;D1076,cr_Key,0)),INDEX(rt_Rate,MATCH(D1076,rt_Code,0))))</f>
        <v/>
      </c>
      <c r="M1076" s="25" t="str">
        <f aca="false">IF(L1076="","",ROUND(N(E1076)*L1076,2))</f>
        <v/>
      </c>
      <c r="N1076" s="39" t="n">
        <f aca="false">IF(OR(A1076="",B1076=""),"",SUMIFS(tl_Hours,tl_StaffID,I1076,tl_Date,A1076))</f>
        <v>8</v>
      </c>
      <c r="O1076" s="40" t="str">
        <f aca="false">IF(A1076&amp;B1076&amp;D1076="","",IF(OR(A1076="",B1076="",D1076="",E1076=""),"Incomplete",IF(K1076="Unknown","Unknown code",IF(AND(K1076="Yes",C1076=""),"Billable, needs client",IF(N1076&gt;MaxDayHours,"Over "&amp;MaxDayHours&amp;" hours that day","")))))</f>
        <v/>
      </c>
    </row>
    <row r="1077" customFormat="false" ht="15" hidden="false" customHeight="false" outlineLevel="0" collapsed="false">
      <c r="A1077" s="31" t="n">
        <v>46260</v>
      </c>
      <c r="B1077" s="32" t="s">
        <v>103</v>
      </c>
      <c r="C1077" s="32"/>
      <c r="D1077" s="33" t="s">
        <v>96</v>
      </c>
      <c r="E1077" s="34" t="n">
        <v>1</v>
      </c>
      <c r="F1077" s="32"/>
      <c r="G1077" s="35" t="n">
        <f aca="false">IF(A1077="","",A1077+7-WEEKDAY(A1077))</f>
        <v>46263</v>
      </c>
      <c r="H1077" s="36" t="n">
        <f aca="false">IF(A1077="","",DATE(YEAR(A1077),MONTH(A1077),1))</f>
        <v>46235</v>
      </c>
      <c r="I1077" s="37" t="str">
        <f aca="false">IF(B1077="","",IFERROR(INDEX(st_ID,MATCH(B1077,st_Name,0)),"Unknown"))</f>
        <v>QP-05</v>
      </c>
      <c r="J1077" s="37" t="str">
        <f aca="false">IF(C1077="","",IFERROR(INDEX(cl_Code,MATCH(C1077,cl_Name,0)),"Unknown"))</f>
        <v/>
      </c>
      <c r="K1077" s="37" t="str">
        <f aca="false">IF(D1077="","",IFERROR(INDEX(rt_Billable,MATCH(D1077,rt_Code,0)),"Unknown"))</f>
        <v>No</v>
      </c>
      <c r="L1077" s="38" t="str">
        <f aca="false">IF(K1077&lt;&gt;"Yes","",IFERROR(INDEX(cr_Rate,MATCH(J1077&amp;"|"&amp;D1077,cr_Key,0)),INDEX(rt_Rate,MATCH(D1077,rt_Code,0))))</f>
        <v/>
      </c>
      <c r="M1077" s="25" t="str">
        <f aca="false">IF(L1077="","",ROUND(N(E1077)*L1077,2))</f>
        <v/>
      </c>
      <c r="N1077" s="39" t="n">
        <f aca="false">IF(OR(A1077="",B1077=""),"",SUMIFS(tl_Hours,tl_StaffID,I1077,tl_Date,A1077))</f>
        <v>8</v>
      </c>
      <c r="O1077" s="40" t="str">
        <f aca="false">IF(A1077&amp;B1077&amp;D1077="","",IF(OR(A1077="",B1077="",D1077="",E1077=""),"Incomplete",IF(K1077="Unknown","Unknown code",IF(AND(K1077="Yes",C1077=""),"Billable, needs client",IF(N1077&gt;MaxDayHours,"Over "&amp;MaxDayHours&amp;" hours that day","")))))</f>
        <v/>
      </c>
    </row>
    <row r="1078" customFormat="false" ht="15" hidden="false" customHeight="false" outlineLevel="0" collapsed="false">
      <c r="A1078" s="31" t="n">
        <v>46260</v>
      </c>
      <c r="B1078" s="32" t="s">
        <v>105</v>
      </c>
      <c r="C1078" s="32" t="s">
        <v>87</v>
      </c>
      <c r="D1078" s="33" t="s">
        <v>104</v>
      </c>
      <c r="E1078" s="34" t="n">
        <v>2.75</v>
      </c>
      <c r="F1078" s="32"/>
      <c r="G1078" s="35" t="n">
        <f aca="false">IF(A1078="","",A1078+7-WEEKDAY(A1078))</f>
        <v>46263</v>
      </c>
      <c r="H1078" s="36" t="n">
        <f aca="false">IF(A1078="","",DATE(YEAR(A1078),MONTH(A1078),1))</f>
        <v>46235</v>
      </c>
      <c r="I1078" s="37" t="str">
        <f aca="false">IF(B1078="","",IFERROR(INDEX(st_ID,MATCH(B1078,st_Name,0)),"Unknown"))</f>
        <v>QP-06</v>
      </c>
      <c r="J1078" s="37" t="str">
        <f aca="false">IF(C1078="","",IFERROR(INDEX(cl_Code,MATCH(C1078,cl_Name,0)),"Unknown"))</f>
        <v>HCS</v>
      </c>
      <c r="K1078" s="37" t="str">
        <f aca="false">IF(D1078="","",IFERROR(INDEX(rt_Billable,MATCH(D1078,rt_Code,0)),"Unknown"))</f>
        <v>Yes</v>
      </c>
      <c r="L1078" s="38" t="n">
        <f aca="false">IF(K1078&lt;&gt;"Yes","",IFERROR(INDEX(cr_Rate,MATCH(J1078&amp;"|"&amp;D1078,cr_Key,0)),INDEX(rt_Rate,MATCH(D1078,rt_Code,0))))</f>
        <v>62</v>
      </c>
      <c r="M1078" s="25" t="n">
        <f aca="false">IF(L1078="","",ROUND(N(E1078)*L1078,2))</f>
        <v>170.5</v>
      </c>
      <c r="N1078" s="39" t="n">
        <f aca="false">IF(OR(A1078="",B1078=""),"",SUMIFS(tl_Hours,tl_StaffID,I1078,tl_Date,A1078))</f>
        <v>8</v>
      </c>
      <c r="O1078" s="40" t="str">
        <f aca="false">IF(A1078&amp;B1078&amp;D1078="","",IF(OR(A1078="",B1078="",D1078="",E1078=""),"Incomplete",IF(K1078="Unknown","Unknown code",IF(AND(K1078="Yes",C1078=""),"Billable, needs client",IF(N1078&gt;MaxDayHours,"Over "&amp;MaxDayHours&amp;" hours that day","")))))</f>
        <v/>
      </c>
    </row>
    <row r="1079" customFormat="false" ht="15" hidden="false" customHeight="false" outlineLevel="0" collapsed="false">
      <c r="A1079" s="31" t="n">
        <v>46260</v>
      </c>
      <c r="B1079" s="32" t="s">
        <v>105</v>
      </c>
      <c r="C1079" s="32" t="s">
        <v>87</v>
      </c>
      <c r="D1079" s="33" t="s">
        <v>89</v>
      </c>
      <c r="E1079" s="34" t="n">
        <v>2</v>
      </c>
      <c r="F1079" s="32"/>
      <c r="G1079" s="35" t="n">
        <f aca="false">IF(A1079="","",A1079+7-WEEKDAY(A1079))</f>
        <v>46263</v>
      </c>
      <c r="H1079" s="36" t="n">
        <f aca="false">IF(A1079="","",DATE(YEAR(A1079),MONTH(A1079),1))</f>
        <v>46235</v>
      </c>
      <c r="I1079" s="37" t="str">
        <f aca="false">IF(B1079="","",IFERROR(INDEX(st_ID,MATCH(B1079,st_Name,0)),"Unknown"))</f>
        <v>QP-06</v>
      </c>
      <c r="J1079" s="37" t="str">
        <f aca="false">IF(C1079="","",IFERROR(INDEX(cl_Code,MATCH(C1079,cl_Name,0)),"Unknown"))</f>
        <v>HCS</v>
      </c>
      <c r="K1079" s="37" t="str">
        <f aca="false">IF(D1079="","",IFERROR(INDEX(rt_Billable,MATCH(D1079,rt_Code,0)),"Unknown"))</f>
        <v>Yes</v>
      </c>
      <c r="L1079" s="38" t="n">
        <f aca="false">IF(K1079&lt;&gt;"Yes","",IFERROR(INDEX(cr_Rate,MATCH(J1079&amp;"|"&amp;D1079,cr_Key,0)),INDEX(rt_Rate,MATCH(D1079,rt_Code,0))))</f>
        <v>88</v>
      </c>
      <c r="M1079" s="25" t="n">
        <f aca="false">IF(L1079="","",ROUND(N(E1079)*L1079,2))</f>
        <v>176</v>
      </c>
      <c r="N1079" s="39" t="n">
        <f aca="false">IF(OR(A1079="",B1079=""),"",SUMIFS(tl_Hours,tl_StaffID,I1079,tl_Date,A1079))</f>
        <v>8</v>
      </c>
      <c r="O1079" s="40" t="str">
        <f aca="false">IF(A1079&amp;B1079&amp;D1079="","",IF(OR(A1079="",B1079="",D1079="",E1079=""),"Incomplete",IF(K1079="Unknown","Unknown code",IF(AND(K1079="Yes",C1079=""),"Billable, needs client",IF(N1079&gt;MaxDayHours,"Over "&amp;MaxDayHours&amp;" hours that day","")))))</f>
        <v/>
      </c>
    </row>
    <row r="1080" customFormat="false" ht="15" hidden="false" customHeight="false" outlineLevel="0" collapsed="false">
      <c r="A1080" s="31" t="n">
        <v>46260</v>
      </c>
      <c r="B1080" s="32" t="s">
        <v>105</v>
      </c>
      <c r="C1080" s="32"/>
      <c r="D1080" s="33" t="s">
        <v>98</v>
      </c>
      <c r="E1080" s="34" t="n">
        <v>1</v>
      </c>
      <c r="F1080" s="32" t="s">
        <v>99</v>
      </c>
      <c r="G1080" s="35" t="n">
        <f aca="false">IF(A1080="","",A1080+7-WEEKDAY(A1080))</f>
        <v>46263</v>
      </c>
      <c r="H1080" s="36" t="n">
        <f aca="false">IF(A1080="","",DATE(YEAR(A1080),MONTH(A1080),1))</f>
        <v>46235</v>
      </c>
      <c r="I1080" s="37" t="str">
        <f aca="false">IF(B1080="","",IFERROR(INDEX(st_ID,MATCH(B1080,st_Name,0)),"Unknown"))</f>
        <v>QP-06</v>
      </c>
      <c r="J1080" s="37" t="str">
        <f aca="false">IF(C1080="","",IFERROR(INDEX(cl_Code,MATCH(C1080,cl_Name,0)),"Unknown"))</f>
        <v/>
      </c>
      <c r="K1080" s="37" t="str">
        <f aca="false">IF(D1080="","",IFERROR(INDEX(rt_Billable,MATCH(D1080,rt_Code,0)),"Unknown"))</f>
        <v>No</v>
      </c>
      <c r="L1080" s="38" t="str">
        <f aca="false">IF(K1080&lt;&gt;"Yes","",IFERROR(INDEX(cr_Rate,MATCH(J1080&amp;"|"&amp;D1080,cr_Key,0)),INDEX(rt_Rate,MATCH(D1080,rt_Code,0))))</f>
        <v/>
      </c>
      <c r="M1080" s="25" t="str">
        <f aca="false">IF(L1080="","",ROUND(N(E1080)*L1080,2))</f>
        <v/>
      </c>
      <c r="N1080" s="39" t="n">
        <f aca="false">IF(OR(A1080="",B1080=""),"",SUMIFS(tl_Hours,tl_StaffID,I1080,tl_Date,A1080))</f>
        <v>8</v>
      </c>
      <c r="O1080" s="40" t="str">
        <f aca="false">IF(A1080&amp;B1080&amp;D1080="","",IF(OR(A1080="",B1080="",D1080="",E1080=""),"Incomplete",IF(K1080="Unknown","Unknown code",IF(AND(K1080="Yes",C1080=""),"Billable, needs client",IF(N1080&gt;MaxDayHours,"Over "&amp;MaxDayHours&amp;" hours that day","")))))</f>
        <v/>
      </c>
    </row>
    <row r="1081" customFormat="false" ht="15" hidden="false" customHeight="false" outlineLevel="0" collapsed="false">
      <c r="A1081" s="31" t="n">
        <v>46260</v>
      </c>
      <c r="B1081" s="32" t="s">
        <v>105</v>
      </c>
      <c r="C1081" s="32"/>
      <c r="D1081" s="33" t="s">
        <v>96</v>
      </c>
      <c r="E1081" s="34" t="n">
        <v>2.25</v>
      </c>
      <c r="F1081" s="32"/>
      <c r="G1081" s="35" t="n">
        <f aca="false">IF(A1081="","",A1081+7-WEEKDAY(A1081))</f>
        <v>46263</v>
      </c>
      <c r="H1081" s="36" t="n">
        <f aca="false">IF(A1081="","",DATE(YEAR(A1081),MONTH(A1081),1))</f>
        <v>46235</v>
      </c>
      <c r="I1081" s="37" t="str">
        <f aca="false">IF(B1081="","",IFERROR(INDEX(st_ID,MATCH(B1081,st_Name,0)),"Unknown"))</f>
        <v>QP-06</v>
      </c>
      <c r="J1081" s="37" t="str">
        <f aca="false">IF(C1081="","",IFERROR(INDEX(cl_Code,MATCH(C1081,cl_Name,0)),"Unknown"))</f>
        <v/>
      </c>
      <c r="K1081" s="37" t="str">
        <f aca="false">IF(D1081="","",IFERROR(INDEX(rt_Billable,MATCH(D1081,rt_Code,0)),"Unknown"))</f>
        <v>No</v>
      </c>
      <c r="L1081" s="38" t="str">
        <f aca="false">IF(K1081&lt;&gt;"Yes","",IFERROR(INDEX(cr_Rate,MATCH(J1081&amp;"|"&amp;D1081,cr_Key,0)),INDEX(rt_Rate,MATCH(D1081,rt_Code,0))))</f>
        <v/>
      </c>
      <c r="M1081" s="25" t="str">
        <f aca="false">IF(L1081="","",ROUND(N(E1081)*L1081,2))</f>
        <v/>
      </c>
      <c r="N1081" s="39" t="n">
        <f aca="false">IF(OR(A1081="",B1081=""),"",SUMIFS(tl_Hours,tl_StaffID,I1081,tl_Date,A1081))</f>
        <v>8</v>
      </c>
      <c r="O1081" s="40" t="str">
        <f aca="false">IF(A1081&amp;B1081&amp;D1081="","",IF(OR(A1081="",B1081="",D1081="",E1081=""),"Incomplete",IF(K1081="Unknown","Unknown code",IF(AND(K1081="Yes",C1081=""),"Billable, needs client",IF(N1081&gt;MaxDayHours,"Over "&amp;MaxDayHours&amp;" hours that day","")))))</f>
        <v/>
      </c>
    </row>
    <row r="1082" customFormat="false" ht="15" hidden="false" customHeight="false" outlineLevel="0" collapsed="false">
      <c r="A1082" s="31" t="n">
        <v>46260</v>
      </c>
      <c r="B1082" s="32" t="s">
        <v>106</v>
      </c>
      <c r="C1082" s="32" t="s">
        <v>102</v>
      </c>
      <c r="D1082" s="33" t="s">
        <v>88</v>
      </c>
      <c r="E1082" s="34" t="n">
        <v>4.25</v>
      </c>
      <c r="F1082" s="32"/>
      <c r="G1082" s="35" t="n">
        <f aca="false">IF(A1082="","",A1082+7-WEEKDAY(A1082))</f>
        <v>46263</v>
      </c>
      <c r="H1082" s="36" t="n">
        <f aca="false">IF(A1082="","",DATE(YEAR(A1082),MONTH(A1082),1))</f>
        <v>46235</v>
      </c>
      <c r="I1082" s="37" t="str">
        <f aca="false">IF(B1082="","",IFERROR(INDEX(st_ID,MATCH(B1082,st_Name,0)),"Unknown"))</f>
        <v>QP-07</v>
      </c>
      <c r="J1082" s="37" t="str">
        <f aca="false">IF(C1082="","",IFERROR(INDEX(cl_Code,MATCH(C1082,cl_Name,0)),"Unknown"))</f>
        <v>CLH</v>
      </c>
      <c r="K1082" s="37" t="str">
        <f aca="false">IF(D1082="","",IFERROR(INDEX(rt_Billable,MATCH(D1082,rt_Code,0)),"Unknown"))</f>
        <v>Yes</v>
      </c>
      <c r="L1082" s="38" t="n">
        <f aca="false">IF(K1082&lt;&gt;"Yes","",IFERROR(INDEX(cr_Rate,MATCH(J1082&amp;"|"&amp;D1082,cr_Key,0)),INDEX(rt_Rate,MATCH(D1082,rt_Code,0))))</f>
        <v>110</v>
      </c>
      <c r="M1082" s="25" t="n">
        <f aca="false">IF(L1082="","",ROUND(N(E1082)*L1082,2))</f>
        <v>467.5</v>
      </c>
      <c r="N1082" s="39" t="n">
        <f aca="false">IF(OR(A1082="",B1082=""),"",SUMIFS(tl_Hours,tl_StaffID,I1082,tl_Date,A1082))</f>
        <v>8</v>
      </c>
      <c r="O1082" s="40" t="str">
        <f aca="false">IF(A1082&amp;B1082&amp;D1082="","",IF(OR(A1082="",B1082="",D1082="",E1082=""),"Incomplete",IF(K1082="Unknown","Unknown code",IF(AND(K1082="Yes",C1082=""),"Billable, needs client",IF(N1082&gt;MaxDayHours,"Over "&amp;MaxDayHours&amp;" hours that day","")))))</f>
        <v/>
      </c>
    </row>
    <row r="1083" customFormat="false" ht="15" hidden="false" customHeight="false" outlineLevel="0" collapsed="false">
      <c r="A1083" s="31" t="n">
        <v>46260</v>
      </c>
      <c r="B1083" s="32" t="s">
        <v>106</v>
      </c>
      <c r="C1083" s="32" t="s">
        <v>102</v>
      </c>
      <c r="D1083" s="33" t="s">
        <v>104</v>
      </c>
      <c r="E1083" s="34" t="n">
        <v>1.75</v>
      </c>
      <c r="F1083" s="32"/>
      <c r="G1083" s="35" t="n">
        <f aca="false">IF(A1083="","",A1083+7-WEEKDAY(A1083))</f>
        <v>46263</v>
      </c>
      <c r="H1083" s="36" t="n">
        <f aca="false">IF(A1083="","",DATE(YEAR(A1083),MONTH(A1083),1))</f>
        <v>46235</v>
      </c>
      <c r="I1083" s="37" t="str">
        <f aca="false">IF(B1083="","",IFERROR(INDEX(st_ID,MATCH(B1083,st_Name,0)),"Unknown"))</f>
        <v>QP-07</v>
      </c>
      <c r="J1083" s="37" t="str">
        <f aca="false">IF(C1083="","",IFERROR(INDEX(cl_Code,MATCH(C1083,cl_Name,0)),"Unknown"))</f>
        <v>CLH</v>
      </c>
      <c r="K1083" s="37" t="str">
        <f aca="false">IF(D1083="","",IFERROR(INDEX(rt_Billable,MATCH(D1083,rt_Code,0)),"Unknown"))</f>
        <v>Yes</v>
      </c>
      <c r="L1083" s="38" t="n">
        <f aca="false">IF(K1083&lt;&gt;"Yes","",IFERROR(INDEX(cr_Rate,MATCH(J1083&amp;"|"&amp;D1083,cr_Key,0)),INDEX(rt_Rate,MATCH(D1083,rt_Code,0))))</f>
        <v>65</v>
      </c>
      <c r="M1083" s="25" t="n">
        <f aca="false">IF(L1083="","",ROUND(N(E1083)*L1083,2))</f>
        <v>113.75</v>
      </c>
      <c r="N1083" s="39" t="n">
        <f aca="false">IF(OR(A1083="",B1083=""),"",SUMIFS(tl_Hours,tl_StaffID,I1083,tl_Date,A1083))</f>
        <v>8</v>
      </c>
      <c r="O1083" s="40" t="str">
        <f aca="false">IF(A1083&amp;B1083&amp;D1083="","",IF(OR(A1083="",B1083="",D1083="",E1083=""),"Incomplete",IF(K1083="Unknown","Unknown code",IF(AND(K1083="Yes",C1083=""),"Billable, needs client",IF(N1083&gt;MaxDayHours,"Over "&amp;MaxDayHours&amp;" hours that day","")))))</f>
        <v/>
      </c>
    </row>
    <row r="1084" customFormat="false" ht="15" hidden="false" customHeight="false" outlineLevel="0" collapsed="false">
      <c r="A1084" s="31" t="n">
        <v>46260</v>
      </c>
      <c r="B1084" s="32" t="s">
        <v>106</v>
      </c>
      <c r="C1084" s="32"/>
      <c r="D1084" s="33" t="s">
        <v>98</v>
      </c>
      <c r="E1084" s="34" t="n">
        <v>1</v>
      </c>
      <c r="F1084" s="32" t="s">
        <v>99</v>
      </c>
      <c r="G1084" s="35" t="n">
        <f aca="false">IF(A1084="","",A1084+7-WEEKDAY(A1084))</f>
        <v>46263</v>
      </c>
      <c r="H1084" s="36" t="n">
        <f aca="false">IF(A1084="","",DATE(YEAR(A1084),MONTH(A1084),1))</f>
        <v>46235</v>
      </c>
      <c r="I1084" s="37" t="str">
        <f aca="false">IF(B1084="","",IFERROR(INDEX(st_ID,MATCH(B1084,st_Name,0)),"Unknown"))</f>
        <v>QP-07</v>
      </c>
      <c r="J1084" s="37" t="str">
        <f aca="false">IF(C1084="","",IFERROR(INDEX(cl_Code,MATCH(C1084,cl_Name,0)),"Unknown"))</f>
        <v/>
      </c>
      <c r="K1084" s="37" t="str">
        <f aca="false">IF(D1084="","",IFERROR(INDEX(rt_Billable,MATCH(D1084,rt_Code,0)),"Unknown"))</f>
        <v>No</v>
      </c>
      <c r="L1084" s="38" t="str">
        <f aca="false">IF(K1084&lt;&gt;"Yes","",IFERROR(INDEX(cr_Rate,MATCH(J1084&amp;"|"&amp;D1084,cr_Key,0)),INDEX(rt_Rate,MATCH(D1084,rt_Code,0))))</f>
        <v/>
      </c>
      <c r="M1084" s="25" t="str">
        <f aca="false">IF(L1084="","",ROUND(N(E1084)*L1084,2))</f>
        <v/>
      </c>
      <c r="N1084" s="39" t="n">
        <f aca="false">IF(OR(A1084="",B1084=""),"",SUMIFS(tl_Hours,tl_StaffID,I1084,tl_Date,A1084))</f>
        <v>8</v>
      </c>
      <c r="O1084" s="40" t="str">
        <f aca="false">IF(A1084&amp;B1084&amp;D1084="","",IF(OR(A1084="",B1084="",D1084="",E1084=""),"Incomplete",IF(K1084="Unknown","Unknown code",IF(AND(K1084="Yes",C1084=""),"Billable, needs client",IF(N1084&gt;MaxDayHours,"Over "&amp;MaxDayHours&amp;" hours that day","")))))</f>
        <v/>
      </c>
    </row>
    <row r="1085" customFormat="false" ht="15" hidden="false" customHeight="false" outlineLevel="0" collapsed="false">
      <c r="A1085" s="31" t="n">
        <v>46260</v>
      </c>
      <c r="B1085" s="32" t="s">
        <v>106</v>
      </c>
      <c r="C1085" s="32"/>
      <c r="D1085" s="33" t="s">
        <v>96</v>
      </c>
      <c r="E1085" s="34" t="n">
        <v>1</v>
      </c>
      <c r="F1085" s="32"/>
      <c r="G1085" s="35" t="n">
        <f aca="false">IF(A1085="","",A1085+7-WEEKDAY(A1085))</f>
        <v>46263</v>
      </c>
      <c r="H1085" s="36" t="n">
        <f aca="false">IF(A1085="","",DATE(YEAR(A1085),MONTH(A1085),1))</f>
        <v>46235</v>
      </c>
      <c r="I1085" s="37" t="str">
        <f aca="false">IF(B1085="","",IFERROR(INDEX(st_ID,MATCH(B1085,st_Name,0)),"Unknown"))</f>
        <v>QP-07</v>
      </c>
      <c r="J1085" s="37" t="str">
        <f aca="false">IF(C1085="","",IFERROR(INDEX(cl_Code,MATCH(C1085,cl_Name,0)),"Unknown"))</f>
        <v/>
      </c>
      <c r="K1085" s="37" t="str">
        <f aca="false">IF(D1085="","",IFERROR(INDEX(rt_Billable,MATCH(D1085,rt_Code,0)),"Unknown"))</f>
        <v>No</v>
      </c>
      <c r="L1085" s="38" t="str">
        <f aca="false">IF(K1085&lt;&gt;"Yes","",IFERROR(INDEX(cr_Rate,MATCH(J1085&amp;"|"&amp;D1085,cr_Key,0)),INDEX(rt_Rate,MATCH(D1085,rt_Code,0))))</f>
        <v/>
      </c>
      <c r="M1085" s="25" t="str">
        <f aca="false">IF(L1085="","",ROUND(N(E1085)*L1085,2))</f>
        <v/>
      </c>
      <c r="N1085" s="39" t="n">
        <f aca="false">IF(OR(A1085="",B1085=""),"",SUMIFS(tl_Hours,tl_StaffID,I1085,tl_Date,A1085))</f>
        <v>8</v>
      </c>
      <c r="O1085" s="40" t="str">
        <f aca="false">IF(A1085&amp;B1085&amp;D1085="","",IF(OR(A1085="",B1085="",D1085="",E1085=""),"Incomplete",IF(K1085="Unknown","Unknown code",IF(AND(K1085="Yes",C1085=""),"Billable, needs client",IF(N1085&gt;MaxDayHours,"Over "&amp;MaxDayHours&amp;" hours that day","")))))</f>
        <v/>
      </c>
    </row>
    <row r="1086" customFormat="false" ht="15" hidden="false" customHeight="false" outlineLevel="0" collapsed="false">
      <c r="A1086" s="31" t="n">
        <v>46260</v>
      </c>
      <c r="B1086" s="32" t="s">
        <v>107</v>
      </c>
      <c r="C1086" s="32"/>
      <c r="D1086" s="33" t="s">
        <v>108</v>
      </c>
      <c r="E1086" s="34" t="n">
        <v>7</v>
      </c>
      <c r="F1086" s="32"/>
      <c r="G1086" s="35" t="n">
        <f aca="false">IF(A1086="","",A1086+7-WEEKDAY(A1086))</f>
        <v>46263</v>
      </c>
      <c r="H1086" s="36" t="n">
        <f aca="false">IF(A1086="","",DATE(YEAR(A1086),MONTH(A1086),1))</f>
        <v>46235</v>
      </c>
      <c r="I1086" s="37" t="str">
        <f aca="false">IF(B1086="","",IFERROR(INDEX(st_ID,MATCH(B1086,st_Name,0)),"Unknown"))</f>
        <v>QP-08</v>
      </c>
      <c r="J1086" s="37" t="str">
        <f aca="false">IF(C1086="","",IFERROR(INDEX(cl_Code,MATCH(C1086,cl_Name,0)),"Unknown"))</f>
        <v/>
      </c>
      <c r="K1086" s="37" t="str">
        <f aca="false">IF(D1086="","",IFERROR(INDEX(rt_Billable,MATCH(D1086,rt_Code,0)),"Unknown"))</f>
        <v>No</v>
      </c>
      <c r="L1086" s="38" t="str">
        <f aca="false">IF(K1086&lt;&gt;"Yes","",IFERROR(INDEX(cr_Rate,MATCH(J1086&amp;"|"&amp;D1086,cr_Key,0)),INDEX(rt_Rate,MATCH(D1086,rt_Code,0))))</f>
        <v/>
      </c>
      <c r="M1086" s="25" t="str">
        <f aca="false">IF(L1086="","",ROUND(N(E1086)*L1086,2))</f>
        <v/>
      </c>
      <c r="N1086" s="39" t="n">
        <f aca="false">IF(OR(A1086="",B1086=""),"",SUMIFS(tl_Hours,tl_StaffID,I1086,tl_Date,A1086))</f>
        <v>8</v>
      </c>
      <c r="O1086" s="40" t="str">
        <f aca="false">IF(A1086&amp;B1086&amp;D1086="","",IF(OR(A1086="",B1086="",D1086="",E1086=""),"Incomplete",IF(K1086="Unknown","Unknown code",IF(AND(K1086="Yes",C1086=""),"Billable, needs client",IF(N1086&gt;MaxDayHours,"Over "&amp;MaxDayHours&amp;" hours that day","")))))</f>
        <v/>
      </c>
    </row>
    <row r="1087" customFormat="false" ht="15" hidden="false" customHeight="false" outlineLevel="0" collapsed="false">
      <c r="A1087" s="31" t="n">
        <v>46260</v>
      </c>
      <c r="B1087" s="32" t="s">
        <v>107</v>
      </c>
      <c r="C1087" s="32"/>
      <c r="D1087" s="33" t="s">
        <v>98</v>
      </c>
      <c r="E1087" s="34" t="n">
        <v>1</v>
      </c>
      <c r="F1087" s="32"/>
      <c r="G1087" s="35" t="n">
        <f aca="false">IF(A1087="","",A1087+7-WEEKDAY(A1087))</f>
        <v>46263</v>
      </c>
      <c r="H1087" s="36" t="n">
        <f aca="false">IF(A1087="","",DATE(YEAR(A1087),MONTH(A1087),1))</f>
        <v>46235</v>
      </c>
      <c r="I1087" s="37" t="str">
        <f aca="false">IF(B1087="","",IFERROR(INDEX(st_ID,MATCH(B1087,st_Name,0)),"Unknown"))</f>
        <v>QP-08</v>
      </c>
      <c r="J1087" s="37" t="str">
        <f aca="false">IF(C1087="","",IFERROR(INDEX(cl_Code,MATCH(C1087,cl_Name,0)),"Unknown"))</f>
        <v/>
      </c>
      <c r="K1087" s="37" t="str">
        <f aca="false">IF(D1087="","",IFERROR(INDEX(rt_Billable,MATCH(D1087,rt_Code,0)),"Unknown"))</f>
        <v>No</v>
      </c>
      <c r="L1087" s="38" t="str">
        <f aca="false">IF(K1087&lt;&gt;"Yes","",IFERROR(INDEX(cr_Rate,MATCH(J1087&amp;"|"&amp;D1087,cr_Key,0)),INDEX(rt_Rate,MATCH(D1087,rt_Code,0))))</f>
        <v/>
      </c>
      <c r="M1087" s="25" t="str">
        <f aca="false">IF(L1087="","",ROUND(N(E1087)*L1087,2))</f>
        <v/>
      </c>
      <c r="N1087" s="39" t="n">
        <f aca="false">IF(OR(A1087="",B1087=""),"",SUMIFS(tl_Hours,tl_StaffID,I1087,tl_Date,A1087))</f>
        <v>8</v>
      </c>
      <c r="O1087" s="40" t="str">
        <f aca="false">IF(A1087&amp;B1087&amp;D1087="","",IF(OR(A1087="",B1087="",D1087="",E1087=""),"Incomplete",IF(K1087="Unknown","Unknown code",IF(AND(K1087="Yes",C1087=""),"Billable, needs client",IF(N1087&gt;MaxDayHours,"Over "&amp;MaxDayHours&amp;" hours that day","")))))</f>
        <v/>
      </c>
    </row>
    <row r="1088" customFormat="false" ht="15" hidden="false" customHeight="false" outlineLevel="0" collapsed="false">
      <c r="A1088" s="31" t="n">
        <v>46261</v>
      </c>
      <c r="B1088" s="32" t="s">
        <v>86</v>
      </c>
      <c r="C1088" s="32" t="s">
        <v>90</v>
      </c>
      <c r="D1088" s="33" t="s">
        <v>91</v>
      </c>
      <c r="E1088" s="34" t="n">
        <v>3.75</v>
      </c>
      <c r="F1088" s="32"/>
      <c r="G1088" s="35" t="n">
        <f aca="false">IF(A1088="","",A1088+7-WEEKDAY(A1088))</f>
        <v>46263</v>
      </c>
      <c r="H1088" s="36" t="n">
        <f aca="false">IF(A1088="","",DATE(YEAR(A1088),MONTH(A1088),1))</f>
        <v>46235</v>
      </c>
      <c r="I1088" s="37" t="str">
        <f aca="false">IF(B1088="","",IFERROR(INDEX(st_ID,MATCH(B1088,st_Name,0)),"Unknown"))</f>
        <v>QP-01</v>
      </c>
      <c r="J1088" s="37" t="str">
        <f aca="false">IF(C1088="","",IFERROR(INDEX(cl_Code,MATCH(C1088,cl_Name,0)),"Unknown"))</f>
        <v>BSE</v>
      </c>
      <c r="K1088" s="37" t="str">
        <f aca="false">IF(D1088="","",IFERROR(INDEX(rt_Billable,MATCH(D1088,rt_Code,0)),"Unknown"))</f>
        <v>Yes</v>
      </c>
      <c r="L1088" s="38" t="n">
        <f aca="false">IF(K1088&lt;&gt;"Yes","",IFERROR(INDEX(cr_Rate,MATCH(J1088&amp;"|"&amp;D1088,cr_Key,0)),INDEX(rt_Rate,MATCH(D1088,rt_Code,0))))</f>
        <v>100</v>
      </c>
      <c r="M1088" s="25" t="n">
        <f aca="false">IF(L1088="","",ROUND(N(E1088)*L1088,2))</f>
        <v>375</v>
      </c>
      <c r="N1088" s="39" t="n">
        <f aca="false">IF(OR(A1088="",B1088=""),"",SUMIFS(tl_Hours,tl_StaffID,I1088,tl_Date,A1088))</f>
        <v>8</v>
      </c>
      <c r="O1088" s="40" t="str">
        <f aca="false">IF(A1088&amp;B1088&amp;D1088="","",IF(OR(A1088="",B1088="",D1088="",E1088=""),"Incomplete",IF(K1088="Unknown","Unknown code",IF(AND(K1088="Yes",C1088=""),"Billable, needs client",IF(N1088&gt;MaxDayHours,"Over "&amp;MaxDayHours&amp;" hours that day","")))))</f>
        <v/>
      </c>
    </row>
    <row r="1089" customFormat="false" ht="15" hidden="false" customHeight="false" outlineLevel="0" collapsed="false">
      <c r="A1089" s="31" t="n">
        <v>46261</v>
      </c>
      <c r="B1089" s="32" t="s">
        <v>86</v>
      </c>
      <c r="C1089" s="32" t="s">
        <v>90</v>
      </c>
      <c r="D1089" s="33" t="s">
        <v>92</v>
      </c>
      <c r="E1089" s="34" t="n">
        <v>2</v>
      </c>
      <c r="F1089" s="32"/>
      <c r="G1089" s="35" t="n">
        <f aca="false">IF(A1089="","",A1089+7-WEEKDAY(A1089))</f>
        <v>46263</v>
      </c>
      <c r="H1089" s="36" t="n">
        <f aca="false">IF(A1089="","",DATE(YEAR(A1089),MONTH(A1089),1))</f>
        <v>46235</v>
      </c>
      <c r="I1089" s="37" t="str">
        <f aca="false">IF(B1089="","",IFERROR(INDEX(st_ID,MATCH(B1089,st_Name,0)),"Unknown"))</f>
        <v>QP-01</v>
      </c>
      <c r="J1089" s="37" t="str">
        <f aca="false">IF(C1089="","",IFERROR(INDEX(cl_Code,MATCH(C1089,cl_Name,0)),"Unknown"))</f>
        <v>BSE</v>
      </c>
      <c r="K1089" s="37" t="str">
        <f aca="false">IF(D1089="","",IFERROR(INDEX(rt_Billable,MATCH(D1089,rt_Code,0)),"Unknown"))</f>
        <v>Yes</v>
      </c>
      <c r="L1089" s="38" t="n">
        <f aca="false">IF(K1089&lt;&gt;"Yes","",IFERROR(INDEX(cr_Rate,MATCH(J1089&amp;"|"&amp;D1089,cr_Key,0)),INDEX(rt_Rate,MATCH(D1089,rt_Code,0))))</f>
        <v>145</v>
      </c>
      <c r="M1089" s="25" t="n">
        <f aca="false">IF(L1089="","",ROUND(N(E1089)*L1089,2))</f>
        <v>290</v>
      </c>
      <c r="N1089" s="39" t="n">
        <f aca="false">IF(OR(A1089="",B1089=""),"",SUMIFS(tl_Hours,tl_StaffID,I1089,tl_Date,A1089))</f>
        <v>8</v>
      </c>
      <c r="O1089" s="40" t="str">
        <f aca="false">IF(A1089&amp;B1089&amp;D1089="","",IF(OR(A1089="",B1089="",D1089="",E1089=""),"Incomplete",IF(K1089="Unknown","Unknown code",IF(AND(K1089="Yes",C1089=""),"Billable, needs client",IF(N1089&gt;MaxDayHours,"Over "&amp;MaxDayHours&amp;" hours that day","")))))</f>
        <v/>
      </c>
    </row>
    <row r="1090" customFormat="false" ht="15" hidden="false" customHeight="false" outlineLevel="0" collapsed="false">
      <c r="A1090" s="31" t="n">
        <v>46261</v>
      </c>
      <c r="B1090" s="32" t="s">
        <v>86</v>
      </c>
      <c r="C1090" s="32"/>
      <c r="D1090" s="33" t="s">
        <v>96</v>
      </c>
      <c r="E1090" s="34" t="n">
        <v>2.25</v>
      </c>
      <c r="F1090" s="32"/>
      <c r="G1090" s="35" t="n">
        <f aca="false">IF(A1090="","",A1090+7-WEEKDAY(A1090))</f>
        <v>46263</v>
      </c>
      <c r="H1090" s="36" t="n">
        <f aca="false">IF(A1090="","",DATE(YEAR(A1090),MONTH(A1090),1))</f>
        <v>46235</v>
      </c>
      <c r="I1090" s="37" t="str">
        <f aca="false">IF(B1090="","",IFERROR(INDEX(st_ID,MATCH(B1090,st_Name,0)),"Unknown"))</f>
        <v>QP-01</v>
      </c>
      <c r="J1090" s="37" t="str">
        <f aca="false">IF(C1090="","",IFERROR(INDEX(cl_Code,MATCH(C1090,cl_Name,0)),"Unknown"))</f>
        <v/>
      </c>
      <c r="K1090" s="37" t="str">
        <f aca="false">IF(D1090="","",IFERROR(INDEX(rt_Billable,MATCH(D1090,rt_Code,0)),"Unknown"))</f>
        <v>No</v>
      </c>
      <c r="L1090" s="38" t="str">
        <f aca="false">IF(K1090&lt;&gt;"Yes","",IFERROR(INDEX(cr_Rate,MATCH(J1090&amp;"|"&amp;D1090,cr_Key,0)),INDEX(rt_Rate,MATCH(D1090,rt_Code,0))))</f>
        <v/>
      </c>
      <c r="M1090" s="25" t="str">
        <f aca="false">IF(L1090="","",ROUND(N(E1090)*L1090,2))</f>
        <v/>
      </c>
      <c r="N1090" s="39" t="n">
        <f aca="false">IF(OR(A1090="",B1090=""),"",SUMIFS(tl_Hours,tl_StaffID,I1090,tl_Date,A1090))</f>
        <v>8</v>
      </c>
      <c r="O1090" s="40" t="str">
        <f aca="false">IF(A1090&amp;B1090&amp;D1090="","",IF(OR(A1090="",B1090="",D1090="",E1090=""),"Incomplete",IF(K1090="Unknown","Unknown code",IF(AND(K1090="Yes",C1090=""),"Billable, needs client",IF(N1090&gt;MaxDayHours,"Over "&amp;MaxDayHours&amp;" hours that day","")))))</f>
        <v/>
      </c>
    </row>
    <row r="1091" customFormat="false" ht="15" hidden="false" customHeight="false" outlineLevel="0" collapsed="false">
      <c r="A1091" s="31" t="n">
        <v>46261</v>
      </c>
      <c r="B1091" s="32" t="s">
        <v>97</v>
      </c>
      <c r="C1091" s="32" t="s">
        <v>87</v>
      </c>
      <c r="D1091" s="33" t="s">
        <v>88</v>
      </c>
      <c r="E1091" s="34" t="n">
        <v>1.75</v>
      </c>
      <c r="F1091" s="32"/>
      <c r="G1091" s="35" t="n">
        <f aca="false">IF(A1091="","",A1091+7-WEEKDAY(A1091))</f>
        <v>46263</v>
      </c>
      <c r="H1091" s="36" t="n">
        <f aca="false">IF(A1091="","",DATE(YEAR(A1091),MONTH(A1091),1))</f>
        <v>46235</v>
      </c>
      <c r="I1091" s="37" t="str">
        <f aca="false">IF(B1091="","",IFERROR(INDEX(st_ID,MATCH(B1091,st_Name,0)),"Unknown"))</f>
        <v>QP-02</v>
      </c>
      <c r="J1091" s="37" t="str">
        <f aca="false">IF(C1091="","",IFERROR(INDEX(cl_Code,MATCH(C1091,cl_Name,0)),"Unknown"))</f>
        <v>HCS</v>
      </c>
      <c r="K1091" s="37" t="str">
        <f aca="false">IF(D1091="","",IFERROR(INDEX(rt_Billable,MATCH(D1091,rt_Code,0)),"Unknown"))</f>
        <v>Yes</v>
      </c>
      <c r="L1091" s="38" t="n">
        <f aca="false">IF(K1091&lt;&gt;"Yes","",IFERROR(INDEX(cr_Rate,MATCH(J1091&amp;"|"&amp;D1091,cr_Key,0)),INDEX(rt_Rate,MATCH(D1091,rt_Code,0))))</f>
        <v>98</v>
      </c>
      <c r="M1091" s="25" t="n">
        <f aca="false">IF(L1091="","",ROUND(N(E1091)*L1091,2))</f>
        <v>171.5</v>
      </c>
      <c r="N1091" s="39" t="n">
        <f aca="false">IF(OR(A1091="",B1091=""),"",SUMIFS(tl_Hours,tl_StaffID,I1091,tl_Date,A1091))</f>
        <v>8</v>
      </c>
      <c r="O1091" s="40" t="str">
        <f aca="false">IF(A1091&amp;B1091&amp;D1091="","",IF(OR(A1091="",B1091="",D1091="",E1091=""),"Incomplete",IF(K1091="Unknown","Unknown code",IF(AND(K1091="Yes",C1091=""),"Billable, needs client",IF(N1091&gt;MaxDayHours,"Over "&amp;MaxDayHours&amp;" hours that day","")))))</f>
        <v/>
      </c>
    </row>
    <row r="1092" customFormat="false" ht="15" hidden="false" customHeight="false" outlineLevel="0" collapsed="false">
      <c r="A1092" s="31" t="n">
        <v>46261</v>
      </c>
      <c r="B1092" s="32" t="s">
        <v>97</v>
      </c>
      <c r="C1092" s="32" t="s">
        <v>87</v>
      </c>
      <c r="D1092" s="33" t="s">
        <v>89</v>
      </c>
      <c r="E1092" s="34" t="n">
        <v>0.75</v>
      </c>
      <c r="F1092" s="32"/>
      <c r="G1092" s="35" t="n">
        <f aca="false">IF(A1092="","",A1092+7-WEEKDAY(A1092))</f>
        <v>46263</v>
      </c>
      <c r="H1092" s="36" t="n">
        <f aca="false">IF(A1092="","",DATE(YEAR(A1092),MONTH(A1092),1))</f>
        <v>46235</v>
      </c>
      <c r="I1092" s="37" t="str">
        <f aca="false">IF(B1092="","",IFERROR(INDEX(st_ID,MATCH(B1092,st_Name,0)),"Unknown"))</f>
        <v>QP-02</v>
      </c>
      <c r="J1092" s="37" t="str">
        <f aca="false">IF(C1092="","",IFERROR(INDEX(cl_Code,MATCH(C1092,cl_Name,0)),"Unknown"))</f>
        <v>HCS</v>
      </c>
      <c r="K1092" s="37" t="str">
        <f aca="false">IF(D1092="","",IFERROR(INDEX(rt_Billable,MATCH(D1092,rt_Code,0)),"Unknown"))</f>
        <v>Yes</v>
      </c>
      <c r="L1092" s="38" t="n">
        <f aca="false">IF(K1092&lt;&gt;"Yes","",IFERROR(INDEX(cr_Rate,MATCH(J1092&amp;"|"&amp;D1092,cr_Key,0)),INDEX(rt_Rate,MATCH(D1092,rt_Code,0))))</f>
        <v>88</v>
      </c>
      <c r="M1092" s="25" t="n">
        <f aca="false">IF(L1092="","",ROUND(N(E1092)*L1092,2))</f>
        <v>66</v>
      </c>
      <c r="N1092" s="39" t="n">
        <f aca="false">IF(OR(A1092="",B1092=""),"",SUMIFS(tl_Hours,tl_StaffID,I1092,tl_Date,A1092))</f>
        <v>8</v>
      </c>
      <c r="O1092" s="40" t="str">
        <f aca="false">IF(A1092&amp;B1092&amp;D1092="","",IF(OR(A1092="",B1092="",D1092="",E1092=""),"Incomplete",IF(K1092="Unknown","Unknown code",IF(AND(K1092="Yes",C1092=""),"Billable, needs client",IF(N1092&gt;MaxDayHours,"Over "&amp;MaxDayHours&amp;" hours that day","")))))</f>
        <v/>
      </c>
    </row>
    <row r="1093" customFormat="false" ht="15" hidden="false" customHeight="false" outlineLevel="0" collapsed="false">
      <c r="A1093" s="31" t="n">
        <v>46261</v>
      </c>
      <c r="B1093" s="32" t="s">
        <v>97</v>
      </c>
      <c r="C1093" s="32" t="s">
        <v>90</v>
      </c>
      <c r="D1093" s="33" t="s">
        <v>88</v>
      </c>
      <c r="E1093" s="34" t="n">
        <v>2</v>
      </c>
      <c r="F1093" s="32"/>
      <c r="G1093" s="35" t="n">
        <f aca="false">IF(A1093="","",A1093+7-WEEKDAY(A1093))</f>
        <v>46263</v>
      </c>
      <c r="H1093" s="36" t="n">
        <f aca="false">IF(A1093="","",DATE(YEAR(A1093),MONTH(A1093),1))</f>
        <v>46235</v>
      </c>
      <c r="I1093" s="37" t="str">
        <f aca="false">IF(B1093="","",IFERROR(INDEX(st_ID,MATCH(B1093,st_Name,0)),"Unknown"))</f>
        <v>QP-02</v>
      </c>
      <c r="J1093" s="37" t="str">
        <f aca="false">IF(C1093="","",IFERROR(INDEX(cl_Code,MATCH(C1093,cl_Name,0)),"Unknown"))</f>
        <v>BSE</v>
      </c>
      <c r="K1093" s="37" t="str">
        <f aca="false">IF(D1093="","",IFERROR(INDEX(rt_Billable,MATCH(D1093,rt_Code,0)),"Unknown"))</f>
        <v>Yes</v>
      </c>
      <c r="L1093" s="38" t="n">
        <f aca="false">IF(K1093&lt;&gt;"Yes","",IFERROR(INDEX(cr_Rate,MATCH(J1093&amp;"|"&amp;D1093,cr_Key,0)),INDEX(rt_Rate,MATCH(D1093,rt_Code,0))))</f>
        <v>104</v>
      </c>
      <c r="M1093" s="25" t="n">
        <f aca="false">IF(L1093="","",ROUND(N(E1093)*L1093,2))</f>
        <v>208</v>
      </c>
      <c r="N1093" s="39" t="n">
        <f aca="false">IF(OR(A1093="",B1093=""),"",SUMIFS(tl_Hours,tl_StaffID,I1093,tl_Date,A1093))</f>
        <v>8</v>
      </c>
      <c r="O1093" s="40" t="str">
        <f aca="false">IF(A1093&amp;B1093&amp;D1093="","",IF(OR(A1093="",B1093="",D1093="",E1093=""),"Incomplete",IF(K1093="Unknown","Unknown code",IF(AND(K1093="Yes",C1093=""),"Billable, needs client",IF(N1093&gt;MaxDayHours,"Over "&amp;MaxDayHours&amp;" hours that day","")))))</f>
        <v/>
      </c>
    </row>
    <row r="1094" customFormat="false" ht="15" hidden="false" customHeight="false" outlineLevel="0" collapsed="false">
      <c r="A1094" s="31" t="n">
        <v>46261</v>
      </c>
      <c r="B1094" s="32" t="s">
        <v>97</v>
      </c>
      <c r="C1094" s="32" t="s">
        <v>90</v>
      </c>
      <c r="D1094" s="33" t="s">
        <v>89</v>
      </c>
      <c r="E1094" s="34" t="n">
        <v>0.5</v>
      </c>
      <c r="F1094" s="32"/>
      <c r="G1094" s="35" t="n">
        <f aca="false">IF(A1094="","",A1094+7-WEEKDAY(A1094))</f>
        <v>46263</v>
      </c>
      <c r="H1094" s="36" t="n">
        <f aca="false">IF(A1094="","",DATE(YEAR(A1094),MONTH(A1094),1))</f>
        <v>46235</v>
      </c>
      <c r="I1094" s="37" t="str">
        <f aca="false">IF(B1094="","",IFERROR(INDEX(st_ID,MATCH(B1094,st_Name,0)),"Unknown"))</f>
        <v>QP-02</v>
      </c>
      <c r="J1094" s="37" t="str">
        <f aca="false">IF(C1094="","",IFERROR(INDEX(cl_Code,MATCH(C1094,cl_Name,0)),"Unknown"))</f>
        <v>BSE</v>
      </c>
      <c r="K1094" s="37" t="str">
        <f aca="false">IF(D1094="","",IFERROR(INDEX(rt_Billable,MATCH(D1094,rt_Code,0)),"Unknown"))</f>
        <v>Yes</v>
      </c>
      <c r="L1094" s="38" t="n">
        <f aca="false">IF(K1094&lt;&gt;"Yes","",IFERROR(INDEX(cr_Rate,MATCH(J1094&amp;"|"&amp;D1094,cr_Key,0)),INDEX(rt_Rate,MATCH(D1094,rt_Code,0))))</f>
        <v>95</v>
      </c>
      <c r="M1094" s="25" t="n">
        <f aca="false">IF(L1094="","",ROUND(N(E1094)*L1094,2))</f>
        <v>47.5</v>
      </c>
      <c r="N1094" s="39" t="n">
        <f aca="false">IF(OR(A1094="",B1094=""),"",SUMIFS(tl_Hours,tl_StaffID,I1094,tl_Date,A1094))</f>
        <v>8</v>
      </c>
      <c r="O1094" s="40" t="str">
        <f aca="false">IF(A1094&amp;B1094&amp;D1094="","",IF(OR(A1094="",B1094="",D1094="",E1094=""),"Incomplete",IF(K1094="Unknown","Unknown code",IF(AND(K1094="Yes",C1094=""),"Billable, needs client",IF(N1094&gt;MaxDayHours,"Over "&amp;MaxDayHours&amp;" hours that day","")))))</f>
        <v/>
      </c>
    </row>
    <row r="1095" customFormat="false" ht="15" hidden="false" customHeight="false" outlineLevel="0" collapsed="false">
      <c r="A1095" s="31" t="n">
        <v>46261</v>
      </c>
      <c r="B1095" s="32" t="s">
        <v>97</v>
      </c>
      <c r="C1095" s="32"/>
      <c r="D1095" s="33" t="s">
        <v>93</v>
      </c>
      <c r="E1095" s="34" t="n">
        <v>0.5</v>
      </c>
      <c r="F1095" s="32"/>
      <c r="G1095" s="35" t="n">
        <f aca="false">IF(A1095="","",A1095+7-WEEKDAY(A1095))</f>
        <v>46263</v>
      </c>
      <c r="H1095" s="36" t="n">
        <f aca="false">IF(A1095="","",DATE(YEAR(A1095),MONTH(A1095),1))</f>
        <v>46235</v>
      </c>
      <c r="I1095" s="37" t="str">
        <f aca="false">IF(B1095="","",IFERROR(INDEX(st_ID,MATCH(B1095,st_Name,0)),"Unknown"))</f>
        <v>QP-02</v>
      </c>
      <c r="J1095" s="37" t="str">
        <f aca="false">IF(C1095="","",IFERROR(INDEX(cl_Code,MATCH(C1095,cl_Name,0)),"Unknown"))</f>
        <v/>
      </c>
      <c r="K1095" s="37" t="str">
        <f aca="false">IF(D1095="","",IFERROR(INDEX(rt_Billable,MATCH(D1095,rt_Code,0)),"Unknown"))</f>
        <v>No</v>
      </c>
      <c r="L1095" s="38" t="str">
        <f aca="false">IF(K1095&lt;&gt;"Yes","",IFERROR(INDEX(cr_Rate,MATCH(J1095&amp;"|"&amp;D1095,cr_Key,0)),INDEX(rt_Rate,MATCH(D1095,rt_Code,0))))</f>
        <v/>
      </c>
      <c r="M1095" s="25" t="str">
        <f aca="false">IF(L1095="","",ROUND(N(E1095)*L1095,2))</f>
        <v/>
      </c>
      <c r="N1095" s="39" t="n">
        <f aca="false">IF(OR(A1095="",B1095=""),"",SUMIFS(tl_Hours,tl_StaffID,I1095,tl_Date,A1095))</f>
        <v>8</v>
      </c>
      <c r="O1095" s="40" t="str">
        <f aca="false">IF(A1095&amp;B1095&amp;D1095="","",IF(OR(A1095="",B1095="",D1095="",E1095=""),"Incomplete",IF(K1095="Unknown","Unknown code",IF(AND(K1095="Yes",C1095=""),"Billable, needs client",IF(N1095&gt;MaxDayHours,"Over "&amp;MaxDayHours&amp;" hours that day","")))))</f>
        <v/>
      </c>
    </row>
    <row r="1096" customFormat="false" ht="15" hidden="false" customHeight="false" outlineLevel="0" collapsed="false">
      <c r="A1096" s="31" t="n">
        <v>46261</v>
      </c>
      <c r="B1096" s="32" t="s">
        <v>97</v>
      </c>
      <c r="C1096" s="32"/>
      <c r="D1096" s="33" t="s">
        <v>96</v>
      </c>
      <c r="E1096" s="34" t="n">
        <v>2.5</v>
      </c>
      <c r="F1096" s="32"/>
      <c r="G1096" s="35" t="n">
        <f aca="false">IF(A1096="","",A1096+7-WEEKDAY(A1096))</f>
        <v>46263</v>
      </c>
      <c r="H1096" s="36" t="n">
        <f aca="false">IF(A1096="","",DATE(YEAR(A1096),MONTH(A1096),1))</f>
        <v>46235</v>
      </c>
      <c r="I1096" s="37" t="str">
        <f aca="false">IF(B1096="","",IFERROR(INDEX(st_ID,MATCH(B1096,st_Name,0)),"Unknown"))</f>
        <v>QP-02</v>
      </c>
      <c r="J1096" s="37" t="str">
        <f aca="false">IF(C1096="","",IFERROR(INDEX(cl_Code,MATCH(C1096,cl_Name,0)),"Unknown"))</f>
        <v/>
      </c>
      <c r="K1096" s="37" t="str">
        <f aca="false">IF(D1096="","",IFERROR(INDEX(rt_Billable,MATCH(D1096,rt_Code,0)),"Unknown"))</f>
        <v>No</v>
      </c>
      <c r="L1096" s="38" t="str">
        <f aca="false">IF(K1096&lt;&gt;"Yes","",IFERROR(INDEX(cr_Rate,MATCH(J1096&amp;"|"&amp;D1096,cr_Key,0)),INDEX(rt_Rate,MATCH(D1096,rt_Code,0))))</f>
        <v/>
      </c>
      <c r="M1096" s="25" t="str">
        <f aca="false">IF(L1096="","",ROUND(N(E1096)*L1096,2))</f>
        <v/>
      </c>
      <c r="N1096" s="39" t="n">
        <f aca="false">IF(OR(A1096="",B1096=""),"",SUMIFS(tl_Hours,tl_StaffID,I1096,tl_Date,A1096))</f>
        <v>8</v>
      </c>
      <c r="O1096" s="40" t="str">
        <f aca="false">IF(A1096&amp;B1096&amp;D1096="","",IF(OR(A1096="",B1096="",D1096="",E1096=""),"Incomplete",IF(K1096="Unknown","Unknown code",IF(AND(K1096="Yes",C1096=""),"Billable, needs client",IF(N1096&gt;MaxDayHours,"Over "&amp;MaxDayHours&amp;" hours that day","")))))</f>
        <v/>
      </c>
    </row>
    <row r="1097" customFormat="false" ht="15" hidden="false" customHeight="false" outlineLevel="0" collapsed="false">
      <c r="A1097" s="31" t="n">
        <v>46261</v>
      </c>
      <c r="B1097" s="32" t="s">
        <v>100</v>
      </c>
      <c r="C1097" s="32"/>
      <c r="D1097" s="33" t="s">
        <v>109</v>
      </c>
      <c r="E1097" s="34" t="n">
        <v>8</v>
      </c>
      <c r="F1097" s="32"/>
      <c r="G1097" s="35" t="n">
        <f aca="false">IF(A1097="","",A1097+7-WEEKDAY(A1097))</f>
        <v>46263</v>
      </c>
      <c r="H1097" s="36" t="n">
        <f aca="false">IF(A1097="","",DATE(YEAR(A1097),MONTH(A1097),1))</f>
        <v>46235</v>
      </c>
      <c r="I1097" s="37" t="str">
        <f aca="false">IF(B1097="","",IFERROR(INDEX(st_ID,MATCH(B1097,st_Name,0)),"Unknown"))</f>
        <v>QP-03</v>
      </c>
      <c r="J1097" s="37" t="str">
        <f aca="false">IF(C1097="","",IFERROR(INDEX(cl_Code,MATCH(C1097,cl_Name,0)),"Unknown"))</f>
        <v/>
      </c>
      <c r="K1097" s="37" t="str">
        <f aca="false">IF(D1097="","",IFERROR(INDEX(rt_Billable,MATCH(D1097,rt_Code,0)),"Unknown"))</f>
        <v>No</v>
      </c>
      <c r="L1097" s="38" t="str">
        <f aca="false">IF(K1097&lt;&gt;"Yes","",IFERROR(INDEX(cr_Rate,MATCH(J1097&amp;"|"&amp;D1097,cr_Key,0)),INDEX(rt_Rate,MATCH(D1097,rt_Code,0))))</f>
        <v/>
      </c>
      <c r="M1097" s="25" t="str">
        <f aca="false">IF(L1097="","",ROUND(N(E1097)*L1097,2))</f>
        <v/>
      </c>
      <c r="N1097" s="39" t="n">
        <f aca="false">IF(OR(A1097="",B1097=""),"",SUMIFS(tl_Hours,tl_StaffID,I1097,tl_Date,A1097))</f>
        <v>8</v>
      </c>
      <c r="O1097" s="40" t="str">
        <f aca="false">IF(A1097&amp;B1097&amp;D1097="","",IF(OR(A1097="",B1097="",D1097="",E1097=""),"Incomplete",IF(K1097="Unknown","Unknown code",IF(AND(K1097="Yes",C1097=""),"Billable, needs client",IF(N1097&gt;MaxDayHours,"Over "&amp;MaxDayHours&amp;" hours that day","")))))</f>
        <v/>
      </c>
    </row>
    <row r="1098" customFormat="false" ht="15" hidden="false" customHeight="false" outlineLevel="0" collapsed="false">
      <c r="A1098" s="31" t="n">
        <v>46261</v>
      </c>
      <c r="B1098" s="32" t="s">
        <v>101</v>
      </c>
      <c r="C1098" s="32" t="s">
        <v>102</v>
      </c>
      <c r="D1098" s="33" t="s">
        <v>104</v>
      </c>
      <c r="E1098" s="34" t="n">
        <v>3.5</v>
      </c>
      <c r="F1098" s="32"/>
      <c r="G1098" s="35" t="n">
        <f aca="false">IF(A1098="","",A1098+7-WEEKDAY(A1098))</f>
        <v>46263</v>
      </c>
      <c r="H1098" s="36" t="n">
        <f aca="false">IF(A1098="","",DATE(YEAR(A1098),MONTH(A1098),1))</f>
        <v>46235</v>
      </c>
      <c r="I1098" s="37" t="str">
        <f aca="false">IF(B1098="","",IFERROR(INDEX(st_ID,MATCH(B1098,st_Name,0)),"Unknown"))</f>
        <v>QP-04</v>
      </c>
      <c r="J1098" s="37" t="str">
        <f aca="false">IF(C1098="","",IFERROR(INDEX(cl_Code,MATCH(C1098,cl_Name,0)),"Unknown"))</f>
        <v>CLH</v>
      </c>
      <c r="K1098" s="37" t="str">
        <f aca="false">IF(D1098="","",IFERROR(INDEX(rt_Billable,MATCH(D1098,rt_Code,0)),"Unknown"))</f>
        <v>Yes</v>
      </c>
      <c r="L1098" s="38" t="n">
        <f aca="false">IF(K1098&lt;&gt;"Yes","",IFERROR(INDEX(cr_Rate,MATCH(J1098&amp;"|"&amp;D1098,cr_Key,0)),INDEX(rt_Rate,MATCH(D1098,rt_Code,0))))</f>
        <v>65</v>
      </c>
      <c r="M1098" s="25" t="n">
        <f aca="false">IF(L1098="","",ROUND(N(E1098)*L1098,2))</f>
        <v>227.5</v>
      </c>
      <c r="N1098" s="39" t="n">
        <f aca="false">IF(OR(A1098="",B1098=""),"",SUMIFS(tl_Hours,tl_StaffID,I1098,tl_Date,A1098))</f>
        <v>8</v>
      </c>
      <c r="O1098" s="40" t="str">
        <f aca="false">IF(A1098&amp;B1098&amp;D1098="","",IF(OR(A1098="",B1098="",D1098="",E1098=""),"Incomplete",IF(K1098="Unknown","Unknown code",IF(AND(K1098="Yes",C1098=""),"Billable, needs client",IF(N1098&gt;MaxDayHours,"Over "&amp;MaxDayHours&amp;" hours that day","")))))</f>
        <v/>
      </c>
    </row>
    <row r="1099" customFormat="false" ht="15" hidden="false" customHeight="false" outlineLevel="0" collapsed="false">
      <c r="A1099" s="31" t="n">
        <v>46261</v>
      </c>
      <c r="B1099" s="32" t="s">
        <v>101</v>
      </c>
      <c r="C1099" s="32" t="s">
        <v>102</v>
      </c>
      <c r="D1099" s="33" t="s">
        <v>89</v>
      </c>
      <c r="E1099" s="34" t="n">
        <v>2.25</v>
      </c>
      <c r="F1099" s="32"/>
      <c r="G1099" s="35" t="n">
        <f aca="false">IF(A1099="","",A1099+7-WEEKDAY(A1099))</f>
        <v>46263</v>
      </c>
      <c r="H1099" s="36" t="n">
        <f aca="false">IF(A1099="","",DATE(YEAR(A1099),MONTH(A1099),1))</f>
        <v>46235</v>
      </c>
      <c r="I1099" s="37" t="str">
        <f aca="false">IF(B1099="","",IFERROR(INDEX(st_ID,MATCH(B1099,st_Name,0)),"Unknown"))</f>
        <v>QP-04</v>
      </c>
      <c r="J1099" s="37" t="str">
        <f aca="false">IF(C1099="","",IFERROR(INDEX(cl_Code,MATCH(C1099,cl_Name,0)),"Unknown"))</f>
        <v>CLH</v>
      </c>
      <c r="K1099" s="37" t="str">
        <f aca="false">IF(D1099="","",IFERROR(INDEX(rt_Billable,MATCH(D1099,rt_Code,0)),"Unknown"))</f>
        <v>Yes</v>
      </c>
      <c r="L1099" s="38" t="n">
        <f aca="false">IF(K1099&lt;&gt;"Yes","",IFERROR(INDEX(cr_Rate,MATCH(J1099&amp;"|"&amp;D1099,cr_Key,0)),INDEX(rt_Rate,MATCH(D1099,rt_Code,0))))</f>
        <v>95</v>
      </c>
      <c r="M1099" s="25" t="n">
        <f aca="false">IF(L1099="","",ROUND(N(E1099)*L1099,2))</f>
        <v>213.75</v>
      </c>
      <c r="N1099" s="39" t="n">
        <f aca="false">IF(OR(A1099="",B1099=""),"",SUMIFS(tl_Hours,tl_StaffID,I1099,tl_Date,A1099))</f>
        <v>8</v>
      </c>
      <c r="O1099" s="40" t="str">
        <f aca="false">IF(A1099&amp;B1099&amp;D1099="","",IF(OR(A1099="",B1099="",D1099="",E1099=""),"Incomplete",IF(K1099="Unknown","Unknown code",IF(AND(K1099="Yes",C1099=""),"Billable, needs client",IF(N1099&gt;MaxDayHours,"Over "&amp;MaxDayHours&amp;" hours that day","")))))</f>
        <v/>
      </c>
    </row>
    <row r="1100" customFormat="false" ht="15" hidden="false" customHeight="false" outlineLevel="0" collapsed="false">
      <c r="A1100" s="31" t="n">
        <v>46261</v>
      </c>
      <c r="B1100" s="32" t="s">
        <v>101</v>
      </c>
      <c r="C1100" s="32"/>
      <c r="D1100" s="33" t="s">
        <v>96</v>
      </c>
      <c r="E1100" s="34" t="n">
        <v>2.25</v>
      </c>
      <c r="F1100" s="32"/>
      <c r="G1100" s="35" t="n">
        <f aca="false">IF(A1100="","",A1100+7-WEEKDAY(A1100))</f>
        <v>46263</v>
      </c>
      <c r="H1100" s="36" t="n">
        <f aca="false">IF(A1100="","",DATE(YEAR(A1100),MONTH(A1100),1))</f>
        <v>46235</v>
      </c>
      <c r="I1100" s="37" t="str">
        <f aca="false">IF(B1100="","",IFERROR(INDEX(st_ID,MATCH(B1100,st_Name,0)),"Unknown"))</f>
        <v>QP-04</v>
      </c>
      <c r="J1100" s="37" t="str">
        <f aca="false">IF(C1100="","",IFERROR(INDEX(cl_Code,MATCH(C1100,cl_Name,0)),"Unknown"))</f>
        <v/>
      </c>
      <c r="K1100" s="37" t="str">
        <f aca="false">IF(D1100="","",IFERROR(INDEX(rt_Billable,MATCH(D1100,rt_Code,0)),"Unknown"))</f>
        <v>No</v>
      </c>
      <c r="L1100" s="38" t="str">
        <f aca="false">IF(K1100&lt;&gt;"Yes","",IFERROR(INDEX(cr_Rate,MATCH(J1100&amp;"|"&amp;D1100,cr_Key,0)),INDEX(rt_Rate,MATCH(D1100,rt_Code,0))))</f>
        <v/>
      </c>
      <c r="M1100" s="25" t="str">
        <f aca="false">IF(L1100="","",ROUND(N(E1100)*L1100,2))</f>
        <v/>
      </c>
      <c r="N1100" s="39" t="n">
        <f aca="false">IF(OR(A1100="",B1100=""),"",SUMIFS(tl_Hours,tl_StaffID,I1100,tl_Date,A1100))</f>
        <v>8</v>
      </c>
      <c r="O1100" s="40" t="str">
        <f aca="false">IF(A1100&amp;B1100&amp;D1100="","",IF(OR(A1100="",B1100="",D1100="",E1100=""),"Incomplete",IF(K1100="Unknown","Unknown code",IF(AND(K1100="Yes",C1100=""),"Billable, needs client",IF(N1100&gt;MaxDayHours,"Over "&amp;MaxDayHours&amp;" hours that day","")))))</f>
        <v/>
      </c>
    </row>
    <row r="1101" customFormat="false" ht="15" hidden="false" customHeight="false" outlineLevel="0" collapsed="false">
      <c r="A1101" s="31" t="n">
        <v>46261</v>
      </c>
      <c r="B1101" s="32" t="s">
        <v>103</v>
      </c>
      <c r="C1101" s="32" t="s">
        <v>90</v>
      </c>
      <c r="D1101" s="33" t="s">
        <v>91</v>
      </c>
      <c r="E1101" s="34" t="n">
        <v>3.75</v>
      </c>
      <c r="F1101" s="32"/>
      <c r="G1101" s="35" t="n">
        <f aca="false">IF(A1101="","",A1101+7-WEEKDAY(A1101))</f>
        <v>46263</v>
      </c>
      <c r="H1101" s="36" t="n">
        <f aca="false">IF(A1101="","",DATE(YEAR(A1101),MONTH(A1101),1))</f>
        <v>46235</v>
      </c>
      <c r="I1101" s="37" t="str">
        <f aca="false">IF(B1101="","",IFERROR(INDEX(st_ID,MATCH(B1101,st_Name,0)),"Unknown"))</f>
        <v>QP-05</v>
      </c>
      <c r="J1101" s="37" t="str">
        <f aca="false">IF(C1101="","",IFERROR(INDEX(cl_Code,MATCH(C1101,cl_Name,0)),"Unknown"))</f>
        <v>BSE</v>
      </c>
      <c r="K1101" s="37" t="str">
        <f aca="false">IF(D1101="","",IFERROR(INDEX(rt_Billable,MATCH(D1101,rt_Code,0)),"Unknown"))</f>
        <v>Yes</v>
      </c>
      <c r="L1101" s="38" t="n">
        <f aca="false">IF(K1101&lt;&gt;"Yes","",IFERROR(INDEX(cr_Rate,MATCH(J1101&amp;"|"&amp;D1101,cr_Key,0)),INDEX(rt_Rate,MATCH(D1101,rt_Code,0))))</f>
        <v>100</v>
      </c>
      <c r="M1101" s="25" t="n">
        <f aca="false">IF(L1101="","",ROUND(N(E1101)*L1101,2))</f>
        <v>375</v>
      </c>
      <c r="N1101" s="39" t="n">
        <f aca="false">IF(OR(A1101="",B1101=""),"",SUMIFS(tl_Hours,tl_StaffID,I1101,tl_Date,A1101))</f>
        <v>8</v>
      </c>
      <c r="O1101" s="40" t="str">
        <f aca="false">IF(A1101&amp;B1101&amp;D1101="","",IF(OR(A1101="",B1101="",D1101="",E1101=""),"Incomplete",IF(K1101="Unknown","Unknown code",IF(AND(K1101="Yes",C1101=""),"Billable, needs client",IF(N1101&gt;MaxDayHours,"Over "&amp;MaxDayHours&amp;" hours that day","")))))</f>
        <v/>
      </c>
    </row>
    <row r="1102" customFormat="false" ht="15" hidden="false" customHeight="false" outlineLevel="0" collapsed="false">
      <c r="A1102" s="31" t="n">
        <v>46261</v>
      </c>
      <c r="B1102" s="32" t="s">
        <v>103</v>
      </c>
      <c r="C1102" s="32" t="s">
        <v>90</v>
      </c>
      <c r="D1102" s="33" t="s">
        <v>92</v>
      </c>
      <c r="E1102" s="34" t="n">
        <v>1</v>
      </c>
      <c r="F1102" s="32"/>
      <c r="G1102" s="35" t="n">
        <f aca="false">IF(A1102="","",A1102+7-WEEKDAY(A1102))</f>
        <v>46263</v>
      </c>
      <c r="H1102" s="36" t="n">
        <f aca="false">IF(A1102="","",DATE(YEAR(A1102),MONTH(A1102),1))</f>
        <v>46235</v>
      </c>
      <c r="I1102" s="37" t="str">
        <f aca="false">IF(B1102="","",IFERROR(INDEX(st_ID,MATCH(B1102,st_Name,0)),"Unknown"))</f>
        <v>QP-05</v>
      </c>
      <c r="J1102" s="37" t="str">
        <f aca="false">IF(C1102="","",IFERROR(INDEX(cl_Code,MATCH(C1102,cl_Name,0)),"Unknown"))</f>
        <v>BSE</v>
      </c>
      <c r="K1102" s="37" t="str">
        <f aca="false">IF(D1102="","",IFERROR(INDEX(rt_Billable,MATCH(D1102,rt_Code,0)),"Unknown"))</f>
        <v>Yes</v>
      </c>
      <c r="L1102" s="38" t="n">
        <f aca="false">IF(K1102&lt;&gt;"Yes","",IFERROR(INDEX(cr_Rate,MATCH(J1102&amp;"|"&amp;D1102,cr_Key,0)),INDEX(rt_Rate,MATCH(D1102,rt_Code,0))))</f>
        <v>145</v>
      </c>
      <c r="M1102" s="25" t="n">
        <f aca="false">IF(L1102="","",ROUND(N(E1102)*L1102,2))</f>
        <v>145</v>
      </c>
      <c r="N1102" s="39" t="n">
        <f aca="false">IF(OR(A1102="",B1102=""),"",SUMIFS(tl_Hours,tl_StaffID,I1102,tl_Date,A1102))</f>
        <v>8</v>
      </c>
      <c r="O1102" s="40" t="str">
        <f aca="false">IF(A1102&amp;B1102&amp;D1102="","",IF(OR(A1102="",B1102="",D1102="",E1102=""),"Incomplete",IF(K1102="Unknown","Unknown code",IF(AND(K1102="Yes",C1102=""),"Billable, needs client",IF(N1102&gt;MaxDayHours,"Over "&amp;MaxDayHours&amp;" hours that day","")))))</f>
        <v/>
      </c>
    </row>
    <row r="1103" customFormat="false" ht="15" hidden="false" customHeight="false" outlineLevel="0" collapsed="false">
      <c r="A1103" s="31" t="n">
        <v>46261</v>
      </c>
      <c r="B1103" s="32" t="s">
        <v>103</v>
      </c>
      <c r="C1103" s="32"/>
      <c r="D1103" s="33" t="s">
        <v>94</v>
      </c>
      <c r="E1103" s="34" t="n">
        <v>1.5</v>
      </c>
      <c r="F1103" s="32" t="s">
        <v>95</v>
      </c>
      <c r="G1103" s="35" t="n">
        <f aca="false">IF(A1103="","",A1103+7-WEEKDAY(A1103))</f>
        <v>46263</v>
      </c>
      <c r="H1103" s="36" t="n">
        <f aca="false">IF(A1103="","",DATE(YEAR(A1103),MONTH(A1103),1))</f>
        <v>46235</v>
      </c>
      <c r="I1103" s="37" t="str">
        <f aca="false">IF(B1103="","",IFERROR(INDEX(st_ID,MATCH(B1103,st_Name,0)),"Unknown"))</f>
        <v>QP-05</v>
      </c>
      <c r="J1103" s="37" t="str">
        <f aca="false">IF(C1103="","",IFERROR(INDEX(cl_Code,MATCH(C1103,cl_Name,0)),"Unknown"))</f>
        <v/>
      </c>
      <c r="K1103" s="37" t="str">
        <f aca="false">IF(D1103="","",IFERROR(INDEX(rt_Billable,MATCH(D1103,rt_Code,0)),"Unknown"))</f>
        <v>No</v>
      </c>
      <c r="L1103" s="38" t="str">
        <f aca="false">IF(K1103&lt;&gt;"Yes","",IFERROR(INDEX(cr_Rate,MATCH(J1103&amp;"|"&amp;D1103,cr_Key,0)),INDEX(rt_Rate,MATCH(D1103,rt_Code,0))))</f>
        <v/>
      </c>
      <c r="M1103" s="25" t="str">
        <f aca="false">IF(L1103="","",ROUND(N(E1103)*L1103,2))</f>
        <v/>
      </c>
      <c r="N1103" s="39" t="n">
        <f aca="false">IF(OR(A1103="",B1103=""),"",SUMIFS(tl_Hours,tl_StaffID,I1103,tl_Date,A1103))</f>
        <v>8</v>
      </c>
      <c r="O1103" s="40" t="str">
        <f aca="false">IF(A1103&amp;B1103&amp;D1103="","",IF(OR(A1103="",B1103="",D1103="",E1103=""),"Incomplete",IF(K1103="Unknown","Unknown code",IF(AND(K1103="Yes",C1103=""),"Billable, needs client",IF(N1103&gt;MaxDayHours,"Over "&amp;MaxDayHours&amp;" hours that day","")))))</f>
        <v/>
      </c>
    </row>
    <row r="1104" customFormat="false" ht="15" hidden="false" customHeight="false" outlineLevel="0" collapsed="false">
      <c r="A1104" s="31" t="n">
        <v>46261</v>
      </c>
      <c r="B1104" s="32" t="s">
        <v>103</v>
      </c>
      <c r="C1104" s="32"/>
      <c r="D1104" s="33" t="s">
        <v>96</v>
      </c>
      <c r="E1104" s="34" t="n">
        <v>1.75</v>
      </c>
      <c r="F1104" s="32"/>
      <c r="G1104" s="35" t="n">
        <f aca="false">IF(A1104="","",A1104+7-WEEKDAY(A1104))</f>
        <v>46263</v>
      </c>
      <c r="H1104" s="36" t="n">
        <f aca="false">IF(A1104="","",DATE(YEAR(A1104),MONTH(A1104),1))</f>
        <v>46235</v>
      </c>
      <c r="I1104" s="37" t="str">
        <f aca="false">IF(B1104="","",IFERROR(INDEX(st_ID,MATCH(B1104,st_Name,0)),"Unknown"))</f>
        <v>QP-05</v>
      </c>
      <c r="J1104" s="37" t="str">
        <f aca="false">IF(C1104="","",IFERROR(INDEX(cl_Code,MATCH(C1104,cl_Name,0)),"Unknown"))</f>
        <v/>
      </c>
      <c r="K1104" s="37" t="str">
        <f aca="false">IF(D1104="","",IFERROR(INDEX(rt_Billable,MATCH(D1104,rt_Code,0)),"Unknown"))</f>
        <v>No</v>
      </c>
      <c r="L1104" s="38" t="str">
        <f aca="false">IF(K1104&lt;&gt;"Yes","",IFERROR(INDEX(cr_Rate,MATCH(J1104&amp;"|"&amp;D1104,cr_Key,0)),INDEX(rt_Rate,MATCH(D1104,rt_Code,0))))</f>
        <v/>
      </c>
      <c r="M1104" s="25" t="str">
        <f aca="false">IF(L1104="","",ROUND(N(E1104)*L1104,2))</f>
        <v/>
      </c>
      <c r="N1104" s="39" t="n">
        <f aca="false">IF(OR(A1104="",B1104=""),"",SUMIFS(tl_Hours,tl_StaffID,I1104,tl_Date,A1104))</f>
        <v>8</v>
      </c>
      <c r="O1104" s="40" t="str">
        <f aca="false">IF(A1104&amp;B1104&amp;D1104="","",IF(OR(A1104="",B1104="",D1104="",E1104=""),"Incomplete",IF(K1104="Unknown","Unknown code",IF(AND(K1104="Yes",C1104=""),"Billable, needs client",IF(N1104&gt;MaxDayHours,"Over "&amp;MaxDayHours&amp;" hours that day","")))))</f>
        <v/>
      </c>
    </row>
    <row r="1105" customFormat="false" ht="15" hidden="false" customHeight="false" outlineLevel="0" collapsed="false">
      <c r="A1105" s="31" t="n">
        <v>46261</v>
      </c>
      <c r="B1105" s="32" t="s">
        <v>105</v>
      </c>
      <c r="C1105" s="32" t="s">
        <v>90</v>
      </c>
      <c r="D1105" s="33" t="s">
        <v>91</v>
      </c>
      <c r="E1105" s="34" t="n">
        <v>1.5</v>
      </c>
      <c r="F1105" s="32"/>
      <c r="G1105" s="35" t="n">
        <f aca="false">IF(A1105="","",A1105+7-WEEKDAY(A1105))</f>
        <v>46263</v>
      </c>
      <c r="H1105" s="36" t="n">
        <f aca="false">IF(A1105="","",DATE(YEAR(A1105),MONTH(A1105),1))</f>
        <v>46235</v>
      </c>
      <c r="I1105" s="37" t="str">
        <f aca="false">IF(B1105="","",IFERROR(INDEX(st_ID,MATCH(B1105,st_Name,0)),"Unknown"))</f>
        <v>QP-06</v>
      </c>
      <c r="J1105" s="37" t="str">
        <f aca="false">IF(C1105="","",IFERROR(INDEX(cl_Code,MATCH(C1105,cl_Name,0)),"Unknown"))</f>
        <v>BSE</v>
      </c>
      <c r="K1105" s="37" t="str">
        <f aca="false">IF(D1105="","",IFERROR(INDEX(rt_Billable,MATCH(D1105,rt_Code,0)),"Unknown"))</f>
        <v>Yes</v>
      </c>
      <c r="L1105" s="38" t="n">
        <f aca="false">IF(K1105&lt;&gt;"Yes","",IFERROR(INDEX(cr_Rate,MATCH(J1105&amp;"|"&amp;D1105,cr_Key,0)),INDEX(rt_Rate,MATCH(D1105,rt_Code,0))))</f>
        <v>100</v>
      </c>
      <c r="M1105" s="25" t="n">
        <f aca="false">IF(L1105="","",ROUND(N(E1105)*L1105,2))</f>
        <v>150</v>
      </c>
      <c r="N1105" s="39" t="n">
        <f aca="false">IF(OR(A1105="",B1105=""),"",SUMIFS(tl_Hours,tl_StaffID,I1105,tl_Date,A1105))</f>
        <v>8</v>
      </c>
      <c r="O1105" s="40" t="str">
        <f aca="false">IF(A1105&amp;B1105&amp;D1105="","",IF(OR(A1105="",B1105="",D1105="",E1105=""),"Incomplete",IF(K1105="Unknown","Unknown code",IF(AND(K1105="Yes",C1105=""),"Billable, needs client",IF(N1105&gt;MaxDayHours,"Over "&amp;MaxDayHours&amp;" hours that day","")))))</f>
        <v/>
      </c>
    </row>
    <row r="1106" customFormat="false" ht="15" hidden="false" customHeight="false" outlineLevel="0" collapsed="false">
      <c r="A1106" s="31" t="n">
        <v>46261</v>
      </c>
      <c r="B1106" s="32" t="s">
        <v>105</v>
      </c>
      <c r="C1106" s="32" t="s">
        <v>90</v>
      </c>
      <c r="D1106" s="33" t="s">
        <v>104</v>
      </c>
      <c r="E1106" s="34" t="n">
        <v>1.25</v>
      </c>
      <c r="F1106" s="32"/>
      <c r="G1106" s="35" t="n">
        <f aca="false">IF(A1106="","",A1106+7-WEEKDAY(A1106))</f>
        <v>46263</v>
      </c>
      <c r="H1106" s="36" t="n">
        <f aca="false">IF(A1106="","",DATE(YEAR(A1106),MONTH(A1106),1))</f>
        <v>46235</v>
      </c>
      <c r="I1106" s="37" t="str">
        <f aca="false">IF(B1106="","",IFERROR(INDEX(st_ID,MATCH(B1106,st_Name,0)),"Unknown"))</f>
        <v>QP-06</v>
      </c>
      <c r="J1106" s="37" t="str">
        <f aca="false">IF(C1106="","",IFERROR(INDEX(cl_Code,MATCH(C1106,cl_Name,0)),"Unknown"))</f>
        <v>BSE</v>
      </c>
      <c r="K1106" s="37" t="str">
        <f aca="false">IF(D1106="","",IFERROR(INDEX(rt_Billable,MATCH(D1106,rt_Code,0)),"Unknown"))</f>
        <v>Yes</v>
      </c>
      <c r="L1106" s="38" t="n">
        <f aca="false">IF(K1106&lt;&gt;"Yes","",IFERROR(INDEX(cr_Rate,MATCH(J1106&amp;"|"&amp;D1106,cr_Key,0)),INDEX(rt_Rate,MATCH(D1106,rt_Code,0))))</f>
        <v>70</v>
      </c>
      <c r="M1106" s="25" t="n">
        <f aca="false">IF(L1106="","",ROUND(N(E1106)*L1106,2))</f>
        <v>87.5</v>
      </c>
      <c r="N1106" s="39" t="n">
        <f aca="false">IF(OR(A1106="",B1106=""),"",SUMIFS(tl_Hours,tl_StaffID,I1106,tl_Date,A1106))</f>
        <v>8</v>
      </c>
      <c r="O1106" s="40" t="str">
        <f aca="false">IF(A1106&amp;B1106&amp;D1106="","",IF(OR(A1106="",B1106="",D1106="",E1106=""),"Incomplete",IF(K1106="Unknown","Unknown code",IF(AND(K1106="Yes",C1106=""),"Billable, needs client",IF(N1106&gt;MaxDayHours,"Over "&amp;MaxDayHours&amp;" hours that day","")))))</f>
        <v/>
      </c>
    </row>
    <row r="1107" customFormat="false" ht="15" hidden="false" customHeight="false" outlineLevel="0" collapsed="false">
      <c r="A1107" s="31" t="n">
        <v>46261</v>
      </c>
      <c r="B1107" s="32" t="s">
        <v>105</v>
      </c>
      <c r="C1107" s="32" t="s">
        <v>87</v>
      </c>
      <c r="D1107" s="33" t="s">
        <v>104</v>
      </c>
      <c r="E1107" s="34" t="n">
        <v>1.5</v>
      </c>
      <c r="F1107" s="32"/>
      <c r="G1107" s="35" t="n">
        <f aca="false">IF(A1107="","",A1107+7-WEEKDAY(A1107))</f>
        <v>46263</v>
      </c>
      <c r="H1107" s="36" t="n">
        <f aca="false">IF(A1107="","",DATE(YEAR(A1107),MONTH(A1107),1))</f>
        <v>46235</v>
      </c>
      <c r="I1107" s="37" t="str">
        <f aca="false">IF(B1107="","",IFERROR(INDEX(st_ID,MATCH(B1107,st_Name,0)),"Unknown"))</f>
        <v>QP-06</v>
      </c>
      <c r="J1107" s="37" t="str">
        <f aca="false">IF(C1107="","",IFERROR(INDEX(cl_Code,MATCH(C1107,cl_Name,0)),"Unknown"))</f>
        <v>HCS</v>
      </c>
      <c r="K1107" s="37" t="str">
        <f aca="false">IF(D1107="","",IFERROR(INDEX(rt_Billable,MATCH(D1107,rt_Code,0)),"Unknown"))</f>
        <v>Yes</v>
      </c>
      <c r="L1107" s="38" t="n">
        <f aca="false">IF(K1107&lt;&gt;"Yes","",IFERROR(INDEX(cr_Rate,MATCH(J1107&amp;"|"&amp;D1107,cr_Key,0)),INDEX(rt_Rate,MATCH(D1107,rt_Code,0))))</f>
        <v>62</v>
      </c>
      <c r="M1107" s="25" t="n">
        <f aca="false">IF(L1107="","",ROUND(N(E1107)*L1107,2))</f>
        <v>93</v>
      </c>
      <c r="N1107" s="39" t="n">
        <f aca="false">IF(OR(A1107="",B1107=""),"",SUMIFS(tl_Hours,tl_StaffID,I1107,tl_Date,A1107))</f>
        <v>8</v>
      </c>
      <c r="O1107" s="40" t="str">
        <f aca="false">IF(A1107&amp;B1107&amp;D1107="","",IF(OR(A1107="",B1107="",D1107="",E1107=""),"Incomplete",IF(K1107="Unknown","Unknown code",IF(AND(K1107="Yes",C1107=""),"Billable, needs client",IF(N1107&gt;MaxDayHours,"Over "&amp;MaxDayHours&amp;" hours that day","")))))</f>
        <v/>
      </c>
    </row>
    <row r="1108" customFormat="false" ht="15" hidden="false" customHeight="false" outlineLevel="0" collapsed="false">
      <c r="A1108" s="31" t="n">
        <v>46261</v>
      </c>
      <c r="B1108" s="32" t="s">
        <v>105</v>
      </c>
      <c r="C1108" s="32" t="s">
        <v>87</v>
      </c>
      <c r="D1108" s="33" t="s">
        <v>113</v>
      </c>
      <c r="E1108" s="34" t="n">
        <v>1.25</v>
      </c>
      <c r="F1108" s="32"/>
      <c r="G1108" s="35" t="n">
        <f aca="false">IF(A1108="","",A1108+7-WEEKDAY(A1108))</f>
        <v>46263</v>
      </c>
      <c r="H1108" s="36" t="n">
        <f aca="false">IF(A1108="","",DATE(YEAR(A1108),MONTH(A1108),1))</f>
        <v>46235</v>
      </c>
      <c r="I1108" s="37" t="str">
        <f aca="false">IF(B1108="","",IFERROR(INDEX(st_ID,MATCH(B1108,st_Name,0)),"Unknown"))</f>
        <v>QP-06</v>
      </c>
      <c r="J1108" s="37" t="str">
        <f aca="false">IF(C1108="","",IFERROR(INDEX(cl_Code,MATCH(C1108,cl_Name,0)),"Unknown"))</f>
        <v>HCS</v>
      </c>
      <c r="K1108" s="37" t="str">
        <f aca="false">IF(D1108="","",IFERROR(INDEX(rt_Billable,MATCH(D1108,rt_Code,0)),"Unknown"))</f>
        <v>Yes</v>
      </c>
      <c r="L1108" s="38" t="n">
        <f aca="false">IF(K1108&lt;&gt;"Yes","",IFERROR(INDEX(cr_Rate,MATCH(J1108&amp;"|"&amp;D1108,cr_Key,0)),INDEX(rt_Rate,MATCH(D1108,rt_Code,0))))</f>
        <v>85</v>
      </c>
      <c r="M1108" s="25" t="n">
        <f aca="false">IF(L1108="","",ROUND(N(E1108)*L1108,2))</f>
        <v>106.25</v>
      </c>
      <c r="N1108" s="39" t="n">
        <f aca="false">IF(OR(A1108="",B1108=""),"",SUMIFS(tl_Hours,tl_StaffID,I1108,tl_Date,A1108))</f>
        <v>8</v>
      </c>
      <c r="O1108" s="40" t="str">
        <f aca="false">IF(A1108&amp;B1108&amp;D1108="","",IF(OR(A1108="",B1108="",D1108="",E1108=""),"Incomplete",IF(K1108="Unknown","Unknown code",IF(AND(K1108="Yes",C1108=""),"Billable, needs client",IF(N1108&gt;MaxDayHours,"Over "&amp;MaxDayHours&amp;" hours that day","")))))</f>
        <v/>
      </c>
    </row>
    <row r="1109" customFormat="false" ht="15" hidden="false" customHeight="false" outlineLevel="0" collapsed="false">
      <c r="A1109" s="31" t="n">
        <v>46261</v>
      </c>
      <c r="B1109" s="32" t="s">
        <v>105</v>
      </c>
      <c r="C1109" s="32"/>
      <c r="D1109" s="33" t="s">
        <v>93</v>
      </c>
      <c r="E1109" s="34" t="n">
        <v>0.5</v>
      </c>
      <c r="F1109" s="32"/>
      <c r="G1109" s="35" t="n">
        <f aca="false">IF(A1109="","",A1109+7-WEEKDAY(A1109))</f>
        <v>46263</v>
      </c>
      <c r="H1109" s="36" t="n">
        <f aca="false">IF(A1109="","",DATE(YEAR(A1109),MONTH(A1109),1))</f>
        <v>46235</v>
      </c>
      <c r="I1109" s="37" t="str">
        <f aca="false">IF(B1109="","",IFERROR(INDEX(st_ID,MATCH(B1109,st_Name,0)),"Unknown"))</f>
        <v>QP-06</v>
      </c>
      <c r="J1109" s="37" t="str">
        <f aca="false">IF(C1109="","",IFERROR(INDEX(cl_Code,MATCH(C1109,cl_Name,0)),"Unknown"))</f>
        <v/>
      </c>
      <c r="K1109" s="37" t="str">
        <f aca="false">IF(D1109="","",IFERROR(INDEX(rt_Billable,MATCH(D1109,rt_Code,0)),"Unknown"))</f>
        <v>No</v>
      </c>
      <c r="L1109" s="38" t="str">
        <f aca="false">IF(K1109&lt;&gt;"Yes","",IFERROR(INDEX(cr_Rate,MATCH(J1109&amp;"|"&amp;D1109,cr_Key,0)),INDEX(rt_Rate,MATCH(D1109,rt_Code,0))))</f>
        <v/>
      </c>
      <c r="M1109" s="25" t="str">
        <f aca="false">IF(L1109="","",ROUND(N(E1109)*L1109,2))</f>
        <v/>
      </c>
      <c r="N1109" s="39" t="n">
        <f aca="false">IF(OR(A1109="",B1109=""),"",SUMIFS(tl_Hours,tl_StaffID,I1109,tl_Date,A1109))</f>
        <v>8</v>
      </c>
      <c r="O1109" s="40" t="str">
        <f aca="false">IF(A1109&amp;B1109&amp;D1109="","",IF(OR(A1109="",B1109="",D1109="",E1109=""),"Incomplete",IF(K1109="Unknown","Unknown code",IF(AND(K1109="Yes",C1109=""),"Billable, needs client",IF(N1109&gt;MaxDayHours,"Over "&amp;MaxDayHours&amp;" hours that day","")))))</f>
        <v/>
      </c>
    </row>
    <row r="1110" customFormat="false" ht="15" hidden="false" customHeight="false" outlineLevel="0" collapsed="false">
      <c r="A1110" s="31" t="n">
        <v>46261</v>
      </c>
      <c r="B1110" s="32" t="s">
        <v>105</v>
      </c>
      <c r="C1110" s="32"/>
      <c r="D1110" s="33" t="s">
        <v>96</v>
      </c>
      <c r="E1110" s="34" t="n">
        <v>2</v>
      </c>
      <c r="F1110" s="32"/>
      <c r="G1110" s="35" t="n">
        <f aca="false">IF(A1110="","",A1110+7-WEEKDAY(A1110))</f>
        <v>46263</v>
      </c>
      <c r="H1110" s="36" t="n">
        <f aca="false">IF(A1110="","",DATE(YEAR(A1110),MONTH(A1110),1))</f>
        <v>46235</v>
      </c>
      <c r="I1110" s="37" t="str">
        <f aca="false">IF(B1110="","",IFERROR(INDEX(st_ID,MATCH(B1110,st_Name,0)),"Unknown"))</f>
        <v>QP-06</v>
      </c>
      <c r="J1110" s="37" t="str">
        <f aca="false">IF(C1110="","",IFERROR(INDEX(cl_Code,MATCH(C1110,cl_Name,0)),"Unknown"))</f>
        <v/>
      </c>
      <c r="K1110" s="37" t="str">
        <f aca="false">IF(D1110="","",IFERROR(INDEX(rt_Billable,MATCH(D1110,rt_Code,0)),"Unknown"))</f>
        <v>No</v>
      </c>
      <c r="L1110" s="38" t="str">
        <f aca="false">IF(K1110&lt;&gt;"Yes","",IFERROR(INDEX(cr_Rate,MATCH(J1110&amp;"|"&amp;D1110,cr_Key,0)),INDEX(rt_Rate,MATCH(D1110,rt_Code,0))))</f>
        <v/>
      </c>
      <c r="M1110" s="25" t="str">
        <f aca="false">IF(L1110="","",ROUND(N(E1110)*L1110,2))</f>
        <v/>
      </c>
      <c r="N1110" s="39" t="n">
        <f aca="false">IF(OR(A1110="",B1110=""),"",SUMIFS(tl_Hours,tl_StaffID,I1110,tl_Date,A1110))</f>
        <v>8</v>
      </c>
      <c r="O1110" s="40" t="str">
        <f aca="false">IF(A1110&amp;B1110&amp;D1110="","",IF(OR(A1110="",B1110="",D1110="",E1110=""),"Incomplete",IF(K1110="Unknown","Unknown code",IF(AND(K1110="Yes",C1110=""),"Billable, needs client",IF(N1110&gt;MaxDayHours,"Over "&amp;MaxDayHours&amp;" hours that day","")))))</f>
        <v/>
      </c>
    </row>
    <row r="1111" customFormat="false" ht="15" hidden="false" customHeight="false" outlineLevel="0" collapsed="false">
      <c r="A1111" s="31" t="n">
        <v>46261</v>
      </c>
      <c r="B1111" s="32" t="s">
        <v>106</v>
      </c>
      <c r="C1111" s="32" t="s">
        <v>112</v>
      </c>
      <c r="D1111" s="33" t="s">
        <v>88</v>
      </c>
      <c r="E1111" s="34" t="n">
        <v>3</v>
      </c>
      <c r="F1111" s="32"/>
      <c r="G1111" s="35" t="n">
        <f aca="false">IF(A1111="","",A1111+7-WEEKDAY(A1111))</f>
        <v>46263</v>
      </c>
      <c r="H1111" s="36" t="n">
        <f aca="false">IF(A1111="","",DATE(YEAR(A1111),MONTH(A1111),1))</f>
        <v>46235</v>
      </c>
      <c r="I1111" s="37" t="str">
        <f aca="false">IF(B1111="","",IFERROR(INDEX(st_ID,MATCH(B1111,st_Name,0)),"Unknown"))</f>
        <v>QP-07</v>
      </c>
      <c r="J1111" s="37" t="str">
        <f aca="false">IF(C1111="","",IFERROR(INDEX(cl_Code,MATCH(C1111,cl_Name,0)),"Unknown"))</f>
        <v>PCA</v>
      </c>
      <c r="K1111" s="37" t="str">
        <f aca="false">IF(D1111="","",IFERROR(INDEX(rt_Billable,MATCH(D1111,rt_Code,0)),"Unknown"))</f>
        <v>Yes</v>
      </c>
      <c r="L1111" s="38" t="n">
        <f aca="false">IF(K1111&lt;&gt;"Yes","",IFERROR(INDEX(cr_Rate,MATCH(J1111&amp;"|"&amp;D1111,cr_Key,0)),INDEX(rt_Rate,MATCH(D1111,rt_Code,0))))</f>
        <v>110</v>
      </c>
      <c r="M1111" s="25" t="n">
        <f aca="false">IF(L1111="","",ROUND(N(E1111)*L1111,2))</f>
        <v>330</v>
      </c>
      <c r="N1111" s="39" t="n">
        <f aca="false">IF(OR(A1111="",B1111=""),"",SUMIFS(tl_Hours,tl_StaffID,I1111,tl_Date,A1111))</f>
        <v>8</v>
      </c>
      <c r="O1111" s="40" t="str">
        <f aca="false">IF(A1111&amp;B1111&amp;D1111="","",IF(OR(A1111="",B1111="",D1111="",E1111=""),"Incomplete",IF(K1111="Unknown","Unknown code",IF(AND(K1111="Yes",C1111=""),"Billable, needs client",IF(N1111&gt;MaxDayHours,"Over "&amp;MaxDayHours&amp;" hours that day","")))))</f>
        <v/>
      </c>
    </row>
    <row r="1112" customFormat="false" ht="15" hidden="false" customHeight="false" outlineLevel="0" collapsed="false">
      <c r="A1112" s="31" t="n">
        <v>46261</v>
      </c>
      <c r="B1112" s="32" t="s">
        <v>106</v>
      </c>
      <c r="C1112" s="32" t="s">
        <v>112</v>
      </c>
      <c r="D1112" s="33" t="s">
        <v>113</v>
      </c>
      <c r="E1112" s="34" t="n">
        <v>2</v>
      </c>
      <c r="F1112" s="32"/>
      <c r="G1112" s="35" t="n">
        <f aca="false">IF(A1112="","",A1112+7-WEEKDAY(A1112))</f>
        <v>46263</v>
      </c>
      <c r="H1112" s="36" t="n">
        <f aca="false">IF(A1112="","",DATE(YEAR(A1112),MONTH(A1112),1))</f>
        <v>46235</v>
      </c>
      <c r="I1112" s="37" t="str">
        <f aca="false">IF(B1112="","",IFERROR(INDEX(st_ID,MATCH(B1112,st_Name,0)),"Unknown"))</f>
        <v>QP-07</v>
      </c>
      <c r="J1112" s="37" t="str">
        <f aca="false">IF(C1112="","",IFERROR(INDEX(cl_Code,MATCH(C1112,cl_Name,0)),"Unknown"))</f>
        <v>PCA</v>
      </c>
      <c r="K1112" s="37" t="str">
        <f aca="false">IF(D1112="","",IFERROR(INDEX(rt_Billable,MATCH(D1112,rt_Code,0)),"Unknown"))</f>
        <v>Yes</v>
      </c>
      <c r="L1112" s="38" t="n">
        <f aca="false">IF(K1112&lt;&gt;"Yes","",IFERROR(INDEX(cr_Rate,MATCH(J1112&amp;"|"&amp;D1112,cr_Key,0)),INDEX(rt_Rate,MATCH(D1112,rt_Code,0))))</f>
        <v>85</v>
      </c>
      <c r="M1112" s="25" t="n">
        <f aca="false">IF(L1112="","",ROUND(N(E1112)*L1112,2))</f>
        <v>170</v>
      </c>
      <c r="N1112" s="39" t="n">
        <f aca="false">IF(OR(A1112="",B1112=""),"",SUMIFS(tl_Hours,tl_StaffID,I1112,tl_Date,A1112))</f>
        <v>8</v>
      </c>
      <c r="O1112" s="40" t="str">
        <f aca="false">IF(A1112&amp;B1112&amp;D1112="","",IF(OR(A1112="",B1112="",D1112="",E1112=""),"Incomplete",IF(K1112="Unknown","Unknown code",IF(AND(K1112="Yes",C1112=""),"Billable, needs client",IF(N1112&gt;MaxDayHours,"Over "&amp;MaxDayHours&amp;" hours that day","")))))</f>
        <v/>
      </c>
    </row>
    <row r="1113" customFormat="false" ht="15" hidden="false" customHeight="false" outlineLevel="0" collapsed="false">
      <c r="A1113" s="31" t="n">
        <v>46261</v>
      </c>
      <c r="B1113" s="32" t="s">
        <v>106</v>
      </c>
      <c r="C1113" s="32"/>
      <c r="D1113" s="33" t="s">
        <v>96</v>
      </c>
      <c r="E1113" s="34" t="n">
        <v>3</v>
      </c>
      <c r="F1113" s="32"/>
      <c r="G1113" s="35" t="n">
        <f aca="false">IF(A1113="","",A1113+7-WEEKDAY(A1113))</f>
        <v>46263</v>
      </c>
      <c r="H1113" s="36" t="n">
        <f aca="false">IF(A1113="","",DATE(YEAR(A1113),MONTH(A1113),1))</f>
        <v>46235</v>
      </c>
      <c r="I1113" s="37" t="str">
        <f aca="false">IF(B1113="","",IFERROR(INDEX(st_ID,MATCH(B1113,st_Name,0)),"Unknown"))</f>
        <v>QP-07</v>
      </c>
      <c r="J1113" s="37" t="str">
        <f aca="false">IF(C1113="","",IFERROR(INDEX(cl_Code,MATCH(C1113,cl_Name,0)),"Unknown"))</f>
        <v/>
      </c>
      <c r="K1113" s="37" t="str">
        <f aca="false">IF(D1113="","",IFERROR(INDEX(rt_Billable,MATCH(D1113,rt_Code,0)),"Unknown"))</f>
        <v>No</v>
      </c>
      <c r="L1113" s="38" t="str">
        <f aca="false">IF(K1113&lt;&gt;"Yes","",IFERROR(INDEX(cr_Rate,MATCH(J1113&amp;"|"&amp;D1113,cr_Key,0)),INDEX(rt_Rate,MATCH(D1113,rt_Code,0))))</f>
        <v/>
      </c>
      <c r="M1113" s="25" t="str">
        <f aca="false">IF(L1113="","",ROUND(N(E1113)*L1113,2))</f>
        <v/>
      </c>
      <c r="N1113" s="39" t="n">
        <f aca="false">IF(OR(A1113="",B1113=""),"",SUMIFS(tl_Hours,tl_StaffID,I1113,tl_Date,A1113))</f>
        <v>8</v>
      </c>
      <c r="O1113" s="40" t="str">
        <f aca="false">IF(A1113&amp;B1113&amp;D1113="","",IF(OR(A1113="",B1113="",D1113="",E1113=""),"Incomplete",IF(K1113="Unknown","Unknown code",IF(AND(K1113="Yes",C1113=""),"Billable, needs client",IF(N1113&gt;MaxDayHours,"Over "&amp;MaxDayHours&amp;" hours that day","")))))</f>
        <v/>
      </c>
    </row>
    <row r="1114" customFormat="false" ht="15" hidden="false" customHeight="false" outlineLevel="0" collapsed="false">
      <c r="A1114" s="31" t="n">
        <v>46261</v>
      </c>
      <c r="B1114" s="32" t="s">
        <v>107</v>
      </c>
      <c r="C1114" s="32"/>
      <c r="D1114" s="33" t="s">
        <v>108</v>
      </c>
      <c r="E1114" s="34" t="n">
        <v>7</v>
      </c>
      <c r="F1114" s="32"/>
      <c r="G1114" s="35" t="n">
        <f aca="false">IF(A1114="","",A1114+7-WEEKDAY(A1114))</f>
        <v>46263</v>
      </c>
      <c r="H1114" s="36" t="n">
        <f aca="false">IF(A1114="","",DATE(YEAR(A1114),MONTH(A1114),1))</f>
        <v>46235</v>
      </c>
      <c r="I1114" s="37" t="str">
        <f aca="false">IF(B1114="","",IFERROR(INDEX(st_ID,MATCH(B1114,st_Name,0)),"Unknown"))</f>
        <v>QP-08</v>
      </c>
      <c r="J1114" s="37" t="str">
        <f aca="false">IF(C1114="","",IFERROR(INDEX(cl_Code,MATCH(C1114,cl_Name,0)),"Unknown"))</f>
        <v/>
      </c>
      <c r="K1114" s="37" t="str">
        <f aca="false">IF(D1114="","",IFERROR(INDEX(rt_Billable,MATCH(D1114,rt_Code,0)),"Unknown"))</f>
        <v>No</v>
      </c>
      <c r="L1114" s="38" t="str">
        <f aca="false">IF(K1114&lt;&gt;"Yes","",IFERROR(INDEX(cr_Rate,MATCH(J1114&amp;"|"&amp;D1114,cr_Key,0)),INDEX(rt_Rate,MATCH(D1114,rt_Code,0))))</f>
        <v/>
      </c>
      <c r="M1114" s="25" t="str">
        <f aca="false">IF(L1114="","",ROUND(N(E1114)*L1114,2))</f>
        <v/>
      </c>
      <c r="N1114" s="39" t="n">
        <f aca="false">IF(OR(A1114="",B1114=""),"",SUMIFS(tl_Hours,tl_StaffID,I1114,tl_Date,A1114))</f>
        <v>8</v>
      </c>
      <c r="O1114" s="40" t="str">
        <f aca="false">IF(A1114&amp;B1114&amp;D1114="","",IF(OR(A1114="",B1114="",D1114="",E1114=""),"Incomplete",IF(K1114="Unknown","Unknown code",IF(AND(K1114="Yes",C1114=""),"Billable, needs client",IF(N1114&gt;MaxDayHours,"Over "&amp;MaxDayHours&amp;" hours that day","")))))</f>
        <v/>
      </c>
    </row>
    <row r="1115" customFormat="false" ht="15" hidden="false" customHeight="false" outlineLevel="0" collapsed="false">
      <c r="A1115" s="31" t="n">
        <v>46261</v>
      </c>
      <c r="B1115" s="32" t="s">
        <v>107</v>
      </c>
      <c r="C1115" s="32"/>
      <c r="D1115" s="33" t="s">
        <v>98</v>
      </c>
      <c r="E1115" s="34" t="n">
        <v>1</v>
      </c>
      <c r="F1115" s="32"/>
      <c r="G1115" s="35" t="n">
        <f aca="false">IF(A1115="","",A1115+7-WEEKDAY(A1115))</f>
        <v>46263</v>
      </c>
      <c r="H1115" s="36" t="n">
        <f aca="false">IF(A1115="","",DATE(YEAR(A1115),MONTH(A1115),1))</f>
        <v>46235</v>
      </c>
      <c r="I1115" s="37" t="str">
        <f aca="false">IF(B1115="","",IFERROR(INDEX(st_ID,MATCH(B1115,st_Name,0)),"Unknown"))</f>
        <v>QP-08</v>
      </c>
      <c r="J1115" s="37" t="str">
        <f aca="false">IF(C1115="","",IFERROR(INDEX(cl_Code,MATCH(C1115,cl_Name,0)),"Unknown"))</f>
        <v/>
      </c>
      <c r="K1115" s="37" t="str">
        <f aca="false">IF(D1115="","",IFERROR(INDEX(rt_Billable,MATCH(D1115,rt_Code,0)),"Unknown"))</f>
        <v>No</v>
      </c>
      <c r="L1115" s="38" t="str">
        <f aca="false">IF(K1115&lt;&gt;"Yes","",IFERROR(INDEX(cr_Rate,MATCH(J1115&amp;"|"&amp;D1115,cr_Key,0)),INDEX(rt_Rate,MATCH(D1115,rt_Code,0))))</f>
        <v/>
      </c>
      <c r="M1115" s="25" t="str">
        <f aca="false">IF(L1115="","",ROUND(N(E1115)*L1115,2))</f>
        <v/>
      </c>
      <c r="N1115" s="39" t="n">
        <f aca="false">IF(OR(A1115="",B1115=""),"",SUMIFS(tl_Hours,tl_StaffID,I1115,tl_Date,A1115))</f>
        <v>8</v>
      </c>
      <c r="O1115" s="40" t="str">
        <f aca="false">IF(A1115&amp;B1115&amp;D1115="","",IF(OR(A1115="",B1115="",D1115="",E1115=""),"Incomplete",IF(K1115="Unknown","Unknown code",IF(AND(K1115="Yes",C1115=""),"Billable, needs client",IF(N1115&gt;MaxDayHours,"Over "&amp;MaxDayHours&amp;" hours that day","")))))</f>
        <v/>
      </c>
    </row>
    <row r="1116" customFormat="false" ht="15" hidden="false" customHeight="false" outlineLevel="0" collapsed="false">
      <c r="A1116" s="31" t="n">
        <v>46262</v>
      </c>
      <c r="B1116" s="32" t="s">
        <v>86</v>
      </c>
      <c r="C1116" s="32" t="s">
        <v>112</v>
      </c>
      <c r="D1116" s="33" t="s">
        <v>88</v>
      </c>
      <c r="E1116" s="34" t="n">
        <v>3.5</v>
      </c>
      <c r="F1116" s="32"/>
      <c r="G1116" s="35" t="n">
        <f aca="false">IF(A1116="","",A1116+7-WEEKDAY(A1116))</f>
        <v>46263</v>
      </c>
      <c r="H1116" s="36" t="n">
        <f aca="false">IF(A1116="","",DATE(YEAR(A1116),MONTH(A1116),1))</f>
        <v>46235</v>
      </c>
      <c r="I1116" s="37" t="str">
        <f aca="false">IF(B1116="","",IFERROR(INDEX(st_ID,MATCH(B1116,st_Name,0)),"Unknown"))</f>
        <v>QP-01</v>
      </c>
      <c r="J1116" s="37" t="str">
        <f aca="false">IF(C1116="","",IFERROR(INDEX(cl_Code,MATCH(C1116,cl_Name,0)),"Unknown"))</f>
        <v>PCA</v>
      </c>
      <c r="K1116" s="37" t="str">
        <f aca="false">IF(D1116="","",IFERROR(INDEX(rt_Billable,MATCH(D1116,rt_Code,0)),"Unknown"))</f>
        <v>Yes</v>
      </c>
      <c r="L1116" s="38" t="n">
        <f aca="false">IF(K1116&lt;&gt;"Yes","",IFERROR(INDEX(cr_Rate,MATCH(J1116&amp;"|"&amp;D1116,cr_Key,0)),INDEX(rt_Rate,MATCH(D1116,rt_Code,0))))</f>
        <v>110</v>
      </c>
      <c r="M1116" s="25" t="n">
        <f aca="false">IF(L1116="","",ROUND(N(E1116)*L1116,2))</f>
        <v>385</v>
      </c>
      <c r="N1116" s="39" t="n">
        <f aca="false">IF(OR(A1116="",B1116=""),"",SUMIFS(tl_Hours,tl_StaffID,I1116,tl_Date,A1116))</f>
        <v>8</v>
      </c>
      <c r="O1116" s="40" t="str">
        <f aca="false">IF(A1116&amp;B1116&amp;D1116="","",IF(OR(A1116="",B1116="",D1116="",E1116=""),"Incomplete",IF(K1116="Unknown","Unknown code",IF(AND(K1116="Yes",C1116=""),"Billable, needs client",IF(N1116&gt;MaxDayHours,"Over "&amp;MaxDayHours&amp;" hours that day","")))))</f>
        <v/>
      </c>
    </row>
    <row r="1117" customFormat="false" ht="15" hidden="false" customHeight="false" outlineLevel="0" collapsed="false">
      <c r="A1117" s="31" t="n">
        <v>46262</v>
      </c>
      <c r="B1117" s="32" t="s">
        <v>86</v>
      </c>
      <c r="C1117" s="32" t="s">
        <v>112</v>
      </c>
      <c r="D1117" s="33" t="s">
        <v>89</v>
      </c>
      <c r="E1117" s="34" t="n">
        <v>2.5</v>
      </c>
      <c r="F1117" s="32"/>
      <c r="G1117" s="35" t="n">
        <f aca="false">IF(A1117="","",A1117+7-WEEKDAY(A1117))</f>
        <v>46263</v>
      </c>
      <c r="H1117" s="36" t="n">
        <f aca="false">IF(A1117="","",DATE(YEAR(A1117),MONTH(A1117),1))</f>
        <v>46235</v>
      </c>
      <c r="I1117" s="37" t="str">
        <f aca="false">IF(B1117="","",IFERROR(INDEX(st_ID,MATCH(B1117,st_Name,0)),"Unknown"))</f>
        <v>QP-01</v>
      </c>
      <c r="J1117" s="37" t="str">
        <f aca="false">IF(C1117="","",IFERROR(INDEX(cl_Code,MATCH(C1117,cl_Name,0)),"Unknown"))</f>
        <v>PCA</v>
      </c>
      <c r="K1117" s="37" t="str">
        <f aca="false">IF(D1117="","",IFERROR(INDEX(rt_Billable,MATCH(D1117,rt_Code,0)),"Unknown"))</f>
        <v>Yes</v>
      </c>
      <c r="L1117" s="38" t="n">
        <f aca="false">IF(K1117&lt;&gt;"Yes","",IFERROR(INDEX(cr_Rate,MATCH(J1117&amp;"|"&amp;D1117,cr_Key,0)),INDEX(rt_Rate,MATCH(D1117,rt_Code,0))))</f>
        <v>95</v>
      </c>
      <c r="M1117" s="25" t="n">
        <f aca="false">IF(L1117="","",ROUND(N(E1117)*L1117,2))</f>
        <v>237.5</v>
      </c>
      <c r="N1117" s="39" t="n">
        <f aca="false">IF(OR(A1117="",B1117=""),"",SUMIFS(tl_Hours,tl_StaffID,I1117,tl_Date,A1117))</f>
        <v>8</v>
      </c>
      <c r="O1117" s="40" t="str">
        <f aca="false">IF(A1117&amp;B1117&amp;D1117="","",IF(OR(A1117="",B1117="",D1117="",E1117=""),"Incomplete",IF(K1117="Unknown","Unknown code",IF(AND(K1117="Yes",C1117=""),"Billable, needs client",IF(N1117&gt;MaxDayHours,"Over "&amp;MaxDayHours&amp;" hours that day","")))))</f>
        <v/>
      </c>
    </row>
    <row r="1118" customFormat="false" ht="15" hidden="false" customHeight="false" outlineLevel="0" collapsed="false">
      <c r="A1118" s="31" t="n">
        <v>46262</v>
      </c>
      <c r="B1118" s="32" t="s">
        <v>86</v>
      </c>
      <c r="C1118" s="32"/>
      <c r="D1118" s="33" t="s">
        <v>96</v>
      </c>
      <c r="E1118" s="34" t="n">
        <v>2</v>
      </c>
      <c r="F1118" s="32"/>
      <c r="G1118" s="35" t="n">
        <f aca="false">IF(A1118="","",A1118+7-WEEKDAY(A1118))</f>
        <v>46263</v>
      </c>
      <c r="H1118" s="36" t="n">
        <f aca="false">IF(A1118="","",DATE(YEAR(A1118),MONTH(A1118),1))</f>
        <v>46235</v>
      </c>
      <c r="I1118" s="37" t="str">
        <f aca="false">IF(B1118="","",IFERROR(INDEX(st_ID,MATCH(B1118,st_Name,0)),"Unknown"))</f>
        <v>QP-01</v>
      </c>
      <c r="J1118" s="37" t="str">
        <f aca="false">IF(C1118="","",IFERROR(INDEX(cl_Code,MATCH(C1118,cl_Name,0)),"Unknown"))</f>
        <v/>
      </c>
      <c r="K1118" s="37" t="str">
        <f aca="false">IF(D1118="","",IFERROR(INDEX(rt_Billable,MATCH(D1118,rt_Code,0)),"Unknown"))</f>
        <v>No</v>
      </c>
      <c r="L1118" s="38" t="str">
        <f aca="false">IF(K1118&lt;&gt;"Yes","",IFERROR(INDEX(cr_Rate,MATCH(J1118&amp;"|"&amp;D1118,cr_Key,0)),INDEX(rt_Rate,MATCH(D1118,rt_Code,0))))</f>
        <v/>
      </c>
      <c r="M1118" s="25" t="str">
        <f aca="false">IF(L1118="","",ROUND(N(E1118)*L1118,2))</f>
        <v/>
      </c>
      <c r="N1118" s="39" t="n">
        <f aca="false">IF(OR(A1118="",B1118=""),"",SUMIFS(tl_Hours,tl_StaffID,I1118,tl_Date,A1118))</f>
        <v>8</v>
      </c>
      <c r="O1118" s="40" t="str">
        <f aca="false">IF(A1118&amp;B1118&amp;D1118="","",IF(OR(A1118="",B1118="",D1118="",E1118=""),"Incomplete",IF(K1118="Unknown","Unknown code",IF(AND(K1118="Yes",C1118=""),"Billable, needs client",IF(N1118&gt;MaxDayHours,"Over "&amp;MaxDayHours&amp;" hours that day","")))))</f>
        <v/>
      </c>
    </row>
    <row r="1119" customFormat="false" ht="15" hidden="false" customHeight="false" outlineLevel="0" collapsed="false">
      <c r="A1119" s="31" t="n">
        <v>46262</v>
      </c>
      <c r="B1119" s="32" t="s">
        <v>97</v>
      </c>
      <c r="C1119" s="32" t="s">
        <v>90</v>
      </c>
      <c r="D1119" s="33" t="s">
        <v>91</v>
      </c>
      <c r="E1119" s="34" t="n">
        <v>3</v>
      </c>
      <c r="F1119" s="32"/>
      <c r="G1119" s="35" t="n">
        <f aca="false">IF(A1119="","",A1119+7-WEEKDAY(A1119))</f>
        <v>46263</v>
      </c>
      <c r="H1119" s="36" t="n">
        <f aca="false">IF(A1119="","",DATE(YEAR(A1119),MONTH(A1119),1))</f>
        <v>46235</v>
      </c>
      <c r="I1119" s="37" t="str">
        <f aca="false">IF(B1119="","",IFERROR(INDEX(st_ID,MATCH(B1119,st_Name,0)),"Unknown"))</f>
        <v>QP-02</v>
      </c>
      <c r="J1119" s="37" t="str">
        <f aca="false">IF(C1119="","",IFERROR(INDEX(cl_Code,MATCH(C1119,cl_Name,0)),"Unknown"))</f>
        <v>BSE</v>
      </c>
      <c r="K1119" s="37" t="str">
        <f aca="false">IF(D1119="","",IFERROR(INDEX(rt_Billable,MATCH(D1119,rt_Code,0)),"Unknown"))</f>
        <v>Yes</v>
      </c>
      <c r="L1119" s="38" t="n">
        <f aca="false">IF(K1119&lt;&gt;"Yes","",IFERROR(INDEX(cr_Rate,MATCH(J1119&amp;"|"&amp;D1119,cr_Key,0)),INDEX(rt_Rate,MATCH(D1119,rt_Code,0))))</f>
        <v>100</v>
      </c>
      <c r="M1119" s="25" t="n">
        <f aca="false">IF(L1119="","",ROUND(N(E1119)*L1119,2))</f>
        <v>300</v>
      </c>
      <c r="N1119" s="39" t="n">
        <f aca="false">IF(OR(A1119="",B1119=""),"",SUMIFS(tl_Hours,tl_StaffID,I1119,tl_Date,A1119))</f>
        <v>8</v>
      </c>
      <c r="O1119" s="40" t="str">
        <f aca="false">IF(A1119&amp;B1119&amp;D1119="","",IF(OR(A1119="",B1119="",D1119="",E1119=""),"Incomplete",IF(K1119="Unknown","Unknown code",IF(AND(K1119="Yes",C1119=""),"Billable, needs client",IF(N1119&gt;MaxDayHours,"Over "&amp;MaxDayHours&amp;" hours that day","")))))</f>
        <v/>
      </c>
    </row>
    <row r="1120" customFormat="false" ht="15" hidden="false" customHeight="false" outlineLevel="0" collapsed="false">
      <c r="A1120" s="31" t="n">
        <v>46262</v>
      </c>
      <c r="B1120" s="32" t="s">
        <v>97</v>
      </c>
      <c r="C1120" s="32" t="s">
        <v>90</v>
      </c>
      <c r="D1120" s="33" t="s">
        <v>92</v>
      </c>
      <c r="E1120" s="34" t="n">
        <v>2.25</v>
      </c>
      <c r="F1120" s="32"/>
      <c r="G1120" s="35" t="n">
        <f aca="false">IF(A1120="","",A1120+7-WEEKDAY(A1120))</f>
        <v>46263</v>
      </c>
      <c r="H1120" s="36" t="n">
        <f aca="false">IF(A1120="","",DATE(YEAR(A1120),MONTH(A1120),1))</f>
        <v>46235</v>
      </c>
      <c r="I1120" s="37" t="str">
        <f aca="false">IF(B1120="","",IFERROR(INDEX(st_ID,MATCH(B1120,st_Name,0)),"Unknown"))</f>
        <v>QP-02</v>
      </c>
      <c r="J1120" s="37" t="str">
        <f aca="false">IF(C1120="","",IFERROR(INDEX(cl_Code,MATCH(C1120,cl_Name,0)),"Unknown"))</f>
        <v>BSE</v>
      </c>
      <c r="K1120" s="37" t="str">
        <f aca="false">IF(D1120="","",IFERROR(INDEX(rt_Billable,MATCH(D1120,rt_Code,0)),"Unknown"))</f>
        <v>Yes</v>
      </c>
      <c r="L1120" s="38" t="n">
        <f aca="false">IF(K1120&lt;&gt;"Yes","",IFERROR(INDEX(cr_Rate,MATCH(J1120&amp;"|"&amp;D1120,cr_Key,0)),INDEX(rt_Rate,MATCH(D1120,rt_Code,0))))</f>
        <v>145</v>
      </c>
      <c r="M1120" s="25" t="n">
        <f aca="false">IF(L1120="","",ROUND(N(E1120)*L1120,2))</f>
        <v>326.25</v>
      </c>
      <c r="N1120" s="39" t="n">
        <f aca="false">IF(OR(A1120="",B1120=""),"",SUMIFS(tl_Hours,tl_StaffID,I1120,tl_Date,A1120))</f>
        <v>8</v>
      </c>
      <c r="O1120" s="40" t="str">
        <f aca="false">IF(A1120&amp;B1120&amp;D1120="","",IF(OR(A1120="",B1120="",D1120="",E1120=""),"Incomplete",IF(K1120="Unknown","Unknown code",IF(AND(K1120="Yes",C1120=""),"Billable, needs client",IF(N1120&gt;MaxDayHours,"Over "&amp;MaxDayHours&amp;" hours that day","")))))</f>
        <v/>
      </c>
    </row>
    <row r="1121" customFormat="false" ht="15" hidden="false" customHeight="false" outlineLevel="0" collapsed="false">
      <c r="A1121" s="31" t="n">
        <v>46262</v>
      </c>
      <c r="B1121" s="32" t="s">
        <v>97</v>
      </c>
      <c r="C1121" s="32"/>
      <c r="D1121" s="33" t="s">
        <v>96</v>
      </c>
      <c r="E1121" s="34" t="n">
        <v>2.75</v>
      </c>
      <c r="F1121" s="32"/>
      <c r="G1121" s="35" t="n">
        <f aca="false">IF(A1121="","",A1121+7-WEEKDAY(A1121))</f>
        <v>46263</v>
      </c>
      <c r="H1121" s="36" t="n">
        <f aca="false">IF(A1121="","",DATE(YEAR(A1121),MONTH(A1121),1))</f>
        <v>46235</v>
      </c>
      <c r="I1121" s="37" t="str">
        <f aca="false">IF(B1121="","",IFERROR(INDEX(st_ID,MATCH(B1121,st_Name,0)),"Unknown"))</f>
        <v>QP-02</v>
      </c>
      <c r="J1121" s="37" t="str">
        <f aca="false">IF(C1121="","",IFERROR(INDEX(cl_Code,MATCH(C1121,cl_Name,0)),"Unknown"))</f>
        <v/>
      </c>
      <c r="K1121" s="37" t="str">
        <f aca="false">IF(D1121="","",IFERROR(INDEX(rt_Billable,MATCH(D1121,rt_Code,0)),"Unknown"))</f>
        <v>No</v>
      </c>
      <c r="L1121" s="38" t="str">
        <f aca="false">IF(K1121&lt;&gt;"Yes","",IFERROR(INDEX(cr_Rate,MATCH(J1121&amp;"|"&amp;D1121,cr_Key,0)),INDEX(rt_Rate,MATCH(D1121,rt_Code,0))))</f>
        <v/>
      </c>
      <c r="M1121" s="25" t="str">
        <f aca="false">IF(L1121="","",ROUND(N(E1121)*L1121,2))</f>
        <v/>
      </c>
      <c r="N1121" s="39" t="n">
        <f aca="false">IF(OR(A1121="",B1121=""),"",SUMIFS(tl_Hours,tl_StaffID,I1121,tl_Date,A1121))</f>
        <v>8</v>
      </c>
      <c r="O1121" s="40" t="str">
        <f aca="false">IF(A1121&amp;B1121&amp;D1121="","",IF(OR(A1121="",B1121="",D1121="",E1121=""),"Incomplete",IF(K1121="Unknown","Unknown code",IF(AND(K1121="Yes",C1121=""),"Billable, needs client",IF(N1121&gt;MaxDayHours,"Over "&amp;MaxDayHours&amp;" hours that day","")))))</f>
        <v/>
      </c>
    </row>
    <row r="1122" customFormat="false" ht="15" hidden="false" customHeight="false" outlineLevel="0" collapsed="false">
      <c r="A1122" s="31" t="n">
        <v>46262</v>
      </c>
      <c r="B1122" s="32" t="s">
        <v>101</v>
      </c>
      <c r="C1122" s="32" t="s">
        <v>102</v>
      </c>
      <c r="D1122" s="33" t="s">
        <v>88</v>
      </c>
      <c r="E1122" s="34" t="n">
        <v>4.5</v>
      </c>
      <c r="F1122" s="32"/>
      <c r="G1122" s="35" t="n">
        <f aca="false">IF(A1122="","",A1122+7-WEEKDAY(A1122))</f>
        <v>46263</v>
      </c>
      <c r="H1122" s="36" t="n">
        <f aca="false">IF(A1122="","",DATE(YEAR(A1122),MONTH(A1122),1))</f>
        <v>46235</v>
      </c>
      <c r="I1122" s="37" t="str">
        <f aca="false">IF(B1122="","",IFERROR(INDEX(st_ID,MATCH(B1122,st_Name,0)),"Unknown"))</f>
        <v>QP-04</v>
      </c>
      <c r="J1122" s="37" t="str">
        <f aca="false">IF(C1122="","",IFERROR(INDEX(cl_Code,MATCH(C1122,cl_Name,0)),"Unknown"))</f>
        <v>CLH</v>
      </c>
      <c r="K1122" s="37" t="str">
        <f aca="false">IF(D1122="","",IFERROR(INDEX(rt_Billable,MATCH(D1122,rt_Code,0)),"Unknown"))</f>
        <v>Yes</v>
      </c>
      <c r="L1122" s="38" t="n">
        <f aca="false">IF(K1122&lt;&gt;"Yes","",IFERROR(INDEX(cr_Rate,MATCH(J1122&amp;"|"&amp;D1122,cr_Key,0)),INDEX(rt_Rate,MATCH(D1122,rt_Code,0))))</f>
        <v>110</v>
      </c>
      <c r="M1122" s="25" t="n">
        <f aca="false">IF(L1122="","",ROUND(N(E1122)*L1122,2))</f>
        <v>495</v>
      </c>
      <c r="N1122" s="39" t="n">
        <f aca="false">IF(OR(A1122="",B1122=""),"",SUMIFS(tl_Hours,tl_StaffID,I1122,tl_Date,A1122))</f>
        <v>8</v>
      </c>
      <c r="O1122" s="40" t="str">
        <f aca="false">IF(A1122&amp;B1122&amp;D1122="","",IF(OR(A1122="",B1122="",D1122="",E1122=""),"Incomplete",IF(K1122="Unknown","Unknown code",IF(AND(K1122="Yes",C1122=""),"Billable, needs client",IF(N1122&gt;MaxDayHours,"Over "&amp;MaxDayHours&amp;" hours that day","")))))</f>
        <v/>
      </c>
    </row>
    <row r="1123" customFormat="false" ht="15" hidden="false" customHeight="false" outlineLevel="0" collapsed="false">
      <c r="A1123" s="31" t="n">
        <v>46262</v>
      </c>
      <c r="B1123" s="32" t="s">
        <v>101</v>
      </c>
      <c r="C1123" s="32" t="s">
        <v>102</v>
      </c>
      <c r="D1123" s="33" t="s">
        <v>89</v>
      </c>
      <c r="E1123" s="34" t="n">
        <v>1.5</v>
      </c>
      <c r="F1123" s="32"/>
      <c r="G1123" s="35" t="n">
        <f aca="false">IF(A1123="","",A1123+7-WEEKDAY(A1123))</f>
        <v>46263</v>
      </c>
      <c r="H1123" s="36" t="n">
        <f aca="false">IF(A1123="","",DATE(YEAR(A1123),MONTH(A1123),1))</f>
        <v>46235</v>
      </c>
      <c r="I1123" s="37" t="str">
        <f aca="false">IF(B1123="","",IFERROR(INDEX(st_ID,MATCH(B1123,st_Name,0)),"Unknown"))</f>
        <v>QP-04</v>
      </c>
      <c r="J1123" s="37" t="str">
        <f aca="false">IF(C1123="","",IFERROR(INDEX(cl_Code,MATCH(C1123,cl_Name,0)),"Unknown"))</f>
        <v>CLH</v>
      </c>
      <c r="K1123" s="37" t="str">
        <f aca="false">IF(D1123="","",IFERROR(INDEX(rt_Billable,MATCH(D1123,rt_Code,0)),"Unknown"))</f>
        <v>Yes</v>
      </c>
      <c r="L1123" s="38" t="n">
        <f aca="false">IF(K1123&lt;&gt;"Yes","",IFERROR(INDEX(cr_Rate,MATCH(J1123&amp;"|"&amp;D1123,cr_Key,0)),INDEX(rt_Rate,MATCH(D1123,rt_Code,0))))</f>
        <v>95</v>
      </c>
      <c r="M1123" s="25" t="n">
        <f aca="false">IF(L1123="","",ROUND(N(E1123)*L1123,2))</f>
        <v>142.5</v>
      </c>
      <c r="N1123" s="39" t="n">
        <f aca="false">IF(OR(A1123="",B1123=""),"",SUMIFS(tl_Hours,tl_StaffID,I1123,tl_Date,A1123))</f>
        <v>8</v>
      </c>
      <c r="O1123" s="40" t="str">
        <f aca="false">IF(A1123&amp;B1123&amp;D1123="","",IF(OR(A1123="",B1123="",D1123="",E1123=""),"Incomplete",IF(K1123="Unknown","Unknown code",IF(AND(K1123="Yes",C1123=""),"Billable, needs client",IF(N1123&gt;MaxDayHours,"Over "&amp;MaxDayHours&amp;" hours that day","")))))</f>
        <v/>
      </c>
    </row>
    <row r="1124" customFormat="false" ht="15" hidden="false" customHeight="false" outlineLevel="0" collapsed="false">
      <c r="A1124" s="31" t="n">
        <v>46262</v>
      </c>
      <c r="B1124" s="32" t="s">
        <v>101</v>
      </c>
      <c r="C1124" s="32"/>
      <c r="D1124" s="33" t="s">
        <v>96</v>
      </c>
      <c r="E1124" s="34" t="n">
        <v>2</v>
      </c>
      <c r="F1124" s="32"/>
      <c r="G1124" s="35" t="n">
        <f aca="false">IF(A1124="","",A1124+7-WEEKDAY(A1124))</f>
        <v>46263</v>
      </c>
      <c r="H1124" s="36" t="n">
        <f aca="false">IF(A1124="","",DATE(YEAR(A1124),MONTH(A1124),1))</f>
        <v>46235</v>
      </c>
      <c r="I1124" s="37" t="str">
        <f aca="false">IF(B1124="","",IFERROR(INDEX(st_ID,MATCH(B1124,st_Name,0)),"Unknown"))</f>
        <v>QP-04</v>
      </c>
      <c r="J1124" s="37" t="str">
        <f aca="false">IF(C1124="","",IFERROR(INDEX(cl_Code,MATCH(C1124,cl_Name,0)),"Unknown"))</f>
        <v/>
      </c>
      <c r="K1124" s="37" t="str">
        <f aca="false">IF(D1124="","",IFERROR(INDEX(rt_Billable,MATCH(D1124,rt_Code,0)),"Unknown"))</f>
        <v>No</v>
      </c>
      <c r="L1124" s="38" t="str">
        <f aca="false">IF(K1124&lt;&gt;"Yes","",IFERROR(INDEX(cr_Rate,MATCH(J1124&amp;"|"&amp;D1124,cr_Key,0)),INDEX(rt_Rate,MATCH(D1124,rt_Code,0))))</f>
        <v/>
      </c>
      <c r="M1124" s="25" t="str">
        <f aca="false">IF(L1124="","",ROUND(N(E1124)*L1124,2))</f>
        <v/>
      </c>
      <c r="N1124" s="39" t="n">
        <f aca="false">IF(OR(A1124="",B1124=""),"",SUMIFS(tl_Hours,tl_StaffID,I1124,tl_Date,A1124))</f>
        <v>8</v>
      </c>
      <c r="O1124" s="40" t="str">
        <f aca="false">IF(A1124&amp;B1124&amp;D1124="","",IF(OR(A1124="",B1124="",D1124="",E1124=""),"Incomplete",IF(K1124="Unknown","Unknown code",IF(AND(K1124="Yes",C1124=""),"Billable, needs client",IF(N1124&gt;MaxDayHours,"Over "&amp;MaxDayHours&amp;" hours that day","")))))</f>
        <v/>
      </c>
    </row>
    <row r="1125" customFormat="false" ht="15" hidden="false" customHeight="false" outlineLevel="0" collapsed="false">
      <c r="A1125" s="31" t="n">
        <v>46262</v>
      </c>
      <c r="B1125" s="32" t="s">
        <v>103</v>
      </c>
      <c r="C1125" s="32" t="s">
        <v>87</v>
      </c>
      <c r="D1125" s="33" t="s">
        <v>104</v>
      </c>
      <c r="E1125" s="34" t="n">
        <v>2.25</v>
      </c>
      <c r="F1125" s="32"/>
      <c r="G1125" s="35" t="n">
        <f aca="false">IF(A1125="","",A1125+7-WEEKDAY(A1125))</f>
        <v>46263</v>
      </c>
      <c r="H1125" s="36" t="n">
        <f aca="false">IF(A1125="","",DATE(YEAR(A1125),MONTH(A1125),1))</f>
        <v>46235</v>
      </c>
      <c r="I1125" s="37" t="str">
        <f aca="false">IF(B1125="","",IFERROR(INDEX(st_ID,MATCH(B1125,st_Name,0)),"Unknown"))</f>
        <v>QP-05</v>
      </c>
      <c r="J1125" s="37" t="str">
        <f aca="false">IF(C1125="","",IFERROR(INDEX(cl_Code,MATCH(C1125,cl_Name,0)),"Unknown"))</f>
        <v>HCS</v>
      </c>
      <c r="K1125" s="37" t="str">
        <f aca="false">IF(D1125="","",IFERROR(INDEX(rt_Billable,MATCH(D1125,rt_Code,0)),"Unknown"))</f>
        <v>Yes</v>
      </c>
      <c r="L1125" s="38" t="n">
        <f aca="false">IF(K1125&lt;&gt;"Yes","",IFERROR(INDEX(cr_Rate,MATCH(J1125&amp;"|"&amp;D1125,cr_Key,0)),INDEX(rt_Rate,MATCH(D1125,rt_Code,0))))</f>
        <v>62</v>
      </c>
      <c r="M1125" s="25" t="n">
        <f aca="false">IF(L1125="","",ROUND(N(E1125)*L1125,2))</f>
        <v>139.5</v>
      </c>
      <c r="N1125" s="39" t="n">
        <f aca="false">IF(OR(A1125="",B1125=""),"",SUMIFS(tl_Hours,tl_StaffID,I1125,tl_Date,A1125))</f>
        <v>8</v>
      </c>
      <c r="O1125" s="40" t="str">
        <f aca="false">IF(A1125&amp;B1125&amp;D1125="","",IF(OR(A1125="",B1125="",D1125="",E1125=""),"Incomplete",IF(K1125="Unknown","Unknown code",IF(AND(K1125="Yes",C1125=""),"Billable, needs client",IF(N1125&gt;MaxDayHours,"Over "&amp;MaxDayHours&amp;" hours that day","")))))</f>
        <v/>
      </c>
    </row>
    <row r="1126" customFormat="false" ht="15" hidden="false" customHeight="false" outlineLevel="0" collapsed="false">
      <c r="A1126" s="31" t="n">
        <v>46262</v>
      </c>
      <c r="B1126" s="32" t="s">
        <v>103</v>
      </c>
      <c r="C1126" s="32" t="s">
        <v>87</v>
      </c>
      <c r="D1126" s="33" t="s">
        <v>89</v>
      </c>
      <c r="E1126" s="34" t="n">
        <v>0.75</v>
      </c>
      <c r="F1126" s="32"/>
      <c r="G1126" s="35" t="n">
        <f aca="false">IF(A1126="","",A1126+7-WEEKDAY(A1126))</f>
        <v>46263</v>
      </c>
      <c r="H1126" s="36" t="n">
        <f aca="false">IF(A1126="","",DATE(YEAR(A1126),MONTH(A1126),1))</f>
        <v>46235</v>
      </c>
      <c r="I1126" s="37" t="str">
        <f aca="false">IF(B1126="","",IFERROR(INDEX(st_ID,MATCH(B1126,st_Name,0)),"Unknown"))</f>
        <v>QP-05</v>
      </c>
      <c r="J1126" s="37" t="str">
        <f aca="false">IF(C1126="","",IFERROR(INDEX(cl_Code,MATCH(C1126,cl_Name,0)),"Unknown"))</f>
        <v>HCS</v>
      </c>
      <c r="K1126" s="37" t="str">
        <f aca="false">IF(D1126="","",IFERROR(INDEX(rt_Billable,MATCH(D1126,rt_Code,0)),"Unknown"))</f>
        <v>Yes</v>
      </c>
      <c r="L1126" s="38" t="n">
        <f aca="false">IF(K1126&lt;&gt;"Yes","",IFERROR(INDEX(cr_Rate,MATCH(J1126&amp;"|"&amp;D1126,cr_Key,0)),INDEX(rt_Rate,MATCH(D1126,rt_Code,0))))</f>
        <v>88</v>
      </c>
      <c r="M1126" s="25" t="n">
        <f aca="false">IF(L1126="","",ROUND(N(E1126)*L1126,2))</f>
        <v>66</v>
      </c>
      <c r="N1126" s="39" t="n">
        <f aca="false">IF(OR(A1126="",B1126=""),"",SUMIFS(tl_Hours,tl_StaffID,I1126,tl_Date,A1126))</f>
        <v>8</v>
      </c>
      <c r="O1126" s="40" t="str">
        <f aca="false">IF(A1126&amp;B1126&amp;D1126="","",IF(OR(A1126="",B1126="",D1126="",E1126=""),"Incomplete",IF(K1126="Unknown","Unknown code",IF(AND(K1126="Yes",C1126=""),"Billable, needs client",IF(N1126&gt;MaxDayHours,"Over "&amp;MaxDayHours&amp;" hours that day","")))))</f>
        <v/>
      </c>
    </row>
    <row r="1127" customFormat="false" ht="15" hidden="false" customHeight="false" outlineLevel="0" collapsed="false">
      <c r="A1127" s="31" t="n">
        <v>46262</v>
      </c>
      <c r="B1127" s="32" t="s">
        <v>103</v>
      </c>
      <c r="C1127" s="32" t="s">
        <v>90</v>
      </c>
      <c r="D1127" s="33" t="s">
        <v>88</v>
      </c>
      <c r="E1127" s="34" t="n">
        <v>1.75</v>
      </c>
      <c r="F1127" s="32"/>
      <c r="G1127" s="35" t="n">
        <f aca="false">IF(A1127="","",A1127+7-WEEKDAY(A1127))</f>
        <v>46263</v>
      </c>
      <c r="H1127" s="36" t="n">
        <f aca="false">IF(A1127="","",DATE(YEAR(A1127),MONTH(A1127),1))</f>
        <v>46235</v>
      </c>
      <c r="I1127" s="37" t="str">
        <f aca="false">IF(B1127="","",IFERROR(INDEX(st_ID,MATCH(B1127,st_Name,0)),"Unknown"))</f>
        <v>QP-05</v>
      </c>
      <c r="J1127" s="37" t="str">
        <f aca="false">IF(C1127="","",IFERROR(INDEX(cl_Code,MATCH(C1127,cl_Name,0)),"Unknown"))</f>
        <v>BSE</v>
      </c>
      <c r="K1127" s="37" t="str">
        <f aca="false">IF(D1127="","",IFERROR(INDEX(rt_Billable,MATCH(D1127,rt_Code,0)),"Unknown"))</f>
        <v>Yes</v>
      </c>
      <c r="L1127" s="38" t="n">
        <f aca="false">IF(K1127&lt;&gt;"Yes","",IFERROR(INDEX(cr_Rate,MATCH(J1127&amp;"|"&amp;D1127,cr_Key,0)),INDEX(rt_Rate,MATCH(D1127,rt_Code,0))))</f>
        <v>104</v>
      </c>
      <c r="M1127" s="25" t="n">
        <f aca="false">IF(L1127="","",ROUND(N(E1127)*L1127,2))</f>
        <v>182</v>
      </c>
      <c r="N1127" s="39" t="n">
        <f aca="false">IF(OR(A1127="",B1127=""),"",SUMIFS(tl_Hours,tl_StaffID,I1127,tl_Date,A1127))</f>
        <v>8</v>
      </c>
      <c r="O1127" s="40" t="str">
        <f aca="false">IF(A1127&amp;B1127&amp;D1127="","",IF(OR(A1127="",B1127="",D1127="",E1127=""),"Incomplete",IF(K1127="Unknown","Unknown code",IF(AND(K1127="Yes",C1127=""),"Billable, needs client",IF(N1127&gt;MaxDayHours,"Over "&amp;MaxDayHours&amp;" hours that day","")))))</f>
        <v/>
      </c>
    </row>
    <row r="1128" customFormat="false" ht="15" hidden="false" customHeight="false" outlineLevel="0" collapsed="false">
      <c r="A1128" s="31" t="n">
        <v>46262</v>
      </c>
      <c r="B1128" s="32" t="s">
        <v>103</v>
      </c>
      <c r="C1128" s="32" t="s">
        <v>90</v>
      </c>
      <c r="D1128" s="33" t="s">
        <v>89</v>
      </c>
      <c r="E1128" s="34" t="n">
        <v>1.25</v>
      </c>
      <c r="F1128" s="32"/>
      <c r="G1128" s="35" t="n">
        <f aca="false">IF(A1128="","",A1128+7-WEEKDAY(A1128))</f>
        <v>46263</v>
      </c>
      <c r="H1128" s="36" t="n">
        <f aca="false">IF(A1128="","",DATE(YEAR(A1128),MONTH(A1128),1))</f>
        <v>46235</v>
      </c>
      <c r="I1128" s="37" t="str">
        <f aca="false">IF(B1128="","",IFERROR(INDEX(st_ID,MATCH(B1128,st_Name,0)),"Unknown"))</f>
        <v>QP-05</v>
      </c>
      <c r="J1128" s="37" t="str">
        <f aca="false">IF(C1128="","",IFERROR(INDEX(cl_Code,MATCH(C1128,cl_Name,0)),"Unknown"))</f>
        <v>BSE</v>
      </c>
      <c r="K1128" s="37" t="str">
        <f aca="false">IF(D1128="","",IFERROR(INDEX(rt_Billable,MATCH(D1128,rt_Code,0)),"Unknown"))</f>
        <v>Yes</v>
      </c>
      <c r="L1128" s="38" t="n">
        <f aca="false">IF(K1128&lt;&gt;"Yes","",IFERROR(INDEX(cr_Rate,MATCH(J1128&amp;"|"&amp;D1128,cr_Key,0)),INDEX(rt_Rate,MATCH(D1128,rt_Code,0))))</f>
        <v>95</v>
      </c>
      <c r="M1128" s="25" t="n">
        <f aca="false">IF(L1128="","",ROUND(N(E1128)*L1128,2))</f>
        <v>118.75</v>
      </c>
      <c r="N1128" s="39" t="n">
        <f aca="false">IF(OR(A1128="",B1128=""),"",SUMIFS(tl_Hours,tl_StaffID,I1128,tl_Date,A1128))</f>
        <v>8</v>
      </c>
      <c r="O1128" s="40" t="str">
        <f aca="false">IF(A1128&amp;B1128&amp;D1128="","",IF(OR(A1128="",B1128="",D1128="",E1128=""),"Incomplete",IF(K1128="Unknown","Unknown code",IF(AND(K1128="Yes",C1128=""),"Billable, needs client",IF(N1128&gt;MaxDayHours,"Over "&amp;MaxDayHours&amp;" hours that day","")))))</f>
        <v/>
      </c>
    </row>
    <row r="1129" customFormat="false" ht="15" hidden="false" customHeight="false" outlineLevel="0" collapsed="false">
      <c r="A1129" s="31" t="n">
        <v>46262</v>
      </c>
      <c r="B1129" s="32" t="s">
        <v>103</v>
      </c>
      <c r="C1129" s="32"/>
      <c r="D1129" s="33" t="s">
        <v>93</v>
      </c>
      <c r="E1129" s="34" t="n">
        <v>0.5</v>
      </c>
      <c r="F1129" s="32"/>
      <c r="G1129" s="35" t="n">
        <f aca="false">IF(A1129="","",A1129+7-WEEKDAY(A1129))</f>
        <v>46263</v>
      </c>
      <c r="H1129" s="36" t="n">
        <f aca="false">IF(A1129="","",DATE(YEAR(A1129),MONTH(A1129),1))</f>
        <v>46235</v>
      </c>
      <c r="I1129" s="37" t="str">
        <f aca="false">IF(B1129="","",IFERROR(INDEX(st_ID,MATCH(B1129,st_Name,0)),"Unknown"))</f>
        <v>QP-05</v>
      </c>
      <c r="J1129" s="37" t="str">
        <f aca="false">IF(C1129="","",IFERROR(INDEX(cl_Code,MATCH(C1129,cl_Name,0)),"Unknown"))</f>
        <v/>
      </c>
      <c r="K1129" s="37" t="str">
        <f aca="false">IF(D1129="","",IFERROR(INDEX(rt_Billable,MATCH(D1129,rt_Code,0)),"Unknown"))</f>
        <v>No</v>
      </c>
      <c r="L1129" s="38" t="str">
        <f aca="false">IF(K1129&lt;&gt;"Yes","",IFERROR(INDEX(cr_Rate,MATCH(J1129&amp;"|"&amp;D1129,cr_Key,0)),INDEX(rt_Rate,MATCH(D1129,rt_Code,0))))</f>
        <v/>
      </c>
      <c r="M1129" s="25" t="str">
        <f aca="false">IF(L1129="","",ROUND(N(E1129)*L1129,2))</f>
        <v/>
      </c>
      <c r="N1129" s="39" t="n">
        <f aca="false">IF(OR(A1129="",B1129=""),"",SUMIFS(tl_Hours,tl_StaffID,I1129,tl_Date,A1129))</f>
        <v>8</v>
      </c>
      <c r="O1129" s="40" t="str">
        <f aca="false">IF(A1129&amp;B1129&amp;D1129="","",IF(OR(A1129="",B1129="",D1129="",E1129=""),"Incomplete",IF(K1129="Unknown","Unknown code",IF(AND(K1129="Yes",C1129=""),"Billable, needs client",IF(N1129&gt;MaxDayHours,"Over "&amp;MaxDayHours&amp;" hours that day","")))))</f>
        <v/>
      </c>
    </row>
    <row r="1130" customFormat="false" ht="15" hidden="false" customHeight="false" outlineLevel="0" collapsed="false">
      <c r="A1130" s="31" t="n">
        <v>46262</v>
      </c>
      <c r="B1130" s="32" t="s">
        <v>103</v>
      </c>
      <c r="C1130" s="32"/>
      <c r="D1130" s="33" t="s">
        <v>96</v>
      </c>
      <c r="E1130" s="34" t="n">
        <v>1.5</v>
      </c>
      <c r="F1130" s="32"/>
      <c r="G1130" s="35" t="n">
        <f aca="false">IF(A1130="","",A1130+7-WEEKDAY(A1130))</f>
        <v>46263</v>
      </c>
      <c r="H1130" s="36" t="n">
        <f aca="false">IF(A1130="","",DATE(YEAR(A1130),MONTH(A1130),1))</f>
        <v>46235</v>
      </c>
      <c r="I1130" s="37" t="str">
        <f aca="false">IF(B1130="","",IFERROR(INDEX(st_ID,MATCH(B1130,st_Name,0)),"Unknown"))</f>
        <v>QP-05</v>
      </c>
      <c r="J1130" s="37" t="str">
        <f aca="false">IF(C1130="","",IFERROR(INDEX(cl_Code,MATCH(C1130,cl_Name,0)),"Unknown"))</f>
        <v/>
      </c>
      <c r="K1130" s="37" t="str">
        <f aca="false">IF(D1130="","",IFERROR(INDEX(rt_Billable,MATCH(D1130,rt_Code,0)),"Unknown"))</f>
        <v>No</v>
      </c>
      <c r="L1130" s="38" t="str">
        <f aca="false">IF(K1130&lt;&gt;"Yes","",IFERROR(INDEX(cr_Rate,MATCH(J1130&amp;"|"&amp;D1130,cr_Key,0)),INDEX(rt_Rate,MATCH(D1130,rt_Code,0))))</f>
        <v/>
      </c>
      <c r="M1130" s="25" t="str">
        <f aca="false">IF(L1130="","",ROUND(N(E1130)*L1130,2))</f>
        <v/>
      </c>
      <c r="N1130" s="39" t="n">
        <f aca="false">IF(OR(A1130="",B1130=""),"",SUMIFS(tl_Hours,tl_StaffID,I1130,tl_Date,A1130))</f>
        <v>8</v>
      </c>
      <c r="O1130" s="40" t="str">
        <f aca="false">IF(A1130&amp;B1130&amp;D1130="","",IF(OR(A1130="",B1130="",D1130="",E1130=""),"Incomplete",IF(K1130="Unknown","Unknown code",IF(AND(K1130="Yes",C1130=""),"Billable, needs client",IF(N1130&gt;MaxDayHours,"Over "&amp;MaxDayHours&amp;" hours that day","")))))</f>
        <v/>
      </c>
    </row>
    <row r="1131" customFormat="false" ht="15" hidden="false" customHeight="false" outlineLevel="0" collapsed="false">
      <c r="A1131" s="31" t="n">
        <v>46262</v>
      </c>
      <c r="B1131" s="32" t="s">
        <v>105</v>
      </c>
      <c r="C1131" s="32" t="s">
        <v>87</v>
      </c>
      <c r="D1131" s="33" t="s">
        <v>104</v>
      </c>
      <c r="E1131" s="34" t="n">
        <v>3</v>
      </c>
      <c r="F1131" s="32"/>
      <c r="G1131" s="35" t="n">
        <f aca="false">IF(A1131="","",A1131+7-WEEKDAY(A1131))</f>
        <v>46263</v>
      </c>
      <c r="H1131" s="36" t="n">
        <f aca="false">IF(A1131="","",DATE(YEAR(A1131),MONTH(A1131),1))</f>
        <v>46235</v>
      </c>
      <c r="I1131" s="37" t="str">
        <f aca="false">IF(B1131="","",IFERROR(INDEX(st_ID,MATCH(B1131,st_Name,0)),"Unknown"))</f>
        <v>QP-06</v>
      </c>
      <c r="J1131" s="37" t="str">
        <f aca="false">IF(C1131="","",IFERROR(INDEX(cl_Code,MATCH(C1131,cl_Name,0)),"Unknown"))</f>
        <v>HCS</v>
      </c>
      <c r="K1131" s="37" t="str">
        <f aca="false">IF(D1131="","",IFERROR(INDEX(rt_Billable,MATCH(D1131,rt_Code,0)),"Unknown"))</f>
        <v>Yes</v>
      </c>
      <c r="L1131" s="38" t="n">
        <f aca="false">IF(K1131&lt;&gt;"Yes","",IFERROR(INDEX(cr_Rate,MATCH(J1131&amp;"|"&amp;D1131,cr_Key,0)),INDEX(rt_Rate,MATCH(D1131,rt_Code,0))))</f>
        <v>62</v>
      </c>
      <c r="M1131" s="25" t="n">
        <f aca="false">IF(L1131="","",ROUND(N(E1131)*L1131,2))</f>
        <v>186</v>
      </c>
      <c r="N1131" s="39" t="n">
        <f aca="false">IF(OR(A1131="",B1131=""),"",SUMIFS(tl_Hours,tl_StaffID,I1131,tl_Date,A1131))</f>
        <v>8</v>
      </c>
      <c r="O1131" s="40" t="str">
        <f aca="false">IF(A1131&amp;B1131&amp;D1131="","",IF(OR(A1131="",B1131="",D1131="",E1131=""),"Incomplete",IF(K1131="Unknown","Unknown code",IF(AND(K1131="Yes",C1131=""),"Billable, needs client",IF(N1131&gt;MaxDayHours,"Over "&amp;MaxDayHours&amp;" hours that day","")))))</f>
        <v/>
      </c>
    </row>
    <row r="1132" customFormat="false" ht="15" hidden="false" customHeight="false" outlineLevel="0" collapsed="false">
      <c r="A1132" s="31" t="n">
        <v>46262</v>
      </c>
      <c r="B1132" s="32" t="s">
        <v>105</v>
      </c>
      <c r="C1132" s="32" t="s">
        <v>87</v>
      </c>
      <c r="D1132" s="33" t="s">
        <v>89</v>
      </c>
      <c r="E1132" s="34" t="n">
        <v>2</v>
      </c>
      <c r="F1132" s="32"/>
      <c r="G1132" s="35" t="n">
        <f aca="false">IF(A1132="","",A1132+7-WEEKDAY(A1132))</f>
        <v>46263</v>
      </c>
      <c r="H1132" s="36" t="n">
        <f aca="false">IF(A1132="","",DATE(YEAR(A1132),MONTH(A1132),1))</f>
        <v>46235</v>
      </c>
      <c r="I1132" s="37" t="str">
        <f aca="false">IF(B1132="","",IFERROR(INDEX(st_ID,MATCH(B1132,st_Name,0)),"Unknown"))</f>
        <v>QP-06</v>
      </c>
      <c r="J1132" s="37" t="str">
        <f aca="false">IF(C1132="","",IFERROR(INDEX(cl_Code,MATCH(C1132,cl_Name,0)),"Unknown"))</f>
        <v>HCS</v>
      </c>
      <c r="K1132" s="37" t="str">
        <f aca="false">IF(D1132="","",IFERROR(INDEX(rt_Billable,MATCH(D1132,rt_Code,0)),"Unknown"))</f>
        <v>Yes</v>
      </c>
      <c r="L1132" s="38" t="n">
        <f aca="false">IF(K1132&lt;&gt;"Yes","",IFERROR(INDEX(cr_Rate,MATCH(J1132&amp;"|"&amp;D1132,cr_Key,0)),INDEX(rt_Rate,MATCH(D1132,rt_Code,0))))</f>
        <v>88</v>
      </c>
      <c r="M1132" s="25" t="n">
        <f aca="false">IF(L1132="","",ROUND(N(E1132)*L1132,2))</f>
        <v>176</v>
      </c>
      <c r="N1132" s="39" t="n">
        <f aca="false">IF(OR(A1132="",B1132=""),"",SUMIFS(tl_Hours,tl_StaffID,I1132,tl_Date,A1132))</f>
        <v>8</v>
      </c>
      <c r="O1132" s="40" t="str">
        <f aca="false">IF(A1132&amp;B1132&amp;D1132="","",IF(OR(A1132="",B1132="",D1132="",E1132=""),"Incomplete",IF(K1132="Unknown","Unknown code",IF(AND(K1132="Yes",C1132=""),"Billable, needs client",IF(N1132&gt;MaxDayHours,"Over "&amp;MaxDayHours&amp;" hours that day","")))))</f>
        <v/>
      </c>
    </row>
    <row r="1133" customFormat="false" ht="15" hidden="false" customHeight="false" outlineLevel="0" collapsed="false">
      <c r="A1133" s="31" t="n">
        <v>46262</v>
      </c>
      <c r="B1133" s="32" t="s">
        <v>105</v>
      </c>
      <c r="C1133" s="32"/>
      <c r="D1133" s="33" t="s">
        <v>96</v>
      </c>
      <c r="E1133" s="34" t="n">
        <v>3</v>
      </c>
      <c r="F1133" s="32"/>
      <c r="G1133" s="35" t="n">
        <f aca="false">IF(A1133="","",A1133+7-WEEKDAY(A1133))</f>
        <v>46263</v>
      </c>
      <c r="H1133" s="36" t="n">
        <f aca="false">IF(A1133="","",DATE(YEAR(A1133),MONTH(A1133),1))</f>
        <v>46235</v>
      </c>
      <c r="I1133" s="37" t="str">
        <f aca="false">IF(B1133="","",IFERROR(INDEX(st_ID,MATCH(B1133,st_Name,0)),"Unknown"))</f>
        <v>QP-06</v>
      </c>
      <c r="J1133" s="37" t="str">
        <f aca="false">IF(C1133="","",IFERROR(INDEX(cl_Code,MATCH(C1133,cl_Name,0)),"Unknown"))</f>
        <v/>
      </c>
      <c r="K1133" s="37" t="str">
        <f aca="false">IF(D1133="","",IFERROR(INDEX(rt_Billable,MATCH(D1133,rt_Code,0)),"Unknown"))</f>
        <v>No</v>
      </c>
      <c r="L1133" s="38" t="str">
        <f aca="false">IF(K1133&lt;&gt;"Yes","",IFERROR(INDEX(cr_Rate,MATCH(J1133&amp;"|"&amp;D1133,cr_Key,0)),INDEX(rt_Rate,MATCH(D1133,rt_Code,0))))</f>
        <v/>
      </c>
      <c r="M1133" s="25" t="str">
        <f aca="false">IF(L1133="","",ROUND(N(E1133)*L1133,2))</f>
        <v/>
      </c>
      <c r="N1133" s="39" t="n">
        <f aca="false">IF(OR(A1133="",B1133=""),"",SUMIFS(tl_Hours,tl_StaffID,I1133,tl_Date,A1133))</f>
        <v>8</v>
      </c>
      <c r="O1133" s="40" t="str">
        <f aca="false">IF(A1133&amp;B1133&amp;D1133="","",IF(OR(A1133="",B1133="",D1133="",E1133=""),"Incomplete",IF(K1133="Unknown","Unknown code",IF(AND(K1133="Yes",C1133=""),"Billable, needs client",IF(N1133&gt;MaxDayHours,"Over "&amp;MaxDayHours&amp;" hours that day","")))))</f>
        <v/>
      </c>
    </row>
    <row r="1134" customFormat="false" ht="15" hidden="false" customHeight="false" outlineLevel="0" collapsed="false">
      <c r="A1134" s="31" t="n">
        <v>46262</v>
      </c>
      <c r="B1134" s="32" t="s">
        <v>106</v>
      </c>
      <c r="C1134" s="32" t="s">
        <v>112</v>
      </c>
      <c r="D1134" s="33" t="s">
        <v>88</v>
      </c>
      <c r="E1134" s="34" t="n">
        <v>4.25</v>
      </c>
      <c r="F1134" s="32"/>
      <c r="G1134" s="35" t="n">
        <f aca="false">IF(A1134="","",A1134+7-WEEKDAY(A1134))</f>
        <v>46263</v>
      </c>
      <c r="H1134" s="36" t="n">
        <f aca="false">IF(A1134="","",DATE(YEAR(A1134),MONTH(A1134),1))</f>
        <v>46235</v>
      </c>
      <c r="I1134" s="37" t="str">
        <f aca="false">IF(B1134="","",IFERROR(INDEX(st_ID,MATCH(B1134,st_Name,0)),"Unknown"))</f>
        <v>QP-07</v>
      </c>
      <c r="J1134" s="37" t="str">
        <f aca="false">IF(C1134="","",IFERROR(INDEX(cl_Code,MATCH(C1134,cl_Name,0)),"Unknown"))</f>
        <v>PCA</v>
      </c>
      <c r="K1134" s="37" t="str">
        <f aca="false">IF(D1134="","",IFERROR(INDEX(rt_Billable,MATCH(D1134,rt_Code,0)),"Unknown"))</f>
        <v>Yes</v>
      </c>
      <c r="L1134" s="38" t="n">
        <f aca="false">IF(K1134&lt;&gt;"Yes","",IFERROR(INDEX(cr_Rate,MATCH(J1134&amp;"|"&amp;D1134,cr_Key,0)),INDEX(rt_Rate,MATCH(D1134,rt_Code,0))))</f>
        <v>110</v>
      </c>
      <c r="M1134" s="25" t="n">
        <f aca="false">IF(L1134="","",ROUND(N(E1134)*L1134,2))</f>
        <v>467.5</v>
      </c>
      <c r="N1134" s="39" t="n">
        <f aca="false">IF(OR(A1134="",B1134=""),"",SUMIFS(tl_Hours,tl_StaffID,I1134,tl_Date,A1134))</f>
        <v>8</v>
      </c>
      <c r="O1134" s="40" t="str">
        <f aca="false">IF(A1134&amp;B1134&amp;D1134="","",IF(OR(A1134="",B1134="",D1134="",E1134=""),"Incomplete",IF(K1134="Unknown","Unknown code",IF(AND(K1134="Yes",C1134=""),"Billable, needs client",IF(N1134&gt;MaxDayHours,"Over "&amp;MaxDayHours&amp;" hours that day","")))))</f>
        <v/>
      </c>
    </row>
    <row r="1135" customFormat="false" ht="15" hidden="false" customHeight="false" outlineLevel="0" collapsed="false">
      <c r="A1135" s="31" t="n">
        <v>46262</v>
      </c>
      <c r="B1135" s="32" t="s">
        <v>106</v>
      </c>
      <c r="C1135" s="32" t="s">
        <v>112</v>
      </c>
      <c r="D1135" s="33" t="s">
        <v>113</v>
      </c>
      <c r="E1135" s="34" t="n">
        <v>1.25</v>
      </c>
      <c r="F1135" s="32"/>
      <c r="G1135" s="35" t="n">
        <f aca="false">IF(A1135="","",A1135+7-WEEKDAY(A1135))</f>
        <v>46263</v>
      </c>
      <c r="H1135" s="36" t="n">
        <f aca="false">IF(A1135="","",DATE(YEAR(A1135),MONTH(A1135),1))</f>
        <v>46235</v>
      </c>
      <c r="I1135" s="37" t="str">
        <f aca="false">IF(B1135="","",IFERROR(INDEX(st_ID,MATCH(B1135,st_Name,0)),"Unknown"))</f>
        <v>QP-07</v>
      </c>
      <c r="J1135" s="37" t="str">
        <f aca="false">IF(C1135="","",IFERROR(INDEX(cl_Code,MATCH(C1135,cl_Name,0)),"Unknown"))</f>
        <v>PCA</v>
      </c>
      <c r="K1135" s="37" t="str">
        <f aca="false">IF(D1135="","",IFERROR(INDEX(rt_Billable,MATCH(D1135,rt_Code,0)),"Unknown"))</f>
        <v>Yes</v>
      </c>
      <c r="L1135" s="38" t="n">
        <f aca="false">IF(K1135&lt;&gt;"Yes","",IFERROR(INDEX(cr_Rate,MATCH(J1135&amp;"|"&amp;D1135,cr_Key,0)),INDEX(rt_Rate,MATCH(D1135,rt_Code,0))))</f>
        <v>85</v>
      </c>
      <c r="M1135" s="25" t="n">
        <f aca="false">IF(L1135="","",ROUND(N(E1135)*L1135,2))</f>
        <v>106.25</v>
      </c>
      <c r="N1135" s="39" t="n">
        <f aca="false">IF(OR(A1135="",B1135=""),"",SUMIFS(tl_Hours,tl_StaffID,I1135,tl_Date,A1135))</f>
        <v>8</v>
      </c>
      <c r="O1135" s="40" t="str">
        <f aca="false">IF(A1135&amp;B1135&amp;D1135="","",IF(OR(A1135="",B1135="",D1135="",E1135=""),"Incomplete",IF(K1135="Unknown","Unknown code",IF(AND(K1135="Yes",C1135=""),"Billable, needs client",IF(N1135&gt;MaxDayHours,"Over "&amp;MaxDayHours&amp;" hours that day","")))))</f>
        <v/>
      </c>
    </row>
    <row r="1136" customFormat="false" ht="15" hidden="false" customHeight="false" outlineLevel="0" collapsed="false">
      <c r="A1136" s="31" t="n">
        <v>46262</v>
      </c>
      <c r="B1136" s="32" t="s">
        <v>106</v>
      </c>
      <c r="C1136" s="32"/>
      <c r="D1136" s="33" t="s">
        <v>96</v>
      </c>
      <c r="E1136" s="34" t="n">
        <v>2.5</v>
      </c>
      <c r="F1136" s="32"/>
      <c r="G1136" s="35" t="n">
        <f aca="false">IF(A1136="","",A1136+7-WEEKDAY(A1136))</f>
        <v>46263</v>
      </c>
      <c r="H1136" s="36" t="n">
        <f aca="false">IF(A1136="","",DATE(YEAR(A1136),MONTH(A1136),1))</f>
        <v>46235</v>
      </c>
      <c r="I1136" s="37" t="str">
        <f aca="false">IF(B1136="","",IFERROR(INDEX(st_ID,MATCH(B1136,st_Name,0)),"Unknown"))</f>
        <v>QP-07</v>
      </c>
      <c r="J1136" s="37" t="str">
        <f aca="false">IF(C1136="","",IFERROR(INDEX(cl_Code,MATCH(C1136,cl_Name,0)),"Unknown"))</f>
        <v/>
      </c>
      <c r="K1136" s="37" t="str">
        <f aca="false">IF(D1136="","",IFERROR(INDEX(rt_Billable,MATCH(D1136,rt_Code,0)),"Unknown"))</f>
        <v>No</v>
      </c>
      <c r="L1136" s="38" t="str">
        <f aca="false">IF(K1136&lt;&gt;"Yes","",IFERROR(INDEX(cr_Rate,MATCH(J1136&amp;"|"&amp;D1136,cr_Key,0)),INDEX(rt_Rate,MATCH(D1136,rt_Code,0))))</f>
        <v/>
      </c>
      <c r="M1136" s="25" t="str">
        <f aca="false">IF(L1136="","",ROUND(N(E1136)*L1136,2))</f>
        <v/>
      </c>
      <c r="N1136" s="39" t="n">
        <f aca="false">IF(OR(A1136="",B1136=""),"",SUMIFS(tl_Hours,tl_StaffID,I1136,tl_Date,A1136))</f>
        <v>8</v>
      </c>
      <c r="O1136" s="40" t="str">
        <f aca="false">IF(A1136&amp;B1136&amp;D1136="","",IF(OR(A1136="",B1136="",D1136="",E1136=""),"Incomplete",IF(K1136="Unknown","Unknown code",IF(AND(K1136="Yes",C1136=""),"Billable, needs client",IF(N1136&gt;MaxDayHours,"Over "&amp;MaxDayHours&amp;" hours that day","")))))</f>
        <v/>
      </c>
    </row>
    <row r="1137" customFormat="false" ht="15" hidden="false" customHeight="false" outlineLevel="0" collapsed="false">
      <c r="A1137" s="31" t="n">
        <v>46262</v>
      </c>
      <c r="B1137" s="32" t="s">
        <v>107</v>
      </c>
      <c r="C1137" s="32"/>
      <c r="D1137" s="33" t="s">
        <v>108</v>
      </c>
      <c r="E1137" s="34" t="n">
        <v>6.5</v>
      </c>
      <c r="F1137" s="32"/>
      <c r="G1137" s="35" t="n">
        <f aca="false">IF(A1137="","",A1137+7-WEEKDAY(A1137))</f>
        <v>46263</v>
      </c>
      <c r="H1137" s="36" t="n">
        <f aca="false">IF(A1137="","",DATE(YEAR(A1137),MONTH(A1137),1))</f>
        <v>46235</v>
      </c>
      <c r="I1137" s="37" t="str">
        <f aca="false">IF(B1137="","",IFERROR(INDEX(st_ID,MATCH(B1137,st_Name,0)),"Unknown"))</f>
        <v>QP-08</v>
      </c>
      <c r="J1137" s="37" t="str">
        <f aca="false">IF(C1137="","",IFERROR(INDEX(cl_Code,MATCH(C1137,cl_Name,0)),"Unknown"))</f>
        <v/>
      </c>
      <c r="K1137" s="37" t="str">
        <f aca="false">IF(D1137="","",IFERROR(INDEX(rt_Billable,MATCH(D1137,rt_Code,0)),"Unknown"))</f>
        <v>No</v>
      </c>
      <c r="L1137" s="38" t="str">
        <f aca="false">IF(K1137&lt;&gt;"Yes","",IFERROR(INDEX(cr_Rate,MATCH(J1137&amp;"|"&amp;D1137,cr_Key,0)),INDEX(rt_Rate,MATCH(D1137,rt_Code,0))))</f>
        <v/>
      </c>
      <c r="M1137" s="25" t="str">
        <f aca="false">IF(L1137="","",ROUND(N(E1137)*L1137,2))</f>
        <v/>
      </c>
      <c r="N1137" s="39" t="n">
        <f aca="false">IF(OR(A1137="",B1137=""),"",SUMIFS(tl_Hours,tl_StaffID,I1137,tl_Date,A1137))</f>
        <v>8</v>
      </c>
      <c r="O1137" s="40" t="str">
        <f aca="false">IF(A1137&amp;B1137&amp;D1137="","",IF(OR(A1137="",B1137="",D1137="",E1137=""),"Incomplete",IF(K1137="Unknown","Unknown code",IF(AND(K1137="Yes",C1137=""),"Billable, needs client",IF(N1137&gt;MaxDayHours,"Over "&amp;MaxDayHours&amp;" hours that day","")))))</f>
        <v/>
      </c>
    </row>
    <row r="1138" customFormat="false" ht="15" hidden="false" customHeight="false" outlineLevel="0" collapsed="false">
      <c r="A1138" s="31" t="n">
        <v>46262</v>
      </c>
      <c r="B1138" s="32" t="s">
        <v>107</v>
      </c>
      <c r="C1138" s="32"/>
      <c r="D1138" s="33" t="s">
        <v>98</v>
      </c>
      <c r="E1138" s="34" t="n">
        <v>1.5</v>
      </c>
      <c r="F1138" s="32"/>
      <c r="G1138" s="35" t="n">
        <f aca="false">IF(A1138="","",A1138+7-WEEKDAY(A1138))</f>
        <v>46263</v>
      </c>
      <c r="H1138" s="36" t="n">
        <f aca="false">IF(A1138="","",DATE(YEAR(A1138),MONTH(A1138),1))</f>
        <v>46235</v>
      </c>
      <c r="I1138" s="37" t="str">
        <f aca="false">IF(B1138="","",IFERROR(INDEX(st_ID,MATCH(B1138,st_Name,0)),"Unknown"))</f>
        <v>QP-08</v>
      </c>
      <c r="J1138" s="37" t="str">
        <f aca="false">IF(C1138="","",IFERROR(INDEX(cl_Code,MATCH(C1138,cl_Name,0)),"Unknown"))</f>
        <v/>
      </c>
      <c r="K1138" s="37" t="str">
        <f aca="false">IF(D1138="","",IFERROR(INDEX(rt_Billable,MATCH(D1138,rt_Code,0)),"Unknown"))</f>
        <v>No</v>
      </c>
      <c r="L1138" s="38" t="str">
        <f aca="false">IF(K1138&lt;&gt;"Yes","",IFERROR(INDEX(cr_Rate,MATCH(J1138&amp;"|"&amp;D1138,cr_Key,0)),INDEX(rt_Rate,MATCH(D1138,rt_Code,0))))</f>
        <v/>
      </c>
      <c r="M1138" s="25" t="str">
        <f aca="false">IF(L1138="","",ROUND(N(E1138)*L1138,2))</f>
        <v/>
      </c>
      <c r="N1138" s="39" t="n">
        <f aca="false">IF(OR(A1138="",B1138=""),"",SUMIFS(tl_Hours,tl_StaffID,I1138,tl_Date,A1138))</f>
        <v>8</v>
      </c>
      <c r="O1138" s="40" t="str">
        <f aca="false">IF(A1138&amp;B1138&amp;D1138="","",IF(OR(A1138="",B1138="",D1138="",E1138=""),"Incomplete",IF(K1138="Unknown","Unknown code",IF(AND(K1138="Yes",C1138=""),"Billable, needs client",IF(N1138&gt;MaxDayHours,"Over "&amp;MaxDayHours&amp;" hours that day","")))))</f>
        <v/>
      </c>
    </row>
    <row r="1139" customFormat="false" ht="15" hidden="false" customHeight="false" outlineLevel="0" collapsed="false">
      <c r="A1139" s="31" t="n">
        <v>46265</v>
      </c>
      <c r="B1139" s="32" t="s">
        <v>86</v>
      </c>
      <c r="C1139" s="32" t="s">
        <v>90</v>
      </c>
      <c r="D1139" s="33" t="s">
        <v>91</v>
      </c>
      <c r="E1139" s="34" t="n">
        <v>4.25</v>
      </c>
      <c r="F1139" s="32"/>
      <c r="G1139" s="35" t="n">
        <f aca="false">IF(A1139="","",A1139+7-WEEKDAY(A1139))</f>
        <v>46270</v>
      </c>
      <c r="H1139" s="36" t="n">
        <f aca="false">IF(A1139="","",DATE(YEAR(A1139),MONTH(A1139),1))</f>
        <v>46235</v>
      </c>
      <c r="I1139" s="37" t="str">
        <f aca="false">IF(B1139="","",IFERROR(INDEX(st_ID,MATCH(B1139,st_Name,0)),"Unknown"))</f>
        <v>QP-01</v>
      </c>
      <c r="J1139" s="37" t="str">
        <f aca="false">IF(C1139="","",IFERROR(INDEX(cl_Code,MATCH(C1139,cl_Name,0)),"Unknown"))</f>
        <v>BSE</v>
      </c>
      <c r="K1139" s="37" t="str">
        <f aca="false">IF(D1139="","",IFERROR(INDEX(rt_Billable,MATCH(D1139,rt_Code,0)),"Unknown"))</f>
        <v>Yes</v>
      </c>
      <c r="L1139" s="38" t="n">
        <f aca="false">IF(K1139&lt;&gt;"Yes","",IFERROR(INDEX(cr_Rate,MATCH(J1139&amp;"|"&amp;D1139,cr_Key,0)),INDEX(rt_Rate,MATCH(D1139,rt_Code,0))))</f>
        <v>100</v>
      </c>
      <c r="M1139" s="25" t="n">
        <f aca="false">IF(L1139="","",ROUND(N(E1139)*L1139,2))</f>
        <v>425</v>
      </c>
      <c r="N1139" s="39" t="n">
        <f aca="false">IF(OR(A1139="",B1139=""),"",SUMIFS(tl_Hours,tl_StaffID,I1139,tl_Date,A1139))</f>
        <v>8</v>
      </c>
      <c r="O1139" s="40" t="str">
        <f aca="false">IF(A1139&amp;B1139&amp;D1139="","",IF(OR(A1139="",B1139="",D1139="",E1139=""),"Incomplete",IF(K1139="Unknown","Unknown code",IF(AND(K1139="Yes",C1139=""),"Billable, needs client",IF(N1139&gt;MaxDayHours,"Over "&amp;MaxDayHours&amp;" hours that day","")))))</f>
        <v/>
      </c>
    </row>
    <row r="1140" customFormat="false" ht="15" hidden="false" customHeight="false" outlineLevel="0" collapsed="false">
      <c r="A1140" s="31" t="n">
        <v>46265</v>
      </c>
      <c r="B1140" s="32" t="s">
        <v>86</v>
      </c>
      <c r="C1140" s="32" t="s">
        <v>90</v>
      </c>
      <c r="D1140" s="33" t="s">
        <v>88</v>
      </c>
      <c r="E1140" s="34" t="n">
        <v>1.5</v>
      </c>
      <c r="F1140" s="32"/>
      <c r="G1140" s="35" t="n">
        <f aca="false">IF(A1140="","",A1140+7-WEEKDAY(A1140))</f>
        <v>46270</v>
      </c>
      <c r="H1140" s="36" t="n">
        <f aca="false">IF(A1140="","",DATE(YEAR(A1140),MONTH(A1140),1))</f>
        <v>46235</v>
      </c>
      <c r="I1140" s="37" t="str">
        <f aca="false">IF(B1140="","",IFERROR(INDEX(st_ID,MATCH(B1140,st_Name,0)),"Unknown"))</f>
        <v>QP-01</v>
      </c>
      <c r="J1140" s="37" t="str">
        <f aca="false">IF(C1140="","",IFERROR(INDEX(cl_Code,MATCH(C1140,cl_Name,0)),"Unknown"))</f>
        <v>BSE</v>
      </c>
      <c r="K1140" s="37" t="str">
        <f aca="false">IF(D1140="","",IFERROR(INDEX(rt_Billable,MATCH(D1140,rt_Code,0)),"Unknown"))</f>
        <v>Yes</v>
      </c>
      <c r="L1140" s="38" t="n">
        <f aca="false">IF(K1140&lt;&gt;"Yes","",IFERROR(INDEX(cr_Rate,MATCH(J1140&amp;"|"&amp;D1140,cr_Key,0)),INDEX(rt_Rate,MATCH(D1140,rt_Code,0))))</f>
        <v>104</v>
      </c>
      <c r="M1140" s="25" t="n">
        <f aca="false">IF(L1140="","",ROUND(N(E1140)*L1140,2))</f>
        <v>156</v>
      </c>
      <c r="N1140" s="39" t="n">
        <f aca="false">IF(OR(A1140="",B1140=""),"",SUMIFS(tl_Hours,tl_StaffID,I1140,tl_Date,A1140))</f>
        <v>8</v>
      </c>
      <c r="O1140" s="40" t="str">
        <f aca="false">IF(A1140&amp;B1140&amp;D1140="","",IF(OR(A1140="",B1140="",D1140="",E1140=""),"Incomplete",IF(K1140="Unknown","Unknown code",IF(AND(K1140="Yes",C1140=""),"Billable, needs client",IF(N1140&gt;MaxDayHours,"Over "&amp;MaxDayHours&amp;" hours that day","")))))</f>
        <v/>
      </c>
    </row>
    <row r="1141" customFormat="false" ht="15" hidden="false" customHeight="false" outlineLevel="0" collapsed="false">
      <c r="A1141" s="31" t="n">
        <v>46265</v>
      </c>
      <c r="B1141" s="32" t="s">
        <v>86</v>
      </c>
      <c r="C1141" s="32"/>
      <c r="D1141" s="33" t="s">
        <v>96</v>
      </c>
      <c r="E1141" s="34" t="n">
        <v>2.25</v>
      </c>
      <c r="F1141" s="32"/>
      <c r="G1141" s="35" t="n">
        <f aca="false">IF(A1141="","",A1141+7-WEEKDAY(A1141))</f>
        <v>46270</v>
      </c>
      <c r="H1141" s="36" t="n">
        <f aca="false">IF(A1141="","",DATE(YEAR(A1141),MONTH(A1141),1))</f>
        <v>46235</v>
      </c>
      <c r="I1141" s="37" t="str">
        <f aca="false">IF(B1141="","",IFERROR(INDEX(st_ID,MATCH(B1141,st_Name,0)),"Unknown"))</f>
        <v>QP-01</v>
      </c>
      <c r="J1141" s="37" t="str">
        <f aca="false">IF(C1141="","",IFERROR(INDEX(cl_Code,MATCH(C1141,cl_Name,0)),"Unknown"))</f>
        <v/>
      </c>
      <c r="K1141" s="37" t="str">
        <f aca="false">IF(D1141="","",IFERROR(INDEX(rt_Billable,MATCH(D1141,rt_Code,0)),"Unknown"))</f>
        <v>No</v>
      </c>
      <c r="L1141" s="38" t="str">
        <f aca="false">IF(K1141&lt;&gt;"Yes","",IFERROR(INDEX(cr_Rate,MATCH(J1141&amp;"|"&amp;D1141,cr_Key,0)),INDEX(rt_Rate,MATCH(D1141,rt_Code,0))))</f>
        <v/>
      </c>
      <c r="M1141" s="25" t="str">
        <f aca="false">IF(L1141="","",ROUND(N(E1141)*L1141,2))</f>
        <v/>
      </c>
      <c r="N1141" s="39" t="n">
        <f aca="false">IF(OR(A1141="",B1141=""),"",SUMIFS(tl_Hours,tl_StaffID,I1141,tl_Date,A1141))</f>
        <v>8</v>
      </c>
      <c r="O1141" s="40" t="str">
        <f aca="false">IF(A1141&amp;B1141&amp;D1141="","",IF(OR(A1141="",B1141="",D1141="",E1141=""),"Incomplete",IF(K1141="Unknown","Unknown code",IF(AND(K1141="Yes",C1141=""),"Billable, needs client",IF(N1141&gt;MaxDayHours,"Over "&amp;MaxDayHours&amp;" hours that day","")))))</f>
        <v/>
      </c>
    </row>
    <row r="1142" customFormat="false" ht="15" hidden="false" customHeight="false" outlineLevel="0" collapsed="false">
      <c r="A1142" s="31" t="n">
        <v>46265</v>
      </c>
      <c r="B1142" s="32" t="s">
        <v>97</v>
      </c>
      <c r="C1142" s="32" t="s">
        <v>90</v>
      </c>
      <c r="D1142" s="33" t="s">
        <v>91</v>
      </c>
      <c r="E1142" s="34" t="n">
        <v>4</v>
      </c>
      <c r="F1142" s="32"/>
      <c r="G1142" s="35" t="n">
        <f aca="false">IF(A1142="","",A1142+7-WEEKDAY(A1142))</f>
        <v>46270</v>
      </c>
      <c r="H1142" s="36" t="n">
        <f aca="false">IF(A1142="","",DATE(YEAR(A1142),MONTH(A1142),1))</f>
        <v>46235</v>
      </c>
      <c r="I1142" s="37" t="str">
        <f aca="false">IF(B1142="","",IFERROR(INDEX(st_ID,MATCH(B1142,st_Name,0)),"Unknown"))</f>
        <v>QP-02</v>
      </c>
      <c r="J1142" s="37" t="str">
        <f aca="false">IF(C1142="","",IFERROR(INDEX(cl_Code,MATCH(C1142,cl_Name,0)),"Unknown"))</f>
        <v>BSE</v>
      </c>
      <c r="K1142" s="37" t="str">
        <f aca="false">IF(D1142="","",IFERROR(INDEX(rt_Billable,MATCH(D1142,rt_Code,0)),"Unknown"))</f>
        <v>Yes</v>
      </c>
      <c r="L1142" s="38" t="n">
        <f aca="false">IF(K1142&lt;&gt;"Yes","",IFERROR(INDEX(cr_Rate,MATCH(J1142&amp;"|"&amp;D1142,cr_Key,0)),INDEX(rt_Rate,MATCH(D1142,rt_Code,0))))</f>
        <v>100</v>
      </c>
      <c r="M1142" s="25" t="n">
        <f aca="false">IF(L1142="","",ROUND(N(E1142)*L1142,2))</f>
        <v>400</v>
      </c>
      <c r="N1142" s="39" t="n">
        <f aca="false">IF(OR(A1142="",B1142=""),"",SUMIFS(tl_Hours,tl_StaffID,I1142,tl_Date,A1142))</f>
        <v>8</v>
      </c>
      <c r="O1142" s="40" t="str">
        <f aca="false">IF(A1142&amp;B1142&amp;D1142="","",IF(OR(A1142="",B1142="",D1142="",E1142=""),"Incomplete",IF(K1142="Unknown","Unknown code",IF(AND(K1142="Yes",C1142=""),"Billable, needs client",IF(N1142&gt;MaxDayHours,"Over "&amp;MaxDayHours&amp;" hours that day","")))))</f>
        <v/>
      </c>
    </row>
    <row r="1143" customFormat="false" ht="15" hidden="false" customHeight="false" outlineLevel="0" collapsed="false">
      <c r="A1143" s="31" t="n">
        <v>46265</v>
      </c>
      <c r="B1143" s="32" t="s">
        <v>97</v>
      </c>
      <c r="C1143" s="32" t="s">
        <v>90</v>
      </c>
      <c r="D1143" s="33" t="s">
        <v>92</v>
      </c>
      <c r="E1143" s="34" t="n">
        <v>1.25</v>
      </c>
      <c r="F1143" s="32"/>
      <c r="G1143" s="35" t="n">
        <f aca="false">IF(A1143="","",A1143+7-WEEKDAY(A1143))</f>
        <v>46270</v>
      </c>
      <c r="H1143" s="36" t="n">
        <f aca="false">IF(A1143="","",DATE(YEAR(A1143),MONTH(A1143),1))</f>
        <v>46235</v>
      </c>
      <c r="I1143" s="37" t="str">
        <f aca="false">IF(B1143="","",IFERROR(INDEX(st_ID,MATCH(B1143,st_Name,0)),"Unknown"))</f>
        <v>QP-02</v>
      </c>
      <c r="J1143" s="37" t="str">
        <f aca="false">IF(C1143="","",IFERROR(INDEX(cl_Code,MATCH(C1143,cl_Name,0)),"Unknown"))</f>
        <v>BSE</v>
      </c>
      <c r="K1143" s="37" t="str">
        <f aca="false">IF(D1143="","",IFERROR(INDEX(rt_Billable,MATCH(D1143,rt_Code,0)),"Unknown"))</f>
        <v>Yes</v>
      </c>
      <c r="L1143" s="38" t="n">
        <f aca="false">IF(K1143&lt;&gt;"Yes","",IFERROR(INDEX(cr_Rate,MATCH(J1143&amp;"|"&amp;D1143,cr_Key,0)),INDEX(rt_Rate,MATCH(D1143,rt_Code,0))))</f>
        <v>145</v>
      </c>
      <c r="M1143" s="25" t="n">
        <f aca="false">IF(L1143="","",ROUND(N(E1143)*L1143,2))</f>
        <v>181.25</v>
      </c>
      <c r="N1143" s="39" t="n">
        <f aca="false">IF(OR(A1143="",B1143=""),"",SUMIFS(tl_Hours,tl_StaffID,I1143,tl_Date,A1143))</f>
        <v>8</v>
      </c>
      <c r="O1143" s="40" t="str">
        <f aca="false">IF(A1143&amp;B1143&amp;D1143="","",IF(OR(A1143="",B1143="",D1143="",E1143=""),"Incomplete",IF(K1143="Unknown","Unknown code",IF(AND(K1143="Yes",C1143=""),"Billable, needs client",IF(N1143&gt;MaxDayHours,"Over "&amp;MaxDayHours&amp;" hours that day","")))))</f>
        <v/>
      </c>
    </row>
    <row r="1144" customFormat="false" ht="15" hidden="false" customHeight="false" outlineLevel="0" collapsed="false">
      <c r="A1144" s="31" t="n">
        <v>46265</v>
      </c>
      <c r="B1144" s="32" t="s">
        <v>97</v>
      </c>
      <c r="C1144" s="32"/>
      <c r="D1144" s="33" t="s">
        <v>96</v>
      </c>
      <c r="E1144" s="34" t="n">
        <v>2.75</v>
      </c>
      <c r="F1144" s="32"/>
      <c r="G1144" s="35" t="n">
        <f aca="false">IF(A1144="","",A1144+7-WEEKDAY(A1144))</f>
        <v>46270</v>
      </c>
      <c r="H1144" s="36" t="n">
        <f aca="false">IF(A1144="","",DATE(YEAR(A1144),MONTH(A1144),1))</f>
        <v>46235</v>
      </c>
      <c r="I1144" s="37" t="str">
        <f aca="false">IF(B1144="","",IFERROR(INDEX(st_ID,MATCH(B1144,st_Name,0)),"Unknown"))</f>
        <v>QP-02</v>
      </c>
      <c r="J1144" s="37" t="str">
        <f aca="false">IF(C1144="","",IFERROR(INDEX(cl_Code,MATCH(C1144,cl_Name,0)),"Unknown"))</f>
        <v/>
      </c>
      <c r="K1144" s="37" t="str">
        <f aca="false">IF(D1144="","",IFERROR(INDEX(rt_Billable,MATCH(D1144,rt_Code,0)),"Unknown"))</f>
        <v>No</v>
      </c>
      <c r="L1144" s="38" t="str">
        <f aca="false">IF(K1144&lt;&gt;"Yes","",IFERROR(INDEX(cr_Rate,MATCH(J1144&amp;"|"&amp;D1144,cr_Key,0)),INDEX(rt_Rate,MATCH(D1144,rt_Code,0))))</f>
        <v/>
      </c>
      <c r="M1144" s="25" t="str">
        <f aca="false">IF(L1144="","",ROUND(N(E1144)*L1144,2))</f>
        <v/>
      </c>
      <c r="N1144" s="39" t="n">
        <f aca="false">IF(OR(A1144="",B1144=""),"",SUMIFS(tl_Hours,tl_StaffID,I1144,tl_Date,A1144))</f>
        <v>8</v>
      </c>
      <c r="O1144" s="40" t="str">
        <f aca="false">IF(A1144&amp;B1144&amp;D1144="","",IF(OR(A1144="",B1144="",D1144="",E1144=""),"Incomplete",IF(K1144="Unknown","Unknown code",IF(AND(K1144="Yes",C1144=""),"Billable, needs client",IF(N1144&gt;MaxDayHours,"Over "&amp;MaxDayHours&amp;" hours that day","")))))</f>
        <v/>
      </c>
    </row>
    <row r="1145" customFormat="false" ht="15" hidden="false" customHeight="false" outlineLevel="0" collapsed="false">
      <c r="A1145" s="31" t="n">
        <v>46265</v>
      </c>
      <c r="B1145" s="32" t="s">
        <v>101</v>
      </c>
      <c r="C1145" s="32" t="s">
        <v>102</v>
      </c>
      <c r="D1145" s="33" t="s">
        <v>88</v>
      </c>
      <c r="E1145" s="34" t="n">
        <v>3.75</v>
      </c>
      <c r="F1145" s="32"/>
      <c r="G1145" s="35" t="n">
        <f aca="false">IF(A1145="","",A1145+7-WEEKDAY(A1145))</f>
        <v>46270</v>
      </c>
      <c r="H1145" s="36" t="n">
        <f aca="false">IF(A1145="","",DATE(YEAR(A1145),MONTH(A1145),1))</f>
        <v>46235</v>
      </c>
      <c r="I1145" s="37" t="str">
        <f aca="false">IF(B1145="","",IFERROR(INDEX(st_ID,MATCH(B1145,st_Name,0)),"Unknown"))</f>
        <v>QP-04</v>
      </c>
      <c r="J1145" s="37" t="str">
        <f aca="false">IF(C1145="","",IFERROR(INDEX(cl_Code,MATCH(C1145,cl_Name,0)),"Unknown"))</f>
        <v>CLH</v>
      </c>
      <c r="K1145" s="37" t="str">
        <f aca="false">IF(D1145="","",IFERROR(INDEX(rt_Billable,MATCH(D1145,rt_Code,0)),"Unknown"))</f>
        <v>Yes</v>
      </c>
      <c r="L1145" s="38" t="n">
        <f aca="false">IF(K1145&lt;&gt;"Yes","",IFERROR(INDEX(cr_Rate,MATCH(J1145&amp;"|"&amp;D1145,cr_Key,0)),INDEX(rt_Rate,MATCH(D1145,rt_Code,0))))</f>
        <v>110</v>
      </c>
      <c r="M1145" s="25" t="n">
        <f aca="false">IF(L1145="","",ROUND(N(E1145)*L1145,2))</f>
        <v>412.5</v>
      </c>
      <c r="N1145" s="39" t="n">
        <f aca="false">IF(OR(A1145="",B1145=""),"",SUMIFS(tl_Hours,tl_StaffID,I1145,tl_Date,A1145))</f>
        <v>8</v>
      </c>
      <c r="O1145" s="40" t="str">
        <f aca="false">IF(A1145&amp;B1145&amp;D1145="","",IF(OR(A1145="",B1145="",D1145="",E1145=""),"Incomplete",IF(K1145="Unknown","Unknown code",IF(AND(K1145="Yes",C1145=""),"Billable, needs client",IF(N1145&gt;MaxDayHours,"Over "&amp;MaxDayHours&amp;" hours that day","")))))</f>
        <v/>
      </c>
    </row>
    <row r="1146" customFormat="false" ht="15" hidden="false" customHeight="false" outlineLevel="0" collapsed="false">
      <c r="A1146" s="31" t="n">
        <v>46265</v>
      </c>
      <c r="B1146" s="32" t="s">
        <v>101</v>
      </c>
      <c r="C1146" s="32" t="s">
        <v>102</v>
      </c>
      <c r="D1146" s="33" t="s">
        <v>89</v>
      </c>
      <c r="E1146" s="34" t="n">
        <v>1.75</v>
      </c>
      <c r="F1146" s="32"/>
      <c r="G1146" s="35" t="n">
        <f aca="false">IF(A1146="","",A1146+7-WEEKDAY(A1146))</f>
        <v>46270</v>
      </c>
      <c r="H1146" s="36" t="n">
        <f aca="false">IF(A1146="","",DATE(YEAR(A1146),MONTH(A1146),1))</f>
        <v>46235</v>
      </c>
      <c r="I1146" s="37" t="str">
        <f aca="false">IF(B1146="","",IFERROR(INDEX(st_ID,MATCH(B1146,st_Name,0)),"Unknown"))</f>
        <v>QP-04</v>
      </c>
      <c r="J1146" s="37" t="str">
        <f aca="false">IF(C1146="","",IFERROR(INDEX(cl_Code,MATCH(C1146,cl_Name,0)),"Unknown"))</f>
        <v>CLH</v>
      </c>
      <c r="K1146" s="37" t="str">
        <f aca="false">IF(D1146="","",IFERROR(INDEX(rt_Billable,MATCH(D1146,rt_Code,0)),"Unknown"))</f>
        <v>Yes</v>
      </c>
      <c r="L1146" s="38" t="n">
        <f aca="false">IF(K1146&lt;&gt;"Yes","",IFERROR(INDEX(cr_Rate,MATCH(J1146&amp;"|"&amp;D1146,cr_Key,0)),INDEX(rt_Rate,MATCH(D1146,rt_Code,0))))</f>
        <v>95</v>
      </c>
      <c r="M1146" s="25" t="n">
        <f aca="false">IF(L1146="","",ROUND(N(E1146)*L1146,2))</f>
        <v>166.25</v>
      </c>
      <c r="N1146" s="39" t="n">
        <f aca="false">IF(OR(A1146="",B1146=""),"",SUMIFS(tl_Hours,tl_StaffID,I1146,tl_Date,A1146))</f>
        <v>8</v>
      </c>
      <c r="O1146" s="40" t="str">
        <f aca="false">IF(A1146&amp;B1146&amp;D1146="","",IF(OR(A1146="",B1146="",D1146="",E1146=""),"Incomplete",IF(K1146="Unknown","Unknown code",IF(AND(K1146="Yes",C1146=""),"Billable, needs client",IF(N1146&gt;MaxDayHours,"Over "&amp;MaxDayHours&amp;" hours that day","")))))</f>
        <v/>
      </c>
    </row>
    <row r="1147" customFormat="false" ht="15" hidden="false" customHeight="false" outlineLevel="0" collapsed="false">
      <c r="A1147" s="31" t="n">
        <v>46265</v>
      </c>
      <c r="B1147" s="32" t="s">
        <v>101</v>
      </c>
      <c r="C1147" s="32"/>
      <c r="D1147" s="33" t="s">
        <v>96</v>
      </c>
      <c r="E1147" s="34" t="n">
        <v>2.5</v>
      </c>
      <c r="F1147" s="32"/>
      <c r="G1147" s="35" t="n">
        <f aca="false">IF(A1147="","",A1147+7-WEEKDAY(A1147))</f>
        <v>46270</v>
      </c>
      <c r="H1147" s="36" t="n">
        <f aca="false">IF(A1147="","",DATE(YEAR(A1147),MONTH(A1147),1))</f>
        <v>46235</v>
      </c>
      <c r="I1147" s="37" t="str">
        <f aca="false">IF(B1147="","",IFERROR(INDEX(st_ID,MATCH(B1147,st_Name,0)),"Unknown"))</f>
        <v>QP-04</v>
      </c>
      <c r="J1147" s="37" t="str">
        <f aca="false">IF(C1147="","",IFERROR(INDEX(cl_Code,MATCH(C1147,cl_Name,0)),"Unknown"))</f>
        <v/>
      </c>
      <c r="K1147" s="37" t="str">
        <f aca="false">IF(D1147="","",IFERROR(INDEX(rt_Billable,MATCH(D1147,rt_Code,0)),"Unknown"))</f>
        <v>No</v>
      </c>
      <c r="L1147" s="38" t="str">
        <f aca="false">IF(K1147&lt;&gt;"Yes","",IFERROR(INDEX(cr_Rate,MATCH(J1147&amp;"|"&amp;D1147,cr_Key,0)),INDEX(rt_Rate,MATCH(D1147,rt_Code,0))))</f>
        <v/>
      </c>
      <c r="M1147" s="25" t="str">
        <f aca="false">IF(L1147="","",ROUND(N(E1147)*L1147,2))</f>
        <v/>
      </c>
      <c r="N1147" s="39" t="n">
        <f aca="false">IF(OR(A1147="",B1147=""),"",SUMIFS(tl_Hours,tl_StaffID,I1147,tl_Date,A1147))</f>
        <v>8</v>
      </c>
      <c r="O1147" s="40" t="str">
        <f aca="false">IF(A1147&amp;B1147&amp;D1147="","",IF(OR(A1147="",B1147="",D1147="",E1147=""),"Incomplete",IF(K1147="Unknown","Unknown code",IF(AND(K1147="Yes",C1147=""),"Billable, needs client",IF(N1147&gt;MaxDayHours,"Over "&amp;MaxDayHours&amp;" hours that day","")))))</f>
        <v/>
      </c>
    </row>
    <row r="1148" customFormat="false" ht="15" hidden="false" customHeight="false" outlineLevel="0" collapsed="false">
      <c r="A1148" s="31" t="n">
        <v>46265</v>
      </c>
      <c r="B1148" s="32" t="s">
        <v>103</v>
      </c>
      <c r="C1148" s="32" t="s">
        <v>111</v>
      </c>
      <c r="D1148" s="33" t="s">
        <v>104</v>
      </c>
      <c r="E1148" s="34" t="n">
        <v>1.75</v>
      </c>
      <c r="F1148" s="32"/>
      <c r="G1148" s="35" t="n">
        <f aca="false">IF(A1148="","",A1148+7-WEEKDAY(A1148))</f>
        <v>46270</v>
      </c>
      <c r="H1148" s="36" t="n">
        <f aca="false">IF(A1148="","",DATE(YEAR(A1148),MONTH(A1148),1))</f>
        <v>46235</v>
      </c>
      <c r="I1148" s="37" t="str">
        <f aca="false">IF(B1148="","",IFERROR(INDEX(st_ID,MATCH(B1148,st_Name,0)),"Unknown"))</f>
        <v>QP-05</v>
      </c>
      <c r="J1148" s="37" t="str">
        <f aca="false">IF(C1148="","",IFERROR(INDEX(cl_Code,MATCH(C1148,cl_Name,0)),"Unknown"))</f>
        <v>WMS</v>
      </c>
      <c r="K1148" s="37" t="str">
        <f aca="false">IF(D1148="","",IFERROR(INDEX(rt_Billable,MATCH(D1148,rt_Code,0)),"Unknown"))</f>
        <v>Yes</v>
      </c>
      <c r="L1148" s="38" t="n">
        <f aca="false">IF(K1148&lt;&gt;"Yes","",IFERROR(INDEX(cr_Rate,MATCH(J1148&amp;"|"&amp;D1148,cr_Key,0)),INDEX(rt_Rate,MATCH(D1148,rt_Code,0))))</f>
        <v>70</v>
      </c>
      <c r="M1148" s="25" t="n">
        <f aca="false">IF(L1148="","",ROUND(N(E1148)*L1148,2))</f>
        <v>122.5</v>
      </c>
      <c r="N1148" s="39" t="n">
        <f aca="false">IF(OR(A1148="",B1148=""),"",SUMIFS(tl_Hours,tl_StaffID,I1148,tl_Date,A1148))</f>
        <v>8</v>
      </c>
      <c r="O1148" s="40" t="str">
        <f aca="false">IF(A1148&amp;B1148&amp;D1148="","",IF(OR(A1148="",B1148="",D1148="",E1148=""),"Incomplete",IF(K1148="Unknown","Unknown code",IF(AND(K1148="Yes",C1148=""),"Billable, needs client",IF(N1148&gt;MaxDayHours,"Over "&amp;MaxDayHours&amp;" hours that day","")))))</f>
        <v/>
      </c>
    </row>
    <row r="1149" customFormat="false" ht="15" hidden="false" customHeight="false" outlineLevel="0" collapsed="false">
      <c r="A1149" s="31" t="n">
        <v>46265</v>
      </c>
      <c r="B1149" s="32" t="s">
        <v>103</v>
      </c>
      <c r="C1149" s="32" t="s">
        <v>111</v>
      </c>
      <c r="D1149" s="33" t="s">
        <v>88</v>
      </c>
      <c r="E1149" s="34" t="n">
        <v>0.75</v>
      </c>
      <c r="F1149" s="32"/>
      <c r="G1149" s="35" t="n">
        <f aca="false">IF(A1149="","",A1149+7-WEEKDAY(A1149))</f>
        <v>46270</v>
      </c>
      <c r="H1149" s="36" t="n">
        <f aca="false">IF(A1149="","",DATE(YEAR(A1149),MONTH(A1149),1))</f>
        <v>46235</v>
      </c>
      <c r="I1149" s="37" t="str">
        <f aca="false">IF(B1149="","",IFERROR(INDEX(st_ID,MATCH(B1149,st_Name,0)),"Unknown"))</f>
        <v>QP-05</v>
      </c>
      <c r="J1149" s="37" t="str">
        <f aca="false">IF(C1149="","",IFERROR(INDEX(cl_Code,MATCH(C1149,cl_Name,0)),"Unknown"))</f>
        <v>WMS</v>
      </c>
      <c r="K1149" s="37" t="str">
        <f aca="false">IF(D1149="","",IFERROR(INDEX(rt_Billable,MATCH(D1149,rt_Code,0)),"Unknown"))</f>
        <v>Yes</v>
      </c>
      <c r="L1149" s="38" t="n">
        <f aca="false">IF(K1149&lt;&gt;"Yes","",IFERROR(INDEX(cr_Rate,MATCH(J1149&amp;"|"&amp;D1149,cr_Key,0)),INDEX(rt_Rate,MATCH(D1149,rt_Code,0))))</f>
        <v>110</v>
      </c>
      <c r="M1149" s="25" t="n">
        <f aca="false">IF(L1149="","",ROUND(N(E1149)*L1149,2))</f>
        <v>82.5</v>
      </c>
      <c r="N1149" s="39" t="n">
        <f aca="false">IF(OR(A1149="",B1149=""),"",SUMIFS(tl_Hours,tl_StaffID,I1149,tl_Date,A1149))</f>
        <v>8</v>
      </c>
      <c r="O1149" s="40" t="str">
        <f aca="false">IF(A1149&amp;B1149&amp;D1149="","",IF(OR(A1149="",B1149="",D1149="",E1149=""),"Incomplete",IF(K1149="Unknown","Unknown code",IF(AND(K1149="Yes",C1149=""),"Billable, needs client",IF(N1149&gt;MaxDayHours,"Over "&amp;MaxDayHours&amp;" hours that day","")))))</f>
        <v/>
      </c>
    </row>
    <row r="1150" customFormat="false" ht="15" hidden="false" customHeight="false" outlineLevel="0" collapsed="false">
      <c r="A1150" s="31" t="n">
        <v>46265</v>
      </c>
      <c r="B1150" s="32" t="s">
        <v>103</v>
      </c>
      <c r="C1150" s="32" t="s">
        <v>90</v>
      </c>
      <c r="D1150" s="33" t="s">
        <v>91</v>
      </c>
      <c r="E1150" s="34" t="n">
        <v>1.75</v>
      </c>
      <c r="F1150" s="32"/>
      <c r="G1150" s="35" t="n">
        <f aca="false">IF(A1150="","",A1150+7-WEEKDAY(A1150))</f>
        <v>46270</v>
      </c>
      <c r="H1150" s="36" t="n">
        <f aca="false">IF(A1150="","",DATE(YEAR(A1150),MONTH(A1150),1))</f>
        <v>46235</v>
      </c>
      <c r="I1150" s="37" t="str">
        <f aca="false">IF(B1150="","",IFERROR(INDEX(st_ID,MATCH(B1150,st_Name,0)),"Unknown"))</f>
        <v>QP-05</v>
      </c>
      <c r="J1150" s="37" t="str">
        <f aca="false">IF(C1150="","",IFERROR(INDEX(cl_Code,MATCH(C1150,cl_Name,0)),"Unknown"))</f>
        <v>BSE</v>
      </c>
      <c r="K1150" s="37" t="str">
        <f aca="false">IF(D1150="","",IFERROR(INDEX(rt_Billable,MATCH(D1150,rt_Code,0)),"Unknown"))</f>
        <v>Yes</v>
      </c>
      <c r="L1150" s="38" t="n">
        <f aca="false">IF(K1150&lt;&gt;"Yes","",IFERROR(INDEX(cr_Rate,MATCH(J1150&amp;"|"&amp;D1150,cr_Key,0)),INDEX(rt_Rate,MATCH(D1150,rt_Code,0))))</f>
        <v>100</v>
      </c>
      <c r="M1150" s="25" t="n">
        <f aca="false">IF(L1150="","",ROUND(N(E1150)*L1150,2))</f>
        <v>175</v>
      </c>
      <c r="N1150" s="39" t="n">
        <f aca="false">IF(OR(A1150="",B1150=""),"",SUMIFS(tl_Hours,tl_StaffID,I1150,tl_Date,A1150))</f>
        <v>8</v>
      </c>
      <c r="O1150" s="40" t="str">
        <f aca="false">IF(A1150&amp;B1150&amp;D1150="","",IF(OR(A1150="",B1150="",D1150="",E1150=""),"Incomplete",IF(K1150="Unknown","Unknown code",IF(AND(K1150="Yes",C1150=""),"Billable, needs client",IF(N1150&gt;MaxDayHours,"Over "&amp;MaxDayHours&amp;" hours that day","")))))</f>
        <v/>
      </c>
    </row>
    <row r="1151" customFormat="false" ht="15" hidden="false" customHeight="false" outlineLevel="0" collapsed="false">
      <c r="A1151" s="31" t="n">
        <v>46265</v>
      </c>
      <c r="B1151" s="32" t="s">
        <v>103</v>
      </c>
      <c r="C1151" s="32" t="s">
        <v>90</v>
      </c>
      <c r="D1151" s="33" t="s">
        <v>104</v>
      </c>
      <c r="E1151" s="34" t="n">
        <v>0.75</v>
      </c>
      <c r="F1151" s="32"/>
      <c r="G1151" s="35" t="n">
        <f aca="false">IF(A1151="","",A1151+7-WEEKDAY(A1151))</f>
        <v>46270</v>
      </c>
      <c r="H1151" s="36" t="n">
        <f aca="false">IF(A1151="","",DATE(YEAR(A1151),MONTH(A1151),1))</f>
        <v>46235</v>
      </c>
      <c r="I1151" s="37" t="str">
        <f aca="false">IF(B1151="","",IFERROR(INDEX(st_ID,MATCH(B1151,st_Name,0)),"Unknown"))</f>
        <v>QP-05</v>
      </c>
      <c r="J1151" s="37" t="str">
        <f aca="false">IF(C1151="","",IFERROR(INDEX(cl_Code,MATCH(C1151,cl_Name,0)),"Unknown"))</f>
        <v>BSE</v>
      </c>
      <c r="K1151" s="37" t="str">
        <f aca="false">IF(D1151="","",IFERROR(INDEX(rt_Billable,MATCH(D1151,rt_Code,0)),"Unknown"))</f>
        <v>Yes</v>
      </c>
      <c r="L1151" s="38" t="n">
        <f aca="false">IF(K1151&lt;&gt;"Yes","",IFERROR(INDEX(cr_Rate,MATCH(J1151&amp;"|"&amp;D1151,cr_Key,0)),INDEX(rt_Rate,MATCH(D1151,rt_Code,0))))</f>
        <v>70</v>
      </c>
      <c r="M1151" s="25" t="n">
        <f aca="false">IF(L1151="","",ROUND(N(E1151)*L1151,2))</f>
        <v>52.5</v>
      </c>
      <c r="N1151" s="39" t="n">
        <f aca="false">IF(OR(A1151="",B1151=""),"",SUMIFS(tl_Hours,tl_StaffID,I1151,tl_Date,A1151))</f>
        <v>8</v>
      </c>
      <c r="O1151" s="40" t="str">
        <f aca="false">IF(A1151&amp;B1151&amp;D1151="","",IF(OR(A1151="",B1151="",D1151="",E1151=""),"Incomplete",IF(K1151="Unknown","Unknown code",IF(AND(K1151="Yes",C1151=""),"Billable, needs client",IF(N1151&gt;MaxDayHours,"Over "&amp;MaxDayHours&amp;" hours that day","")))))</f>
        <v/>
      </c>
    </row>
    <row r="1152" customFormat="false" ht="15" hidden="false" customHeight="false" outlineLevel="0" collapsed="false">
      <c r="A1152" s="31" t="n">
        <v>46265</v>
      </c>
      <c r="B1152" s="32" t="s">
        <v>103</v>
      </c>
      <c r="C1152" s="32"/>
      <c r="D1152" s="33" t="s">
        <v>93</v>
      </c>
      <c r="E1152" s="34" t="n">
        <v>0.5</v>
      </c>
      <c r="F1152" s="32"/>
      <c r="G1152" s="35" t="n">
        <f aca="false">IF(A1152="","",A1152+7-WEEKDAY(A1152))</f>
        <v>46270</v>
      </c>
      <c r="H1152" s="36" t="n">
        <f aca="false">IF(A1152="","",DATE(YEAR(A1152),MONTH(A1152),1))</f>
        <v>46235</v>
      </c>
      <c r="I1152" s="37" t="str">
        <f aca="false">IF(B1152="","",IFERROR(INDEX(st_ID,MATCH(B1152,st_Name,0)),"Unknown"))</f>
        <v>QP-05</v>
      </c>
      <c r="J1152" s="37" t="str">
        <f aca="false">IF(C1152="","",IFERROR(INDEX(cl_Code,MATCH(C1152,cl_Name,0)),"Unknown"))</f>
        <v/>
      </c>
      <c r="K1152" s="37" t="str">
        <f aca="false">IF(D1152="","",IFERROR(INDEX(rt_Billable,MATCH(D1152,rt_Code,0)),"Unknown"))</f>
        <v>No</v>
      </c>
      <c r="L1152" s="38" t="str">
        <f aca="false">IF(K1152&lt;&gt;"Yes","",IFERROR(INDEX(cr_Rate,MATCH(J1152&amp;"|"&amp;D1152,cr_Key,0)),INDEX(rt_Rate,MATCH(D1152,rt_Code,0))))</f>
        <v/>
      </c>
      <c r="M1152" s="25" t="str">
        <f aca="false">IF(L1152="","",ROUND(N(E1152)*L1152,2))</f>
        <v/>
      </c>
      <c r="N1152" s="39" t="n">
        <f aca="false">IF(OR(A1152="",B1152=""),"",SUMIFS(tl_Hours,tl_StaffID,I1152,tl_Date,A1152))</f>
        <v>8</v>
      </c>
      <c r="O1152" s="40" t="str">
        <f aca="false">IF(A1152&amp;B1152&amp;D1152="","",IF(OR(A1152="",B1152="",D1152="",E1152=""),"Incomplete",IF(K1152="Unknown","Unknown code",IF(AND(K1152="Yes",C1152=""),"Billable, needs client",IF(N1152&gt;MaxDayHours,"Over "&amp;MaxDayHours&amp;" hours that day","")))))</f>
        <v/>
      </c>
    </row>
    <row r="1153" customFormat="false" ht="15" hidden="false" customHeight="false" outlineLevel="0" collapsed="false">
      <c r="A1153" s="31" t="n">
        <v>46265</v>
      </c>
      <c r="B1153" s="32" t="s">
        <v>103</v>
      </c>
      <c r="C1153" s="32"/>
      <c r="D1153" s="33" t="s">
        <v>96</v>
      </c>
      <c r="E1153" s="34" t="n">
        <v>2.5</v>
      </c>
      <c r="F1153" s="32"/>
      <c r="G1153" s="35" t="n">
        <f aca="false">IF(A1153="","",A1153+7-WEEKDAY(A1153))</f>
        <v>46270</v>
      </c>
      <c r="H1153" s="36" t="n">
        <f aca="false">IF(A1153="","",DATE(YEAR(A1153),MONTH(A1153),1))</f>
        <v>46235</v>
      </c>
      <c r="I1153" s="37" t="str">
        <f aca="false">IF(B1153="","",IFERROR(INDEX(st_ID,MATCH(B1153,st_Name,0)),"Unknown"))</f>
        <v>QP-05</v>
      </c>
      <c r="J1153" s="37" t="str">
        <f aca="false">IF(C1153="","",IFERROR(INDEX(cl_Code,MATCH(C1153,cl_Name,0)),"Unknown"))</f>
        <v/>
      </c>
      <c r="K1153" s="37" t="str">
        <f aca="false">IF(D1153="","",IFERROR(INDEX(rt_Billable,MATCH(D1153,rt_Code,0)),"Unknown"))</f>
        <v>No</v>
      </c>
      <c r="L1153" s="38" t="str">
        <f aca="false">IF(K1153&lt;&gt;"Yes","",IFERROR(INDEX(cr_Rate,MATCH(J1153&amp;"|"&amp;D1153,cr_Key,0)),INDEX(rt_Rate,MATCH(D1153,rt_Code,0))))</f>
        <v/>
      </c>
      <c r="M1153" s="25" t="str">
        <f aca="false">IF(L1153="","",ROUND(N(E1153)*L1153,2))</f>
        <v/>
      </c>
      <c r="N1153" s="39" t="n">
        <f aca="false">IF(OR(A1153="",B1153=""),"",SUMIFS(tl_Hours,tl_StaffID,I1153,tl_Date,A1153))</f>
        <v>8</v>
      </c>
      <c r="O1153" s="40" t="str">
        <f aca="false">IF(A1153&amp;B1153&amp;D1153="","",IF(OR(A1153="",B1153="",D1153="",E1153=""),"Incomplete",IF(K1153="Unknown","Unknown code",IF(AND(K1153="Yes",C1153=""),"Billable, needs client",IF(N1153&gt;MaxDayHours,"Over "&amp;MaxDayHours&amp;" hours that day","")))))</f>
        <v/>
      </c>
    </row>
    <row r="1154" customFormat="false" ht="15" hidden="false" customHeight="false" outlineLevel="0" collapsed="false">
      <c r="A1154" s="31" t="n">
        <v>46265</v>
      </c>
      <c r="B1154" s="32" t="s">
        <v>105</v>
      </c>
      <c r="C1154" s="32" t="s">
        <v>87</v>
      </c>
      <c r="D1154" s="33" t="s">
        <v>104</v>
      </c>
      <c r="E1154" s="34" t="n">
        <v>1.75</v>
      </c>
      <c r="F1154" s="32"/>
      <c r="G1154" s="35" t="n">
        <f aca="false">IF(A1154="","",A1154+7-WEEKDAY(A1154))</f>
        <v>46270</v>
      </c>
      <c r="H1154" s="36" t="n">
        <f aca="false">IF(A1154="","",DATE(YEAR(A1154),MONTH(A1154),1))</f>
        <v>46235</v>
      </c>
      <c r="I1154" s="37" t="str">
        <f aca="false">IF(B1154="","",IFERROR(INDEX(st_ID,MATCH(B1154,st_Name,0)),"Unknown"))</f>
        <v>QP-06</v>
      </c>
      <c r="J1154" s="37" t="str">
        <f aca="false">IF(C1154="","",IFERROR(INDEX(cl_Code,MATCH(C1154,cl_Name,0)),"Unknown"))</f>
        <v>HCS</v>
      </c>
      <c r="K1154" s="37" t="str">
        <f aca="false">IF(D1154="","",IFERROR(INDEX(rt_Billable,MATCH(D1154,rt_Code,0)),"Unknown"))</f>
        <v>Yes</v>
      </c>
      <c r="L1154" s="38" t="n">
        <f aca="false">IF(K1154&lt;&gt;"Yes","",IFERROR(INDEX(cr_Rate,MATCH(J1154&amp;"|"&amp;D1154,cr_Key,0)),INDEX(rt_Rate,MATCH(D1154,rt_Code,0))))</f>
        <v>62</v>
      </c>
      <c r="M1154" s="25" t="n">
        <f aca="false">IF(L1154="","",ROUND(N(E1154)*L1154,2))</f>
        <v>108.5</v>
      </c>
      <c r="N1154" s="39" t="n">
        <f aca="false">IF(OR(A1154="",B1154=""),"",SUMIFS(tl_Hours,tl_StaffID,I1154,tl_Date,A1154))</f>
        <v>8</v>
      </c>
      <c r="O1154" s="40" t="str">
        <f aca="false">IF(A1154&amp;B1154&amp;D1154="","",IF(OR(A1154="",B1154="",D1154="",E1154=""),"Incomplete",IF(K1154="Unknown","Unknown code",IF(AND(K1154="Yes",C1154=""),"Billable, needs client",IF(N1154&gt;MaxDayHours,"Over "&amp;MaxDayHours&amp;" hours that day","")))))</f>
        <v/>
      </c>
    </row>
    <row r="1155" customFormat="false" ht="15" hidden="false" customHeight="false" outlineLevel="0" collapsed="false">
      <c r="A1155" s="31" t="n">
        <v>46265</v>
      </c>
      <c r="B1155" s="32" t="s">
        <v>105</v>
      </c>
      <c r="C1155" s="32" t="s">
        <v>87</v>
      </c>
      <c r="D1155" s="33" t="s">
        <v>89</v>
      </c>
      <c r="E1155" s="34" t="n">
        <v>1</v>
      </c>
      <c r="F1155" s="32"/>
      <c r="G1155" s="35" t="n">
        <f aca="false">IF(A1155="","",A1155+7-WEEKDAY(A1155))</f>
        <v>46270</v>
      </c>
      <c r="H1155" s="36" t="n">
        <f aca="false">IF(A1155="","",DATE(YEAR(A1155),MONTH(A1155),1))</f>
        <v>46235</v>
      </c>
      <c r="I1155" s="37" t="str">
        <f aca="false">IF(B1155="","",IFERROR(INDEX(st_ID,MATCH(B1155,st_Name,0)),"Unknown"))</f>
        <v>QP-06</v>
      </c>
      <c r="J1155" s="37" t="str">
        <f aca="false">IF(C1155="","",IFERROR(INDEX(cl_Code,MATCH(C1155,cl_Name,0)),"Unknown"))</f>
        <v>HCS</v>
      </c>
      <c r="K1155" s="37" t="str">
        <f aca="false">IF(D1155="","",IFERROR(INDEX(rt_Billable,MATCH(D1155,rt_Code,0)),"Unknown"))</f>
        <v>Yes</v>
      </c>
      <c r="L1155" s="38" t="n">
        <f aca="false">IF(K1155&lt;&gt;"Yes","",IFERROR(INDEX(cr_Rate,MATCH(J1155&amp;"|"&amp;D1155,cr_Key,0)),INDEX(rt_Rate,MATCH(D1155,rt_Code,0))))</f>
        <v>88</v>
      </c>
      <c r="M1155" s="25" t="n">
        <f aca="false">IF(L1155="","",ROUND(N(E1155)*L1155,2))</f>
        <v>88</v>
      </c>
      <c r="N1155" s="39" t="n">
        <f aca="false">IF(OR(A1155="",B1155=""),"",SUMIFS(tl_Hours,tl_StaffID,I1155,tl_Date,A1155))</f>
        <v>8</v>
      </c>
      <c r="O1155" s="40" t="str">
        <f aca="false">IF(A1155&amp;B1155&amp;D1155="","",IF(OR(A1155="",B1155="",D1155="",E1155=""),"Incomplete",IF(K1155="Unknown","Unknown code",IF(AND(K1155="Yes",C1155=""),"Billable, needs client",IF(N1155&gt;MaxDayHours,"Over "&amp;MaxDayHours&amp;" hours that day","")))))</f>
        <v/>
      </c>
    </row>
    <row r="1156" customFormat="false" ht="15" hidden="false" customHeight="false" outlineLevel="0" collapsed="false">
      <c r="A1156" s="31" t="n">
        <v>46265</v>
      </c>
      <c r="B1156" s="32" t="s">
        <v>105</v>
      </c>
      <c r="C1156" s="32" t="s">
        <v>90</v>
      </c>
      <c r="D1156" s="33" t="s">
        <v>88</v>
      </c>
      <c r="E1156" s="34" t="n">
        <v>1.5</v>
      </c>
      <c r="F1156" s="32"/>
      <c r="G1156" s="35" t="n">
        <f aca="false">IF(A1156="","",A1156+7-WEEKDAY(A1156))</f>
        <v>46270</v>
      </c>
      <c r="H1156" s="36" t="n">
        <f aca="false">IF(A1156="","",DATE(YEAR(A1156),MONTH(A1156),1))</f>
        <v>46235</v>
      </c>
      <c r="I1156" s="37" t="str">
        <f aca="false">IF(B1156="","",IFERROR(INDEX(st_ID,MATCH(B1156,st_Name,0)),"Unknown"))</f>
        <v>QP-06</v>
      </c>
      <c r="J1156" s="37" t="str">
        <f aca="false">IF(C1156="","",IFERROR(INDEX(cl_Code,MATCH(C1156,cl_Name,0)),"Unknown"))</f>
        <v>BSE</v>
      </c>
      <c r="K1156" s="37" t="str">
        <f aca="false">IF(D1156="","",IFERROR(INDEX(rt_Billable,MATCH(D1156,rt_Code,0)),"Unknown"))</f>
        <v>Yes</v>
      </c>
      <c r="L1156" s="38" t="n">
        <f aca="false">IF(K1156&lt;&gt;"Yes","",IFERROR(INDEX(cr_Rate,MATCH(J1156&amp;"|"&amp;D1156,cr_Key,0)),INDEX(rt_Rate,MATCH(D1156,rt_Code,0))))</f>
        <v>104</v>
      </c>
      <c r="M1156" s="25" t="n">
        <f aca="false">IF(L1156="","",ROUND(N(E1156)*L1156,2))</f>
        <v>156</v>
      </c>
      <c r="N1156" s="39" t="n">
        <f aca="false">IF(OR(A1156="",B1156=""),"",SUMIFS(tl_Hours,tl_StaffID,I1156,tl_Date,A1156))</f>
        <v>8</v>
      </c>
      <c r="O1156" s="40" t="str">
        <f aca="false">IF(A1156&amp;B1156&amp;D1156="","",IF(OR(A1156="",B1156="",D1156="",E1156=""),"Incomplete",IF(K1156="Unknown","Unknown code",IF(AND(K1156="Yes",C1156=""),"Billable, needs client",IF(N1156&gt;MaxDayHours,"Over "&amp;MaxDayHours&amp;" hours that day","")))))</f>
        <v/>
      </c>
    </row>
    <row r="1157" customFormat="false" ht="15" hidden="false" customHeight="false" outlineLevel="0" collapsed="false">
      <c r="A1157" s="31" t="n">
        <v>46265</v>
      </c>
      <c r="B1157" s="32" t="s">
        <v>105</v>
      </c>
      <c r="C1157" s="32" t="s">
        <v>90</v>
      </c>
      <c r="D1157" s="33" t="s">
        <v>89</v>
      </c>
      <c r="E1157" s="34" t="n">
        <v>1.25</v>
      </c>
      <c r="F1157" s="32"/>
      <c r="G1157" s="35" t="n">
        <f aca="false">IF(A1157="","",A1157+7-WEEKDAY(A1157))</f>
        <v>46270</v>
      </c>
      <c r="H1157" s="36" t="n">
        <f aca="false">IF(A1157="","",DATE(YEAR(A1157),MONTH(A1157),1))</f>
        <v>46235</v>
      </c>
      <c r="I1157" s="37" t="str">
        <f aca="false">IF(B1157="","",IFERROR(INDEX(st_ID,MATCH(B1157,st_Name,0)),"Unknown"))</f>
        <v>QP-06</v>
      </c>
      <c r="J1157" s="37" t="str">
        <f aca="false">IF(C1157="","",IFERROR(INDEX(cl_Code,MATCH(C1157,cl_Name,0)),"Unknown"))</f>
        <v>BSE</v>
      </c>
      <c r="K1157" s="37" t="str">
        <f aca="false">IF(D1157="","",IFERROR(INDEX(rt_Billable,MATCH(D1157,rt_Code,0)),"Unknown"))</f>
        <v>Yes</v>
      </c>
      <c r="L1157" s="38" t="n">
        <f aca="false">IF(K1157&lt;&gt;"Yes","",IFERROR(INDEX(cr_Rate,MATCH(J1157&amp;"|"&amp;D1157,cr_Key,0)),INDEX(rt_Rate,MATCH(D1157,rt_Code,0))))</f>
        <v>95</v>
      </c>
      <c r="M1157" s="25" t="n">
        <f aca="false">IF(L1157="","",ROUND(N(E1157)*L1157,2))</f>
        <v>118.75</v>
      </c>
      <c r="N1157" s="39" t="n">
        <f aca="false">IF(OR(A1157="",B1157=""),"",SUMIFS(tl_Hours,tl_StaffID,I1157,tl_Date,A1157))</f>
        <v>8</v>
      </c>
      <c r="O1157" s="40" t="str">
        <f aca="false">IF(A1157&amp;B1157&amp;D1157="","",IF(OR(A1157="",B1157="",D1157="",E1157=""),"Incomplete",IF(K1157="Unknown","Unknown code",IF(AND(K1157="Yes",C1157=""),"Billable, needs client",IF(N1157&gt;MaxDayHours,"Over "&amp;MaxDayHours&amp;" hours that day","")))))</f>
        <v/>
      </c>
    </row>
    <row r="1158" customFormat="false" ht="15" hidden="false" customHeight="false" outlineLevel="0" collapsed="false">
      <c r="A1158" s="31" t="n">
        <v>46265</v>
      </c>
      <c r="B1158" s="32" t="s">
        <v>105</v>
      </c>
      <c r="C1158" s="32"/>
      <c r="D1158" s="33" t="s">
        <v>93</v>
      </c>
      <c r="E1158" s="34" t="n">
        <v>0.5</v>
      </c>
      <c r="F1158" s="32"/>
      <c r="G1158" s="35" t="n">
        <f aca="false">IF(A1158="","",A1158+7-WEEKDAY(A1158))</f>
        <v>46270</v>
      </c>
      <c r="H1158" s="36" t="n">
        <f aca="false">IF(A1158="","",DATE(YEAR(A1158),MONTH(A1158),1))</f>
        <v>46235</v>
      </c>
      <c r="I1158" s="37" t="str">
        <f aca="false">IF(B1158="","",IFERROR(INDEX(st_ID,MATCH(B1158,st_Name,0)),"Unknown"))</f>
        <v>QP-06</v>
      </c>
      <c r="J1158" s="37" t="str">
        <f aca="false">IF(C1158="","",IFERROR(INDEX(cl_Code,MATCH(C1158,cl_Name,0)),"Unknown"))</f>
        <v/>
      </c>
      <c r="K1158" s="37" t="str">
        <f aca="false">IF(D1158="","",IFERROR(INDEX(rt_Billable,MATCH(D1158,rt_Code,0)),"Unknown"))</f>
        <v>No</v>
      </c>
      <c r="L1158" s="38" t="str">
        <f aca="false">IF(K1158&lt;&gt;"Yes","",IFERROR(INDEX(cr_Rate,MATCH(J1158&amp;"|"&amp;D1158,cr_Key,0)),INDEX(rt_Rate,MATCH(D1158,rt_Code,0))))</f>
        <v/>
      </c>
      <c r="M1158" s="25" t="str">
        <f aca="false">IF(L1158="","",ROUND(N(E1158)*L1158,2))</f>
        <v/>
      </c>
      <c r="N1158" s="39" t="n">
        <f aca="false">IF(OR(A1158="",B1158=""),"",SUMIFS(tl_Hours,tl_StaffID,I1158,tl_Date,A1158))</f>
        <v>8</v>
      </c>
      <c r="O1158" s="40" t="str">
        <f aca="false">IF(A1158&amp;B1158&amp;D1158="","",IF(OR(A1158="",B1158="",D1158="",E1158=""),"Incomplete",IF(K1158="Unknown","Unknown code",IF(AND(K1158="Yes",C1158=""),"Billable, needs client",IF(N1158&gt;MaxDayHours,"Over "&amp;MaxDayHours&amp;" hours that day","")))))</f>
        <v/>
      </c>
    </row>
    <row r="1159" customFormat="false" ht="15" hidden="false" customHeight="false" outlineLevel="0" collapsed="false">
      <c r="A1159" s="31" t="n">
        <v>46265</v>
      </c>
      <c r="B1159" s="32" t="s">
        <v>105</v>
      </c>
      <c r="C1159" s="32"/>
      <c r="D1159" s="33" t="s">
        <v>96</v>
      </c>
      <c r="E1159" s="34" t="n">
        <v>2</v>
      </c>
      <c r="F1159" s="32"/>
      <c r="G1159" s="35" t="n">
        <f aca="false">IF(A1159="","",A1159+7-WEEKDAY(A1159))</f>
        <v>46270</v>
      </c>
      <c r="H1159" s="36" t="n">
        <f aca="false">IF(A1159="","",DATE(YEAR(A1159),MONTH(A1159),1))</f>
        <v>46235</v>
      </c>
      <c r="I1159" s="37" t="str">
        <f aca="false">IF(B1159="","",IFERROR(INDEX(st_ID,MATCH(B1159,st_Name,0)),"Unknown"))</f>
        <v>QP-06</v>
      </c>
      <c r="J1159" s="37" t="str">
        <f aca="false">IF(C1159="","",IFERROR(INDEX(cl_Code,MATCH(C1159,cl_Name,0)),"Unknown"))</f>
        <v/>
      </c>
      <c r="K1159" s="37" t="str">
        <f aca="false">IF(D1159="","",IFERROR(INDEX(rt_Billable,MATCH(D1159,rt_Code,0)),"Unknown"))</f>
        <v>No</v>
      </c>
      <c r="L1159" s="38" t="str">
        <f aca="false">IF(K1159&lt;&gt;"Yes","",IFERROR(INDEX(cr_Rate,MATCH(J1159&amp;"|"&amp;D1159,cr_Key,0)),INDEX(rt_Rate,MATCH(D1159,rt_Code,0))))</f>
        <v/>
      </c>
      <c r="M1159" s="25" t="str">
        <f aca="false">IF(L1159="","",ROUND(N(E1159)*L1159,2))</f>
        <v/>
      </c>
      <c r="N1159" s="39" t="n">
        <f aca="false">IF(OR(A1159="",B1159=""),"",SUMIFS(tl_Hours,tl_StaffID,I1159,tl_Date,A1159))</f>
        <v>8</v>
      </c>
      <c r="O1159" s="40" t="str">
        <f aca="false">IF(A1159&amp;B1159&amp;D1159="","",IF(OR(A1159="",B1159="",D1159="",E1159=""),"Incomplete",IF(K1159="Unknown","Unknown code",IF(AND(K1159="Yes",C1159=""),"Billable, needs client",IF(N1159&gt;MaxDayHours,"Over "&amp;MaxDayHours&amp;" hours that day","")))))</f>
        <v/>
      </c>
    </row>
    <row r="1160" customFormat="false" ht="15" hidden="false" customHeight="false" outlineLevel="0" collapsed="false">
      <c r="A1160" s="31" t="n">
        <v>46265</v>
      </c>
      <c r="B1160" s="32" t="s">
        <v>106</v>
      </c>
      <c r="C1160" s="32" t="s">
        <v>112</v>
      </c>
      <c r="D1160" s="33" t="s">
        <v>104</v>
      </c>
      <c r="E1160" s="34" t="n">
        <v>2.25</v>
      </c>
      <c r="F1160" s="32"/>
      <c r="G1160" s="35" t="n">
        <f aca="false">IF(A1160="","",A1160+7-WEEKDAY(A1160))</f>
        <v>46270</v>
      </c>
      <c r="H1160" s="36" t="n">
        <f aca="false">IF(A1160="","",DATE(YEAR(A1160),MONTH(A1160),1))</f>
        <v>46235</v>
      </c>
      <c r="I1160" s="37" t="str">
        <f aca="false">IF(B1160="","",IFERROR(INDEX(st_ID,MATCH(B1160,st_Name,0)),"Unknown"))</f>
        <v>QP-07</v>
      </c>
      <c r="J1160" s="37" t="str">
        <f aca="false">IF(C1160="","",IFERROR(INDEX(cl_Code,MATCH(C1160,cl_Name,0)),"Unknown"))</f>
        <v>PCA</v>
      </c>
      <c r="K1160" s="37" t="str">
        <f aca="false">IF(D1160="","",IFERROR(INDEX(rt_Billable,MATCH(D1160,rt_Code,0)),"Unknown"))</f>
        <v>Yes</v>
      </c>
      <c r="L1160" s="38" t="n">
        <f aca="false">IF(K1160&lt;&gt;"Yes","",IFERROR(INDEX(cr_Rate,MATCH(J1160&amp;"|"&amp;D1160,cr_Key,0)),INDEX(rt_Rate,MATCH(D1160,rt_Code,0))))</f>
        <v>70</v>
      </c>
      <c r="M1160" s="25" t="n">
        <f aca="false">IF(L1160="","",ROUND(N(E1160)*L1160,2))</f>
        <v>157.5</v>
      </c>
      <c r="N1160" s="39" t="n">
        <f aca="false">IF(OR(A1160="",B1160=""),"",SUMIFS(tl_Hours,tl_StaffID,I1160,tl_Date,A1160))</f>
        <v>8.5</v>
      </c>
      <c r="O1160" s="40" t="str">
        <f aca="false">IF(A1160&amp;B1160&amp;D1160="","",IF(OR(A1160="",B1160="",D1160="",E1160=""),"Incomplete",IF(K1160="Unknown","Unknown code",IF(AND(K1160="Yes",C1160=""),"Billable, needs client",IF(N1160&gt;MaxDayHours,"Over "&amp;MaxDayHours&amp;" hours that day","")))))</f>
        <v/>
      </c>
    </row>
    <row r="1161" customFormat="false" ht="15" hidden="false" customHeight="false" outlineLevel="0" collapsed="false">
      <c r="A1161" s="31" t="n">
        <v>46265</v>
      </c>
      <c r="B1161" s="32" t="s">
        <v>106</v>
      </c>
      <c r="C1161" s="32" t="s">
        <v>112</v>
      </c>
      <c r="D1161" s="33" t="s">
        <v>88</v>
      </c>
      <c r="E1161" s="34" t="n">
        <v>0.75</v>
      </c>
      <c r="F1161" s="32"/>
      <c r="G1161" s="35" t="n">
        <f aca="false">IF(A1161="","",A1161+7-WEEKDAY(A1161))</f>
        <v>46270</v>
      </c>
      <c r="H1161" s="36" t="n">
        <f aca="false">IF(A1161="","",DATE(YEAR(A1161),MONTH(A1161),1))</f>
        <v>46235</v>
      </c>
      <c r="I1161" s="37" t="str">
        <f aca="false">IF(B1161="","",IFERROR(INDEX(st_ID,MATCH(B1161,st_Name,0)),"Unknown"))</f>
        <v>QP-07</v>
      </c>
      <c r="J1161" s="37" t="str">
        <f aca="false">IF(C1161="","",IFERROR(INDEX(cl_Code,MATCH(C1161,cl_Name,0)),"Unknown"))</f>
        <v>PCA</v>
      </c>
      <c r="K1161" s="37" t="str">
        <f aca="false">IF(D1161="","",IFERROR(INDEX(rt_Billable,MATCH(D1161,rt_Code,0)),"Unknown"))</f>
        <v>Yes</v>
      </c>
      <c r="L1161" s="38" t="n">
        <f aca="false">IF(K1161&lt;&gt;"Yes","",IFERROR(INDEX(cr_Rate,MATCH(J1161&amp;"|"&amp;D1161,cr_Key,0)),INDEX(rt_Rate,MATCH(D1161,rt_Code,0))))</f>
        <v>110</v>
      </c>
      <c r="M1161" s="25" t="n">
        <f aca="false">IF(L1161="","",ROUND(N(E1161)*L1161,2))</f>
        <v>82.5</v>
      </c>
      <c r="N1161" s="39" t="n">
        <f aca="false">IF(OR(A1161="",B1161=""),"",SUMIFS(tl_Hours,tl_StaffID,I1161,tl_Date,A1161))</f>
        <v>8.5</v>
      </c>
      <c r="O1161" s="40" t="str">
        <f aca="false">IF(A1161&amp;B1161&amp;D1161="","",IF(OR(A1161="",B1161="",D1161="",E1161=""),"Incomplete",IF(K1161="Unknown","Unknown code",IF(AND(K1161="Yes",C1161=""),"Billable, needs client",IF(N1161&gt;MaxDayHours,"Over "&amp;MaxDayHours&amp;" hours that day","")))))</f>
        <v/>
      </c>
    </row>
    <row r="1162" customFormat="false" ht="15" hidden="false" customHeight="false" outlineLevel="0" collapsed="false">
      <c r="A1162" s="31" t="n">
        <v>46265</v>
      </c>
      <c r="B1162" s="32" t="s">
        <v>106</v>
      </c>
      <c r="C1162" s="32" t="s">
        <v>102</v>
      </c>
      <c r="D1162" s="33" t="s">
        <v>88</v>
      </c>
      <c r="E1162" s="34" t="n">
        <v>2</v>
      </c>
      <c r="F1162" s="32"/>
      <c r="G1162" s="35" t="n">
        <f aca="false">IF(A1162="","",A1162+7-WEEKDAY(A1162))</f>
        <v>46270</v>
      </c>
      <c r="H1162" s="36" t="n">
        <f aca="false">IF(A1162="","",DATE(YEAR(A1162),MONTH(A1162),1))</f>
        <v>46235</v>
      </c>
      <c r="I1162" s="37" t="str">
        <f aca="false">IF(B1162="","",IFERROR(INDEX(st_ID,MATCH(B1162,st_Name,0)),"Unknown"))</f>
        <v>QP-07</v>
      </c>
      <c r="J1162" s="37" t="str">
        <f aca="false">IF(C1162="","",IFERROR(INDEX(cl_Code,MATCH(C1162,cl_Name,0)),"Unknown"))</f>
        <v>CLH</v>
      </c>
      <c r="K1162" s="37" t="str">
        <f aca="false">IF(D1162="","",IFERROR(INDEX(rt_Billable,MATCH(D1162,rt_Code,0)),"Unknown"))</f>
        <v>Yes</v>
      </c>
      <c r="L1162" s="38" t="n">
        <f aca="false">IF(K1162&lt;&gt;"Yes","",IFERROR(INDEX(cr_Rate,MATCH(J1162&amp;"|"&amp;D1162,cr_Key,0)),INDEX(rt_Rate,MATCH(D1162,rt_Code,0))))</f>
        <v>110</v>
      </c>
      <c r="M1162" s="25" t="n">
        <f aca="false">IF(L1162="","",ROUND(N(E1162)*L1162,2))</f>
        <v>220</v>
      </c>
      <c r="N1162" s="39" t="n">
        <f aca="false">IF(OR(A1162="",B1162=""),"",SUMIFS(tl_Hours,tl_StaffID,I1162,tl_Date,A1162))</f>
        <v>8.5</v>
      </c>
      <c r="O1162" s="40" t="str">
        <f aca="false">IF(A1162&amp;B1162&amp;D1162="","",IF(OR(A1162="",B1162="",D1162="",E1162=""),"Incomplete",IF(K1162="Unknown","Unknown code",IF(AND(K1162="Yes",C1162=""),"Billable, needs client",IF(N1162&gt;MaxDayHours,"Over "&amp;MaxDayHours&amp;" hours that day","")))))</f>
        <v/>
      </c>
    </row>
    <row r="1163" customFormat="false" ht="15" hidden="false" customHeight="false" outlineLevel="0" collapsed="false">
      <c r="A1163" s="31" t="n">
        <v>46265</v>
      </c>
      <c r="B1163" s="32" t="s">
        <v>106</v>
      </c>
      <c r="C1163" s="32" t="s">
        <v>102</v>
      </c>
      <c r="D1163" s="33" t="s">
        <v>89</v>
      </c>
      <c r="E1163" s="34" t="n">
        <v>1</v>
      </c>
      <c r="F1163" s="32"/>
      <c r="G1163" s="35" t="n">
        <f aca="false">IF(A1163="","",A1163+7-WEEKDAY(A1163))</f>
        <v>46270</v>
      </c>
      <c r="H1163" s="36" t="n">
        <f aca="false">IF(A1163="","",DATE(YEAR(A1163),MONTH(A1163),1))</f>
        <v>46235</v>
      </c>
      <c r="I1163" s="37" t="str">
        <f aca="false">IF(B1163="","",IFERROR(INDEX(st_ID,MATCH(B1163,st_Name,0)),"Unknown"))</f>
        <v>QP-07</v>
      </c>
      <c r="J1163" s="37" t="str">
        <f aca="false">IF(C1163="","",IFERROR(INDEX(cl_Code,MATCH(C1163,cl_Name,0)),"Unknown"))</f>
        <v>CLH</v>
      </c>
      <c r="K1163" s="37" t="str">
        <f aca="false">IF(D1163="","",IFERROR(INDEX(rt_Billable,MATCH(D1163,rt_Code,0)),"Unknown"))</f>
        <v>Yes</v>
      </c>
      <c r="L1163" s="38" t="n">
        <f aca="false">IF(K1163&lt;&gt;"Yes","",IFERROR(INDEX(cr_Rate,MATCH(J1163&amp;"|"&amp;D1163,cr_Key,0)),INDEX(rt_Rate,MATCH(D1163,rt_Code,0))))</f>
        <v>95</v>
      </c>
      <c r="M1163" s="25" t="n">
        <f aca="false">IF(L1163="","",ROUND(N(E1163)*L1163,2))</f>
        <v>95</v>
      </c>
      <c r="N1163" s="39" t="n">
        <f aca="false">IF(OR(A1163="",B1163=""),"",SUMIFS(tl_Hours,tl_StaffID,I1163,tl_Date,A1163))</f>
        <v>8.5</v>
      </c>
      <c r="O1163" s="40" t="str">
        <f aca="false">IF(A1163&amp;B1163&amp;D1163="","",IF(OR(A1163="",B1163="",D1163="",E1163=""),"Incomplete",IF(K1163="Unknown","Unknown code",IF(AND(K1163="Yes",C1163=""),"Billable, needs client",IF(N1163&gt;MaxDayHours,"Over "&amp;MaxDayHours&amp;" hours that day","")))))</f>
        <v/>
      </c>
    </row>
    <row r="1164" customFormat="false" ht="15" hidden="false" customHeight="false" outlineLevel="0" collapsed="false">
      <c r="A1164" s="31" t="n">
        <v>46265</v>
      </c>
      <c r="B1164" s="32" t="s">
        <v>106</v>
      </c>
      <c r="C1164" s="32"/>
      <c r="D1164" s="33" t="s">
        <v>93</v>
      </c>
      <c r="E1164" s="34" t="n">
        <v>0.5</v>
      </c>
      <c r="F1164" s="32"/>
      <c r="G1164" s="35" t="n">
        <f aca="false">IF(A1164="","",A1164+7-WEEKDAY(A1164))</f>
        <v>46270</v>
      </c>
      <c r="H1164" s="36" t="n">
        <f aca="false">IF(A1164="","",DATE(YEAR(A1164),MONTH(A1164),1))</f>
        <v>46235</v>
      </c>
      <c r="I1164" s="37" t="str">
        <f aca="false">IF(B1164="","",IFERROR(INDEX(st_ID,MATCH(B1164,st_Name,0)),"Unknown"))</f>
        <v>QP-07</v>
      </c>
      <c r="J1164" s="37" t="str">
        <f aca="false">IF(C1164="","",IFERROR(INDEX(cl_Code,MATCH(C1164,cl_Name,0)),"Unknown"))</f>
        <v/>
      </c>
      <c r="K1164" s="37" t="str">
        <f aca="false">IF(D1164="","",IFERROR(INDEX(rt_Billable,MATCH(D1164,rt_Code,0)),"Unknown"))</f>
        <v>No</v>
      </c>
      <c r="L1164" s="38" t="str">
        <f aca="false">IF(K1164&lt;&gt;"Yes","",IFERROR(INDEX(cr_Rate,MATCH(J1164&amp;"|"&amp;D1164,cr_Key,0)),INDEX(rt_Rate,MATCH(D1164,rt_Code,0))))</f>
        <v/>
      </c>
      <c r="M1164" s="25" t="str">
        <f aca="false">IF(L1164="","",ROUND(N(E1164)*L1164,2))</f>
        <v/>
      </c>
      <c r="N1164" s="39" t="n">
        <f aca="false">IF(OR(A1164="",B1164=""),"",SUMIFS(tl_Hours,tl_StaffID,I1164,tl_Date,A1164))</f>
        <v>8.5</v>
      </c>
      <c r="O1164" s="40" t="str">
        <f aca="false">IF(A1164&amp;B1164&amp;D1164="","",IF(OR(A1164="",B1164="",D1164="",E1164=""),"Incomplete",IF(K1164="Unknown","Unknown code",IF(AND(K1164="Yes",C1164=""),"Billable, needs client",IF(N1164&gt;MaxDayHours,"Over "&amp;MaxDayHours&amp;" hours that day","")))))</f>
        <v/>
      </c>
    </row>
    <row r="1165" customFormat="false" ht="15" hidden="false" customHeight="false" outlineLevel="0" collapsed="false">
      <c r="A1165" s="31" t="n">
        <v>46265</v>
      </c>
      <c r="B1165" s="32" t="s">
        <v>106</v>
      </c>
      <c r="C1165" s="32"/>
      <c r="D1165" s="33" t="s">
        <v>94</v>
      </c>
      <c r="E1165" s="34" t="n">
        <v>1.5</v>
      </c>
      <c r="F1165" s="32" t="s">
        <v>95</v>
      </c>
      <c r="G1165" s="35" t="n">
        <f aca="false">IF(A1165="","",A1165+7-WEEKDAY(A1165))</f>
        <v>46270</v>
      </c>
      <c r="H1165" s="36" t="n">
        <f aca="false">IF(A1165="","",DATE(YEAR(A1165),MONTH(A1165),1))</f>
        <v>46235</v>
      </c>
      <c r="I1165" s="37" t="str">
        <f aca="false">IF(B1165="","",IFERROR(INDEX(st_ID,MATCH(B1165,st_Name,0)),"Unknown"))</f>
        <v>QP-07</v>
      </c>
      <c r="J1165" s="37" t="str">
        <f aca="false">IF(C1165="","",IFERROR(INDEX(cl_Code,MATCH(C1165,cl_Name,0)),"Unknown"))</f>
        <v/>
      </c>
      <c r="K1165" s="37" t="str">
        <f aca="false">IF(D1165="","",IFERROR(INDEX(rt_Billable,MATCH(D1165,rt_Code,0)),"Unknown"))</f>
        <v>No</v>
      </c>
      <c r="L1165" s="38" t="str">
        <f aca="false">IF(K1165&lt;&gt;"Yes","",IFERROR(INDEX(cr_Rate,MATCH(J1165&amp;"|"&amp;D1165,cr_Key,0)),INDEX(rt_Rate,MATCH(D1165,rt_Code,0))))</f>
        <v/>
      </c>
      <c r="M1165" s="25" t="str">
        <f aca="false">IF(L1165="","",ROUND(N(E1165)*L1165,2))</f>
        <v/>
      </c>
      <c r="N1165" s="39" t="n">
        <f aca="false">IF(OR(A1165="",B1165=""),"",SUMIFS(tl_Hours,tl_StaffID,I1165,tl_Date,A1165))</f>
        <v>8.5</v>
      </c>
      <c r="O1165" s="40" t="str">
        <f aca="false">IF(A1165&amp;B1165&amp;D1165="","",IF(OR(A1165="",B1165="",D1165="",E1165=""),"Incomplete",IF(K1165="Unknown","Unknown code",IF(AND(K1165="Yes",C1165=""),"Billable, needs client",IF(N1165&gt;MaxDayHours,"Over "&amp;MaxDayHours&amp;" hours that day","")))))</f>
        <v/>
      </c>
    </row>
    <row r="1166" customFormat="false" ht="15" hidden="false" customHeight="false" outlineLevel="0" collapsed="false">
      <c r="A1166" s="31" t="n">
        <v>46265</v>
      </c>
      <c r="B1166" s="32" t="s">
        <v>106</v>
      </c>
      <c r="C1166" s="32"/>
      <c r="D1166" s="33" t="s">
        <v>96</v>
      </c>
      <c r="E1166" s="34" t="n">
        <v>0.5</v>
      </c>
      <c r="F1166" s="32"/>
      <c r="G1166" s="35" t="n">
        <f aca="false">IF(A1166="","",A1166+7-WEEKDAY(A1166))</f>
        <v>46270</v>
      </c>
      <c r="H1166" s="36" t="n">
        <f aca="false">IF(A1166="","",DATE(YEAR(A1166),MONTH(A1166),1))</f>
        <v>46235</v>
      </c>
      <c r="I1166" s="37" t="str">
        <f aca="false">IF(B1166="","",IFERROR(INDEX(st_ID,MATCH(B1166,st_Name,0)),"Unknown"))</f>
        <v>QP-07</v>
      </c>
      <c r="J1166" s="37" t="str">
        <f aca="false">IF(C1166="","",IFERROR(INDEX(cl_Code,MATCH(C1166,cl_Name,0)),"Unknown"))</f>
        <v/>
      </c>
      <c r="K1166" s="37" t="str">
        <f aca="false">IF(D1166="","",IFERROR(INDEX(rt_Billable,MATCH(D1166,rt_Code,0)),"Unknown"))</f>
        <v>No</v>
      </c>
      <c r="L1166" s="38" t="str">
        <f aca="false">IF(K1166&lt;&gt;"Yes","",IFERROR(INDEX(cr_Rate,MATCH(J1166&amp;"|"&amp;D1166,cr_Key,0)),INDEX(rt_Rate,MATCH(D1166,rt_Code,0))))</f>
        <v/>
      </c>
      <c r="M1166" s="25" t="str">
        <f aca="false">IF(L1166="","",ROUND(N(E1166)*L1166,2))</f>
        <v/>
      </c>
      <c r="N1166" s="39" t="n">
        <f aca="false">IF(OR(A1166="",B1166=""),"",SUMIFS(tl_Hours,tl_StaffID,I1166,tl_Date,A1166))</f>
        <v>8.5</v>
      </c>
      <c r="O1166" s="40" t="str">
        <f aca="false">IF(A1166&amp;B1166&amp;D1166="","",IF(OR(A1166="",B1166="",D1166="",E1166=""),"Incomplete",IF(K1166="Unknown","Unknown code",IF(AND(K1166="Yes",C1166=""),"Billable, needs client",IF(N1166&gt;MaxDayHours,"Over "&amp;MaxDayHours&amp;" hours that day","")))))</f>
        <v/>
      </c>
    </row>
    <row r="1167" customFormat="false" ht="15" hidden="false" customHeight="false" outlineLevel="0" collapsed="false">
      <c r="A1167" s="31" t="n">
        <v>46265</v>
      </c>
      <c r="B1167" s="32" t="s">
        <v>107</v>
      </c>
      <c r="C1167" s="32"/>
      <c r="D1167" s="33" t="s">
        <v>108</v>
      </c>
      <c r="E1167" s="34" t="n">
        <v>6</v>
      </c>
      <c r="F1167" s="32"/>
      <c r="G1167" s="35" t="n">
        <f aca="false">IF(A1167="","",A1167+7-WEEKDAY(A1167))</f>
        <v>46270</v>
      </c>
      <c r="H1167" s="36" t="n">
        <f aca="false">IF(A1167="","",DATE(YEAR(A1167),MONTH(A1167),1))</f>
        <v>46235</v>
      </c>
      <c r="I1167" s="37" t="str">
        <f aca="false">IF(B1167="","",IFERROR(INDEX(st_ID,MATCH(B1167,st_Name,0)),"Unknown"))</f>
        <v>QP-08</v>
      </c>
      <c r="J1167" s="37" t="str">
        <f aca="false">IF(C1167="","",IFERROR(INDEX(cl_Code,MATCH(C1167,cl_Name,0)),"Unknown"))</f>
        <v/>
      </c>
      <c r="K1167" s="37" t="str">
        <f aca="false">IF(D1167="","",IFERROR(INDEX(rt_Billable,MATCH(D1167,rt_Code,0)),"Unknown"))</f>
        <v>No</v>
      </c>
      <c r="L1167" s="38" t="str">
        <f aca="false">IF(K1167&lt;&gt;"Yes","",IFERROR(INDEX(cr_Rate,MATCH(J1167&amp;"|"&amp;D1167,cr_Key,0)),INDEX(rt_Rate,MATCH(D1167,rt_Code,0))))</f>
        <v/>
      </c>
      <c r="M1167" s="25" t="str">
        <f aca="false">IF(L1167="","",ROUND(N(E1167)*L1167,2))</f>
        <v/>
      </c>
      <c r="N1167" s="39" t="n">
        <f aca="false">IF(OR(A1167="",B1167=""),"",SUMIFS(tl_Hours,tl_StaffID,I1167,tl_Date,A1167))</f>
        <v>8</v>
      </c>
      <c r="O1167" s="40" t="str">
        <f aca="false">IF(A1167&amp;B1167&amp;D1167="","",IF(OR(A1167="",B1167="",D1167="",E1167=""),"Incomplete",IF(K1167="Unknown","Unknown code",IF(AND(K1167="Yes",C1167=""),"Billable, needs client",IF(N1167&gt;MaxDayHours,"Over "&amp;MaxDayHours&amp;" hours that day","")))))</f>
        <v/>
      </c>
    </row>
    <row r="1168" customFormat="false" ht="15" hidden="false" customHeight="false" outlineLevel="0" collapsed="false">
      <c r="A1168" s="31" t="n">
        <v>46265</v>
      </c>
      <c r="B1168" s="32" t="s">
        <v>107</v>
      </c>
      <c r="C1168" s="32"/>
      <c r="D1168" s="33" t="s">
        <v>98</v>
      </c>
      <c r="E1168" s="34" t="n">
        <v>2</v>
      </c>
      <c r="F1168" s="32"/>
      <c r="G1168" s="35" t="n">
        <f aca="false">IF(A1168="","",A1168+7-WEEKDAY(A1168))</f>
        <v>46270</v>
      </c>
      <c r="H1168" s="36" t="n">
        <f aca="false">IF(A1168="","",DATE(YEAR(A1168),MONTH(A1168),1))</f>
        <v>46235</v>
      </c>
      <c r="I1168" s="37" t="str">
        <f aca="false">IF(B1168="","",IFERROR(INDEX(st_ID,MATCH(B1168,st_Name,0)),"Unknown"))</f>
        <v>QP-08</v>
      </c>
      <c r="J1168" s="37" t="str">
        <f aca="false">IF(C1168="","",IFERROR(INDEX(cl_Code,MATCH(C1168,cl_Name,0)),"Unknown"))</f>
        <v/>
      </c>
      <c r="K1168" s="37" t="str">
        <f aca="false">IF(D1168="","",IFERROR(INDEX(rt_Billable,MATCH(D1168,rt_Code,0)),"Unknown"))</f>
        <v>No</v>
      </c>
      <c r="L1168" s="38" t="str">
        <f aca="false">IF(K1168&lt;&gt;"Yes","",IFERROR(INDEX(cr_Rate,MATCH(J1168&amp;"|"&amp;D1168,cr_Key,0)),INDEX(rt_Rate,MATCH(D1168,rt_Code,0))))</f>
        <v/>
      </c>
      <c r="M1168" s="25" t="str">
        <f aca="false">IF(L1168="","",ROUND(N(E1168)*L1168,2))</f>
        <v/>
      </c>
      <c r="N1168" s="39" t="n">
        <f aca="false">IF(OR(A1168="",B1168=""),"",SUMIFS(tl_Hours,tl_StaffID,I1168,tl_Date,A1168))</f>
        <v>8</v>
      </c>
      <c r="O1168" s="40" t="str">
        <f aca="false">IF(A1168&amp;B1168&amp;D1168="","",IF(OR(A1168="",B1168="",D1168="",E1168=""),"Incomplete",IF(K1168="Unknown","Unknown code",IF(AND(K1168="Yes",C1168=""),"Billable, needs client",IF(N1168&gt;MaxDayHours,"Over "&amp;MaxDayHours&amp;" hours that day","")))))</f>
        <v/>
      </c>
    </row>
    <row r="1169" customFormat="false" ht="15" hidden="false" customHeight="false" outlineLevel="0" collapsed="false">
      <c r="A1169" s="31" t="n">
        <v>46266</v>
      </c>
      <c r="B1169" s="32" t="s">
        <v>86</v>
      </c>
      <c r="C1169" s="32" t="s">
        <v>87</v>
      </c>
      <c r="D1169" s="33" t="s">
        <v>88</v>
      </c>
      <c r="E1169" s="34" t="n">
        <v>2.25</v>
      </c>
      <c r="F1169" s="32"/>
      <c r="G1169" s="35" t="n">
        <f aca="false">IF(A1169="","",A1169+7-WEEKDAY(A1169))</f>
        <v>46270</v>
      </c>
      <c r="H1169" s="36" t="n">
        <f aca="false">IF(A1169="","",DATE(YEAR(A1169),MONTH(A1169),1))</f>
        <v>46266</v>
      </c>
      <c r="I1169" s="37" t="str">
        <f aca="false">IF(B1169="","",IFERROR(INDEX(st_ID,MATCH(B1169,st_Name,0)),"Unknown"))</f>
        <v>QP-01</v>
      </c>
      <c r="J1169" s="37" t="str">
        <f aca="false">IF(C1169="","",IFERROR(INDEX(cl_Code,MATCH(C1169,cl_Name,0)),"Unknown"))</f>
        <v>HCS</v>
      </c>
      <c r="K1169" s="37" t="str">
        <f aca="false">IF(D1169="","",IFERROR(INDEX(rt_Billable,MATCH(D1169,rt_Code,0)),"Unknown"))</f>
        <v>Yes</v>
      </c>
      <c r="L1169" s="38" t="n">
        <f aca="false">IF(K1169&lt;&gt;"Yes","",IFERROR(INDEX(cr_Rate,MATCH(J1169&amp;"|"&amp;D1169,cr_Key,0)),INDEX(rt_Rate,MATCH(D1169,rt_Code,0))))</f>
        <v>98</v>
      </c>
      <c r="M1169" s="25" t="n">
        <f aca="false">IF(L1169="","",ROUND(N(E1169)*L1169,2))</f>
        <v>220.5</v>
      </c>
      <c r="N1169" s="39" t="n">
        <f aca="false">IF(OR(A1169="",B1169=""),"",SUMIFS(tl_Hours,tl_StaffID,I1169,tl_Date,A1169))</f>
        <v>8</v>
      </c>
      <c r="O1169" s="40" t="str">
        <f aca="false">IF(A1169&amp;B1169&amp;D1169="","",IF(OR(A1169="",B1169="",D1169="",E1169=""),"Incomplete",IF(K1169="Unknown","Unknown code",IF(AND(K1169="Yes",C1169=""),"Billable, needs client",IF(N1169&gt;MaxDayHours,"Over "&amp;MaxDayHours&amp;" hours that day","")))))</f>
        <v/>
      </c>
    </row>
    <row r="1170" customFormat="false" ht="15" hidden="false" customHeight="false" outlineLevel="0" collapsed="false">
      <c r="A1170" s="31" t="n">
        <v>46266</v>
      </c>
      <c r="B1170" s="32" t="s">
        <v>86</v>
      </c>
      <c r="C1170" s="32" t="s">
        <v>87</v>
      </c>
      <c r="D1170" s="33" t="s">
        <v>89</v>
      </c>
      <c r="E1170" s="34" t="n">
        <v>0.5</v>
      </c>
      <c r="F1170" s="32"/>
      <c r="G1170" s="35" t="n">
        <f aca="false">IF(A1170="","",A1170+7-WEEKDAY(A1170))</f>
        <v>46270</v>
      </c>
      <c r="H1170" s="36" t="n">
        <f aca="false">IF(A1170="","",DATE(YEAR(A1170),MONTH(A1170),1))</f>
        <v>46266</v>
      </c>
      <c r="I1170" s="37" t="str">
        <f aca="false">IF(B1170="","",IFERROR(INDEX(st_ID,MATCH(B1170,st_Name,0)),"Unknown"))</f>
        <v>QP-01</v>
      </c>
      <c r="J1170" s="37" t="str">
        <f aca="false">IF(C1170="","",IFERROR(INDEX(cl_Code,MATCH(C1170,cl_Name,0)),"Unknown"))</f>
        <v>HCS</v>
      </c>
      <c r="K1170" s="37" t="str">
        <f aca="false">IF(D1170="","",IFERROR(INDEX(rt_Billable,MATCH(D1170,rt_Code,0)),"Unknown"))</f>
        <v>Yes</v>
      </c>
      <c r="L1170" s="38" t="n">
        <f aca="false">IF(K1170&lt;&gt;"Yes","",IFERROR(INDEX(cr_Rate,MATCH(J1170&amp;"|"&amp;D1170,cr_Key,0)),INDEX(rt_Rate,MATCH(D1170,rt_Code,0))))</f>
        <v>88</v>
      </c>
      <c r="M1170" s="25" t="n">
        <f aca="false">IF(L1170="","",ROUND(N(E1170)*L1170,2))</f>
        <v>44</v>
      </c>
      <c r="N1170" s="39" t="n">
        <f aca="false">IF(OR(A1170="",B1170=""),"",SUMIFS(tl_Hours,tl_StaffID,I1170,tl_Date,A1170))</f>
        <v>8</v>
      </c>
      <c r="O1170" s="40" t="str">
        <f aca="false">IF(A1170&amp;B1170&amp;D1170="","",IF(OR(A1170="",B1170="",D1170="",E1170=""),"Incomplete",IF(K1170="Unknown","Unknown code",IF(AND(K1170="Yes",C1170=""),"Billable, needs client",IF(N1170&gt;MaxDayHours,"Over "&amp;MaxDayHours&amp;" hours that day","")))))</f>
        <v/>
      </c>
    </row>
    <row r="1171" customFormat="false" ht="15" hidden="false" customHeight="false" outlineLevel="0" collapsed="false">
      <c r="A1171" s="31" t="n">
        <v>46266</v>
      </c>
      <c r="B1171" s="32" t="s">
        <v>86</v>
      </c>
      <c r="C1171" s="32" t="s">
        <v>112</v>
      </c>
      <c r="D1171" s="33" t="s">
        <v>88</v>
      </c>
      <c r="E1171" s="34" t="n">
        <v>1.75</v>
      </c>
      <c r="F1171" s="32"/>
      <c r="G1171" s="35" t="n">
        <f aca="false">IF(A1171="","",A1171+7-WEEKDAY(A1171))</f>
        <v>46270</v>
      </c>
      <c r="H1171" s="36" t="n">
        <f aca="false">IF(A1171="","",DATE(YEAR(A1171),MONTH(A1171),1))</f>
        <v>46266</v>
      </c>
      <c r="I1171" s="37" t="str">
        <f aca="false">IF(B1171="","",IFERROR(INDEX(st_ID,MATCH(B1171,st_Name,0)),"Unknown"))</f>
        <v>QP-01</v>
      </c>
      <c r="J1171" s="37" t="str">
        <f aca="false">IF(C1171="","",IFERROR(INDEX(cl_Code,MATCH(C1171,cl_Name,0)),"Unknown"))</f>
        <v>PCA</v>
      </c>
      <c r="K1171" s="37" t="str">
        <f aca="false">IF(D1171="","",IFERROR(INDEX(rt_Billable,MATCH(D1171,rt_Code,0)),"Unknown"))</f>
        <v>Yes</v>
      </c>
      <c r="L1171" s="38" t="n">
        <f aca="false">IF(K1171&lt;&gt;"Yes","",IFERROR(INDEX(cr_Rate,MATCH(J1171&amp;"|"&amp;D1171,cr_Key,0)),INDEX(rt_Rate,MATCH(D1171,rt_Code,0))))</f>
        <v>110</v>
      </c>
      <c r="M1171" s="25" t="n">
        <f aca="false">IF(L1171="","",ROUND(N(E1171)*L1171,2))</f>
        <v>192.5</v>
      </c>
      <c r="N1171" s="39" t="n">
        <f aca="false">IF(OR(A1171="",B1171=""),"",SUMIFS(tl_Hours,tl_StaffID,I1171,tl_Date,A1171))</f>
        <v>8</v>
      </c>
      <c r="O1171" s="40" t="str">
        <f aca="false">IF(A1171&amp;B1171&amp;D1171="","",IF(OR(A1171="",B1171="",D1171="",E1171=""),"Incomplete",IF(K1171="Unknown","Unknown code",IF(AND(K1171="Yes",C1171=""),"Billable, needs client",IF(N1171&gt;MaxDayHours,"Over "&amp;MaxDayHours&amp;" hours that day","")))))</f>
        <v/>
      </c>
    </row>
    <row r="1172" customFormat="false" ht="15" hidden="false" customHeight="false" outlineLevel="0" collapsed="false">
      <c r="A1172" s="31" t="n">
        <v>46266</v>
      </c>
      <c r="B1172" s="32" t="s">
        <v>86</v>
      </c>
      <c r="C1172" s="32" t="s">
        <v>112</v>
      </c>
      <c r="D1172" s="33" t="s">
        <v>92</v>
      </c>
      <c r="E1172" s="34" t="n">
        <v>1</v>
      </c>
      <c r="F1172" s="32"/>
      <c r="G1172" s="35" t="n">
        <f aca="false">IF(A1172="","",A1172+7-WEEKDAY(A1172))</f>
        <v>46270</v>
      </c>
      <c r="H1172" s="36" t="n">
        <f aca="false">IF(A1172="","",DATE(YEAR(A1172),MONTH(A1172),1))</f>
        <v>46266</v>
      </c>
      <c r="I1172" s="37" t="str">
        <f aca="false">IF(B1172="","",IFERROR(INDEX(st_ID,MATCH(B1172,st_Name,0)),"Unknown"))</f>
        <v>QP-01</v>
      </c>
      <c r="J1172" s="37" t="str">
        <f aca="false">IF(C1172="","",IFERROR(INDEX(cl_Code,MATCH(C1172,cl_Name,0)),"Unknown"))</f>
        <v>PCA</v>
      </c>
      <c r="K1172" s="37" t="str">
        <f aca="false">IF(D1172="","",IFERROR(INDEX(rt_Billable,MATCH(D1172,rt_Code,0)),"Unknown"))</f>
        <v>Yes</v>
      </c>
      <c r="L1172" s="38" t="n">
        <f aca="false">IF(K1172&lt;&gt;"Yes","",IFERROR(INDEX(cr_Rate,MATCH(J1172&amp;"|"&amp;D1172,cr_Key,0)),INDEX(rt_Rate,MATCH(D1172,rt_Code,0))))</f>
        <v>150</v>
      </c>
      <c r="M1172" s="25" t="n">
        <f aca="false">IF(L1172="","",ROUND(N(E1172)*L1172,2))</f>
        <v>150</v>
      </c>
      <c r="N1172" s="39" t="n">
        <f aca="false">IF(OR(A1172="",B1172=""),"",SUMIFS(tl_Hours,tl_StaffID,I1172,tl_Date,A1172))</f>
        <v>8</v>
      </c>
      <c r="O1172" s="40" t="str">
        <f aca="false">IF(A1172&amp;B1172&amp;D1172="","",IF(OR(A1172="",B1172="",D1172="",E1172=""),"Incomplete",IF(K1172="Unknown","Unknown code",IF(AND(K1172="Yes",C1172=""),"Billable, needs client",IF(N1172&gt;MaxDayHours,"Over "&amp;MaxDayHours&amp;" hours that day","")))))</f>
        <v/>
      </c>
    </row>
    <row r="1173" customFormat="false" ht="15" hidden="false" customHeight="false" outlineLevel="0" collapsed="false">
      <c r="A1173" s="31" t="n">
        <v>46266</v>
      </c>
      <c r="B1173" s="32" t="s">
        <v>86</v>
      </c>
      <c r="C1173" s="32"/>
      <c r="D1173" s="33" t="s">
        <v>93</v>
      </c>
      <c r="E1173" s="34" t="n">
        <v>0.5</v>
      </c>
      <c r="F1173" s="32"/>
      <c r="G1173" s="35" t="n">
        <f aca="false">IF(A1173="","",A1173+7-WEEKDAY(A1173))</f>
        <v>46270</v>
      </c>
      <c r="H1173" s="36" t="n">
        <f aca="false">IF(A1173="","",DATE(YEAR(A1173),MONTH(A1173),1))</f>
        <v>46266</v>
      </c>
      <c r="I1173" s="37" t="str">
        <f aca="false">IF(B1173="","",IFERROR(INDEX(st_ID,MATCH(B1173,st_Name,0)),"Unknown"))</f>
        <v>QP-01</v>
      </c>
      <c r="J1173" s="37" t="str">
        <f aca="false">IF(C1173="","",IFERROR(INDEX(cl_Code,MATCH(C1173,cl_Name,0)),"Unknown"))</f>
        <v/>
      </c>
      <c r="K1173" s="37" t="str">
        <f aca="false">IF(D1173="","",IFERROR(INDEX(rt_Billable,MATCH(D1173,rt_Code,0)),"Unknown"))</f>
        <v>No</v>
      </c>
      <c r="L1173" s="38" t="str">
        <f aca="false">IF(K1173&lt;&gt;"Yes","",IFERROR(INDEX(cr_Rate,MATCH(J1173&amp;"|"&amp;D1173,cr_Key,0)),INDEX(rt_Rate,MATCH(D1173,rt_Code,0))))</f>
        <v/>
      </c>
      <c r="M1173" s="25" t="str">
        <f aca="false">IF(L1173="","",ROUND(N(E1173)*L1173,2))</f>
        <v/>
      </c>
      <c r="N1173" s="39" t="n">
        <f aca="false">IF(OR(A1173="",B1173=""),"",SUMIFS(tl_Hours,tl_StaffID,I1173,tl_Date,A1173))</f>
        <v>8</v>
      </c>
      <c r="O1173" s="40" t="str">
        <f aca="false">IF(A1173&amp;B1173&amp;D1173="","",IF(OR(A1173="",B1173="",D1173="",E1173=""),"Incomplete",IF(K1173="Unknown","Unknown code",IF(AND(K1173="Yes",C1173=""),"Billable, needs client",IF(N1173&gt;MaxDayHours,"Over "&amp;MaxDayHours&amp;" hours that day","")))))</f>
        <v/>
      </c>
    </row>
    <row r="1174" customFormat="false" ht="15" hidden="false" customHeight="false" outlineLevel="0" collapsed="false">
      <c r="A1174" s="31" t="n">
        <v>46266</v>
      </c>
      <c r="B1174" s="32" t="s">
        <v>86</v>
      </c>
      <c r="C1174" s="32"/>
      <c r="D1174" s="33" t="s">
        <v>94</v>
      </c>
      <c r="E1174" s="34" t="n">
        <v>1.5</v>
      </c>
      <c r="F1174" s="32" t="s">
        <v>95</v>
      </c>
      <c r="G1174" s="35" t="n">
        <f aca="false">IF(A1174="","",A1174+7-WEEKDAY(A1174))</f>
        <v>46270</v>
      </c>
      <c r="H1174" s="36" t="n">
        <f aca="false">IF(A1174="","",DATE(YEAR(A1174),MONTH(A1174),1))</f>
        <v>46266</v>
      </c>
      <c r="I1174" s="37" t="str">
        <f aca="false">IF(B1174="","",IFERROR(INDEX(st_ID,MATCH(B1174,st_Name,0)),"Unknown"))</f>
        <v>QP-01</v>
      </c>
      <c r="J1174" s="37" t="str">
        <f aca="false">IF(C1174="","",IFERROR(INDEX(cl_Code,MATCH(C1174,cl_Name,0)),"Unknown"))</f>
        <v/>
      </c>
      <c r="K1174" s="37" t="str">
        <f aca="false">IF(D1174="","",IFERROR(INDEX(rt_Billable,MATCH(D1174,rt_Code,0)),"Unknown"))</f>
        <v>No</v>
      </c>
      <c r="L1174" s="38" t="str">
        <f aca="false">IF(K1174&lt;&gt;"Yes","",IFERROR(INDEX(cr_Rate,MATCH(J1174&amp;"|"&amp;D1174,cr_Key,0)),INDEX(rt_Rate,MATCH(D1174,rt_Code,0))))</f>
        <v/>
      </c>
      <c r="M1174" s="25" t="str">
        <f aca="false">IF(L1174="","",ROUND(N(E1174)*L1174,2))</f>
        <v/>
      </c>
      <c r="N1174" s="39" t="n">
        <f aca="false">IF(OR(A1174="",B1174=""),"",SUMIFS(tl_Hours,tl_StaffID,I1174,tl_Date,A1174))</f>
        <v>8</v>
      </c>
      <c r="O1174" s="40" t="str">
        <f aca="false">IF(A1174&amp;B1174&amp;D1174="","",IF(OR(A1174="",B1174="",D1174="",E1174=""),"Incomplete",IF(K1174="Unknown","Unknown code",IF(AND(K1174="Yes",C1174=""),"Billable, needs client",IF(N1174&gt;MaxDayHours,"Over "&amp;MaxDayHours&amp;" hours that day","")))))</f>
        <v/>
      </c>
    </row>
    <row r="1175" customFormat="false" ht="15" hidden="false" customHeight="false" outlineLevel="0" collapsed="false">
      <c r="A1175" s="31" t="n">
        <v>46266</v>
      </c>
      <c r="B1175" s="32" t="s">
        <v>86</v>
      </c>
      <c r="C1175" s="32"/>
      <c r="D1175" s="33" t="s">
        <v>96</v>
      </c>
      <c r="E1175" s="34" t="n">
        <v>0.5</v>
      </c>
      <c r="F1175" s="32"/>
      <c r="G1175" s="35" t="n">
        <f aca="false">IF(A1175="","",A1175+7-WEEKDAY(A1175))</f>
        <v>46270</v>
      </c>
      <c r="H1175" s="36" t="n">
        <f aca="false">IF(A1175="","",DATE(YEAR(A1175),MONTH(A1175),1))</f>
        <v>46266</v>
      </c>
      <c r="I1175" s="37" t="str">
        <f aca="false">IF(B1175="","",IFERROR(INDEX(st_ID,MATCH(B1175,st_Name,0)),"Unknown"))</f>
        <v>QP-01</v>
      </c>
      <c r="J1175" s="37" t="str">
        <f aca="false">IF(C1175="","",IFERROR(INDEX(cl_Code,MATCH(C1175,cl_Name,0)),"Unknown"))</f>
        <v/>
      </c>
      <c r="K1175" s="37" t="str">
        <f aca="false">IF(D1175="","",IFERROR(INDEX(rt_Billable,MATCH(D1175,rt_Code,0)),"Unknown"))</f>
        <v>No</v>
      </c>
      <c r="L1175" s="38" t="str">
        <f aca="false">IF(K1175&lt;&gt;"Yes","",IFERROR(INDEX(cr_Rate,MATCH(J1175&amp;"|"&amp;D1175,cr_Key,0)),INDEX(rt_Rate,MATCH(D1175,rt_Code,0))))</f>
        <v/>
      </c>
      <c r="M1175" s="25" t="str">
        <f aca="false">IF(L1175="","",ROUND(N(E1175)*L1175,2))</f>
        <v/>
      </c>
      <c r="N1175" s="39" t="n">
        <f aca="false">IF(OR(A1175="",B1175=""),"",SUMIFS(tl_Hours,tl_StaffID,I1175,tl_Date,A1175))</f>
        <v>8</v>
      </c>
      <c r="O1175" s="40" t="str">
        <f aca="false">IF(A1175&amp;B1175&amp;D1175="","",IF(OR(A1175="",B1175="",D1175="",E1175=""),"Incomplete",IF(K1175="Unknown","Unknown code",IF(AND(K1175="Yes",C1175=""),"Billable, needs client",IF(N1175&gt;MaxDayHours,"Over "&amp;MaxDayHours&amp;" hours that day","")))))</f>
        <v/>
      </c>
    </row>
    <row r="1176" customFormat="false" ht="15" hidden="false" customHeight="false" outlineLevel="0" collapsed="false">
      <c r="A1176" s="31" t="n">
        <v>46266</v>
      </c>
      <c r="B1176" s="32" t="s">
        <v>97</v>
      </c>
      <c r="C1176" s="32" t="s">
        <v>111</v>
      </c>
      <c r="D1176" s="33" t="s">
        <v>104</v>
      </c>
      <c r="E1176" s="34" t="n">
        <v>4.5</v>
      </c>
      <c r="F1176" s="32"/>
      <c r="G1176" s="35" t="n">
        <f aca="false">IF(A1176="","",A1176+7-WEEKDAY(A1176))</f>
        <v>46270</v>
      </c>
      <c r="H1176" s="36" t="n">
        <f aca="false">IF(A1176="","",DATE(YEAR(A1176),MONTH(A1176),1))</f>
        <v>46266</v>
      </c>
      <c r="I1176" s="37" t="str">
        <f aca="false">IF(B1176="","",IFERROR(INDEX(st_ID,MATCH(B1176,st_Name,0)),"Unknown"))</f>
        <v>QP-02</v>
      </c>
      <c r="J1176" s="37" t="str">
        <f aca="false">IF(C1176="","",IFERROR(INDEX(cl_Code,MATCH(C1176,cl_Name,0)),"Unknown"))</f>
        <v>WMS</v>
      </c>
      <c r="K1176" s="37" t="str">
        <f aca="false">IF(D1176="","",IFERROR(INDEX(rt_Billable,MATCH(D1176,rt_Code,0)),"Unknown"))</f>
        <v>Yes</v>
      </c>
      <c r="L1176" s="38" t="n">
        <f aca="false">IF(K1176&lt;&gt;"Yes","",IFERROR(INDEX(cr_Rate,MATCH(J1176&amp;"|"&amp;D1176,cr_Key,0)),INDEX(rt_Rate,MATCH(D1176,rt_Code,0))))</f>
        <v>70</v>
      </c>
      <c r="M1176" s="25" t="n">
        <f aca="false">IF(L1176="","",ROUND(N(E1176)*L1176,2))</f>
        <v>315</v>
      </c>
      <c r="N1176" s="39" t="n">
        <f aca="false">IF(OR(A1176="",B1176=""),"",SUMIFS(tl_Hours,tl_StaffID,I1176,tl_Date,A1176))</f>
        <v>8</v>
      </c>
      <c r="O1176" s="40" t="str">
        <f aca="false">IF(A1176&amp;B1176&amp;D1176="","",IF(OR(A1176="",B1176="",D1176="",E1176=""),"Incomplete",IF(K1176="Unknown","Unknown code",IF(AND(K1176="Yes",C1176=""),"Billable, needs client",IF(N1176&gt;MaxDayHours,"Over "&amp;MaxDayHours&amp;" hours that day","")))))</f>
        <v/>
      </c>
    </row>
    <row r="1177" customFormat="false" ht="15" hidden="false" customHeight="false" outlineLevel="0" collapsed="false">
      <c r="A1177" s="31" t="n">
        <v>46266</v>
      </c>
      <c r="B1177" s="32" t="s">
        <v>97</v>
      </c>
      <c r="C1177" s="32" t="s">
        <v>111</v>
      </c>
      <c r="D1177" s="33" t="s">
        <v>89</v>
      </c>
      <c r="E1177" s="34" t="n">
        <v>2</v>
      </c>
      <c r="F1177" s="32"/>
      <c r="G1177" s="35" t="n">
        <f aca="false">IF(A1177="","",A1177+7-WEEKDAY(A1177))</f>
        <v>46270</v>
      </c>
      <c r="H1177" s="36" t="n">
        <f aca="false">IF(A1177="","",DATE(YEAR(A1177),MONTH(A1177),1))</f>
        <v>46266</v>
      </c>
      <c r="I1177" s="37" t="str">
        <f aca="false">IF(B1177="","",IFERROR(INDEX(st_ID,MATCH(B1177,st_Name,0)),"Unknown"))</f>
        <v>QP-02</v>
      </c>
      <c r="J1177" s="37" t="str">
        <f aca="false">IF(C1177="","",IFERROR(INDEX(cl_Code,MATCH(C1177,cl_Name,0)),"Unknown"))</f>
        <v>WMS</v>
      </c>
      <c r="K1177" s="37" t="str">
        <f aca="false">IF(D1177="","",IFERROR(INDEX(rt_Billable,MATCH(D1177,rt_Code,0)),"Unknown"))</f>
        <v>Yes</v>
      </c>
      <c r="L1177" s="38" t="n">
        <f aca="false">IF(K1177&lt;&gt;"Yes","",IFERROR(INDEX(cr_Rate,MATCH(J1177&amp;"|"&amp;D1177,cr_Key,0)),INDEX(rt_Rate,MATCH(D1177,rt_Code,0))))</f>
        <v>95</v>
      </c>
      <c r="M1177" s="25" t="n">
        <f aca="false">IF(L1177="","",ROUND(N(E1177)*L1177,2))</f>
        <v>190</v>
      </c>
      <c r="N1177" s="39" t="n">
        <f aca="false">IF(OR(A1177="",B1177=""),"",SUMIFS(tl_Hours,tl_StaffID,I1177,tl_Date,A1177))</f>
        <v>8</v>
      </c>
      <c r="O1177" s="40" t="str">
        <f aca="false">IF(A1177&amp;B1177&amp;D1177="","",IF(OR(A1177="",B1177="",D1177="",E1177=""),"Incomplete",IF(K1177="Unknown","Unknown code",IF(AND(K1177="Yes",C1177=""),"Billable, needs client",IF(N1177&gt;MaxDayHours,"Over "&amp;MaxDayHours&amp;" hours that day","")))))</f>
        <v/>
      </c>
    </row>
    <row r="1178" customFormat="false" ht="15" hidden="false" customHeight="false" outlineLevel="0" collapsed="false">
      <c r="A1178" s="31" t="n">
        <v>46266</v>
      </c>
      <c r="B1178" s="32" t="s">
        <v>97</v>
      </c>
      <c r="C1178" s="32"/>
      <c r="D1178" s="33" t="s">
        <v>96</v>
      </c>
      <c r="E1178" s="34" t="n">
        <v>1.5</v>
      </c>
      <c r="F1178" s="32"/>
      <c r="G1178" s="35" t="n">
        <f aca="false">IF(A1178="","",A1178+7-WEEKDAY(A1178))</f>
        <v>46270</v>
      </c>
      <c r="H1178" s="36" t="n">
        <f aca="false">IF(A1178="","",DATE(YEAR(A1178),MONTH(A1178),1))</f>
        <v>46266</v>
      </c>
      <c r="I1178" s="37" t="str">
        <f aca="false">IF(B1178="","",IFERROR(INDEX(st_ID,MATCH(B1178,st_Name,0)),"Unknown"))</f>
        <v>QP-02</v>
      </c>
      <c r="J1178" s="37" t="str">
        <f aca="false">IF(C1178="","",IFERROR(INDEX(cl_Code,MATCH(C1178,cl_Name,0)),"Unknown"))</f>
        <v/>
      </c>
      <c r="K1178" s="37" t="str">
        <f aca="false">IF(D1178="","",IFERROR(INDEX(rt_Billable,MATCH(D1178,rt_Code,0)),"Unknown"))</f>
        <v>No</v>
      </c>
      <c r="L1178" s="38" t="str">
        <f aca="false">IF(K1178&lt;&gt;"Yes","",IFERROR(INDEX(cr_Rate,MATCH(J1178&amp;"|"&amp;D1178,cr_Key,0)),INDEX(rt_Rate,MATCH(D1178,rt_Code,0))))</f>
        <v/>
      </c>
      <c r="M1178" s="25" t="str">
        <f aca="false">IF(L1178="","",ROUND(N(E1178)*L1178,2))</f>
        <v/>
      </c>
      <c r="N1178" s="39" t="n">
        <f aca="false">IF(OR(A1178="",B1178=""),"",SUMIFS(tl_Hours,tl_StaffID,I1178,tl_Date,A1178))</f>
        <v>8</v>
      </c>
      <c r="O1178" s="40" t="str">
        <f aca="false">IF(A1178&amp;B1178&amp;D1178="","",IF(OR(A1178="",B1178="",D1178="",E1178=""),"Incomplete",IF(K1178="Unknown","Unknown code",IF(AND(K1178="Yes",C1178=""),"Billable, needs client",IF(N1178&gt;MaxDayHours,"Over "&amp;MaxDayHours&amp;" hours that day","")))))</f>
        <v/>
      </c>
    </row>
    <row r="1179" customFormat="false" ht="15" hidden="false" customHeight="false" outlineLevel="0" collapsed="false">
      <c r="A1179" s="31" t="n">
        <v>46266</v>
      </c>
      <c r="B1179" s="32" t="s">
        <v>100</v>
      </c>
      <c r="C1179" s="32" t="s">
        <v>90</v>
      </c>
      <c r="D1179" s="33" t="s">
        <v>91</v>
      </c>
      <c r="E1179" s="34" t="n">
        <v>4.5</v>
      </c>
      <c r="F1179" s="32"/>
      <c r="G1179" s="35" t="n">
        <f aca="false">IF(A1179="","",A1179+7-WEEKDAY(A1179))</f>
        <v>46270</v>
      </c>
      <c r="H1179" s="36" t="n">
        <f aca="false">IF(A1179="","",DATE(YEAR(A1179),MONTH(A1179),1))</f>
        <v>46266</v>
      </c>
      <c r="I1179" s="37" t="str">
        <f aca="false">IF(B1179="","",IFERROR(INDEX(st_ID,MATCH(B1179,st_Name,0)),"Unknown"))</f>
        <v>QP-03</v>
      </c>
      <c r="J1179" s="37" t="str">
        <f aca="false">IF(C1179="","",IFERROR(INDEX(cl_Code,MATCH(C1179,cl_Name,0)),"Unknown"))</f>
        <v>BSE</v>
      </c>
      <c r="K1179" s="37" t="str">
        <f aca="false">IF(D1179="","",IFERROR(INDEX(rt_Billable,MATCH(D1179,rt_Code,0)),"Unknown"))</f>
        <v>Yes</v>
      </c>
      <c r="L1179" s="38" t="n">
        <f aca="false">IF(K1179&lt;&gt;"Yes","",IFERROR(INDEX(cr_Rate,MATCH(J1179&amp;"|"&amp;D1179,cr_Key,0)),INDEX(rt_Rate,MATCH(D1179,rt_Code,0))))</f>
        <v>100</v>
      </c>
      <c r="M1179" s="25" t="n">
        <f aca="false">IF(L1179="","",ROUND(N(E1179)*L1179,2))</f>
        <v>450</v>
      </c>
      <c r="N1179" s="39" t="n">
        <f aca="false">IF(OR(A1179="",B1179=""),"",SUMIFS(tl_Hours,tl_StaffID,I1179,tl_Date,A1179))</f>
        <v>8</v>
      </c>
      <c r="O1179" s="40" t="str">
        <f aca="false">IF(A1179&amp;B1179&amp;D1179="","",IF(OR(A1179="",B1179="",D1179="",E1179=""),"Incomplete",IF(K1179="Unknown","Unknown code",IF(AND(K1179="Yes",C1179=""),"Billable, needs client",IF(N1179&gt;MaxDayHours,"Over "&amp;MaxDayHours&amp;" hours that day","")))))</f>
        <v/>
      </c>
    </row>
    <row r="1180" customFormat="false" ht="15" hidden="false" customHeight="false" outlineLevel="0" collapsed="false">
      <c r="A1180" s="31" t="n">
        <v>46266</v>
      </c>
      <c r="B1180" s="32" t="s">
        <v>100</v>
      </c>
      <c r="C1180" s="32" t="s">
        <v>90</v>
      </c>
      <c r="D1180" s="33" t="s">
        <v>88</v>
      </c>
      <c r="E1180" s="34" t="n">
        <v>1</v>
      </c>
      <c r="F1180" s="32"/>
      <c r="G1180" s="35" t="n">
        <f aca="false">IF(A1180="","",A1180+7-WEEKDAY(A1180))</f>
        <v>46270</v>
      </c>
      <c r="H1180" s="36" t="n">
        <f aca="false">IF(A1180="","",DATE(YEAR(A1180),MONTH(A1180),1))</f>
        <v>46266</v>
      </c>
      <c r="I1180" s="37" t="str">
        <f aca="false">IF(B1180="","",IFERROR(INDEX(st_ID,MATCH(B1180,st_Name,0)),"Unknown"))</f>
        <v>QP-03</v>
      </c>
      <c r="J1180" s="37" t="str">
        <f aca="false">IF(C1180="","",IFERROR(INDEX(cl_Code,MATCH(C1180,cl_Name,0)),"Unknown"))</f>
        <v>BSE</v>
      </c>
      <c r="K1180" s="37" t="str">
        <f aca="false">IF(D1180="","",IFERROR(INDEX(rt_Billable,MATCH(D1180,rt_Code,0)),"Unknown"))</f>
        <v>Yes</v>
      </c>
      <c r="L1180" s="38" t="n">
        <f aca="false">IF(K1180&lt;&gt;"Yes","",IFERROR(INDEX(cr_Rate,MATCH(J1180&amp;"|"&amp;D1180,cr_Key,0)),INDEX(rt_Rate,MATCH(D1180,rt_Code,0))))</f>
        <v>104</v>
      </c>
      <c r="M1180" s="25" t="n">
        <f aca="false">IF(L1180="","",ROUND(N(E1180)*L1180,2))</f>
        <v>104</v>
      </c>
      <c r="N1180" s="39" t="n">
        <f aca="false">IF(OR(A1180="",B1180=""),"",SUMIFS(tl_Hours,tl_StaffID,I1180,tl_Date,A1180))</f>
        <v>8</v>
      </c>
      <c r="O1180" s="40" t="str">
        <f aca="false">IF(A1180&amp;B1180&amp;D1180="","",IF(OR(A1180="",B1180="",D1180="",E1180=""),"Incomplete",IF(K1180="Unknown","Unknown code",IF(AND(K1180="Yes",C1180=""),"Billable, needs client",IF(N1180&gt;MaxDayHours,"Over "&amp;MaxDayHours&amp;" hours that day","")))))</f>
        <v/>
      </c>
    </row>
    <row r="1181" customFormat="false" ht="15" hidden="false" customHeight="false" outlineLevel="0" collapsed="false">
      <c r="A1181" s="31" t="n">
        <v>46266</v>
      </c>
      <c r="B1181" s="32" t="s">
        <v>100</v>
      </c>
      <c r="C1181" s="32"/>
      <c r="D1181" s="33" t="s">
        <v>96</v>
      </c>
      <c r="E1181" s="34" t="n">
        <v>2.5</v>
      </c>
      <c r="F1181" s="32"/>
      <c r="G1181" s="35" t="n">
        <f aca="false">IF(A1181="","",A1181+7-WEEKDAY(A1181))</f>
        <v>46270</v>
      </c>
      <c r="H1181" s="36" t="n">
        <f aca="false">IF(A1181="","",DATE(YEAR(A1181),MONTH(A1181),1))</f>
        <v>46266</v>
      </c>
      <c r="I1181" s="37" t="str">
        <f aca="false">IF(B1181="","",IFERROR(INDEX(st_ID,MATCH(B1181,st_Name,0)),"Unknown"))</f>
        <v>QP-03</v>
      </c>
      <c r="J1181" s="37" t="str">
        <f aca="false">IF(C1181="","",IFERROR(INDEX(cl_Code,MATCH(C1181,cl_Name,0)),"Unknown"))</f>
        <v/>
      </c>
      <c r="K1181" s="37" t="str">
        <f aca="false">IF(D1181="","",IFERROR(INDEX(rt_Billable,MATCH(D1181,rt_Code,0)),"Unknown"))</f>
        <v>No</v>
      </c>
      <c r="L1181" s="38" t="str">
        <f aca="false">IF(K1181&lt;&gt;"Yes","",IFERROR(INDEX(cr_Rate,MATCH(J1181&amp;"|"&amp;D1181,cr_Key,0)),INDEX(rt_Rate,MATCH(D1181,rt_Code,0))))</f>
        <v/>
      </c>
      <c r="M1181" s="25" t="str">
        <f aca="false">IF(L1181="","",ROUND(N(E1181)*L1181,2))</f>
        <v/>
      </c>
      <c r="N1181" s="39" t="n">
        <f aca="false">IF(OR(A1181="",B1181=""),"",SUMIFS(tl_Hours,tl_StaffID,I1181,tl_Date,A1181))</f>
        <v>8</v>
      </c>
      <c r="O1181" s="40" t="str">
        <f aca="false">IF(A1181&amp;B1181&amp;D1181="","",IF(OR(A1181="",B1181="",D1181="",E1181=""),"Incomplete",IF(K1181="Unknown","Unknown code",IF(AND(K1181="Yes",C1181=""),"Billable, needs client",IF(N1181&gt;MaxDayHours,"Over "&amp;MaxDayHours&amp;" hours that day","")))))</f>
        <v/>
      </c>
    </row>
    <row r="1182" customFormat="false" ht="15" hidden="false" customHeight="false" outlineLevel="0" collapsed="false">
      <c r="A1182" s="31" t="n">
        <v>46266</v>
      </c>
      <c r="B1182" s="32" t="s">
        <v>101</v>
      </c>
      <c r="C1182" s="32"/>
      <c r="D1182" s="33" t="s">
        <v>109</v>
      </c>
      <c r="E1182" s="34" t="n">
        <v>8</v>
      </c>
      <c r="F1182" s="32"/>
      <c r="G1182" s="35" t="n">
        <f aca="false">IF(A1182="","",A1182+7-WEEKDAY(A1182))</f>
        <v>46270</v>
      </c>
      <c r="H1182" s="36" t="n">
        <f aca="false">IF(A1182="","",DATE(YEAR(A1182),MONTH(A1182),1))</f>
        <v>46266</v>
      </c>
      <c r="I1182" s="37" t="str">
        <f aca="false">IF(B1182="","",IFERROR(INDEX(st_ID,MATCH(B1182,st_Name,0)),"Unknown"))</f>
        <v>QP-04</v>
      </c>
      <c r="J1182" s="37" t="str">
        <f aca="false">IF(C1182="","",IFERROR(INDEX(cl_Code,MATCH(C1182,cl_Name,0)),"Unknown"))</f>
        <v/>
      </c>
      <c r="K1182" s="37" t="str">
        <f aca="false">IF(D1182="","",IFERROR(INDEX(rt_Billable,MATCH(D1182,rt_Code,0)),"Unknown"))</f>
        <v>No</v>
      </c>
      <c r="L1182" s="38" t="str">
        <f aca="false">IF(K1182&lt;&gt;"Yes","",IFERROR(INDEX(cr_Rate,MATCH(J1182&amp;"|"&amp;D1182,cr_Key,0)),INDEX(rt_Rate,MATCH(D1182,rt_Code,0))))</f>
        <v/>
      </c>
      <c r="M1182" s="25" t="str">
        <f aca="false">IF(L1182="","",ROUND(N(E1182)*L1182,2))</f>
        <v/>
      </c>
      <c r="N1182" s="39" t="n">
        <f aca="false">IF(OR(A1182="",B1182=""),"",SUMIFS(tl_Hours,tl_StaffID,I1182,tl_Date,A1182))</f>
        <v>8</v>
      </c>
      <c r="O1182" s="40" t="str">
        <f aca="false">IF(A1182&amp;B1182&amp;D1182="","",IF(OR(A1182="",B1182="",D1182="",E1182=""),"Incomplete",IF(K1182="Unknown","Unknown code",IF(AND(K1182="Yes",C1182=""),"Billable, needs client",IF(N1182&gt;MaxDayHours,"Over "&amp;MaxDayHours&amp;" hours that day","")))))</f>
        <v/>
      </c>
    </row>
    <row r="1183" customFormat="false" ht="15" hidden="false" customHeight="false" outlineLevel="0" collapsed="false">
      <c r="A1183" s="31" t="n">
        <v>46266</v>
      </c>
      <c r="B1183" s="32" t="s">
        <v>103</v>
      </c>
      <c r="C1183" s="32" t="s">
        <v>87</v>
      </c>
      <c r="D1183" s="33" t="s">
        <v>88</v>
      </c>
      <c r="E1183" s="34" t="n">
        <v>3</v>
      </c>
      <c r="F1183" s="32"/>
      <c r="G1183" s="35" t="n">
        <f aca="false">IF(A1183="","",A1183+7-WEEKDAY(A1183))</f>
        <v>46270</v>
      </c>
      <c r="H1183" s="36" t="n">
        <f aca="false">IF(A1183="","",DATE(YEAR(A1183),MONTH(A1183),1))</f>
        <v>46266</v>
      </c>
      <c r="I1183" s="37" t="str">
        <f aca="false">IF(B1183="","",IFERROR(INDEX(st_ID,MATCH(B1183,st_Name,0)),"Unknown"))</f>
        <v>QP-05</v>
      </c>
      <c r="J1183" s="37" t="str">
        <f aca="false">IF(C1183="","",IFERROR(INDEX(cl_Code,MATCH(C1183,cl_Name,0)),"Unknown"))</f>
        <v>HCS</v>
      </c>
      <c r="K1183" s="37" t="str">
        <f aca="false">IF(D1183="","",IFERROR(INDEX(rt_Billable,MATCH(D1183,rt_Code,0)),"Unknown"))</f>
        <v>Yes</v>
      </c>
      <c r="L1183" s="38" t="n">
        <f aca="false">IF(K1183&lt;&gt;"Yes","",IFERROR(INDEX(cr_Rate,MATCH(J1183&amp;"|"&amp;D1183,cr_Key,0)),INDEX(rt_Rate,MATCH(D1183,rt_Code,0))))</f>
        <v>98</v>
      </c>
      <c r="M1183" s="25" t="n">
        <f aca="false">IF(L1183="","",ROUND(N(E1183)*L1183,2))</f>
        <v>294</v>
      </c>
      <c r="N1183" s="39" t="n">
        <f aca="false">IF(OR(A1183="",B1183=""),"",SUMIFS(tl_Hours,tl_StaffID,I1183,tl_Date,A1183))</f>
        <v>8</v>
      </c>
      <c r="O1183" s="40" t="str">
        <f aca="false">IF(A1183&amp;B1183&amp;D1183="","",IF(OR(A1183="",B1183="",D1183="",E1183=""),"Incomplete",IF(K1183="Unknown","Unknown code",IF(AND(K1183="Yes",C1183=""),"Billable, needs client",IF(N1183&gt;MaxDayHours,"Over "&amp;MaxDayHours&amp;" hours that day","")))))</f>
        <v/>
      </c>
    </row>
    <row r="1184" customFormat="false" ht="15" hidden="false" customHeight="false" outlineLevel="0" collapsed="false">
      <c r="A1184" s="31" t="n">
        <v>46266</v>
      </c>
      <c r="B1184" s="32" t="s">
        <v>103</v>
      </c>
      <c r="C1184" s="32" t="s">
        <v>87</v>
      </c>
      <c r="D1184" s="33" t="s">
        <v>89</v>
      </c>
      <c r="E1184" s="34" t="n">
        <v>2.5</v>
      </c>
      <c r="F1184" s="32"/>
      <c r="G1184" s="35" t="n">
        <f aca="false">IF(A1184="","",A1184+7-WEEKDAY(A1184))</f>
        <v>46270</v>
      </c>
      <c r="H1184" s="36" t="n">
        <f aca="false">IF(A1184="","",DATE(YEAR(A1184),MONTH(A1184),1))</f>
        <v>46266</v>
      </c>
      <c r="I1184" s="37" t="str">
        <f aca="false">IF(B1184="","",IFERROR(INDEX(st_ID,MATCH(B1184,st_Name,0)),"Unknown"))</f>
        <v>QP-05</v>
      </c>
      <c r="J1184" s="37" t="str">
        <f aca="false">IF(C1184="","",IFERROR(INDEX(cl_Code,MATCH(C1184,cl_Name,0)),"Unknown"))</f>
        <v>HCS</v>
      </c>
      <c r="K1184" s="37" t="str">
        <f aca="false">IF(D1184="","",IFERROR(INDEX(rt_Billable,MATCH(D1184,rt_Code,0)),"Unknown"))</f>
        <v>Yes</v>
      </c>
      <c r="L1184" s="38" t="n">
        <f aca="false">IF(K1184&lt;&gt;"Yes","",IFERROR(INDEX(cr_Rate,MATCH(J1184&amp;"|"&amp;D1184,cr_Key,0)),INDEX(rt_Rate,MATCH(D1184,rt_Code,0))))</f>
        <v>88</v>
      </c>
      <c r="M1184" s="25" t="n">
        <f aca="false">IF(L1184="","",ROUND(N(E1184)*L1184,2))</f>
        <v>220</v>
      </c>
      <c r="N1184" s="39" t="n">
        <f aca="false">IF(OR(A1184="",B1184=""),"",SUMIFS(tl_Hours,tl_StaffID,I1184,tl_Date,A1184))</f>
        <v>8</v>
      </c>
      <c r="O1184" s="40" t="str">
        <f aca="false">IF(A1184&amp;B1184&amp;D1184="","",IF(OR(A1184="",B1184="",D1184="",E1184=""),"Incomplete",IF(K1184="Unknown","Unknown code",IF(AND(K1184="Yes",C1184=""),"Billable, needs client",IF(N1184&gt;MaxDayHours,"Over "&amp;MaxDayHours&amp;" hours that day","")))))</f>
        <v/>
      </c>
    </row>
    <row r="1185" customFormat="false" ht="15" hidden="false" customHeight="false" outlineLevel="0" collapsed="false">
      <c r="A1185" s="31" t="n">
        <v>46266</v>
      </c>
      <c r="B1185" s="32" t="s">
        <v>103</v>
      </c>
      <c r="C1185" s="32"/>
      <c r="D1185" s="33" t="s">
        <v>96</v>
      </c>
      <c r="E1185" s="34" t="n">
        <v>2.5</v>
      </c>
      <c r="F1185" s="32"/>
      <c r="G1185" s="35" t="n">
        <f aca="false">IF(A1185="","",A1185+7-WEEKDAY(A1185))</f>
        <v>46270</v>
      </c>
      <c r="H1185" s="36" t="n">
        <f aca="false">IF(A1185="","",DATE(YEAR(A1185),MONTH(A1185),1))</f>
        <v>46266</v>
      </c>
      <c r="I1185" s="37" t="str">
        <f aca="false">IF(B1185="","",IFERROR(INDEX(st_ID,MATCH(B1185,st_Name,0)),"Unknown"))</f>
        <v>QP-05</v>
      </c>
      <c r="J1185" s="37" t="str">
        <f aca="false">IF(C1185="","",IFERROR(INDEX(cl_Code,MATCH(C1185,cl_Name,0)),"Unknown"))</f>
        <v/>
      </c>
      <c r="K1185" s="37" t="str">
        <f aca="false">IF(D1185="","",IFERROR(INDEX(rt_Billable,MATCH(D1185,rt_Code,0)),"Unknown"))</f>
        <v>No</v>
      </c>
      <c r="L1185" s="38" t="str">
        <f aca="false">IF(K1185&lt;&gt;"Yes","",IFERROR(INDEX(cr_Rate,MATCH(J1185&amp;"|"&amp;D1185,cr_Key,0)),INDEX(rt_Rate,MATCH(D1185,rt_Code,0))))</f>
        <v/>
      </c>
      <c r="M1185" s="25" t="str">
        <f aca="false">IF(L1185="","",ROUND(N(E1185)*L1185,2))</f>
        <v/>
      </c>
      <c r="N1185" s="39" t="n">
        <f aca="false">IF(OR(A1185="",B1185=""),"",SUMIFS(tl_Hours,tl_StaffID,I1185,tl_Date,A1185))</f>
        <v>8</v>
      </c>
      <c r="O1185" s="40" t="str">
        <f aca="false">IF(A1185&amp;B1185&amp;D1185="","",IF(OR(A1185="",B1185="",D1185="",E1185=""),"Incomplete",IF(K1185="Unknown","Unknown code",IF(AND(K1185="Yes",C1185=""),"Billable, needs client",IF(N1185&gt;MaxDayHours,"Over "&amp;MaxDayHours&amp;" hours that day","")))))</f>
        <v/>
      </c>
    </row>
    <row r="1186" customFormat="false" ht="15" hidden="false" customHeight="false" outlineLevel="0" collapsed="false">
      <c r="A1186" s="31" t="n">
        <v>46266</v>
      </c>
      <c r="B1186" s="32" t="s">
        <v>105</v>
      </c>
      <c r="C1186" s="32" t="s">
        <v>90</v>
      </c>
      <c r="D1186" s="33" t="s">
        <v>88</v>
      </c>
      <c r="E1186" s="34" t="n">
        <v>1.75</v>
      </c>
      <c r="F1186" s="32"/>
      <c r="G1186" s="35" t="n">
        <f aca="false">IF(A1186="","",A1186+7-WEEKDAY(A1186))</f>
        <v>46270</v>
      </c>
      <c r="H1186" s="36" t="n">
        <f aca="false">IF(A1186="","",DATE(YEAR(A1186),MONTH(A1186),1))</f>
        <v>46266</v>
      </c>
      <c r="I1186" s="37" t="str">
        <f aca="false">IF(B1186="","",IFERROR(INDEX(st_ID,MATCH(B1186,st_Name,0)),"Unknown"))</f>
        <v>QP-06</v>
      </c>
      <c r="J1186" s="37" t="str">
        <f aca="false">IF(C1186="","",IFERROR(INDEX(cl_Code,MATCH(C1186,cl_Name,0)),"Unknown"))</f>
        <v>BSE</v>
      </c>
      <c r="K1186" s="37" t="str">
        <f aca="false">IF(D1186="","",IFERROR(INDEX(rt_Billable,MATCH(D1186,rt_Code,0)),"Unknown"))</f>
        <v>Yes</v>
      </c>
      <c r="L1186" s="38" t="n">
        <f aca="false">IF(K1186&lt;&gt;"Yes","",IFERROR(INDEX(cr_Rate,MATCH(J1186&amp;"|"&amp;D1186,cr_Key,0)),INDEX(rt_Rate,MATCH(D1186,rt_Code,0))))</f>
        <v>104</v>
      </c>
      <c r="M1186" s="25" t="n">
        <f aca="false">IF(L1186="","",ROUND(N(E1186)*L1186,2))</f>
        <v>182</v>
      </c>
      <c r="N1186" s="39" t="n">
        <f aca="false">IF(OR(A1186="",B1186=""),"",SUMIFS(tl_Hours,tl_StaffID,I1186,tl_Date,A1186))</f>
        <v>8</v>
      </c>
      <c r="O1186" s="40" t="str">
        <f aca="false">IF(A1186&amp;B1186&amp;D1186="","",IF(OR(A1186="",B1186="",D1186="",E1186=""),"Incomplete",IF(K1186="Unknown","Unknown code",IF(AND(K1186="Yes",C1186=""),"Billable, needs client",IF(N1186&gt;MaxDayHours,"Over "&amp;MaxDayHours&amp;" hours that day","")))))</f>
        <v/>
      </c>
    </row>
    <row r="1187" customFormat="false" ht="15" hidden="false" customHeight="false" outlineLevel="0" collapsed="false">
      <c r="A1187" s="31" t="n">
        <v>46266</v>
      </c>
      <c r="B1187" s="32" t="s">
        <v>105</v>
      </c>
      <c r="C1187" s="32" t="s">
        <v>90</v>
      </c>
      <c r="D1187" s="33" t="s">
        <v>92</v>
      </c>
      <c r="E1187" s="34" t="n">
        <v>1.25</v>
      </c>
      <c r="F1187" s="32"/>
      <c r="G1187" s="35" t="n">
        <f aca="false">IF(A1187="","",A1187+7-WEEKDAY(A1187))</f>
        <v>46270</v>
      </c>
      <c r="H1187" s="36" t="n">
        <f aca="false">IF(A1187="","",DATE(YEAR(A1187),MONTH(A1187),1))</f>
        <v>46266</v>
      </c>
      <c r="I1187" s="37" t="str">
        <f aca="false">IF(B1187="","",IFERROR(INDEX(st_ID,MATCH(B1187,st_Name,0)),"Unknown"))</f>
        <v>QP-06</v>
      </c>
      <c r="J1187" s="37" t="str">
        <f aca="false">IF(C1187="","",IFERROR(INDEX(cl_Code,MATCH(C1187,cl_Name,0)),"Unknown"))</f>
        <v>BSE</v>
      </c>
      <c r="K1187" s="37" t="str">
        <f aca="false">IF(D1187="","",IFERROR(INDEX(rt_Billable,MATCH(D1187,rt_Code,0)),"Unknown"))</f>
        <v>Yes</v>
      </c>
      <c r="L1187" s="38" t="n">
        <f aca="false">IF(K1187&lt;&gt;"Yes","",IFERROR(INDEX(cr_Rate,MATCH(J1187&amp;"|"&amp;D1187,cr_Key,0)),INDEX(rt_Rate,MATCH(D1187,rt_Code,0))))</f>
        <v>145</v>
      </c>
      <c r="M1187" s="25" t="n">
        <f aca="false">IF(L1187="","",ROUND(N(E1187)*L1187,2))</f>
        <v>181.25</v>
      </c>
      <c r="N1187" s="39" t="n">
        <f aca="false">IF(OR(A1187="",B1187=""),"",SUMIFS(tl_Hours,tl_StaffID,I1187,tl_Date,A1187))</f>
        <v>8</v>
      </c>
      <c r="O1187" s="40" t="str">
        <f aca="false">IF(A1187&amp;B1187&amp;D1187="","",IF(OR(A1187="",B1187="",D1187="",E1187=""),"Incomplete",IF(K1187="Unknown","Unknown code",IF(AND(K1187="Yes",C1187=""),"Billable, needs client",IF(N1187&gt;MaxDayHours,"Over "&amp;MaxDayHours&amp;" hours that day","")))))</f>
        <v/>
      </c>
    </row>
    <row r="1188" customFormat="false" ht="15" hidden="false" customHeight="false" outlineLevel="0" collapsed="false">
      <c r="A1188" s="31" t="n">
        <v>46266</v>
      </c>
      <c r="B1188" s="32" t="s">
        <v>105</v>
      </c>
      <c r="C1188" s="32" t="s">
        <v>87</v>
      </c>
      <c r="D1188" s="33" t="s">
        <v>104</v>
      </c>
      <c r="E1188" s="34" t="n">
        <v>1.75</v>
      </c>
      <c r="F1188" s="32"/>
      <c r="G1188" s="35" t="n">
        <f aca="false">IF(A1188="","",A1188+7-WEEKDAY(A1188))</f>
        <v>46270</v>
      </c>
      <c r="H1188" s="36" t="n">
        <f aca="false">IF(A1188="","",DATE(YEAR(A1188),MONTH(A1188),1))</f>
        <v>46266</v>
      </c>
      <c r="I1188" s="37" t="str">
        <f aca="false">IF(B1188="","",IFERROR(INDEX(st_ID,MATCH(B1188,st_Name,0)),"Unknown"))</f>
        <v>QP-06</v>
      </c>
      <c r="J1188" s="37" t="str">
        <f aca="false">IF(C1188="","",IFERROR(INDEX(cl_Code,MATCH(C1188,cl_Name,0)),"Unknown"))</f>
        <v>HCS</v>
      </c>
      <c r="K1188" s="37" t="str">
        <f aca="false">IF(D1188="","",IFERROR(INDEX(rt_Billable,MATCH(D1188,rt_Code,0)),"Unknown"))</f>
        <v>Yes</v>
      </c>
      <c r="L1188" s="38" t="n">
        <f aca="false">IF(K1188&lt;&gt;"Yes","",IFERROR(INDEX(cr_Rate,MATCH(J1188&amp;"|"&amp;D1188,cr_Key,0)),INDEX(rt_Rate,MATCH(D1188,rt_Code,0))))</f>
        <v>62</v>
      </c>
      <c r="M1188" s="25" t="n">
        <f aca="false">IF(L1188="","",ROUND(N(E1188)*L1188,2))</f>
        <v>108.5</v>
      </c>
      <c r="N1188" s="39" t="n">
        <f aca="false">IF(OR(A1188="",B1188=""),"",SUMIFS(tl_Hours,tl_StaffID,I1188,tl_Date,A1188))</f>
        <v>8</v>
      </c>
      <c r="O1188" s="40" t="str">
        <f aca="false">IF(A1188&amp;B1188&amp;D1188="","",IF(OR(A1188="",B1188="",D1188="",E1188=""),"Incomplete",IF(K1188="Unknown","Unknown code",IF(AND(K1188="Yes",C1188=""),"Billable, needs client",IF(N1188&gt;MaxDayHours,"Over "&amp;MaxDayHours&amp;" hours that day","")))))</f>
        <v/>
      </c>
    </row>
    <row r="1189" customFormat="false" ht="15" hidden="false" customHeight="false" outlineLevel="0" collapsed="false">
      <c r="A1189" s="31" t="n">
        <v>46266</v>
      </c>
      <c r="B1189" s="32" t="s">
        <v>105</v>
      </c>
      <c r="C1189" s="32" t="s">
        <v>87</v>
      </c>
      <c r="D1189" s="33" t="s">
        <v>113</v>
      </c>
      <c r="E1189" s="34" t="n">
        <v>1.25</v>
      </c>
      <c r="F1189" s="32"/>
      <c r="G1189" s="35" t="n">
        <f aca="false">IF(A1189="","",A1189+7-WEEKDAY(A1189))</f>
        <v>46270</v>
      </c>
      <c r="H1189" s="36" t="n">
        <f aca="false">IF(A1189="","",DATE(YEAR(A1189),MONTH(A1189),1))</f>
        <v>46266</v>
      </c>
      <c r="I1189" s="37" t="str">
        <f aca="false">IF(B1189="","",IFERROR(INDEX(st_ID,MATCH(B1189,st_Name,0)),"Unknown"))</f>
        <v>QP-06</v>
      </c>
      <c r="J1189" s="37" t="str">
        <f aca="false">IF(C1189="","",IFERROR(INDEX(cl_Code,MATCH(C1189,cl_Name,0)),"Unknown"))</f>
        <v>HCS</v>
      </c>
      <c r="K1189" s="37" t="str">
        <f aca="false">IF(D1189="","",IFERROR(INDEX(rt_Billable,MATCH(D1189,rt_Code,0)),"Unknown"))</f>
        <v>Yes</v>
      </c>
      <c r="L1189" s="38" t="n">
        <f aca="false">IF(K1189&lt;&gt;"Yes","",IFERROR(INDEX(cr_Rate,MATCH(J1189&amp;"|"&amp;D1189,cr_Key,0)),INDEX(rt_Rate,MATCH(D1189,rt_Code,0))))</f>
        <v>85</v>
      </c>
      <c r="M1189" s="25" t="n">
        <f aca="false">IF(L1189="","",ROUND(N(E1189)*L1189,2))</f>
        <v>106.25</v>
      </c>
      <c r="N1189" s="39" t="n">
        <f aca="false">IF(OR(A1189="",B1189=""),"",SUMIFS(tl_Hours,tl_StaffID,I1189,tl_Date,A1189))</f>
        <v>8</v>
      </c>
      <c r="O1189" s="40" t="str">
        <f aca="false">IF(A1189&amp;B1189&amp;D1189="","",IF(OR(A1189="",B1189="",D1189="",E1189=""),"Incomplete",IF(K1189="Unknown","Unknown code",IF(AND(K1189="Yes",C1189=""),"Billable, needs client",IF(N1189&gt;MaxDayHours,"Over "&amp;MaxDayHours&amp;" hours that day","")))))</f>
        <v/>
      </c>
    </row>
    <row r="1190" customFormat="false" ht="15" hidden="false" customHeight="false" outlineLevel="0" collapsed="false">
      <c r="A1190" s="31" t="n">
        <v>46266</v>
      </c>
      <c r="B1190" s="32" t="s">
        <v>105</v>
      </c>
      <c r="C1190" s="32"/>
      <c r="D1190" s="33" t="s">
        <v>93</v>
      </c>
      <c r="E1190" s="34" t="n">
        <v>0.5</v>
      </c>
      <c r="F1190" s="32"/>
      <c r="G1190" s="35" t="n">
        <f aca="false">IF(A1190="","",A1190+7-WEEKDAY(A1190))</f>
        <v>46270</v>
      </c>
      <c r="H1190" s="36" t="n">
        <f aca="false">IF(A1190="","",DATE(YEAR(A1190),MONTH(A1190),1))</f>
        <v>46266</v>
      </c>
      <c r="I1190" s="37" t="str">
        <f aca="false">IF(B1190="","",IFERROR(INDEX(st_ID,MATCH(B1190,st_Name,0)),"Unknown"))</f>
        <v>QP-06</v>
      </c>
      <c r="J1190" s="37" t="str">
        <f aca="false">IF(C1190="","",IFERROR(INDEX(cl_Code,MATCH(C1190,cl_Name,0)),"Unknown"))</f>
        <v/>
      </c>
      <c r="K1190" s="37" t="str">
        <f aca="false">IF(D1190="","",IFERROR(INDEX(rt_Billable,MATCH(D1190,rt_Code,0)),"Unknown"))</f>
        <v>No</v>
      </c>
      <c r="L1190" s="38" t="str">
        <f aca="false">IF(K1190&lt;&gt;"Yes","",IFERROR(INDEX(cr_Rate,MATCH(J1190&amp;"|"&amp;D1190,cr_Key,0)),INDEX(rt_Rate,MATCH(D1190,rt_Code,0))))</f>
        <v/>
      </c>
      <c r="M1190" s="25" t="str">
        <f aca="false">IF(L1190="","",ROUND(N(E1190)*L1190,2))</f>
        <v/>
      </c>
      <c r="N1190" s="39" t="n">
        <f aca="false">IF(OR(A1190="",B1190=""),"",SUMIFS(tl_Hours,tl_StaffID,I1190,tl_Date,A1190))</f>
        <v>8</v>
      </c>
      <c r="O1190" s="40" t="str">
        <f aca="false">IF(A1190&amp;B1190&amp;D1190="","",IF(OR(A1190="",B1190="",D1190="",E1190=""),"Incomplete",IF(K1190="Unknown","Unknown code",IF(AND(K1190="Yes",C1190=""),"Billable, needs client",IF(N1190&gt;MaxDayHours,"Over "&amp;MaxDayHours&amp;" hours that day","")))))</f>
        <v/>
      </c>
    </row>
    <row r="1191" customFormat="false" ht="15" hidden="false" customHeight="false" outlineLevel="0" collapsed="false">
      <c r="A1191" s="31" t="n">
        <v>46266</v>
      </c>
      <c r="B1191" s="32" t="s">
        <v>105</v>
      </c>
      <c r="C1191" s="32"/>
      <c r="D1191" s="33" t="s">
        <v>96</v>
      </c>
      <c r="E1191" s="34" t="n">
        <v>1.5</v>
      </c>
      <c r="F1191" s="32"/>
      <c r="G1191" s="35" t="n">
        <f aca="false">IF(A1191="","",A1191+7-WEEKDAY(A1191))</f>
        <v>46270</v>
      </c>
      <c r="H1191" s="36" t="n">
        <f aca="false">IF(A1191="","",DATE(YEAR(A1191),MONTH(A1191),1))</f>
        <v>46266</v>
      </c>
      <c r="I1191" s="37" t="str">
        <f aca="false">IF(B1191="","",IFERROR(INDEX(st_ID,MATCH(B1191,st_Name,0)),"Unknown"))</f>
        <v>QP-06</v>
      </c>
      <c r="J1191" s="37" t="str">
        <f aca="false">IF(C1191="","",IFERROR(INDEX(cl_Code,MATCH(C1191,cl_Name,0)),"Unknown"))</f>
        <v/>
      </c>
      <c r="K1191" s="37" t="str">
        <f aca="false">IF(D1191="","",IFERROR(INDEX(rt_Billable,MATCH(D1191,rt_Code,0)),"Unknown"))</f>
        <v>No</v>
      </c>
      <c r="L1191" s="38" t="str">
        <f aca="false">IF(K1191&lt;&gt;"Yes","",IFERROR(INDEX(cr_Rate,MATCH(J1191&amp;"|"&amp;D1191,cr_Key,0)),INDEX(rt_Rate,MATCH(D1191,rt_Code,0))))</f>
        <v/>
      </c>
      <c r="M1191" s="25" t="str">
        <f aca="false">IF(L1191="","",ROUND(N(E1191)*L1191,2))</f>
        <v/>
      </c>
      <c r="N1191" s="39" t="n">
        <f aca="false">IF(OR(A1191="",B1191=""),"",SUMIFS(tl_Hours,tl_StaffID,I1191,tl_Date,A1191))</f>
        <v>8</v>
      </c>
      <c r="O1191" s="40" t="str">
        <f aca="false">IF(A1191&amp;B1191&amp;D1191="","",IF(OR(A1191="",B1191="",D1191="",E1191=""),"Incomplete",IF(K1191="Unknown","Unknown code",IF(AND(K1191="Yes",C1191=""),"Billable, needs client",IF(N1191&gt;MaxDayHours,"Over "&amp;MaxDayHours&amp;" hours that day","")))))</f>
        <v/>
      </c>
    </row>
    <row r="1192" customFormat="false" ht="15" hidden="false" customHeight="false" outlineLevel="0" collapsed="false">
      <c r="A1192" s="31" t="n">
        <v>46266</v>
      </c>
      <c r="B1192" s="32" t="s">
        <v>106</v>
      </c>
      <c r="C1192" s="32" t="s">
        <v>112</v>
      </c>
      <c r="D1192" s="33" t="s">
        <v>88</v>
      </c>
      <c r="E1192" s="34" t="n">
        <v>4.25</v>
      </c>
      <c r="F1192" s="32"/>
      <c r="G1192" s="35" t="n">
        <f aca="false">IF(A1192="","",A1192+7-WEEKDAY(A1192))</f>
        <v>46270</v>
      </c>
      <c r="H1192" s="36" t="n">
        <f aca="false">IF(A1192="","",DATE(YEAR(A1192),MONTH(A1192),1))</f>
        <v>46266</v>
      </c>
      <c r="I1192" s="37" t="str">
        <f aca="false">IF(B1192="","",IFERROR(INDEX(st_ID,MATCH(B1192,st_Name,0)),"Unknown"))</f>
        <v>QP-07</v>
      </c>
      <c r="J1192" s="37" t="str">
        <f aca="false">IF(C1192="","",IFERROR(INDEX(cl_Code,MATCH(C1192,cl_Name,0)),"Unknown"))</f>
        <v>PCA</v>
      </c>
      <c r="K1192" s="37" t="str">
        <f aca="false">IF(D1192="","",IFERROR(INDEX(rt_Billable,MATCH(D1192,rt_Code,0)),"Unknown"))</f>
        <v>Yes</v>
      </c>
      <c r="L1192" s="38" t="n">
        <f aca="false">IF(K1192&lt;&gt;"Yes","",IFERROR(INDEX(cr_Rate,MATCH(J1192&amp;"|"&amp;D1192,cr_Key,0)),INDEX(rt_Rate,MATCH(D1192,rt_Code,0))))</f>
        <v>110</v>
      </c>
      <c r="M1192" s="25" t="n">
        <f aca="false">IF(L1192="","",ROUND(N(E1192)*L1192,2))</f>
        <v>467.5</v>
      </c>
      <c r="N1192" s="39" t="n">
        <f aca="false">IF(OR(A1192="",B1192=""),"",SUMIFS(tl_Hours,tl_StaffID,I1192,tl_Date,A1192))</f>
        <v>8</v>
      </c>
      <c r="O1192" s="40" t="str">
        <f aca="false">IF(A1192&amp;B1192&amp;D1192="","",IF(OR(A1192="",B1192="",D1192="",E1192=""),"Incomplete",IF(K1192="Unknown","Unknown code",IF(AND(K1192="Yes",C1192=""),"Billable, needs client",IF(N1192&gt;MaxDayHours,"Over "&amp;MaxDayHours&amp;" hours that day","")))))</f>
        <v/>
      </c>
    </row>
    <row r="1193" customFormat="false" ht="15" hidden="false" customHeight="false" outlineLevel="0" collapsed="false">
      <c r="A1193" s="31" t="n">
        <v>46266</v>
      </c>
      <c r="B1193" s="32" t="s">
        <v>106</v>
      </c>
      <c r="C1193" s="32" t="s">
        <v>112</v>
      </c>
      <c r="D1193" s="33" t="s">
        <v>89</v>
      </c>
      <c r="E1193" s="34" t="n">
        <v>2</v>
      </c>
      <c r="F1193" s="32"/>
      <c r="G1193" s="35" t="n">
        <f aca="false">IF(A1193="","",A1193+7-WEEKDAY(A1193))</f>
        <v>46270</v>
      </c>
      <c r="H1193" s="36" t="n">
        <f aca="false">IF(A1193="","",DATE(YEAR(A1193),MONTH(A1193),1))</f>
        <v>46266</v>
      </c>
      <c r="I1193" s="37" t="str">
        <f aca="false">IF(B1193="","",IFERROR(INDEX(st_ID,MATCH(B1193,st_Name,0)),"Unknown"))</f>
        <v>QP-07</v>
      </c>
      <c r="J1193" s="37" t="str">
        <f aca="false">IF(C1193="","",IFERROR(INDEX(cl_Code,MATCH(C1193,cl_Name,0)),"Unknown"))</f>
        <v>PCA</v>
      </c>
      <c r="K1193" s="37" t="str">
        <f aca="false">IF(D1193="","",IFERROR(INDEX(rt_Billable,MATCH(D1193,rt_Code,0)),"Unknown"))</f>
        <v>Yes</v>
      </c>
      <c r="L1193" s="38" t="n">
        <f aca="false">IF(K1193&lt;&gt;"Yes","",IFERROR(INDEX(cr_Rate,MATCH(J1193&amp;"|"&amp;D1193,cr_Key,0)),INDEX(rt_Rate,MATCH(D1193,rt_Code,0))))</f>
        <v>95</v>
      </c>
      <c r="M1193" s="25" t="n">
        <f aca="false">IF(L1193="","",ROUND(N(E1193)*L1193,2))</f>
        <v>190</v>
      </c>
      <c r="N1193" s="39" t="n">
        <f aca="false">IF(OR(A1193="",B1193=""),"",SUMIFS(tl_Hours,tl_StaffID,I1193,tl_Date,A1193))</f>
        <v>8</v>
      </c>
      <c r="O1193" s="40" t="str">
        <f aca="false">IF(A1193&amp;B1193&amp;D1193="","",IF(OR(A1193="",B1193="",D1193="",E1193=""),"Incomplete",IF(K1193="Unknown","Unknown code",IF(AND(K1193="Yes",C1193=""),"Billable, needs client",IF(N1193&gt;MaxDayHours,"Over "&amp;MaxDayHours&amp;" hours that day","")))))</f>
        <v/>
      </c>
    </row>
    <row r="1194" customFormat="false" ht="15" hidden="false" customHeight="false" outlineLevel="0" collapsed="false">
      <c r="A1194" s="31" t="n">
        <v>46266</v>
      </c>
      <c r="B1194" s="32" t="s">
        <v>106</v>
      </c>
      <c r="C1194" s="32"/>
      <c r="D1194" s="33" t="s">
        <v>96</v>
      </c>
      <c r="E1194" s="34" t="n">
        <v>1.75</v>
      </c>
      <c r="F1194" s="32"/>
      <c r="G1194" s="35" t="n">
        <f aca="false">IF(A1194="","",A1194+7-WEEKDAY(A1194))</f>
        <v>46270</v>
      </c>
      <c r="H1194" s="36" t="n">
        <f aca="false">IF(A1194="","",DATE(YEAR(A1194),MONTH(A1194),1))</f>
        <v>46266</v>
      </c>
      <c r="I1194" s="37" t="str">
        <f aca="false">IF(B1194="","",IFERROR(INDEX(st_ID,MATCH(B1194,st_Name,0)),"Unknown"))</f>
        <v>QP-07</v>
      </c>
      <c r="J1194" s="37" t="str">
        <f aca="false">IF(C1194="","",IFERROR(INDEX(cl_Code,MATCH(C1194,cl_Name,0)),"Unknown"))</f>
        <v/>
      </c>
      <c r="K1194" s="37" t="str">
        <f aca="false">IF(D1194="","",IFERROR(INDEX(rt_Billable,MATCH(D1194,rt_Code,0)),"Unknown"))</f>
        <v>No</v>
      </c>
      <c r="L1194" s="38" t="str">
        <f aca="false">IF(K1194&lt;&gt;"Yes","",IFERROR(INDEX(cr_Rate,MATCH(J1194&amp;"|"&amp;D1194,cr_Key,0)),INDEX(rt_Rate,MATCH(D1194,rt_Code,0))))</f>
        <v/>
      </c>
      <c r="M1194" s="25" t="str">
        <f aca="false">IF(L1194="","",ROUND(N(E1194)*L1194,2))</f>
        <v/>
      </c>
      <c r="N1194" s="39" t="n">
        <f aca="false">IF(OR(A1194="",B1194=""),"",SUMIFS(tl_Hours,tl_StaffID,I1194,tl_Date,A1194))</f>
        <v>8</v>
      </c>
      <c r="O1194" s="40" t="str">
        <f aca="false">IF(A1194&amp;B1194&amp;D1194="","",IF(OR(A1194="",B1194="",D1194="",E1194=""),"Incomplete",IF(K1194="Unknown","Unknown code",IF(AND(K1194="Yes",C1194=""),"Billable, needs client",IF(N1194&gt;MaxDayHours,"Over "&amp;MaxDayHours&amp;" hours that day","")))))</f>
        <v/>
      </c>
    </row>
    <row r="1195" customFormat="false" ht="15" hidden="false" customHeight="false" outlineLevel="0" collapsed="false">
      <c r="A1195" s="31" t="n">
        <v>46266</v>
      </c>
      <c r="B1195" s="32" t="s">
        <v>107</v>
      </c>
      <c r="C1195" s="32"/>
      <c r="D1195" s="33" t="s">
        <v>108</v>
      </c>
      <c r="E1195" s="34" t="n">
        <v>7</v>
      </c>
      <c r="F1195" s="32"/>
      <c r="G1195" s="35" t="n">
        <f aca="false">IF(A1195="","",A1195+7-WEEKDAY(A1195))</f>
        <v>46270</v>
      </c>
      <c r="H1195" s="36" t="n">
        <f aca="false">IF(A1195="","",DATE(YEAR(A1195),MONTH(A1195),1))</f>
        <v>46266</v>
      </c>
      <c r="I1195" s="37" t="str">
        <f aca="false">IF(B1195="","",IFERROR(INDEX(st_ID,MATCH(B1195,st_Name,0)),"Unknown"))</f>
        <v>QP-08</v>
      </c>
      <c r="J1195" s="37" t="str">
        <f aca="false">IF(C1195="","",IFERROR(INDEX(cl_Code,MATCH(C1195,cl_Name,0)),"Unknown"))</f>
        <v/>
      </c>
      <c r="K1195" s="37" t="str">
        <f aca="false">IF(D1195="","",IFERROR(INDEX(rt_Billable,MATCH(D1195,rt_Code,0)),"Unknown"))</f>
        <v>No</v>
      </c>
      <c r="L1195" s="38" t="str">
        <f aca="false">IF(K1195&lt;&gt;"Yes","",IFERROR(INDEX(cr_Rate,MATCH(J1195&amp;"|"&amp;D1195,cr_Key,0)),INDEX(rt_Rate,MATCH(D1195,rt_Code,0))))</f>
        <v/>
      </c>
      <c r="M1195" s="25" t="str">
        <f aca="false">IF(L1195="","",ROUND(N(E1195)*L1195,2))</f>
        <v/>
      </c>
      <c r="N1195" s="39" t="n">
        <f aca="false">IF(OR(A1195="",B1195=""),"",SUMIFS(tl_Hours,tl_StaffID,I1195,tl_Date,A1195))</f>
        <v>8</v>
      </c>
      <c r="O1195" s="40" t="str">
        <f aca="false">IF(A1195&amp;B1195&amp;D1195="","",IF(OR(A1195="",B1195="",D1195="",E1195=""),"Incomplete",IF(K1195="Unknown","Unknown code",IF(AND(K1195="Yes",C1195=""),"Billable, needs client",IF(N1195&gt;MaxDayHours,"Over "&amp;MaxDayHours&amp;" hours that day","")))))</f>
        <v/>
      </c>
    </row>
    <row r="1196" customFormat="false" ht="15" hidden="false" customHeight="false" outlineLevel="0" collapsed="false">
      <c r="A1196" s="31" t="n">
        <v>46266</v>
      </c>
      <c r="B1196" s="32" t="s">
        <v>107</v>
      </c>
      <c r="C1196" s="32"/>
      <c r="D1196" s="33" t="s">
        <v>98</v>
      </c>
      <c r="E1196" s="34" t="n">
        <v>1</v>
      </c>
      <c r="F1196" s="32"/>
      <c r="G1196" s="35" t="n">
        <f aca="false">IF(A1196="","",A1196+7-WEEKDAY(A1196))</f>
        <v>46270</v>
      </c>
      <c r="H1196" s="36" t="n">
        <f aca="false">IF(A1196="","",DATE(YEAR(A1196),MONTH(A1196),1))</f>
        <v>46266</v>
      </c>
      <c r="I1196" s="37" t="str">
        <f aca="false">IF(B1196="","",IFERROR(INDEX(st_ID,MATCH(B1196,st_Name,0)),"Unknown"))</f>
        <v>QP-08</v>
      </c>
      <c r="J1196" s="37" t="str">
        <f aca="false">IF(C1196="","",IFERROR(INDEX(cl_Code,MATCH(C1196,cl_Name,0)),"Unknown"))</f>
        <v/>
      </c>
      <c r="K1196" s="37" t="str">
        <f aca="false">IF(D1196="","",IFERROR(INDEX(rt_Billable,MATCH(D1196,rt_Code,0)),"Unknown"))</f>
        <v>No</v>
      </c>
      <c r="L1196" s="38" t="str">
        <f aca="false">IF(K1196&lt;&gt;"Yes","",IFERROR(INDEX(cr_Rate,MATCH(J1196&amp;"|"&amp;D1196,cr_Key,0)),INDEX(rt_Rate,MATCH(D1196,rt_Code,0))))</f>
        <v/>
      </c>
      <c r="M1196" s="25" t="str">
        <f aca="false">IF(L1196="","",ROUND(N(E1196)*L1196,2))</f>
        <v/>
      </c>
      <c r="N1196" s="39" t="n">
        <f aca="false">IF(OR(A1196="",B1196=""),"",SUMIFS(tl_Hours,tl_StaffID,I1196,tl_Date,A1196))</f>
        <v>8</v>
      </c>
      <c r="O1196" s="40" t="str">
        <f aca="false">IF(A1196&amp;B1196&amp;D1196="","",IF(OR(A1196="",B1196="",D1196="",E1196=""),"Incomplete",IF(K1196="Unknown","Unknown code",IF(AND(K1196="Yes",C1196=""),"Billable, needs client",IF(N1196&gt;MaxDayHours,"Over "&amp;MaxDayHours&amp;" hours that day","")))))</f>
        <v/>
      </c>
    </row>
    <row r="1197" customFormat="false" ht="15" hidden="false" customHeight="false" outlineLevel="0" collapsed="false">
      <c r="A1197" s="31" t="n">
        <v>46267</v>
      </c>
      <c r="B1197" s="32" t="s">
        <v>86</v>
      </c>
      <c r="C1197" s="32" t="s">
        <v>90</v>
      </c>
      <c r="D1197" s="33" t="s">
        <v>91</v>
      </c>
      <c r="E1197" s="34" t="n">
        <v>3.75</v>
      </c>
      <c r="F1197" s="32"/>
      <c r="G1197" s="35" t="n">
        <f aca="false">IF(A1197="","",A1197+7-WEEKDAY(A1197))</f>
        <v>46270</v>
      </c>
      <c r="H1197" s="36" t="n">
        <f aca="false">IF(A1197="","",DATE(YEAR(A1197),MONTH(A1197),1))</f>
        <v>46266</v>
      </c>
      <c r="I1197" s="37" t="str">
        <f aca="false">IF(B1197="","",IFERROR(INDEX(st_ID,MATCH(B1197,st_Name,0)),"Unknown"))</f>
        <v>QP-01</v>
      </c>
      <c r="J1197" s="37" t="str">
        <f aca="false">IF(C1197="","",IFERROR(INDEX(cl_Code,MATCH(C1197,cl_Name,0)),"Unknown"))</f>
        <v>BSE</v>
      </c>
      <c r="K1197" s="37" t="str">
        <f aca="false">IF(D1197="","",IFERROR(INDEX(rt_Billable,MATCH(D1197,rt_Code,0)),"Unknown"))</f>
        <v>Yes</v>
      </c>
      <c r="L1197" s="38" t="n">
        <f aca="false">IF(K1197&lt;&gt;"Yes","",IFERROR(INDEX(cr_Rate,MATCH(J1197&amp;"|"&amp;D1197,cr_Key,0)),INDEX(rt_Rate,MATCH(D1197,rt_Code,0))))</f>
        <v>100</v>
      </c>
      <c r="M1197" s="25" t="n">
        <f aca="false">IF(L1197="","",ROUND(N(E1197)*L1197,2))</f>
        <v>375</v>
      </c>
      <c r="N1197" s="39" t="n">
        <f aca="false">IF(OR(A1197="",B1197=""),"",SUMIFS(tl_Hours,tl_StaffID,I1197,tl_Date,A1197))</f>
        <v>8</v>
      </c>
      <c r="O1197" s="40" t="str">
        <f aca="false">IF(A1197&amp;B1197&amp;D1197="","",IF(OR(A1197="",B1197="",D1197="",E1197=""),"Incomplete",IF(K1197="Unknown","Unknown code",IF(AND(K1197="Yes",C1197=""),"Billable, needs client",IF(N1197&gt;MaxDayHours,"Over "&amp;MaxDayHours&amp;" hours that day","")))))</f>
        <v/>
      </c>
    </row>
    <row r="1198" customFormat="false" ht="15" hidden="false" customHeight="false" outlineLevel="0" collapsed="false">
      <c r="A1198" s="31" t="n">
        <v>46267</v>
      </c>
      <c r="B1198" s="32" t="s">
        <v>86</v>
      </c>
      <c r="C1198" s="32" t="s">
        <v>90</v>
      </c>
      <c r="D1198" s="33" t="s">
        <v>104</v>
      </c>
      <c r="E1198" s="34" t="n">
        <v>1.75</v>
      </c>
      <c r="F1198" s="32"/>
      <c r="G1198" s="35" t="n">
        <f aca="false">IF(A1198="","",A1198+7-WEEKDAY(A1198))</f>
        <v>46270</v>
      </c>
      <c r="H1198" s="36" t="n">
        <f aca="false">IF(A1198="","",DATE(YEAR(A1198),MONTH(A1198),1))</f>
        <v>46266</v>
      </c>
      <c r="I1198" s="37" t="str">
        <f aca="false">IF(B1198="","",IFERROR(INDEX(st_ID,MATCH(B1198,st_Name,0)),"Unknown"))</f>
        <v>QP-01</v>
      </c>
      <c r="J1198" s="37" t="str">
        <f aca="false">IF(C1198="","",IFERROR(INDEX(cl_Code,MATCH(C1198,cl_Name,0)),"Unknown"))</f>
        <v>BSE</v>
      </c>
      <c r="K1198" s="37" t="str">
        <f aca="false">IF(D1198="","",IFERROR(INDEX(rt_Billable,MATCH(D1198,rt_Code,0)),"Unknown"))</f>
        <v>Yes</v>
      </c>
      <c r="L1198" s="38" t="n">
        <f aca="false">IF(K1198&lt;&gt;"Yes","",IFERROR(INDEX(cr_Rate,MATCH(J1198&amp;"|"&amp;D1198,cr_Key,0)),INDEX(rt_Rate,MATCH(D1198,rt_Code,0))))</f>
        <v>70</v>
      </c>
      <c r="M1198" s="25" t="n">
        <f aca="false">IF(L1198="","",ROUND(N(E1198)*L1198,2))</f>
        <v>122.5</v>
      </c>
      <c r="N1198" s="39" t="n">
        <f aca="false">IF(OR(A1198="",B1198=""),"",SUMIFS(tl_Hours,tl_StaffID,I1198,tl_Date,A1198))</f>
        <v>8</v>
      </c>
      <c r="O1198" s="40" t="str">
        <f aca="false">IF(A1198&amp;B1198&amp;D1198="","",IF(OR(A1198="",B1198="",D1198="",E1198=""),"Incomplete",IF(K1198="Unknown","Unknown code",IF(AND(K1198="Yes",C1198=""),"Billable, needs client",IF(N1198&gt;MaxDayHours,"Over "&amp;MaxDayHours&amp;" hours that day","")))))</f>
        <v/>
      </c>
    </row>
    <row r="1199" customFormat="false" ht="15" hidden="false" customHeight="false" outlineLevel="0" collapsed="false">
      <c r="A1199" s="31" t="n">
        <v>46267</v>
      </c>
      <c r="B1199" s="32" t="s">
        <v>86</v>
      </c>
      <c r="C1199" s="32"/>
      <c r="D1199" s="33" t="s">
        <v>98</v>
      </c>
      <c r="E1199" s="34" t="n">
        <v>1</v>
      </c>
      <c r="F1199" s="32" t="s">
        <v>99</v>
      </c>
      <c r="G1199" s="35" t="n">
        <f aca="false">IF(A1199="","",A1199+7-WEEKDAY(A1199))</f>
        <v>46270</v>
      </c>
      <c r="H1199" s="36" t="n">
        <f aca="false">IF(A1199="","",DATE(YEAR(A1199),MONTH(A1199),1))</f>
        <v>46266</v>
      </c>
      <c r="I1199" s="37" t="str">
        <f aca="false">IF(B1199="","",IFERROR(INDEX(st_ID,MATCH(B1199,st_Name,0)),"Unknown"))</f>
        <v>QP-01</v>
      </c>
      <c r="J1199" s="37" t="str">
        <f aca="false">IF(C1199="","",IFERROR(INDEX(cl_Code,MATCH(C1199,cl_Name,0)),"Unknown"))</f>
        <v/>
      </c>
      <c r="K1199" s="37" t="str">
        <f aca="false">IF(D1199="","",IFERROR(INDEX(rt_Billable,MATCH(D1199,rt_Code,0)),"Unknown"))</f>
        <v>No</v>
      </c>
      <c r="L1199" s="38" t="str">
        <f aca="false">IF(K1199&lt;&gt;"Yes","",IFERROR(INDEX(cr_Rate,MATCH(J1199&amp;"|"&amp;D1199,cr_Key,0)),INDEX(rt_Rate,MATCH(D1199,rt_Code,0))))</f>
        <v/>
      </c>
      <c r="M1199" s="25" t="str">
        <f aca="false">IF(L1199="","",ROUND(N(E1199)*L1199,2))</f>
        <v/>
      </c>
      <c r="N1199" s="39" t="n">
        <f aca="false">IF(OR(A1199="",B1199=""),"",SUMIFS(tl_Hours,tl_StaffID,I1199,tl_Date,A1199))</f>
        <v>8</v>
      </c>
      <c r="O1199" s="40" t="str">
        <f aca="false">IF(A1199&amp;B1199&amp;D1199="","",IF(OR(A1199="",B1199="",D1199="",E1199=""),"Incomplete",IF(K1199="Unknown","Unknown code",IF(AND(K1199="Yes",C1199=""),"Billable, needs client",IF(N1199&gt;MaxDayHours,"Over "&amp;MaxDayHours&amp;" hours that day","")))))</f>
        <v/>
      </c>
    </row>
    <row r="1200" customFormat="false" ht="15" hidden="false" customHeight="false" outlineLevel="0" collapsed="false">
      <c r="A1200" s="31" t="n">
        <v>46267</v>
      </c>
      <c r="B1200" s="32" t="s">
        <v>86</v>
      </c>
      <c r="C1200" s="32"/>
      <c r="D1200" s="33" t="s">
        <v>96</v>
      </c>
      <c r="E1200" s="34" t="n">
        <v>1.5</v>
      </c>
      <c r="F1200" s="32"/>
      <c r="G1200" s="35" t="n">
        <f aca="false">IF(A1200="","",A1200+7-WEEKDAY(A1200))</f>
        <v>46270</v>
      </c>
      <c r="H1200" s="36" t="n">
        <f aca="false">IF(A1200="","",DATE(YEAR(A1200),MONTH(A1200),1))</f>
        <v>46266</v>
      </c>
      <c r="I1200" s="37" t="str">
        <f aca="false">IF(B1200="","",IFERROR(INDEX(st_ID,MATCH(B1200,st_Name,0)),"Unknown"))</f>
        <v>QP-01</v>
      </c>
      <c r="J1200" s="37" t="str">
        <f aca="false">IF(C1200="","",IFERROR(INDEX(cl_Code,MATCH(C1200,cl_Name,0)),"Unknown"))</f>
        <v/>
      </c>
      <c r="K1200" s="37" t="str">
        <f aca="false">IF(D1200="","",IFERROR(INDEX(rt_Billable,MATCH(D1200,rt_Code,0)),"Unknown"))</f>
        <v>No</v>
      </c>
      <c r="L1200" s="38" t="str">
        <f aca="false">IF(K1200&lt;&gt;"Yes","",IFERROR(INDEX(cr_Rate,MATCH(J1200&amp;"|"&amp;D1200,cr_Key,0)),INDEX(rt_Rate,MATCH(D1200,rt_Code,0))))</f>
        <v/>
      </c>
      <c r="M1200" s="25" t="str">
        <f aca="false">IF(L1200="","",ROUND(N(E1200)*L1200,2))</f>
        <v/>
      </c>
      <c r="N1200" s="39" t="n">
        <f aca="false">IF(OR(A1200="",B1200=""),"",SUMIFS(tl_Hours,tl_StaffID,I1200,tl_Date,A1200))</f>
        <v>8</v>
      </c>
      <c r="O1200" s="40" t="str">
        <f aca="false">IF(A1200&amp;B1200&amp;D1200="","",IF(OR(A1200="",B1200="",D1200="",E1200=""),"Incomplete",IF(K1200="Unknown","Unknown code",IF(AND(K1200="Yes",C1200=""),"Billable, needs client",IF(N1200&gt;MaxDayHours,"Over "&amp;MaxDayHours&amp;" hours that day","")))))</f>
        <v/>
      </c>
    </row>
    <row r="1201" customFormat="false" ht="15" hidden="false" customHeight="false" outlineLevel="0" collapsed="false">
      <c r="A1201" s="31" t="n">
        <v>46267</v>
      </c>
      <c r="B1201" s="32" t="s">
        <v>97</v>
      </c>
      <c r="C1201" s="32" t="s">
        <v>87</v>
      </c>
      <c r="D1201" s="33" t="s">
        <v>104</v>
      </c>
      <c r="E1201" s="34" t="n">
        <v>3.25</v>
      </c>
      <c r="F1201" s="32"/>
      <c r="G1201" s="35" t="n">
        <f aca="false">IF(A1201="","",A1201+7-WEEKDAY(A1201))</f>
        <v>46270</v>
      </c>
      <c r="H1201" s="36" t="n">
        <f aca="false">IF(A1201="","",DATE(YEAR(A1201),MONTH(A1201),1))</f>
        <v>46266</v>
      </c>
      <c r="I1201" s="37" t="str">
        <f aca="false">IF(B1201="","",IFERROR(INDEX(st_ID,MATCH(B1201,st_Name,0)),"Unknown"))</f>
        <v>QP-02</v>
      </c>
      <c r="J1201" s="37" t="str">
        <f aca="false">IF(C1201="","",IFERROR(INDEX(cl_Code,MATCH(C1201,cl_Name,0)),"Unknown"))</f>
        <v>HCS</v>
      </c>
      <c r="K1201" s="37" t="str">
        <f aca="false">IF(D1201="","",IFERROR(INDEX(rt_Billable,MATCH(D1201,rt_Code,0)),"Unknown"))</f>
        <v>Yes</v>
      </c>
      <c r="L1201" s="38" t="n">
        <f aca="false">IF(K1201&lt;&gt;"Yes","",IFERROR(INDEX(cr_Rate,MATCH(J1201&amp;"|"&amp;D1201,cr_Key,0)),INDEX(rt_Rate,MATCH(D1201,rt_Code,0))))</f>
        <v>62</v>
      </c>
      <c r="M1201" s="25" t="n">
        <f aca="false">IF(L1201="","",ROUND(N(E1201)*L1201,2))</f>
        <v>201.5</v>
      </c>
      <c r="N1201" s="39" t="n">
        <f aca="false">IF(OR(A1201="",B1201=""),"",SUMIFS(tl_Hours,tl_StaffID,I1201,tl_Date,A1201))</f>
        <v>8</v>
      </c>
      <c r="O1201" s="40" t="str">
        <f aca="false">IF(A1201&amp;B1201&amp;D1201="","",IF(OR(A1201="",B1201="",D1201="",E1201=""),"Incomplete",IF(K1201="Unknown","Unknown code",IF(AND(K1201="Yes",C1201=""),"Billable, needs client",IF(N1201&gt;MaxDayHours,"Over "&amp;MaxDayHours&amp;" hours that day","")))))</f>
        <v/>
      </c>
    </row>
    <row r="1202" customFormat="false" ht="15" hidden="false" customHeight="false" outlineLevel="0" collapsed="false">
      <c r="A1202" s="31" t="n">
        <v>46267</v>
      </c>
      <c r="B1202" s="32" t="s">
        <v>97</v>
      </c>
      <c r="C1202" s="32" t="s">
        <v>87</v>
      </c>
      <c r="D1202" s="33" t="s">
        <v>89</v>
      </c>
      <c r="E1202" s="34" t="n">
        <v>2.5</v>
      </c>
      <c r="F1202" s="32"/>
      <c r="G1202" s="35" t="n">
        <f aca="false">IF(A1202="","",A1202+7-WEEKDAY(A1202))</f>
        <v>46270</v>
      </c>
      <c r="H1202" s="36" t="n">
        <f aca="false">IF(A1202="","",DATE(YEAR(A1202),MONTH(A1202),1))</f>
        <v>46266</v>
      </c>
      <c r="I1202" s="37" t="str">
        <f aca="false">IF(B1202="","",IFERROR(INDEX(st_ID,MATCH(B1202,st_Name,0)),"Unknown"))</f>
        <v>QP-02</v>
      </c>
      <c r="J1202" s="37" t="str">
        <f aca="false">IF(C1202="","",IFERROR(INDEX(cl_Code,MATCH(C1202,cl_Name,0)),"Unknown"))</f>
        <v>HCS</v>
      </c>
      <c r="K1202" s="37" t="str">
        <f aca="false">IF(D1202="","",IFERROR(INDEX(rt_Billable,MATCH(D1202,rt_Code,0)),"Unknown"))</f>
        <v>Yes</v>
      </c>
      <c r="L1202" s="38" t="n">
        <f aca="false">IF(K1202&lt;&gt;"Yes","",IFERROR(INDEX(cr_Rate,MATCH(J1202&amp;"|"&amp;D1202,cr_Key,0)),INDEX(rt_Rate,MATCH(D1202,rt_Code,0))))</f>
        <v>88</v>
      </c>
      <c r="M1202" s="25" t="n">
        <f aca="false">IF(L1202="","",ROUND(N(E1202)*L1202,2))</f>
        <v>220</v>
      </c>
      <c r="N1202" s="39" t="n">
        <f aca="false">IF(OR(A1202="",B1202=""),"",SUMIFS(tl_Hours,tl_StaffID,I1202,tl_Date,A1202))</f>
        <v>8</v>
      </c>
      <c r="O1202" s="40" t="str">
        <f aca="false">IF(A1202&amp;B1202&amp;D1202="","",IF(OR(A1202="",B1202="",D1202="",E1202=""),"Incomplete",IF(K1202="Unknown","Unknown code",IF(AND(K1202="Yes",C1202=""),"Billable, needs client",IF(N1202&gt;MaxDayHours,"Over "&amp;MaxDayHours&amp;" hours that day","")))))</f>
        <v/>
      </c>
    </row>
    <row r="1203" customFormat="false" ht="15" hidden="false" customHeight="false" outlineLevel="0" collapsed="false">
      <c r="A1203" s="31" t="n">
        <v>46267</v>
      </c>
      <c r="B1203" s="32" t="s">
        <v>97</v>
      </c>
      <c r="C1203" s="32"/>
      <c r="D1203" s="33" t="s">
        <v>96</v>
      </c>
      <c r="E1203" s="34" t="n">
        <v>2.25</v>
      </c>
      <c r="F1203" s="32"/>
      <c r="G1203" s="35" t="n">
        <f aca="false">IF(A1203="","",A1203+7-WEEKDAY(A1203))</f>
        <v>46270</v>
      </c>
      <c r="H1203" s="36" t="n">
        <f aca="false">IF(A1203="","",DATE(YEAR(A1203),MONTH(A1203),1))</f>
        <v>46266</v>
      </c>
      <c r="I1203" s="37" t="str">
        <f aca="false">IF(B1203="","",IFERROR(INDEX(st_ID,MATCH(B1203,st_Name,0)),"Unknown"))</f>
        <v>QP-02</v>
      </c>
      <c r="J1203" s="37" t="str">
        <f aca="false">IF(C1203="","",IFERROR(INDEX(cl_Code,MATCH(C1203,cl_Name,0)),"Unknown"))</f>
        <v/>
      </c>
      <c r="K1203" s="37" t="str">
        <f aca="false">IF(D1203="","",IFERROR(INDEX(rt_Billable,MATCH(D1203,rt_Code,0)),"Unknown"))</f>
        <v>No</v>
      </c>
      <c r="L1203" s="38" t="str">
        <f aca="false">IF(K1203&lt;&gt;"Yes","",IFERROR(INDEX(cr_Rate,MATCH(J1203&amp;"|"&amp;D1203,cr_Key,0)),INDEX(rt_Rate,MATCH(D1203,rt_Code,0))))</f>
        <v/>
      </c>
      <c r="M1203" s="25" t="str">
        <f aca="false">IF(L1203="","",ROUND(N(E1203)*L1203,2))</f>
        <v/>
      </c>
      <c r="N1203" s="39" t="n">
        <f aca="false">IF(OR(A1203="",B1203=""),"",SUMIFS(tl_Hours,tl_StaffID,I1203,tl_Date,A1203))</f>
        <v>8</v>
      </c>
      <c r="O1203" s="40" t="str">
        <f aca="false">IF(A1203&amp;B1203&amp;D1203="","",IF(OR(A1203="",B1203="",D1203="",E1203=""),"Incomplete",IF(K1203="Unknown","Unknown code",IF(AND(K1203="Yes",C1203=""),"Billable, needs client",IF(N1203&gt;MaxDayHours,"Over "&amp;MaxDayHours&amp;" hours that day","")))))</f>
        <v/>
      </c>
    </row>
    <row r="1204" customFormat="false" ht="15" hidden="false" customHeight="false" outlineLevel="0" collapsed="false">
      <c r="A1204" s="31" t="n">
        <v>46267</v>
      </c>
      <c r="B1204" s="32" t="s">
        <v>100</v>
      </c>
      <c r="C1204" s="32" t="s">
        <v>102</v>
      </c>
      <c r="D1204" s="33" t="s">
        <v>104</v>
      </c>
      <c r="E1204" s="34" t="n">
        <v>4</v>
      </c>
      <c r="F1204" s="32"/>
      <c r="G1204" s="35" t="n">
        <f aca="false">IF(A1204="","",A1204+7-WEEKDAY(A1204))</f>
        <v>46270</v>
      </c>
      <c r="H1204" s="36" t="n">
        <f aca="false">IF(A1204="","",DATE(YEAR(A1204),MONTH(A1204),1))</f>
        <v>46266</v>
      </c>
      <c r="I1204" s="37" t="str">
        <f aca="false">IF(B1204="","",IFERROR(INDEX(st_ID,MATCH(B1204,st_Name,0)),"Unknown"))</f>
        <v>QP-03</v>
      </c>
      <c r="J1204" s="37" t="str">
        <f aca="false">IF(C1204="","",IFERROR(INDEX(cl_Code,MATCH(C1204,cl_Name,0)),"Unknown"))</f>
        <v>CLH</v>
      </c>
      <c r="K1204" s="37" t="str">
        <f aca="false">IF(D1204="","",IFERROR(INDEX(rt_Billable,MATCH(D1204,rt_Code,0)),"Unknown"))</f>
        <v>Yes</v>
      </c>
      <c r="L1204" s="38" t="n">
        <f aca="false">IF(K1204&lt;&gt;"Yes","",IFERROR(INDEX(cr_Rate,MATCH(J1204&amp;"|"&amp;D1204,cr_Key,0)),INDEX(rt_Rate,MATCH(D1204,rt_Code,0))))</f>
        <v>65</v>
      </c>
      <c r="M1204" s="25" t="n">
        <f aca="false">IF(L1204="","",ROUND(N(E1204)*L1204,2))</f>
        <v>260</v>
      </c>
      <c r="N1204" s="39" t="n">
        <f aca="false">IF(OR(A1204="",B1204=""),"",SUMIFS(tl_Hours,tl_StaffID,I1204,tl_Date,A1204))</f>
        <v>8</v>
      </c>
      <c r="O1204" s="40" t="str">
        <f aca="false">IF(A1204&amp;B1204&amp;D1204="","",IF(OR(A1204="",B1204="",D1204="",E1204=""),"Incomplete",IF(K1204="Unknown","Unknown code",IF(AND(K1204="Yes",C1204=""),"Billable, needs client",IF(N1204&gt;MaxDayHours,"Over "&amp;MaxDayHours&amp;" hours that day","")))))</f>
        <v/>
      </c>
    </row>
    <row r="1205" customFormat="false" ht="15" hidden="false" customHeight="false" outlineLevel="0" collapsed="false">
      <c r="A1205" s="31" t="n">
        <v>46267</v>
      </c>
      <c r="B1205" s="32" t="s">
        <v>100</v>
      </c>
      <c r="C1205" s="32" t="s">
        <v>102</v>
      </c>
      <c r="D1205" s="33" t="s">
        <v>89</v>
      </c>
      <c r="E1205" s="34" t="n">
        <v>1</v>
      </c>
      <c r="F1205" s="32"/>
      <c r="G1205" s="35" t="n">
        <f aca="false">IF(A1205="","",A1205+7-WEEKDAY(A1205))</f>
        <v>46270</v>
      </c>
      <c r="H1205" s="36" t="n">
        <f aca="false">IF(A1205="","",DATE(YEAR(A1205),MONTH(A1205),1))</f>
        <v>46266</v>
      </c>
      <c r="I1205" s="37" t="str">
        <f aca="false">IF(B1205="","",IFERROR(INDEX(st_ID,MATCH(B1205,st_Name,0)),"Unknown"))</f>
        <v>QP-03</v>
      </c>
      <c r="J1205" s="37" t="str">
        <f aca="false">IF(C1205="","",IFERROR(INDEX(cl_Code,MATCH(C1205,cl_Name,0)),"Unknown"))</f>
        <v>CLH</v>
      </c>
      <c r="K1205" s="37" t="str">
        <f aca="false">IF(D1205="","",IFERROR(INDEX(rt_Billable,MATCH(D1205,rt_Code,0)),"Unknown"))</f>
        <v>Yes</v>
      </c>
      <c r="L1205" s="38" t="n">
        <f aca="false">IF(K1205&lt;&gt;"Yes","",IFERROR(INDEX(cr_Rate,MATCH(J1205&amp;"|"&amp;D1205,cr_Key,0)),INDEX(rt_Rate,MATCH(D1205,rt_Code,0))))</f>
        <v>95</v>
      </c>
      <c r="M1205" s="25" t="n">
        <f aca="false">IF(L1205="","",ROUND(N(E1205)*L1205,2))</f>
        <v>95</v>
      </c>
      <c r="N1205" s="39" t="n">
        <f aca="false">IF(OR(A1205="",B1205=""),"",SUMIFS(tl_Hours,tl_StaffID,I1205,tl_Date,A1205))</f>
        <v>8</v>
      </c>
      <c r="O1205" s="40" t="str">
        <f aca="false">IF(A1205&amp;B1205&amp;D1205="","",IF(OR(A1205="",B1205="",D1205="",E1205=""),"Incomplete",IF(K1205="Unknown","Unknown code",IF(AND(K1205="Yes",C1205=""),"Billable, needs client",IF(N1205&gt;MaxDayHours,"Over "&amp;MaxDayHours&amp;" hours that day","")))))</f>
        <v/>
      </c>
    </row>
    <row r="1206" customFormat="false" ht="15" hidden="false" customHeight="false" outlineLevel="0" collapsed="false">
      <c r="A1206" s="31" t="n">
        <v>46267</v>
      </c>
      <c r="B1206" s="32" t="s">
        <v>100</v>
      </c>
      <c r="C1206" s="32"/>
      <c r="D1206" s="33" t="s">
        <v>98</v>
      </c>
      <c r="E1206" s="34" t="n">
        <v>1</v>
      </c>
      <c r="F1206" s="32" t="s">
        <v>99</v>
      </c>
      <c r="G1206" s="35" t="n">
        <f aca="false">IF(A1206="","",A1206+7-WEEKDAY(A1206))</f>
        <v>46270</v>
      </c>
      <c r="H1206" s="36" t="n">
        <f aca="false">IF(A1206="","",DATE(YEAR(A1206),MONTH(A1206),1))</f>
        <v>46266</v>
      </c>
      <c r="I1206" s="37" t="str">
        <f aca="false">IF(B1206="","",IFERROR(INDEX(st_ID,MATCH(B1206,st_Name,0)),"Unknown"))</f>
        <v>QP-03</v>
      </c>
      <c r="J1206" s="37" t="str">
        <f aca="false">IF(C1206="","",IFERROR(INDEX(cl_Code,MATCH(C1206,cl_Name,0)),"Unknown"))</f>
        <v/>
      </c>
      <c r="K1206" s="37" t="str">
        <f aca="false">IF(D1206="","",IFERROR(INDEX(rt_Billable,MATCH(D1206,rt_Code,0)),"Unknown"))</f>
        <v>No</v>
      </c>
      <c r="L1206" s="38" t="str">
        <f aca="false">IF(K1206&lt;&gt;"Yes","",IFERROR(INDEX(cr_Rate,MATCH(J1206&amp;"|"&amp;D1206,cr_Key,0)),INDEX(rt_Rate,MATCH(D1206,rt_Code,0))))</f>
        <v/>
      </c>
      <c r="M1206" s="25" t="str">
        <f aca="false">IF(L1206="","",ROUND(N(E1206)*L1206,2))</f>
        <v/>
      </c>
      <c r="N1206" s="39" t="n">
        <f aca="false">IF(OR(A1206="",B1206=""),"",SUMIFS(tl_Hours,tl_StaffID,I1206,tl_Date,A1206))</f>
        <v>8</v>
      </c>
      <c r="O1206" s="40" t="str">
        <f aca="false">IF(A1206&amp;B1206&amp;D1206="","",IF(OR(A1206="",B1206="",D1206="",E1206=""),"Incomplete",IF(K1206="Unknown","Unknown code",IF(AND(K1206="Yes",C1206=""),"Billable, needs client",IF(N1206&gt;MaxDayHours,"Over "&amp;MaxDayHours&amp;" hours that day","")))))</f>
        <v/>
      </c>
    </row>
    <row r="1207" customFormat="false" ht="15" hidden="false" customHeight="false" outlineLevel="0" collapsed="false">
      <c r="A1207" s="31" t="n">
        <v>46267</v>
      </c>
      <c r="B1207" s="32" t="s">
        <v>100</v>
      </c>
      <c r="C1207" s="32"/>
      <c r="D1207" s="33" t="s">
        <v>96</v>
      </c>
      <c r="E1207" s="34" t="n">
        <v>2</v>
      </c>
      <c r="F1207" s="32"/>
      <c r="G1207" s="35" t="n">
        <f aca="false">IF(A1207="","",A1207+7-WEEKDAY(A1207))</f>
        <v>46270</v>
      </c>
      <c r="H1207" s="36" t="n">
        <f aca="false">IF(A1207="","",DATE(YEAR(A1207),MONTH(A1207),1))</f>
        <v>46266</v>
      </c>
      <c r="I1207" s="37" t="str">
        <f aca="false">IF(B1207="","",IFERROR(INDEX(st_ID,MATCH(B1207,st_Name,0)),"Unknown"))</f>
        <v>QP-03</v>
      </c>
      <c r="J1207" s="37" t="str">
        <f aca="false">IF(C1207="","",IFERROR(INDEX(cl_Code,MATCH(C1207,cl_Name,0)),"Unknown"))</f>
        <v/>
      </c>
      <c r="K1207" s="37" t="str">
        <f aca="false">IF(D1207="","",IFERROR(INDEX(rt_Billable,MATCH(D1207,rt_Code,0)),"Unknown"))</f>
        <v>No</v>
      </c>
      <c r="L1207" s="38" t="str">
        <f aca="false">IF(K1207&lt;&gt;"Yes","",IFERROR(INDEX(cr_Rate,MATCH(J1207&amp;"|"&amp;D1207,cr_Key,0)),INDEX(rt_Rate,MATCH(D1207,rt_Code,0))))</f>
        <v/>
      </c>
      <c r="M1207" s="25" t="str">
        <f aca="false">IF(L1207="","",ROUND(N(E1207)*L1207,2))</f>
        <v/>
      </c>
      <c r="N1207" s="39" t="n">
        <f aca="false">IF(OR(A1207="",B1207=""),"",SUMIFS(tl_Hours,tl_StaffID,I1207,tl_Date,A1207))</f>
        <v>8</v>
      </c>
      <c r="O1207" s="40" t="str">
        <f aca="false">IF(A1207&amp;B1207&amp;D1207="","",IF(OR(A1207="",B1207="",D1207="",E1207=""),"Incomplete",IF(K1207="Unknown","Unknown code",IF(AND(K1207="Yes",C1207=""),"Billable, needs client",IF(N1207&gt;MaxDayHours,"Over "&amp;MaxDayHours&amp;" hours that day","")))))</f>
        <v/>
      </c>
    </row>
    <row r="1208" customFormat="false" ht="15" hidden="false" customHeight="false" outlineLevel="0" collapsed="false">
      <c r="A1208" s="31" t="n">
        <v>46267</v>
      </c>
      <c r="B1208" s="32" t="s">
        <v>101</v>
      </c>
      <c r="C1208" s="32" t="s">
        <v>102</v>
      </c>
      <c r="D1208" s="33" t="s">
        <v>88</v>
      </c>
      <c r="E1208" s="34" t="n">
        <v>3.75</v>
      </c>
      <c r="F1208" s="32"/>
      <c r="G1208" s="35" t="n">
        <f aca="false">IF(A1208="","",A1208+7-WEEKDAY(A1208))</f>
        <v>46270</v>
      </c>
      <c r="H1208" s="36" t="n">
        <f aca="false">IF(A1208="","",DATE(YEAR(A1208),MONTH(A1208),1))</f>
        <v>46266</v>
      </c>
      <c r="I1208" s="37" t="str">
        <f aca="false">IF(B1208="","",IFERROR(INDEX(st_ID,MATCH(B1208,st_Name,0)),"Unknown"))</f>
        <v>QP-04</v>
      </c>
      <c r="J1208" s="37" t="str">
        <f aca="false">IF(C1208="","",IFERROR(INDEX(cl_Code,MATCH(C1208,cl_Name,0)),"Unknown"))</f>
        <v>CLH</v>
      </c>
      <c r="K1208" s="37" t="str">
        <f aca="false">IF(D1208="","",IFERROR(INDEX(rt_Billable,MATCH(D1208,rt_Code,0)),"Unknown"))</f>
        <v>Yes</v>
      </c>
      <c r="L1208" s="38" t="n">
        <f aca="false">IF(K1208&lt;&gt;"Yes","",IFERROR(INDEX(cr_Rate,MATCH(J1208&amp;"|"&amp;D1208,cr_Key,0)),INDEX(rt_Rate,MATCH(D1208,rt_Code,0))))</f>
        <v>110</v>
      </c>
      <c r="M1208" s="25" t="n">
        <f aca="false">IF(L1208="","",ROUND(N(E1208)*L1208,2))</f>
        <v>412.5</v>
      </c>
      <c r="N1208" s="39" t="n">
        <f aca="false">IF(OR(A1208="",B1208=""),"",SUMIFS(tl_Hours,tl_StaffID,I1208,tl_Date,A1208))</f>
        <v>8</v>
      </c>
      <c r="O1208" s="40" t="str">
        <f aca="false">IF(A1208&amp;B1208&amp;D1208="","",IF(OR(A1208="",B1208="",D1208="",E1208=""),"Incomplete",IF(K1208="Unknown","Unknown code",IF(AND(K1208="Yes",C1208=""),"Billable, needs client",IF(N1208&gt;MaxDayHours,"Over "&amp;MaxDayHours&amp;" hours that day","")))))</f>
        <v/>
      </c>
    </row>
    <row r="1209" customFormat="false" ht="15" hidden="false" customHeight="false" outlineLevel="0" collapsed="false">
      <c r="A1209" s="31" t="n">
        <v>46267</v>
      </c>
      <c r="B1209" s="32" t="s">
        <v>101</v>
      </c>
      <c r="C1209" s="32" t="s">
        <v>102</v>
      </c>
      <c r="D1209" s="33" t="s">
        <v>113</v>
      </c>
      <c r="E1209" s="34" t="n">
        <v>1.75</v>
      </c>
      <c r="F1209" s="32"/>
      <c r="G1209" s="35" t="n">
        <f aca="false">IF(A1209="","",A1209+7-WEEKDAY(A1209))</f>
        <v>46270</v>
      </c>
      <c r="H1209" s="36" t="n">
        <f aca="false">IF(A1209="","",DATE(YEAR(A1209),MONTH(A1209),1))</f>
        <v>46266</v>
      </c>
      <c r="I1209" s="37" t="str">
        <f aca="false">IF(B1209="","",IFERROR(INDEX(st_ID,MATCH(B1209,st_Name,0)),"Unknown"))</f>
        <v>QP-04</v>
      </c>
      <c r="J1209" s="37" t="str">
        <f aca="false">IF(C1209="","",IFERROR(INDEX(cl_Code,MATCH(C1209,cl_Name,0)),"Unknown"))</f>
        <v>CLH</v>
      </c>
      <c r="K1209" s="37" t="str">
        <f aca="false">IF(D1209="","",IFERROR(INDEX(rt_Billable,MATCH(D1209,rt_Code,0)),"Unknown"))</f>
        <v>Yes</v>
      </c>
      <c r="L1209" s="38" t="n">
        <f aca="false">IF(K1209&lt;&gt;"Yes","",IFERROR(INDEX(cr_Rate,MATCH(J1209&amp;"|"&amp;D1209,cr_Key,0)),INDEX(rt_Rate,MATCH(D1209,rt_Code,0))))</f>
        <v>75</v>
      </c>
      <c r="M1209" s="25" t="n">
        <f aca="false">IF(L1209="","",ROUND(N(E1209)*L1209,2))</f>
        <v>131.25</v>
      </c>
      <c r="N1209" s="39" t="n">
        <f aca="false">IF(OR(A1209="",B1209=""),"",SUMIFS(tl_Hours,tl_StaffID,I1209,tl_Date,A1209))</f>
        <v>8</v>
      </c>
      <c r="O1209" s="40" t="str">
        <f aca="false">IF(A1209&amp;B1209&amp;D1209="","",IF(OR(A1209="",B1209="",D1209="",E1209=""),"Incomplete",IF(K1209="Unknown","Unknown code",IF(AND(K1209="Yes",C1209=""),"Billable, needs client",IF(N1209&gt;MaxDayHours,"Over "&amp;MaxDayHours&amp;" hours that day","")))))</f>
        <v/>
      </c>
    </row>
    <row r="1210" customFormat="false" ht="15" hidden="false" customHeight="false" outlineLevel="0" collapsed="false">
      <c r="A1210" s="31" t="n">
        <v>46267</v>
      </c>
      <c r="B1210" s="32" t="s">
        <v>101</v>
      </c>
      <c r="C1210" s="32"/>
      <c r="D1210" s="33" t="s">
        <v>98</v>
      </c>
      <c r="E1210" s="34" t="n">
        <v>1</v>
      </c>
      <c r="F1210" s="32" t="s">
        <v>99</v>
      </c>
      <c r="G1210" s="35" t="n">
        <f aca="false">IF(A1210="","",A1210+7-WEEKDAY(A1210))</f>
        <v>46270</v>
      </c>
      <c r="H1210" s="36" t="n">
        <f aca="false">IF(A1210="","",DATE(YEAR(A1210),MONTH(A1210),1))</f>
        <v>46266</v>
      </c>
      <c r="I1210" s="37" t="str">
        <f aca="false">IF(B1210="","",IFERROR(INDEX(st_ID,MATCH(B1210,st_Name,0)),"Unknown"))</f>
        <v>QP-04</v>
      </c>
      <c r="J1210" s="37" t="str">
        <f aca="false">IF(C1210="","",IFERROR(INDEX(cl_Code,MATCH(C1210,cl_Name,0)),"Unknown"))</f>
        <v/>
      </c>
      <c r="K1210" s="37" t="str">
        <f aca="false">IF(D1210="","",IFERROR(INDEX(rt_Billable,MATCH(D1210,rt_Code,0)),"Unknown"))</f>
        <v>No</v>
      </c>
      <c r="L1210" s="38" t="str">
        <f aca="false">IF(K1210&lt;&gt;"Yes","",IFERROR(INDEX(cr_Rate,MATCH(J1210&amp;"|"&amp;D1210,cr_Key,0)),INDEX(rt_Rate,MATCH(D1210,rt_Code,0))))</f>
        <v/>
      </c>
      <c r="M1210" s="25" t="str">
        <f aca="false">IF(L1210="","",ROUND(N(E1210)*L1210,2))</f>
        <v/>
      </c>
      <c r="N1210" s="39" t="n">
        <f aca="false">IF(OR(A1210="",B1210=""),"",SUMIFS(tl_Hours,tl_StaffID,I1210,tl_Date,A1210))</f>
        <v>8</v>
      </c>
      <c r="O1210" s="40" t="str">
        <f aca="false">IF(A1210&amp;B1210&amp;D1210="","",IF(OR(A1210="",B1210="",D1210="",E1210=""),"Incomplete",IF(K1210="Unknown","Unknown code",IF(AND(K1210="Yes",C1210=""),"Billable, needs client",IF(N1210&gt;MaxDayHours,"Over "&amp;MaxDayHours&amp;" hours that day","")))))</f>
        <v/>
      </c>
    </row>
    <row r="1211" customFormat="false" ht="15" hidden="false" customHeight="false" outlineLevel="0" collapsed="false">
      <c r="A1211" s="31" t="n">
        <v>46267</v>
      </c>
      <c r="B1211" s="32" t="s">
        <v>101</v>
      </c>
      <c r="C1211" s="32"/>
      <c r="D1211" s="33" t="s">
        <v>96</v>
      </c>
      <c r="E1211" s="34" t="n">
        <v>1.5</v>
      </c>
      <c r="F1211" s="32"/>
      <c r="G1211" s="35" t="n">
        <f aca="false">IF(A1211="","",A1211+7-WEEKDAY(A1211))</f>
        <v>46270</v>
      </c>
      <c r="H1211" s="36" t="n">
        <f aca="false">IF(A1211="","",DATE(YEAR(A1211),MONTH(A1211),1))</f>
        <v>46266</v>
      </c>
      <c r="I1211" s="37" t="str">
        <f aca="false">IF(B1211="","",IFERROR(INDEX(st_ID,MATCH(B1211,st_Name,0)),"Unknown"))</f>
        <v>QP-04</v>
      </c>
      <c r="J1211" s="37" t="str">
        <f aca="false">IF(C1211="","",IFERROR(INDEX(cl_Code,MATCH(C1211,cl_Name,0)),"Unknown"))</f>
        <v/>
      </c>
      <c r="K1211" s="37" t="str">
        <f aca="false">IF(D1211="","",IFERROR(INDEX(rt_Billable,MATCH(D1211,rt_Code,0)),"Unknown"))</f>
        <v>No</v>
      </c>
      <c r="L1211" s="38" t="str">
        <f aca="false">IF(K1211&lt;&gt;"Yes","",IFERROR(INDEX(cr_Rate,MATCH(J1211&amp;"|"&amp;D1211,cr_Key,0)),INDEX(rt_Rate,MATCH(D1211,rt_Code,0))))</f>
        <v/>
      </c>
      <c r="M1211" s="25" t="str">
        <f aca="false">IF(L1211="","",ROUND(N(E1211)*L1211,2))</f>
        <v/>
      </c>
      <c r="N1211" s="39" t="n">
        <f aca="false">IF(OR(A1211="",B1211=""),"",SUMIFS(tl_Hours,tl_StaffID,I1211,tl_Date,A1211))</f>
        <v>8</v>
      </c>
      <c r="O1211" s="40" t="str">
        <f aca="false">IF(A1211&amp;B1211&amp;D1211="","",IF(OR(A1211="",B1211="",D1211="",E1211=""),"Incomplete",IF(K1211="Unknown","Unknown code",IF(AND(K1211="Yes",C1211=""),"Billable, needs client",IF(N1211&gt;MaxDayHours,"Over "&amp;MaxDayHours&amp;" hours that day","")))))</f>
        <v/>
      </c>
    </row>
    <row r="1212" customFormat="false" ht="15" hidden="false" customHeight="false" outlineLevel="0" collapsed="false">
      <c r="A1212" s="31" t="n">
        <v>46267</v>
      </c>
      <c r="B1212" s="32" t="s">
        <v>103</v>
      </c>
      <c r="C1212" s="32" t="s">
        <v>90</v>
      </c>
      <c r="D1212" s="33" t="s">
        <v>91</v>
      </c>
      <c r="E1212" s="34" t="n">
        <v>3.5</v>
      </c>
      <c r="F1212" s="32"/>
      <c r="G1212" s="35" t="n">
        <f aca="false">IF(A1212="","",A1212+7-WEEKDAY(A1212))</f>
        <v>46270</v>
      </c>
      <c r="H1212" s="36" t="n">
        <f aca="false">IF(A1212="","",DATE(YEAR(A1212),MONTH(A1212),1))</f>
        <v>46266</v>
      </c>
      <c r="I1212" s="37" t="str">
        <f aca="false">IF(B1212="","",IFERROR(INDEX(st_ID,MATCH(B1212,st_Name,0)),"Unknown"))</f>
        <v>QP-05</v>
      </c>
      <c r="J1212" s="37" t="str">
        <f aca="false">IF(C1212="","",IFERROR(INDEX(cl_Code,MATCH(C1212,cl_Name,0)),"Unknown"))</f>
        <v>BSE</v>
      </c>
      <c r="K1212" s="37" t="str">
        <f aca="false">IF(D1212="","",IFERROR(INDEX(rt_Billable,MATCH(D1212,rt_Code,0)),"Unknown"))</f>
        <v>Yes</v>
      </c>
      <c r="L1212" s="38" t="n">
        <f aca="false">IF(K1212&lt;&gt;"Yes","",IFERROR(INDEX(cr_Rate,MATCH(J1212&amp;"|"&amp;D1212,cr_Key,0)),INDEX(rt_Rate,MATCH(D1212,rt_Code,0))))</f>
        <v>100</v>
      </c>
      <c r="M1212" s="25" t="n">
        <f aca="false">IF(L1212="","",ROUND(N(E1212)*L1212,2))</f>
        <v>350</v>
      </c>
      <c r="N1212" s="39" t="n">
        <f aca="false">IF(OR(A1212="",B1212=""),"",SUMIFS(tl_Hours,tl_StaffID,I1212,tl_Date,A1212))</f>
        <v>8</v>
      </c>
      <c r="O1212" s="40" t="str">
        <f aca="false">IF(A1212&amp;B1212&amp;D1212="","",IF(OR(A1212="",B1212="",D1212="",E1212=""),"Incomplete",IF(K1212="Unknown","Unknown code",IF(AND(K1212="Yes",C1212=""),"Billable, needs client",IF(N1212&gt;MaxDayHours,"Over "&amp;MaxDayHours&amp;" hours that day","")))))</f>
        <v/>
      </c>
    </row>
    <row r="1213" customFormat="false" ht="15" hidden="false" customHeight="false" outlineLevel="0" collapsed="false">
      <c r="A1213" s="31" t="n">
        <v>46267</v>
      </c>
      <c r="B1213" s="32" t="s">
        <v>103</v>
      </c>
      <c r="C1213" s="32" t="s">
        <v>90</v>
      </c>
      <c r="D1213" s="33" t="s">
        <v>104</v>
      </c>
      <c r="E1213" s="34" t="n">
        <v>2.25</v>
      </c>
      <c r="F1213" s="32"/>
      <c r="G1213" s="35" t="n">
        <f aca="false">IF(A1213="","",A1213+7-WEEKDAY(A1213))</f>
        <v>46270</v>
      </c>
      <c r="H1213" s="36" t="n">
        <f aca="false">IF(A1213="","",DATE(YEAR(A1213),MONTH(A1213),1))</f>
        <v>46266</v>
      </c>
      <c r="I1213" s="37" t="str">
        <f aca="false">IF(B1213="","",IFERROR(INDEX(st_ID,MATCH(B1213,st_Name,0)),"Unknown"))</f>
        <v>QP-05</v>
      </c>
      <c r="J1213" s="37" t="str">
        <f aca="false">IF(C1213="","",IFERROR(INDEX(cl_Code,MATCH(C1213,cl_Name,0)),"Unknown"))</f>
        <v>BSE</v>
      </c>
      <c r="K1213" s="37" t="str">
        <f aca="false">IF(D1213="","",IFERROR(INDEX(rt_Billable,MATCH(D1213,rt_Code,0)),"Unknown"))</f>
        <v>Yes</v>
      </c>
      <c r="L1213" s="38" t="n">
        <f aca="false">IF(K1213&lt;&gt;"Yes","",IFERROR(INDEX(cr_Rate,MATCH(J1213&amp;"|"&amp;D1213,cr_Key,0)),INDEX(rt_Rate,MATCH(D1213,rt_Code,0))))</f>
        <v>70</v>
      </c>
      <c r="M1213" s="25" t="n">
        <f aca="false">IF(L1213="","",ROUND(N(E1213)*L1213,2))</f>
        <v>157.5</v>
      </c>
      <c r="N1213" s="39" t="n">
        <f aca="false">IF(OR(A1213="",B1213=""),"",SUMIFS(tl_Hours,tl_StaffID,I1213,tl_Date,A1213))</f>
        <v>8</v>
      </c>
      <c r="O1213" s="40" t="str">
        <f aca="false">IF(A1213&amp;B1213&amp;D1213="","",IF(OR(A1213="",B1213="",D1213="",E1213=""),"Incomplete",IF(K1213="Unknown","Unknown code",IF(AND(K1213="Yes",C1213=""),"Billable, needs client",IF(N1213&gt;MaxDayHours,"Over "&amp;MaxDayHours&amp;" hours that day","")))))</f>
        <v/>
      </c>
    </row>
    <row r="1214" customFormat="false" ht="15" hidden="false" customHeight="false" outlineLevel="0" collapsed="false">
      <c r="A1214" s="31" t="n">
        <v>46267</v>
      </c>
      <c r="B1214" s="32" t="s">
        <v>103</v>
      </c>
      <c r="C1214" s="32"/>
      <c r="D1214" s="33" t="s">
        <v>98</v>
      </c>
      <c r="E1214" s="34" t="n">
        <v>1</v>
      </c>
      <c r="F1214" s="32" t="s">
        <v>99</v>
      </c>
      <c r="G1214" s="35" t="n">
        <f aca="false">IF(A1214="","",A1214+7-WEEKDAY(A1214))</f>
        <v>46270</v>
      </c>
      <c r="H1214" s="36" t="n">
        <f aca="false">IF(A1214="","",DATE(YEAR(A1214),MONTH(A1214),1))</f>
        <v>46266</v>
      </c>
      <c r="I1214" s="37" t="str">
        <f aca="false">IF(B1214="","",IFERROR(INDEX(st_ID,MATCH(B1214,st_Name,0)),"Unknown"))</f>
        <v>QP-05</v>
      </c>
      <c r="J1214" s="37" t="str">
        <f aca="false">IF(C1214="","",IFERROR(INDEX(cl_Code,MATCH(C1214,cl_Name,0)),"Unknown"))</f>
        <v/>
      </c>
      <c r="K1214" s="37" t="str">
        <f aca="false">IF(D1214="","",IFERROR(INDEX(rt_Billable,MATCH(D1214,rt_Code,0)),"Unknown"))</f>
        <v>No</v>
      </c>
      <c r="L1214" s="38" t="str">
        <f aca="false">IF(K1214&lt;&gt;"Yes","",IFERROR(INDEX(cr_Rate,MATCH(J1214&amp;"|"&amp;D1214,cr_Key,0)),INDEX(rt_Rate,MATCH(D1214,rt_Code,0))))</f>
        <v/>
      </c>
      <c r="M1214" s="25" t="str">
        <f aca="false">IF(L1214="","",ROUND(N(E1214)*L1214,2))</f>
        <v/>
      </c>
      <c r="N1214" s="39" t="n">
        <f aca="false">IF(OR(A1214="",B1214=""),"",SUMIFS(tl_Hours,tl_StaffID,I1214,tl_Date,A1214))</f>
        <v>8</v>
      </c>
      <c r="O1214" s="40" t="str">
        <f aca="false">IF(A1214&amp;B1214&amp;D1214="","",IF(OR(A1214="",B1214="",D1214="",E1214=""),"Incomplete",IF(K1214="Unknown","Unknown code",IF(AND(K1214="Yes",C1214=""),"Billable, needs client",IF(N1214&gt;MaxDayHours,"Over "&amp;MaxDayHours&amp;" hours that day","")))))</f>
        <v/>
      </c>
    </row>
    <row r="1215" customFormat="false" ht="15" hidden="false" customHeight="false" outlineLevel="0" collapsed="false">
      <c r="A1215" s="31" t="n">
        <v>46267</v>
      </c>
      <c r="B1215" s="32" t="s">
        <v>103</v>
      </c>
      <c r="C1215" s="32"/>
      <c r="D1215" s="33" t="s">
        <v>96</v>
      </c>
      <c r="E1215" s="34" t="n">
        <v>1.25</v>
      </c>
      <c r="F1215" s="32"/>
      <c r="G1215" s="35" t="n">
        <f aca="false">IF(A1215="","",A1215+7-WEEKDAY(A1215))</f>
        <v>46270</v>
      </c>
      <c r="H1215" s="36" t="n">
        <f aca="false">IF(A1215="","",DATE(YEAR(A1215),MONTH(A1215),1))</f>
        <v>46266</v>
      </c>
      <c r="I1215" s="37" t="str">
        <f aca="false">IF(B1215="","",IFERROR(INDEX(st_ID,MATCH(B1215,st_Name,0)),"Unknown"))</f>
        <v>QP-05</v>
      </c>
      <c r="J1215" s="37" t="str">
        <f aca="false">IF(C1215="","",IFERROR(INDEX(cl_Code,MATCH(C1215,cl_Name,0)),"Unknown"))</f>
        <v/>
      </c>
      <c r="K1215" s="37" t="str">
        <f aca="false">IF(D1215="","",IFERROR(INDEX(rt_Billable,MATCH(D1215,rt_Code,0)),"Unknown"))</f>
        <v>No</v>
      </c>
      <c r="L1215" s="38" t="str">
        <f aca="false">IF(K1215&lt;&gt;"Yes","",IFERROR(INDEX(cr_Rate,MATCH(J1215&amp;"|"&amp;D1215,cr_Key,0)),INDEX(rt_Rate,MATCH(D1215,rt_Code,0))))</f>
        <v/>
      </c>
      <c r="M1215" s="25" t="str">
        <f aca="false">IF(L1215="","",ROUND(N(E1215)*L1215,2))</f>
        <v/>
      </c>
      <c r="N1215" s="39" t="n">
        <f aca="false">IF(OR(A1215="",B1215=""),"",SUMIFS(tl_Hours,tl_StaffID,I1215,tl_Date,A1215))</f>
        <v>8</v>
      </c>
      <c r="O1215" s="40" t="str">
        <f aca="false">IF(A1215&amp;B1215&amp;D1215="","",IF(OR(A1215="",B1215="",D1215="",E1215=""),"Incomplete",IF(K1215="Unknown","Unknown code",IF(AND(K1215="Yes",C1215=""),"Billable, needs client",IF(N1215&gt;MaxDayHours,"Over "&amp;MaxDayHours&amp;" hours that day","")))))</f>
        <v/>
      </c>
    </row>
    <row r="1216" customFormat="false" ht="15" hidden="false" customHeight="false" outlineLevel="0" collapsed="false">
      <c r="A1216" s="31" t="n">
        <v>46267</v>
      </c>
      <c r="B1216" s="32" t="s">
        <v>105</v>
      </c>
      <c r="C1216" s="32"/>
      <c r="D1216" s="33" t="s">
        <v>109</v>
      </c>
      <c r="E1216" s="34" t="n">
        <v>8</v>
      </c>
      <c r="F1216" s="32"/>
      <c r="G1216" s="35" t="n">
        <f aca="false">IF(A1216="","",A1216+7-WEEKDAY(A1216))</f>
        <v>46270</v>
      </c>
      <c r="H1216" s="36" t="n">
        <f aca="false">IF(A1216="","",DATE(YEAR(A1216),MONTH(A1216),1))</f>
        <v>46266</v>
      </c>
      <c r="I1216" s="37" t="str">
        <f aca="false">IF(B1216="","",IFERROR(INDEX(st_ID,MATCH(B1216,st_Name,0)),"Unknown"))</f>
        <v>QP-06</v>
      </c>
      <c r="J1216" s="37" t="str">
        <f aca="false">IF(C1216="","",IFERROR(INDEX(cl_Code,MATCH(C1216,cl_Name,0)),"Unknown"))</f>
        <v/>
      </c>
      <c r="K1216" s="37" t="str">
        <f aca="false">IF(D1216="","",IFERROR(INDEX(rt_Billable,MATCH(D1216,rt_Code,0)),"Unknown"))</f>
        <v>No</v>
      </c>
      <c r="L1216" s="38" t="str">
        <f aca="false">IF(K1216&lt;&gt;"Yes","",IFERROR(INDEX(cr_Rate,MATCH(J1216&amp;"|"&amp;D1216,cr_Key,0)),INDEX(rt_Rate,MATCH(D1216,rt_Code,0))))</f>
        <v/>
      </c>
      <c r="M1216" s="25" t="str">
        <f aca="false">IF(L1216="","",ROUND(N(E1216)*L1216,2))</f>
        <v/>
      </c>
      <c r="N1216" s="39" t="n">
        <f aca="false">IF(OR(A1216="",B1216=""),"",SUMIFS(tl_Hours,tl_StaffID,I1216,tl_Date,A1216))</f>
        <v>8</v>
      </c>
      <c r="O1216" s="40" t="str">
        <f aca="false">IF(A1216&amp;B1216&amp;D1216="","",IF(OR(A1216="",B1216="",D1216="",E1216=""),"Incomplete",IF(K1216="Unknown","Unknown code",IF(AND(K1216="Yes",C1216=""),"Billable, needs client",IF(N1216&gt;MaxDayHours,"Over "&amp;MaxDayHours&amp;" hours that day","")))))</f>
        <v/>
      </c>
    </row>
    <row r="1217" customFormat="false" ht="15" hidden="false" customHeight="false" outlineLevel="0" collapsed="false">
      <c r="A1217" s="31" t="n">
        <v>46267</v>
      </c>
      <c r="B1217" s="32" t="s">
        <v>106</v>
      </c>
      <c r="C1217" s="32" t="s">
        <v>87</v>
      </c>
      <c r="D1217" s="33" t="s">
        <v>88</v>
      </c>
      <c r="E1217" s="34" t="n">
        <v>3.75</v>
      </c>
      <c r="F1217" s="32"/>
      <c r="G1217" s="35" t="n">
        <f aca="false">IF(A1217="","",A1217+7-WEEKDAY(A1217))</f>
        <v>46270</v>
      </c>
      <c r="H1217" s="36" t="n">
        <f aca="false">IF(A1217="","",DATE(YEAR(A1217),MONTH(A1217),1))</f>
        <v>46266</v>
      </c>
      <c r="I1217" s="37" t="str">
        <f aca="false">IF(B1217="","",IFERROR(INDEX(st_ID,MATCH(B1217,st_Name,0)),"Unknown"))</f>
        <v>QP-07</v>
      </c>
      <c r="J1217" s="37" t="str">
        <f aca="false">IF(C1217="","",IFERROR(INDEX(cl_Code,MATCH(C1217,cl_Name,0)),"Unknown"))</f>
        <v>HCS</v>
      </c>
      <c r="K1217" s="37" t="str">
        <f aca="false">IF(D1217="","",IFERROR(INDEX(rt_Billable,MATCH(D1217,rt_Code,0)),"Unknown"))</f>
        <v>Yes</v>
      </c>
      <c r="L1217" s="38" t="n">
        <f aca="false">IF(K1217&lt;&gt;"Yes","",IFERROR(INDEX(cr_Rate,MATCH(J1217&amp;"|"&amp;D1217,cr_Key,0)),INDEX(rt_Rate,MATCH(D1217,rt_Code,0))))</f>
        <v>98</v>
      </c>
      <c r="M1217" s="25" t="n">
        <f aca="false">IF(L1217="","",ROUND(N(E1217)*L1217,2))</f>
        <v>367.5</v>
      </c>
      <c r="N1217" s="39" t="n">
        <f aca="false">IF(OR(A1217="",B1217=""),"",SUMIFS(tl_Hours,tl_StaffID,I1217,tl_Date,A1217))</f>
        <v>8</v>
      </c>
      <c r="O1217" s="40" t="str">
        <f aca="false">IF(A1217&amp;B1217&amp;D1217="","",IF(OR(A1217="",B1217="",D1217="",E1217=""),"Incomplete",IF(K1217="Unknown","Unknown code",IF(AND(K1217="Yes",C1217=""),"Billable, needs client",IF(N1217&gt;MaxDayHours,"Over "&amp;MaxDayHours&amp;" hours that day","")))))</f>
        <v/>
      </c>
    </row>
    <row r="1218" customFormat="false" ht="15" hidden="false" customHeight="false" outlineLevel="0" collapsed="false">
      <c r="A1218" s="31" t="n">
        <v>46267</v>
      </c>
      <c r="B1218" s="32" t="s">
        <v>106</v>
      </c>
      <c r="C1218" s="32" t="s">
        <v>87</v>
      </c>
      <c r="D1218" s="33" t="s">
        <v>113</v>
      </c>
      <c r="E1218" s="34" t="n">
        <v>2.25</v>
      </c>
      <c r="F1218" s="32"/>
      <c r="G1218" s="35" t="n">
        <f aca="false">IF(A1218="","",A1218+7-WEEKDAY(A1218))</f>
        <v>46270</v>
      </c>
      <c r="H1218" s="36" t="n">
        <f aca="false">IF(A1218="","",DATE(YEAR(A1218),MONTH(A1218),1))</f>
        <v>46266</v>
      </c>
      <c r="I1218" s="37" t="str">
        <f aca="false">IF(B1218="","",IFERROR(INDEX(st_ID,MATCH(B1218,st_Name,0)),"Unknown"))</f>
        <v>QP-07</v>
      </c>
      <c r="J1218" s="37" t="str">
        <f aca="false">IF(C1218="","",IFERROR(INDEX(cl_Code,MATCH(C1218,cl_Name,0)),"Unknown"))</f>
        <v>HCS</v>
      </c>
      <c r="K1218" s="37" t="str">
        <f aca="false">IF(D1218="","",IFERROR(INDEX(rt_Billable,MATCH(D1218,rt_Code,0)),"Unknown"))</f>
        <v>Yes</v>
      </c>
      <c r="L1218" s="38" t="n">
        <f aca="false">IF(K1218&lt;&gt;"Yes","",IFERROR(INDEX(cr_Rate,MATCH(J1218&amp;"|"&amp;D1218,cr_Key,0)),INDEX(rt_Rate,MATCH(D1218,rt_Code,0))))</f>
        <v>85</v>
      </c>
      <c r="M1218" s="25" t="n">
        <f aca="false">IF(L1218="","",ROUND(N(E1218)*L1218,2))</f>
        <v>191.25</v>
      </c>
      <c r="N1218" s="39" t="n">
        <f aca="false">IF(OR(A1218="",B1218=""),"",SUMIFS(tl_Hours,tl_StaffID,I1218,tl_Date,A1218))</f>
        <v>8</v>
      </c>
      <c r="O1218" s="40" t="str">
        <f aca="false">IF(A1218&amp;B1218&amp;D1218="","",IF(OR(A1218="",B1218="",D1218="",E1218=""),"Incomplete",IF(K1218="Unknown","Unknown code",IF(AND(K1218="Yes",C1218=""),"Billable, needs client",IF(N1218&gt;MaxDayHours,"Over "&amp;MaxDayHours&amp;" hours that day","")))))</f>
        <v/>
      </c>
    </row>
    <row r="1219" customFormat="false" ht="15" hidden="false" customHeight="false" outlineLevel="0" collapsed="false">
      <c r="A1219" s="31" t="n">
        <v>46267</v>
      </c>
      <c r="B1219" s="32" t="s">
        <v>106</v>
      </c>
      <c r="C1219" s="32"/>
      <c r="D1219" s="33" t="s">
        <v>98</v>
      </c>
      <c r="E1219" s="34" t="n">
        <v>1</v>
      </c>
      <c r="F1219" s="32" t="s">
        <v>99</v>
      </c>
      <c r="G1219" s="35" t="n">
        <f aca="false">IF(A1219="","",A1219+7-WEEKDAY(A1219))</f>
        <v>46270</v>
      </c>
      <c r="H1219" s="36" t="n">
        <f aca="false">IF(A1219="","",DATE(YEAR(A1219),MONTH(A1219),1))</f>
        <v>46266</v>
      </c>
      <c r="I1219" s="37" t="str">
        <f aca="false">IF(B1219="","",IFERROR(INDEX(st_ID,MATCH(B1219,st_Name,0)),"Unknown"))</f>
        <v>QP-07</v>
      </c>
      <c r="J1219" s="37" t="str">
        <f aca="false">IF(C1219="","",IFERROR(INDEX(cl_Code,MATCH(C1219,cl_Name,0)),"Unknown"))</f>
        <v/>
      </c>
      <c r="K1219" s="37" t="str">
        <f aca="false">IF(D1219="","",IFERROR(INDEX(rt_Billable,MATCH(D1219,rt_Code,0)),"Unknown"))</f>
        <v>No</v>
      </c>
      <c r="L1219" s="38" t="str">
        <f aca="false">IF(K1219&lt;&gt;"Yes","",IFERROR(INDEX(cr_Rate,MATCH(J1219&amp;"|"&amp;D1219,cr_Key,0)),INDEX(rt_Rate,MATCH(D1219,rt_Code,0))))</f>
        <v/>
      </c>
      <c r="M1219" s="25" t="str">
        <f aca="false">IF(L1219="","",ROUND(N(E1219)*L1219,2))</f>
        <v/>
      </c>
      <c r="N1219" s="39" t="n">
        <f aca="false">IF(OR(A1219="",B1219=""),"",SUMIFS(tl_Hours,tl_StaffID,I1219,tl_Date,A1219))</f>
        <v>8</v>
      </c>
      <c r="O1219" s="40" t="str">
        <f aca="false">IF(A1219&amp;B1219&amp;D1219="","",IF(OR(A1219="",B1219="",D1219="",E1219=""),"Incomplete",IF(K1219="Unknown","Unknown code",IF(AND(K1219="Yes",C1219=""),"Billable, needs client",IF(N1219&gt;MaxDayHours,"Over "&amp;MaxDayHours&amp;" hours that day","")))))</f>
        <v/>
      </c>
    </row>
    <row r="1220" customFormat="false" ht="15" hidden="false" customHeight="false" outlineLevel="0" collapsed="false">
      <c r="A1220" s="31" t="n">
        <v>46267</v>
      </c>
      <c r="B1220" s="32" t="s">
        <v>106</v>
      </c>
      <c r="C1220" s="32"/>
      <c r="D1220" s="33" t="s">
        <v>96</v>
      </c>
      <c r="E1220" s="34" t="n">
        <v>1</v>
      </c>
      <c r="F1220" s="32"/>
      <c r="G1220" s="35" t="n">
        <f aca="false">IF(A1220="","",A1220+7-WEEKDAY(A1220))</f>
        <v>46270</v>
      </c>
      <c r="H1220" s="36" t="n">
        <f aca="false">IF(A1220="","",DATE(YEAR(A1220),MONTH(A1220),1))</f>
        <v>46266</v>
      </c>
      <c r="I1220" s="37" t="str">
        <f aca="false">IF(B1220="","",IFERROR(INDEX(st_ID,MATCH(B1220,st_Name,0)),"Unknown"))</f>
        <v>QP-07</v>
      </c>
      <c r="J1220" s="37" t="str">
        <f aca="false">IF(C1220="","",IFERROR(INDEX(cl_Code,MATCH(C1220,cl_Name,0)),"Unknown"))</f>
        <v/>
      </c>
      <c r="K1220" s="37" t="str">
        <f aca="false">IF(D1220="","",IFERROR(INDEX(rt_Billable,MATCH(D1220,rt_Code,0)),"Unknown"))</f>
        <v>No</v>
      </c>
      <c r="L1220" s="38" t="str">
        <f aca="false">IF(K1220&lt;&gt;"Yes","",IFERROR(INDEX(cr_Rate,MATCH(J1220&amp;"|"&amp;D1220,cr_Key,0)),INDEX(rt_Rate,MATCH(D1220,rt_Code,0))))</f>
        <v/>
      </c>
      <c r="M1220" s="25" t="str">
        <f aca="false">IF(L1220="","",ROUND(N(E1220)*L1220,2))</f>
        <v/>
      </c>
      <c r="N1220" s="39" t="n">
        <f aca="false">IF(OR(A1220="",B1220=""),"",SUMIFS(tl_Hours,tl_StaffID,I1220,tl_Date,A1220))</f>
        <v>8</v>
      </c>
      <c r="O1220" s="40" t="str">
        <f aca="false">IF(A1220&amp;B1220&amp;D1220="","",IF(OR(A1220="",B1220="",D1220="",E1220=""),"Incomplete",IF(K1220="Unknown","Unknown code",IF(AND(K1220="Yes",C1220=""),"Billable, needs client",IF(N1220&gt;MaxDayHours,"Over "&amp;MaxDayHours&amp;" hours that day","")))))</f>
        <v/>
      </c>
    </row>
    <row r="1221" customFormat="false" ht="15" hidden="false" customHeight="false" outlineLevel="0" collapsed="false">
      <c r="A1221" s="31" t="n">
        <v>46267</v>
      </c>
      <c r="B1221" s="32" t="s">
        <v>107</v>
      </c>
      <c r="C1221" s="32"/>
      <c r="D1221" s="33" t="s">
        <v>108</v>
      </c>
      <c r="E1221" s="34" t="n">
        <v>6.5</v>
      </c>
      <c r="F1221" s="32"/>
      <c r="G1221" s="35" t="n">
        <f aca="false">IF(A1221="","",A1221+7-WEEKDAY(A1221))</f>
        <v>46270</v>
      </c>
      <c r="H1221" s="36" t="n">
        <f aca="false">IF(A1221="","",DATE(YEAR(A1221),MONTH(A1221),1))</f>
        <v>46266</v>
      </c>
      <c r="I1221" s="37" t="str">
        <f aca="false">IF(B1221="","",IFERROR(INDEX(st_ID,MATCH(B1221,st_Name,0)),"Unknown"))</f>
        <v>QP-08</v>
      </c>
      <c r="J1221" s="37" t="str">
        <f aca="false">IF(C1221="","",IFERROR(INDEX(cl_Code,MATCH(C1221,cl_Name,0)),"Unknown"))</f>
        <v/>
      </c>
      <c r="K1221" s="37" t="str">
        <f aca="false">IF(D1221="","",IFERROR(INDEX(rt_Billable,MATCH(D1221,rt_Code,0)),"Unknown"))</f>
        <v>No</v>
      </c>
      <c r="L1221" s="38" t="str">
        <f aca="false">IF(K1221&lt;&gt;"Yes","",IFERROR(INDEX(cr_Rate,MATCH(J1221&amp;"|"&amp;D1221,cr_Key,0)),INDEX(rt_Rate,MATCH(D1221,rt_Code,0))))</f>
        <v/>
      </c>
      <c r="M1221" s="25" t="str">
        <f aca="false">IF(L1221="","",ROUND(N(E1221)*L1221,2))</f>
        <v/>
      </c>
      <c r="N1221" s="39" t="n">
        <f aca="false">IF(OR(A1221="",B1221=""),"",SUMIFS(tl_Hours,tl_StaffID,I1221,tl_Date,A1221))</f>
        <v>8</v>
      </c>
      <c r="O1221" s="40" t="str">
        <f aca="false">IF(A1221&amp;B1221&amp;D1221="","",IF(OR(A1221="",B1221="",D1221="",E1221=""),"Incomplete",IF(K1221="Unknown","Unknown code",IF(AND(K1221="Yes",C1221=""),"Billable, needs client",IF(N1221&gt;MaxDayHours,"Over "&amp;MaxDayHours&amp;" hours that day","")))))</f>
        <v/>
      </c>
    </row>
    <row r="1222" customFormat="false" ht="15" hidden="false" customHeight="false" outlineLevel="0" collapsed="false">
      <c r="A1222" s="31" t="n">
        <v>46267</v>
      </c>
      <c r="B1222" s="32" t="s">
        <v>107</v>
      </c>
      <c r="C1222" s="32"/>
      <c r="D1222" s="33" t="s">
        <v>98</v>
      </c>
      <c r="E1222" s="34" t="n">
        <v>1.5</v>
      </c>
      <c r="F1222" s="32"/>
      <c r="G1222" s="35" t="n">
        <f aca="false">IF(A1222="","",A1222+7-WEEKDAY(A1222))</f>
        <v>46270</v>
      </c>
      <c r="H1222" s="36" t="n">
        <f aca="false">IF(A1222="","",DATE(YEAR(A1222),MONTH(A1222),1))</f>
        <v>46266</v>
      </c>
      <c r="I1222" s="37" t="str">
        <f aca="false">IF(B1222="","",IFERROR(INDEX(st_ID,MATCH(B1222,st_Name,0)),"Unknown"))</f>
        <v>QP-08</v>
      </c>
      <c r="J1222" s="37" t="str">
        <f aca="false">IF(C1222="","",IFERROR(INDEX(cl_Code,MATCH(C1222,cl_Name,0)),"Unknown"))</f>
        <v/>
      </c>
      <c r="K1222" s="37" t="str">
        <f aca="false">IF(D1222="","",IFERROR(INDEX(rt_Billable,MATCH(D1222,rt_Code,0)),"Unknown"))</f>
        <v>No</v>
      </c>
      <c r="L1222" s="38" t="str">
        <f aca="false">IF(K1222&lt;&gt;"Yes","",IFERROR(INDEX(cr_Rate,MATCH(J1222&amp;"|"&amp;D1222,cr_Key,0)),INDEX(rt_Rate,MATCH(D1222,rt_Code,0))))</f>
        <v/>
      </c>
      <c r="M1222" s="25" t="str">
        <f aca="false">IF(L1222="","",ROUND(N(E1222)*L1222,2))</f>
        <v/>
      </c>
      <c r="N1222" s="39" t="n">
        <f aca="false">IF(OR(A1222="",B1222=""),"",SUMIFS(tl_Hours,tl_StaffID,I1222,tl_Date,A1222))</f>
        <v>8</v>
      </c>
      <c r="O1222" s="40" t="str">
        <f aca="false">IF(A1222&amp;B1222&amp;D1222="","",IF(OR(A1222="",B1222="",D1222="",E1222=""),"Incomplete",IF(K1222="Unknown","Unknown code",IF(AND(K1222="Yes",C1222=""),"Billable, needs client",IF(N1222&gt;MaxDayHours,"Over "&amp;MaxDayHours&amp;" hours that day","")))))</f>
        <v/>
      </c>
    </row>
    <row r="1223" customFormat="false" ht="15" hidden="false" customHeight="false" outlineLevel="0" collapsed="false">
      <c r="A1223" s="31" t="n">
        <v>46268</v>
      </c>
      <c r="B1223" s="32" t="s">
        <v>86</v>
      </c>
      <c r="C1223" s="32" t="s">
        <v>90</v>
      </c>
      <c r="D1223" s="33" t="s">
        <v>91</v>
      </c>
      <c r="E1223" s="34" t="n">
        <v>3.25</v>
      </c>
      <c r="F1223" s="32"/>
      <c r="G1223" s="35" t="n">
        <f aca="false">IF(A1223="","",A1223+7-WEEKDAY(A1223))</f>
        <v>46270</v>
      </c>
      <c r="H1223" s="36" t="n">
        <f aca="false">IF(A1223="","",DATE(YEAR(A1223),MONTH(A1223),1))</f>
        <v>46266</v>
      </c>
      <c r="I1223" s="37" t="str">
        <f aca="false">IF(B1223="","",IFERROR(INDEX(st_ID,MATCH(B1223,st_Name,0)),"Unknown"))</f>
        <v>QP-01</v>
      </c>
      <c r="J1223" s="37" t="str">
        <f aca="false">IF(C1223="","",IFERROR(INDEX(cl_Code,MATCH(C1223,cl_Name,0)),"Unknown"))</f>
        <v>BSE</v>
      </c>
      <c r="K1223" s="37" t="str">
        <f aca="false">IF(D1223="","",IFERROR(INDEX(rt_Billable,MATCH(D1223,rt_Code,0)),"Unknown"))</f>
        <v>Yes</v>
      </c>
      <c r="L1223" s="38" t="n">
        <f aca="false">IF(K1223&lt;&gt;"Yes","",IFERROR(INDEX(cr_Rate,MATCH(J1223&amp;"|"&amp;D1223,cr_Key,0)),INDEX(rt_Rate,MATCH(D1223,rt_Code,0))))</f>
        <v>100</v>
      </c>
      <c r="M1223" s="25" t="n">
        <f aca="false">IF(L1223="","",ROUND(N(E1223)*L1223,2))</f>
        <v>325</v>
      </c>
      <c r="N1223" s="39" t="n">
        <f aca="false">IF(OR(A1223="",B1223=""),"",SUMIFS(tl_Hours,tl_StaffID,I1223,tl_Date,A1223))</f>
        <v>8</v>
      </c>
      <c r="O1223" s="40" t="str">
        <f aca="false">IF(A1223&amp;B1223&amp;D1223="","",IF(OR(A1223="",B1223="",D1223="",E1223=""),"Incomplete",IF(K1223="Unknown","Unknown code",IF(AND(K1223="Yes",C1223=""),"Billable, needs client",IF(N1223&gt;MaxDayHours,"Over "&amp;MaxDayHours&amp;" hours that day","")))))</f>
        <v/>
      </c>
    </row>
    <row r="1224" customFormat="false" ht="15" hidden="false" customHeight="false" outlineLevel="0" collapsed="false">
      <c r="A1224" s="31" t="n">
        <v>46268</v>
      </c>
      <c r="B1224" s="32" t="s">
        <v>86</v>
      </c>
      <c r="C1224" s="32" t="s">
        <v>90</v>
      </c>
      <c r="D1224" s="33" t="s">
        <v>104</v>
      </c>
      <c r="E1224" s="34" t="n">
        <v>2.25</v>
      </c>
      <c r="F1224" s="32"/>
      <c r="G1224" s="35" t="n">
        <f aca="false">IF(A1224="","",A1224+7-WEEKDAY(A1224))</f>
        <v>46270</v>
      </c>
      <c r="H1224" s="36" t="n">
        <f aca="false">IF(A1224="","",DATE(YEAR(A1224),MONTH(A1224),1))</f>
        <v>46266</v>
      </c>
      <c r="I1224" s="37" t="str">
        <f aca="false">IF(B1224="","",IFERROR(INDEX(st_ID,MATCH(B1224,st_Name,0)),"Unknown"))</f>
        <v>QP-01</v>
      </c>
      <c r="J1224" s="37" t="str">
        <f aca="false">IF(C1224="","",IFERROR(INDEX(cl_Code,MATCH(C1224,cl_Name,0)),"Unknown"))</f>
        <v>BSE</v>
      </c>
      <c r="K1224" s="37" t="str">
        <f aca="false">IF(D1224="","",IFERROR(INDEX(rt_Billable,MATCH(D1224,rt_Code,0)),"Unknown"))</f>
        <v>Yes</v>
      </c>
      <c r="L1224" s="38" t="n">
        <f aca="false">IF(K1224&lt;&gt;"Yes","",IFERROR(INDEX(cr_Rate,MATCH(J1224&amp;"|"&amp;D1224,cr_Key,0)),INDEX(rt_Rate,MATCH(D1224,rt_Code,0))))</f>
        <v>70</v>
      </c>
      <c r="M1224" s="25" t="n">
        <f aca="false">IF(L1224="","",ROUND(N(E1224)*L1224,2))</f>
        <v>157.5</v>
      </c>
      <c r="N1224" s="39" t="n">
        <f aca="false">IF(OR(A1224="",B1224=""),"",SUMIFS(tl_Hours,tl_StaffID,I1224,tl_Date,A1224))</f>
        <v>8</v>
      </c>
      <c r="O1224" s="40" t="str">
        <f aca="false">IF(A1224&amp;B1224&amp;D1224="","",IF(OR(A1224="",B1224="",D1224="",E1224=""),"Incomplete",IF(K1224="Unknown","Unknown code",IF(AND(K1224="Yes",C1224=""),"Billable, needs client",IF(N1224&gt;MaxDayHours,"Over "&amp;MaxDayHours&amp;" hours that day","")))))</f>
        <v/>
      </c>
    </row>
    <row r="1225" customFormat="false" ht="15" hidden="false" customHeight="false" outlineLevel="0" collapsed="false">
      <c r="A1225" s="31" t="n">
        <v>46268</v>
      </c>
      <c r="B1225" s="32" t="s">
        <v>86</v>
      </c>
      <c r="C1225" s="32"/>
      <c r="D1225" s="33" t="s">
        <v>96</v>
      </c>
      <c r="E1225" s="34" t="n">
        <v>2.5</v>
      </c>
      <c r="F1225" s="32"/>
      <c r="G1225" s="35" t="n">
        <f aca="false">IF(A1225="","",A1225+7-WEEKDAY(A1225))</f>
        <v>46270</v>
      </c>
      <c r="H1225" s="36" t="n">
        <f aca="false">IF(A1225="","",DATE(YEAR(A1225),MONTH(A1225),1))</f>
        <v>46266</v>
      </c>
      <c r="I1225" s="37" t="str">
        <f aca="false">IF(B1225="","",IFERROR(INDEX(st_ID,MATCH(B1225,st_Name,0)),"Unknown"))</f>
        <v>QP-01</v>
      </c>
      <c r="J1225" s="37" t="str">
        <f aca="false">IF(C1225="","",IFERROR(INDEX(cl_Code,MATCH(C1225,cl_Name,0)),"Unknown"))</f>
        <v/>
      </c>
      <c r="K1225" s="37" t="str">
        <f aca="false">IF(D1225="","",IFERROR(INDEX(rt_Billable,MATCH(D1225,rt_Code,0)),"Unknown"))</f>
        <v>No</v>
      </c>
      <c r="L1225" s="38" t="str">
        <f aca="false">IF(K1225&lt;&gt;"Yes","",IFERROR(INDEX(cr_Rate,MATCH(J1225&amp;"|"&amp;D1225,cr_Key,0)),INDEX(rt_Rate,MATCH(D1225,rt_Code,0))))</f>
        <v/>
      </c>
      <c r="M1225" s="25" t="str">
        <f aca="false">IF(L1225="","",ROUND(N(E1225)*L1225,2))</f>
        <v/>
      </c>
      <c r="N1225" s="39" t="n">
        <f aca="false">IF(OR(A1225="",B1225=""),"",SUMIFS(tl_Hours,tl_StaffID,I1225,tl_Date,A1225))</f>
        <v>8</v>
      </c>
      <c r="O1225" s="40" t="str">
        <f aca="false">IF(A1225&amp;B1225&amp;D1225="","",IF(OR(A1225="",B1225="",D1225="",E1225=""),"Incomplete",IF(K1225="Unknown","Unknown code",IF(AND(K1225="Yes",C1225=""),"Billable, needs client",IF(N1225&gt;MaxDayHours,"Over "&amp;MaxDayHours&amp;" hours that day","")))))</f>
        <v/>
      </c>
    </row>
    <row r="1226" customFormat="false" ht="15" hidden="false" customHeight="false" outlineLevel="0" collapsed="false">
      <c r="A1226" s="31" t="n">
        <v>46268</v>
      </c>
      <c r="B1226" s="32" t="s">
        <v>97</v>
      </c>
      <c r="C1226" s="32" t="s">
        <v>111</v>
      </c>
      <c r="D1226" s="33" t="s">
        <v>88</v>
      </c>
      <c r="E1226" s="34" t="n">
        <v>1.75</v>
      </c>
      <c r="F1226" s="32"/>
      <c r="G1226" s="35" t="n">
        <f aca="false">IF(A1226="","",A1226+7-WEEKDAY(A1226))</f>
        <v>46270</v>
      </c>
      <c r="H1226" s="36" t="n">
        <f aca="false">IF(A1226="","",DATE(YEAR(A1226),MONTH(A1226),1))</f>
        <v>46266</v>
      </c>
      <c r="I1226" s="37" t="str">
        <f aca="false">IF(B1226="","",IFERROR(INDEX(st_ID,MATCH(B1226,st_Name,0)),"Unknown"))</f>
        <v>QP-02</v>
      </c>
      <c r="J1226" s="37" t="str">
        <f aca="false">IF(C1226="","",IFERROR(INDEX(cl_Code,MATCH(C1226,cl_Name,0)),"Unknown"))</f>
        <v>WMS</v>
      </c>
      <c r="K1226" s="37" t="str">
        <f aca="false">IF(D1226="","",IFERROR(INDEX(rt_Billable,MATCH(D1226,rt_Code,0)),"Unknown"))</f>
        <v>Yes</v>
      </c>
      <c r="L1226" s="38" t="n">
        <f aca="false">IF(K1226&lt;&gt;"Yes","",IFERROR(INDEX(cr_Rate,MATCH(J1226&amp;"|"&amp;D1226,cr_Key,0)),INDEX(rt_Rate,MATCH(D1226,rt_Code,0))))</f>
        <v>110</v>
      </c>
      <c r="M1226" s="25" t="n">
        <f aca="false">IF(L1226="","",ROUND(N(E1226)*L1226,2))</f>
        <v>192.5</v>
      </c>
      <c r="N1226" s="39" t="n">
        <f aca="false">IF(OR(A1226="",B1226=""),"",SUMIFS(tl_Hours,tl_StaffID,I1226,tl_Date,A1226))</f>
        <v>8</v>
      </c>
      <c r="O1226" s="40" t="str">
        <f aca="false">IF(A1226&amp;B1226&amp;D1226="","",IF(OR(A1226="",B1226="",D1226="",E1226=""),"Incomplete",IF(K1226="Unknown","Unknown code",IF(AND(K1226="Yes",C1226=""),"Billable, needs client",IF(N1226&gt;MaxDayHours,"Over "&amp;MaxDayHours&amp;" hours that day","")))))</f>
        <v/>
      </c>
    </row>
    <row r="1227" customFormat="false" ht="15" hidden="false" customHeight="false" outlineLevel="0" collapsed="false">
      <c r="A1227" s="31" t="n">
        <v>46268</v>
      </c>
      <c r="B1227" s="32" t="s">
        <v>97</v>
      </c>
      <c r="C1227" s="32" t="s">
        <v>111</v>
      </c>
      <c r="D1227" s="33" t="s">
        <v>89</v>
      </c>
      <c r="E1227" s="34" t="n">
        <v>1</v>
      </c>
      <c r="F1227" s="32"/>
      <c r="G1227" s="35" t="n">
        <f aca="false">IF(A1227="","",A1227+7-WEEKDAY(A1227))</f>
        <v>46270</v>
      </c>
      <c r="H1227" s="36" t="n">
        <f aca="false">IF(A1227="","",DATE(YEAR(A1227),MONTH(A1227),1))</f>
        <v>46266</v>
      </c>
      <c r="I1227" s="37" t="str">
        <f aca="false">IF(B1227="","",IFERROR(INDEX(st_ID,MATCH(B1227,st_Name,0)),"Unknown"))</f>
        <v>QP-02</v>
      </c>
      <c r="J1227" s="37" t="str">
        <f aca="false">IF(C1227="","",IFERROR(INDEX(cl_Code,MATCH(C1227,cl_Name,0)),"Unknown"))</f>
        <v>WMS</v>
      </c>
      <c r="K1227" s="37" t="str">
        <f aca="false">IF(D1227="","",IFERROR(INDEX(rt_Billable,MATCH(D1227,rt_Code,0)),"Unknown"))</f>
        <v>Yes</v>
      </c>
      <c r="L1227" s="38" t="n">
        <f aca="false">IF(K1227&lt;&gt;"Yes","",IFERROR(INDEX(cr_Rate,MATCH(J1227&amp;"|"&amp;D1227,cr_Key,0)),INDEX(rt_Rate,MATCH(D1227,rt_Code,0))))</f>
        <v>95</v>
      </c>
      <c r="M1227" s="25" t="n">
        <f aca="false">IF(L1227="","",ROUND(N(E1227)*L1227,2))</f>
        <v>95</v>
      </c>
      <c r="N1227" s="39" t="n">
        <f aca="false">IF(OR(A1227="",B1227=""),"",SUMIFS(tl_Hours,tl_StaffID,I1227,tl_Date,A1227))</f>
        <v>8</v>
      </c>
      <c r="O1227" s="40" t="str">
        <f aca="false">IF(A1227&amp;B1227&amp;D1227="","",IF(OR(A1227="",B1227="",D1227="",E1227=""),"Incomplete",IF(K1227="Unknown","Unknown code",IF(AND(K1227="Yes",C1227=""),"Billable, needs client",IF(N1227&gt;MaxDayHours,"Over "&amp;MaxDayHours&amp;" hours that day","")))))</f>
        <v/>
      </c>
    </row>
    <row r="1228" customFormat="false" ht="15" hidden="false" customHeight="false" outlineLevel="0" collapsed="false">
      <c r="A1228" s="31" t="n">
        <v>46268</v>
      </c>
      <c r="B1228" s="32" t="s">
        <v>97</v>
      </c>
      <c r="C1228" s="32" t="s">
        <v>87</v>
      </c>
      <c r="D1228" s="33" t="s">
        <v>104</v>
      </c>
      <c r="E1228" s="34" t="n">
        <v>1.75</v>
      </c>
      <c r="F1228" s="32"/>
      <c r="G1228" s="35" t="n">
        <f aca="false">IF(A1228="","",A1228+7-WEEKDAY(A1228))</f>
        <v>46270</v>
      </c>
      <c r="H1228" s="36" t="n">
        <f aca="false">IF(A1228="","",DATE(YEAR(A1228),MONTH(A1228),1))</f>
        <v>46266</v>
      </c>
      <c r="I1228" s="37" t="str">
        <f aca="false">IF(B1228="","",IFERROR(INDEX(st_ID,MATCH(B1228,st_Name,0)),"Unknown"))</f>
        <v>QP-02</v>
      </c>
      <c r="J1228" s="37" t="str">
        <f aca="false">IF(C1228="","",IFERROR(INDEX(cl_Code,MATCH(C1228,cl_Name,0)),"Unknown"))</f>
        <v>HCS</v>
      </c>
      <c r="K1228" s="37" t="str">
        <f aca="false">IF(D1228="","",IFERROR(INDEX(rt_Billable,MATCH(D1228,rt_Code,0)),"Unknown"))</f>
        <v>Yes</v>
      </c>
      <c r="L1228" s="38" t="n">
        <f aca="false">IF(K1228&lt;&gt;"Yes","",IFERROR(INDEX(cr_Rate,MATCH(J1228&amp;"|"&amp;D1228,cr_Key,0)),INDEX(rt_Rate,MATCH(D1228,rt_Code,0))))</f>
        <v>62</v>
      </c>
      <c r="M1228" s="25" t="n">
        <f aca="false">IF(L1228="","",ROUND(N(E1228)*L1228,2))</f>
        <v>108.5</v>
      </c>
      <c r="N1228" s="39" t="n">
        <f aca="false">IF(OR(A1228="",B1228=""),"",SUMIFS(tl_Hours,tl_StaffID,I1228,tl_Date,A1228))</f>
        <v>8</v>
      </c>
      <c r="O1228" s="40" t="str">
        <f aca="false">IF(A1228&amp;B1228&amp;D1228="","",IF(OR(A1228="",B1228="",D1228="",E1228=""),"Incomplete",IF(K1228="Unknown","Unknown code",IF(AND(K1228="Yes",C1228=""),"Billable, needs client",IF(N1228&gt;MaxDayHours,"Over "&amp;MaxDayHours&amp;" hours that day","")))))</f>
        <v/>
      </c>
    </row>
    <row r="1229" customFormat="false" ht="15" hidden="false" customHeight="false" outlineLevel="0" collapsed="false">
      <c r="A1229" s="31" t="n">
        <v>46268</v>
      </c>
      <c r="B1229" s="32" t="s">
        <v>97</v>
      </c>
      <c r="C1229" s="32" t="s">
        <v>87</v>
      </c>
      <c r="D1229" s="33" t="s">
        <v>89</v>
      </c>
      <c r="E1229" s="34" t="n">
        <v>1</v>
      </c>
      <c r="F1229" s="32"/>
      <c r="G1229" s="35" t="n">
        <f aca="false">IF(A1229="","",A1229+7-WEEKDAY(A1229))</f>
        <v>46270</v>
      </c>
      <c r="H1229" s="36" t="n">
        <f aca="false">IF(A1229="","",DATE(YEAR(A1229),MONTH(A1229),1))</f>
        <v>46266</v>
      </c>
      <c r="I1229" s="37" t="str">
        <f aca="false">IF(B1229="","",IFERROR(INDEX(st_ID,MATCH(B1229,st_Name,0)),"Unknown"))</f>
        <v>QP-02</v>
      </c>
      <c r="J1229" s="37" t="str">
        <f aca="false">IF(C1229="","",IFERROR(INDEX(cl_Code,MATCH(C1229,cl_Name,0)),"Unknown"))</f>
        <v>HCS</v>
      </c>
      <c r="K1229" s="37" t="str">
        <f aca="false">IF(D1229="","",IFERROR(INDEX(rt_Billable,MATCH(D1229,rt_Code,0)),"Unknown"))</f>
        <v>Yes</v>
      </c>
      <c r="L1229" s="38" t="n">
        <f aca="false">IF(K1229&lt;&gt;"Yes","",IFERROR(INDEX(cr_Rate,MATCH(J1229&amp;"|"&amp;D1229,cr_Key,0)),INDEX(rt_Rate,MATCH(D1229,rt_Code,0))))</f>
        <v>88</v>
      </c>
      <c r="M1229" s="25" t="n">
        <f aca="false">IF(L1229="","",ROUND(N(E1229)*L1229,2))</f>
        <v>88</v>
      </c>
      <c r="N1229" s="39" t="n">
        <f aca="false">IF(OR(A1229="",B1229=""),"",SUMIFS(tl_Hours,tl_StaffID,I1229,tl_Date,A1229))</f>
        <v>8</v>
      </c>
      <c r="O1229" s="40" t="str">
        <f aca="false">IF(A1229&amp;B1229&amp;D1229="","",IF(OR(A1229="",B1229="",D1229="",E1229=""),"Incomplete",IF(K1229="Unknown","Unknown code",IF(AND(K1229="Yes",C1229=""),"Billable, needs client",IF(N1229&gt;MaxDayHours,"Over "&amp;MaxDayHours&amp;" hours that day","")))))</f>
        <v/>
      </c>
    </row>
    <row r="1230" customFormat="false" ht="15" hidden="false" customHeight="false" outlineLevel="0" collapsed="false">
      <c r="A1230" s="31" t="n">
        <v>46268</v>
      </c>
      <c r="B1230" s="32" t="s">
        <v>97</v>
      </c>
      <c r="C1230" s="32"/>
      <c r="D1230" s="33" t="s">
        <v>93</v>
      </c>
      <c r="E1230" s="34" t="n">
        <v>0.5</v>
      </c>
      <c r="F1230" s="32"/>
      <c r="G1230" s="35" t="n">
        <f aca="false">IF(A1230="","",A1230+7-WEEKDAY(A1230))</f>
        <v>46270</v>
      </c>
      <c r="H1230" s="36" t="n">
        <f aca="false">IF(A1230="","",DATE(YEAR(A1230),MONTH(A1230),1))</f>
        <v>46266</v>
      </c>
      <c r="I1230" s="37" t="str">
        <f aca="false">IF(B1230="","",IFERROR(INDEX(st_ID,MATCH(B1230,st_Name,0)),"Unknown"))</f>
        <v>QP-02</v>
      </c>
      <c r="J1230" s="37" t="str">
        <f aca="false">IF(C1230="","",IFERROR(INDEX(cl_Code,MATCH(C1230,cl_Name,0)),"Unknown"))</f>
        <v/>
      </c>
      <c r="K1230" s="37" t="str">
        <f aca="false">IF(D1230="","",IFERROR(INDEX(rt_Billable,MATCH(D1230,rt_Code,0)),"Unknown"))</f>
        <v>No</v>
      </c>
      <c r="L1230" s="38" t="str">
        <f aca="false">IF(K1230&lt;&gt;"Yes","",IFERROR(INDEX(cr_Rate,MATCH(J1230&amp;"|"&amp;D1230,cr_Key,0)),INDEX(rt_Rate,MATCH(D1230,rt_Code,0))))</f>
        <v/>
      </c>
      <c r="M1230" s="25" t="str">
        <f aca="false">IF(L1230="","",ROUND(N(E1230)*L1230,2))</f>
        <v/>
      </c>
      <c r="N1230" s="39" t="n">
        <f aca="false">IF(OR(A1230="",B1230=""),"",SUMIFS(tl_Hours,tl_StaffID,I1230,tl_Date,A1230))</f>
        <v>8</v>
      </c>
      <c r="O1230" s="40" t="str">
        <f aca="false">IF(A1230&amp;B1230&amp;D1230="","",IF(OR(A1230="",B1230="",D1230="",E1230=""),"Incomplete",IF(K1230="Unknown","Unknown code",IF(AND(K1230="Yes",C1230=""),"Billable, needs client",IF(N1230&gt;MaxDayHours,"Over "&amp;MaxDayHours&amp;" hours that day","")))))</f>
        <v/>
      </c>
    </row>
    <row r="1231" customFormat="false" ht="15" hidden="false" customHeight="false" outlineLevel="0" collapsed="false">
      <c r="A1231" s="31" t="n">
        <v>46268</v>
      </c>
      <c r="B1231" s="32" t="s">
        <v>97</v>
      </c>
      <c r="C1231" s="32"/>
      <c r="D1231" s="33" t="s">
        <v>96</v>
      </c>
      <c r="E1231" s="34" t="n">
        <v>2</v>
      </c>
      <c r="F1231" s="32"/>
      <c r="G1231" s="35" t="n">
        <f aca="false">IF(A1231="","",A1231+7-WEEKDAY(A1231))</f>
        <v>46270</v>
      </c>
      <c r="H1231" s="36" t="n">
        <f aca="false">IF(A1231="","",DATE(YEAR(A1231),MONTH(A1231),1))</f>
        <v>46266</v>
      </c>
      <c r="I1231" s="37" t="str">
        <f aca="false">IF(B1231="","",IFERROR(INDEX(st_ID,MATCH(B1231,st_Name,0)),"Unknown"))</f>
        <v>QP-02</v>
      </c>
      <c r="J1231" s="37" t="str">
        <f aca="false">IF(C1231="","",IFERROR(INDEX(cl_Code,MATCH(C1231,cl_Name,0)),"Unknown"))</f>
        <v/>
      </c>
      <c r="K1231" s="37" t="str">
        <f aca="false">IF(D1231="","",IFERROR(INDEX(rt_Billable,MATCH(D1231,rt_Code,0)),"Unknown"))</f>
        <v>No</v>
      </c>
      <c r="L1231" s="38" t="str">
        <f aca="false">IF(K1231&lt;&gt;"Yes","",IFERROR(INDEX(cr_Rate,MATCH(J1231&amp;"|"&amp;D1231,cr_Key,0)),INDEX(rt_Rate,MATCH(D1231,rt_Code,0))))</f>
        <v/>
      </c>
      <c r="M1231" s="25" t="str">
        <f aca="false">IF(L1231="","",ROUND(N(E1231)*L1231,2))</f>
        <v/>
      </c>
      <c r="N1231" s="39" t="n">
        <f aca="false">IF(OR(A1231="",B1231=""),"",SUMIFS(tl_Hours,tl_StaffID,I1231,tl_Date,A1231))</f>
        <v>8</v>
      </c>
      <c r="O1231" s="40" t="str">
        <f aca="false">IF(A1231&amp;B1231&amp;D1231="","",IF(OR(A1231="",B1231="",D1231="",E1231=""),"Incomplete",IF(K1231="Unknown","Unknown code",IF(AND(K1231="Yes",C1231=""),"Billable, needs client",IF(N1231&gt;MaxDayHours,"Over "&amp;MaxDayHours&amp;" hours that day","")))))</f>
        <v/>
      </c>
    </row>
    <row r="1232" customFormat="false" ht="15" hidden="false" customHeight="false" outlineLevel="0" collapsed="false">
      <c r="A1232" s="31" t="n">
        <v>46268</v>
      </c>
      <c r="B1232" s="32" t="s">
        <v>100</v>
      </c>
      <c r="C1232" s="32" t="s">
        <v>102</v>
      </c>
      <c r="D1232" s="33" t="s">
        <v>88</v>
      </c>
      <c r="E1232" s="34" t="n">
        <v>3</v>
      </c>
      <c r="F1232" s="32"/>
      <c r="G1232" s="35" t="n">
        <f aca="false">IF(A1232="","",A1232+7-WEEKDAY(A1232))</f>
        <v>46270</v>
      </c>
      <c r="H1232" s="36" t="n">
        <f aca="false">IF(A1232="","",DATE(YEAR(A1232),MONTH(A1232),1))</f>
        <v>46266</v>
      </c>
      <c r="I1232" s="37" t="str">
        <f aca="false">IF(B1232="","",IFERROR(INDEX(st_ID,MATCH(B1232,st_Name,0)),"Unknown"))</f>
        <v>QP-03</v>
      </c>
      <c r="J1232" s="37" t="str">
        <f aca="false">IF(C1232="","",IFERROR(INDEX(cl_Code,MATCH(C1232,cl_Name,0)),"Unknown"))</f>
        <v>CLH</v>
      </c>
      <c r="K1232" s="37" t="str">
        <f aca="false">IF(D1232="","",IFERROR(INDEX(rt_Billable,MATCH(D1232,rt_Code,0)),"Unknown"))</f>
        <v>Yes</v>
      </c>
      <c r="L1232" s="38" t="n">
        <f aca="false">IF(K1232&lt;&gt;"Yes","",IFERROR(INDEX(cr_Rate,MATCH(J1232&amp;"|"&amp;D1232,cr_Key,0)),INDEX(rt_Rate,MATCH(D1232,rt_Code,0))))</f>
        <v>110</v>
      </c>
      <c r="M1232" s="25" t="n">
        <f aca="false">IF(L1232="","",ROUND(N(E1232)*L1232,2))</f>
        <v>330</v>
      </c>
      <c r="N1232" s="39" t="n">
        <f aca="false">IF(OR(A1232="",B1232=""),"",SUMIFS(tl_Hours,tl_StaffID,I1232,tl_Date,A1232))</f>
        <v>8</v>
      </c>
      <c r="O1232" s="40" t="str">
        <f aca="false">IF(A1232&amp;B1232&amp;D1232="","",IF(OR(A1232="",B1232="",D1232="",E1232=""),"Incomplete",IF(K1232="Unknown","Unknown code",IF(AND(K1232="Yes",C1232=""),"Billable, needs client",IF(N1232&gt;MaxDayHours,"Over "&amp;MaxDayHours&amp;" hours that day","")))))</f>
        <v/>
      </c>
    </row>
    <row r="1233" customFormat="false" ht="15" hidden="false" customHeight="false" outlineLevel="0" collapsed="false">
      <c r="A1233" s="31" t="n">
        <v>46268</v>
      </c>
      <c r="B1233" s="32" t="s">
        <v>100</v>
      </c>
      <c r="C1233" s="32" t="s">
        <v>102</v>
      </c>
      <c r="D1233" s="33" t="s">
        <v>113</v>
      </c>
      <c r="E1233" s="34" t="n">
        <v>2</v>
      </c>
      <c r="F1233" s="32"/>
      <c r="G1233" s="35" t="n">
        <f aca="false">IF(A1233="","",A1233+7-WEEKDAY(A1233))</f>
        <v>46270</v>
      </c>
      <c r="H1233" s="36" t="n">
        <f aca="false">IF(A1233="","",DATE(YEAR(A1233),MONTH(A1233),1))</f>
        <v>46266</v>
      </c>
      <c r="I1233" s="37" t="str">
        <f aca="false">IF(B1233="","",IFERROR(INDEX(st_ID,MATCH(B1233,st_Name,0)),"Unknown"))</f>
        <v>QP-03</v>
      </c>
      <c r="J1233" s="37" t="str">
        <f aca="false">IF(C1233="","",IFERROR(INDEX(cl_Code,MATCH(C1233,cl_Name,0)),"Unknown"))</f>
        <v>CLH</v>
      </c>
      <c r="K1233" s="37" t="str">
        <f aca="false">IF(D1233="","",IFERROR(INDEX(rt_Billable,MATCH(D1233,rt_Code,0)),"Unknown"))</f>
        <v>Yes</v>
      </c>
      <c r="L1233" s="38" t="n">
        <f aca="false">IF(K1233&lt;&gt;"Yes","",IFERROR(INDEX(cr_Rate,MATCH(J1233&amp;"|"&amp;D1233,cr_Key,0)),INDEX(rt_Rate,MATCH(D1233,rt_Code,0))))</f>
        <v>75</v>
      </c>
      <c r="M1233" s="25" t="n">
        <f aca="false">IF(L1233="","",ROUND(N(E1233)*L1233,2))</f>
        <v>150</v>
      </c>
      <c r="N1233" s="39" t="n">
        <f aca="false">IF(OR(A1233="",B1233=""),"",SUMIFS(tl_Hours,tl_StaffID,I1233,tl_Date,A1233))</f>
        <v>8</v>
      </c>
      <c r="O1233" s="40" t="str">
        <f aca="false">IF(A1233&amp;B1233&amp;D1233="","",IF(OR(A1233="",B1233="",D1233="",E1233=""),"Incomplete",IF(K1233="Unknown","Unknown code",IF(AND(K1233="Yes",C1233=""),"Billable, needs client",IF(N1233&gt;MaxDayHours,"Over "&amp;MaxDayHours&amp;" hours that day","")))))</f>
        <v/>
      </c>
    </row>
    <row r="1234" customFormat="false" ht="15" hidden="false" customHeight="false" outlineLevel="0" collapsed="false">
      <c r="A1234" s="31" t="n">
        <v>46268</v>
      </c>
      <c r="B1234" s="32" t="s">
        <v>100</v>
      </c>
      <c r="C1234" s="32"/>
      <c r="D1234" s="33" t="s">
        <v>96</v>
      </c>
      <c r="E1234" s="34" t="n">
        <v>3</v>
      </c>
      <c r="F1234" s="32"/>
      <c r="G1234" s="35" t="n">
        <f aca="false">IF(A1234="","",A1234+7-WEEKDAY(A1234))</f>
        <v>46270</v>
      </c>
      <c r="H1234" s="36" t="n">
        <f aca="false">IF(A1234="","",DATE(YEAR(A1234),MONTH(A1234),1))</f>
        <v>46266</v>
      </c>
      <c r="I1234" s="37" t="str">
        <f aca="false">IF(B1234="","",IFERROR(INDEX(st_ID,MATCH(B1234,st_Name,0)),"Unknown"))</f>
        <v>QP-03</v>
      </c>
      <c r="J1234" s="37" t="str">
        <f aca="false">IF(C1234="","",IFERROR(INDEX(cl_Code,MATCH(C1234,cl_Name,0)),"Unknown"))</f>
        <v/>
      </c>
      <c r="K1234" s="37" t="str">
        <f aca="false">IF(D1234="","",IFERROR(INDEX(rt_Billable,MATCH(D1234,rt_Code,0)),"Unknown"))</f>
        <v>No</v>
      </c>
      <c r="L1234" s="38" t="str">
        <f aca="false">IF(K1234&lt;&gt;"Yes","",IFERROR(INDEX(cr_Rate,MATCH(J1234&amp;"|"&amp;D1234,cr_Key,0)),INDEX(rt_Rate,MATCH(D1234,rt_Code,0))))</f>
        <v/>
      </c>
      <c r="M1234" s="25" t="str">
        <f aca="false">IF(L1234="","",ROUND(N(E1234)*L1234,2))</f>
        <v/>
      </c>
      <c r="N1234" s="39" t="n">
        <f aca="false">IF(OR(A1234="",B1234=""),"",SUMIFS(tl_Hours,tl_StaffID,I1234,tl_Date,A1234))</f>
        <v>8</v>
      </c>
      <c r="O1234" s="40" t="str">
        <f aca="false">IF(A1234&amp;B1234&amp;D1234="","",IF(OR(A1234="",B1234="",D1234="",E1234=""),"Incomplete",IF(K1234="Unknown","Unknown code",IF(AND(K1234="Yes",C1234=""),"Billable, needs client",IF(N1234&gt;MaxDayHours,"Over "&amp;MaxDayHours&amp;" hours that day","")))))</f>
        <v/>
      </c>
    </row>
    <row r="1235" customFormat="false" ht="15" hidden="false" customHeight="false" outlineLevel="0" collapsed="false">
      <c r="A1235" s="31" t="n">
        <v>46268</v>
      </c>
      <c r="B1235" s="32" t="s">
        <v>101</v>
      </c>
      <c r="C1235" s="32" t="s">
        <v>112</v>
      </c>
      <c r="D1235" s="33" t="s">
        <v>104</v>
      </c>
      <c r="E1235" s="34" t="n">
        <v>2</v>
      </c>
      <c r="F1235" s="32"/>
      <c r="G1235" s="35" t="n">
        <f aca="false">IF(A1235="","",A1235+7-WEEKDAY(A1235))</f>
        <v>46270</v>
      </c>
      <c r="H1235" s="36" t="n">
        <f aca="false">IF(A1235="","",DATE(YEAR(A1235),MONTH(A1235),1))</f>
        <v>46266</v>
      </c>
      <c r="I1235" s="37" t="str">
        <f aca="false">IF(B1235="","",IFERROR(INDEX(st_ID,MATCH(B1235,st_Name,0)),"Unknown"))</f>
        <v>QP-04</v>
      </c>
      <c r="J1235" s="37" t="str">
        <f aca="false">IF(C1235="","",IFERROR(INDEX(cl_Code,MATCH(C1235,cl_Name,0)),"Unknown"))</f>
        <v>PCA</v>
      </c>
      <c r="K1235" s="37" t="str">
        <f aca="false">IF(D1235="","",IFERROR(INDEX(rt_Billable,MATCH(D1235,rt_Code,0)),"Unknown"))</f>
        <v>Yes</v>
      </c>
      <c r="L1235" s="38" t="n">
        <f aca="false">IF(K1235&lt;&gt;"Yes","",IFERROR(INDEX(cr_Rate,MATCH(J1235&amp;"|"&amp;D1235,cr_Key,0)),INDEX(rt_Rate,MATCH(D1235,rt_Code,0))))</f>
        <v>70</v>
      </c>
      <c r="M1235" s="25" t="n">
        <f aca="false">IF(L1235="","",ROUND(N(E1235)*L1235,2))</f>
        <v>140</v>
      </c>
      <c r="N1235" s="39" t="n">
        <f aca="false">IF(OR(A1235="",B1235=""),"",SUMIFS(tl_Hours,tl_StaffID,I1235,tl_Date,A1235))</f>
        <v>8</v>
      </c>
      <c r="O1235" s="40" t="str">
        <f aca="false">IF(A1235&amp;B1235&amp;D1235="","",IF(OR(A1235="",B1235="",D1235="",E1235=""),"Incomplete",IF(K1235="Unknown","Unknown code",IF(AND(K1235="Yes",C1235=""),"Billable, needs client",IF(N1235&gt;MaxDayHours,"Over "&amp;MaxDayHours&amp;" hours that day","")))))</f>
        <v/>
      </c>
    </row>
    <row r="1236" customFormat="false" ht="15" hidden="false" customHeight="false" outlineLevel="0" collapsed="false">
      <c r="A1236" s="31" t="n">
        <v>46268</v>
      </c>
      <c r="B1236" s="32" t="s">
        <v>101</v>
      </c>
      <c r="C1236" s="32" t="s">
        <v>112</v>
      </c>
      <c r="D1236" s="33" t="s">
        <v>89</v>
      </c>
      <c r="E1236" s="34" t="n">
        <v>1.25</v>
      </c>
      <c r="F1236" s="32"/>
      <c r="G1236" s="35" t="n">
        <f aca="false">IF(A1236="","",A1236+7-WEEKDAY(A1236))</f>
        <v>46270</v>
      </c>
      <c r="H1236" s="36" t="n">
        <f aca="false">IF(A1236="","",DATE(YEAR(A1236),MONTH(A1236),1))</f>
        <v>46266</v>
      </c>
      <c r="I1236" s="37" t="str">
        <f aca="false">IF(B1236="","",IFERROR(INDEX(st_ID,MATCH(B1236,st_Name,0)),"Unknown"))</f>
        <v>QP-04</v>
      </c>
      <c r="J1236" s="37" t="str">
        <f aca="false">IF(C1236="","",IFERROR(INDEX(cl_Code,MATCH(C1236,cl_Name,0)),"Unknown"))</f>
        <v>PCA</v>
      </c>
      <c r="K1236" s="37" t="str">
        <f aca="false">IF(D1236="","",IFERROR(INDEX(rt_Billable,MATCH(D1236,rt_Code,0)),"Unknown"))</f>
        <v>Yes</v>
      </c>
      <c r="L1236" s="38" t="n">
        <f aca="false">IF(K1236&lt;&gt;"Yes","",IFERROR(INDEX(cr_Rate,MATCH(J1236&amp;"|"&amp;D1236,cr_Key,0)),INDEX(rt_Rate,MATCH(D1236,rt_Code,0))))</f>
        <v>95</v>
      </c>
      <c r="M1236" s="25" t="n">
        <f aca="false">IF(L1236="","",ROUND(N(E1236)*L1236,2))</f>
        <v>118.75</v>
      </c>
      <c r="N1236" s="39" t="n">
        <f aca="false">IF(OR(A1236="",B1236=""),"",SUMIFS(tl_Hours,tl_StaffID,I1236,tl_Date,A1236))</f>
        <v>8</v>
      </c>
      <c r="O1236" s="40" t="str">
        <f aca="false">IF(A1236&amp;B1236&amp;D1236="","",IF(OR(A1236="",B1236="",D1236="",E1236=""),"Incomplete",IF(K1236="Unknown","Unknown code",IF(AND(K1236="Yes",C1236=""),"Billable, needs client",IF(N1236&gt;MaxDayHours,"Over "&amp;MaxDayHours&amp;" hours that day","")))))</f>
        <v/>
      </c>
    </row>
    <row r="1237" customFormat="false" ht="15" hidden="false" customHeight="false" outlineLevel="0" collapsed="false">
      <c r="A1237" s="31" t="n">
        <v>46268</v>
      </c>
      <c r="B1237" s="32" t="s">
        <v>101</v>
      </c>
      <c r="C1237" s="32" t="s">
        <v>87</v>
      </c>
      <c r="D1237" s="33" t="s">
        <v>104</v>
      </c>
      <c r="E1237" s="34" t="n">
        <v>1.75</v>
      </c>
      <c r="F1237" s="32"/>
      <c r="G1237" s="35" t="n">
        <f aca="false">IF(A1237="","",A1237+7-WEEKDAY(A1237))</f>
        <v>46270</v>
      </c>
      <c r="H1237" s="36" t="n">
        <f aca="false">IF(A1237="","",DATE(YEAR(A1237),MONTH(A1237),1))</f>
        <v>46266</v>
      </c>
      <c r="I1237" s="37" t="str">
        <f aca="false">IF(B1237="","",IFERROR(INDEX(st_ID,MATCH(B1237,st_Name,0)),"Unknown"))</f>
        <v>QP-04</v>
      </c>
      <c r="J1237" s="37" t="str">
        <f aca="false">IF(C1237="","",IFERROR(INDEX(cl_Code,MATCH(C1237,cl_Name,0)),"Unknown"))</f>
        <v>HCS</v>
      </c>
      <c r="K1237" s="37" t="str">
        <f aca="false">IF(D1237="","",IFERROR(INDEX(rt_Billable,MATCH(D1237,rt_Code,0)),"Unknown"))</f>
        <v>Yes</v>
      </c>
      <c r="L1237" s="38" t="n">
        <f aca="false">IF(K1237&lt;&gt;"Yes","",IFERROR(INDEX(cr_Rate,MATCH(J1237&amp;"|"&amp;D1237,cr_Key,0)),INDEX(rt_Rate,MATCH(D1237,rt_Code,0))))</f>
        <v>62</v>
      </c>
      <c r="M1237" s="25" t="n">
        <f aca="false">IF(L1237="","",ROUND(N(E1237)*L1237,2))</f>
        <v>108.5</v>
      </c>
      <c r="N1237" s="39" t="n">
        <f aca="false">IF(OR(A1237="",B1237=""),"",SUMIFS(tl_Hours,tl_StaffID,I1237,tl_Date,A1237))</f>
        <v>8</v>
      </c>
      <c r="O1237" s="40" t="str">
        <f aca="false">IF(A1237&amp;B1237&amp;D1237="","",IF(OR(A1237="",B1237="",D1237="",E1237=""),"Incomplete",IF(K1237="Unknown","Unknown code",IF(AND(K1237="Yes",C1237=""),"Billable, needs client",IF(N1237&gt;MaxDayHours,"Over "&amp;MaxDayHours&amp;" hours that day","")))))</f>
        <v/>
      </c>
    </row>
    <row r="1238" customFormat="false" ht="15" hidden="false" customHeight="false" outlineLevel="0" collapsed="false">
      <c r="A1238" s="31" t="n">
        <v>46268</v>
      </c>
      <c r="B1238" s="32" t="s">
        <v>101</v>
      </c>
      <c r="C1238" s="32" t="s">
        <v>87</v>
      </c>
      <c r="D1238" s="33" t="s">
        <v>89</v>
      </c>
      <c r="E1238" s="34" t="n">
        <v>1.5</v>
      </c>
      <c r="F1238" s="32"/>
      <c r="G1238" s="35" t="n">
        <f aca="false">IF(A1238="","",A1238+7-WEEKDAY(A1238))</f>
        <v>46270</v>
      </c>
      <c r="H1238" s="36" t="n">
        <f aca="false">IF(A1238="","",DATE(YEAR(A1238),MONTH(A1238),1))</f>
        <v>46266</v>
      </c>
      <c r="I1238" s="37" t="str">
        <f aca="false">IF(B1238="","",IFERROR(INDEX(st_ID,MATCH(B1238,st_Name,0)),"Unknown"))</f>
        <v>QP-04</v>
      </c>
      <c r="J1238" s="37" t="str">
        <f aca="false">IF(C1238="","",IFERROR(INDEX(cl_Code,MATCH(C1238,cl_Name,0)),"Unknown"))</f>
        <v>HCS</v>
      </c>
      <c r="K1238" s="37" t="str">
        <f aca="false">IF(D1238="","",IFERROR(INDEX(rt_Billable,MATCH(D1238,rt_Code,0)),"Unknown"))</f>
        <v>Yes</v>
      </c>
      <c r="L1238" s="38" t="n">
        <f aca="false">IF(K1238&lt;&gt;"Yes","",IFERROR(INDEX(cr_Rate,MATCH(J1238&amp;"|"&amp;D1238,cr_Key,0)),INDEX(rt_Rate,MATCH(D1238,rt_Code,0))))</f>
        <v>88</v>
      </c>
      <c r="M1238" s="25" t="n">
        <f aca="false">IF(L1238="","",ROUND(N(E1238)*L1238,2))</f>
        <v>132</v>
      </c>
      <c r="N1238" s="39" t="n">
        <f aca="false">IF(OR(A1238="",B1238=""),"",SUMIFS(tl_Hours,tl_StaffID,I1238,tl_Date,A1238))</f>
        <v>8</v>
      </c>
      <c r="O1238" s="40" t="str">
        <f aca="false">IF(A1238&amp;B1238&amp;D1238="","",IF(OR(A1238="",B1238="",D1238="",E1238=""),"Incomplete",IF(K1238="Unknown","Unknown code",IF(AND(K1238="Yes",C1238=""),"Billable, needs client",IF(N1238&gt;MaxDayHours,"Over "&amp;MaxDayHours&amp;" hours that day","")))))</f>
        <v/>
      </c>
    </row>
    <row r="1239" customFormat="false" ht="15" hidden="false" customHeight="false" outlineLevel="0" collapsed="false">
      <c r="A1239" s="31" t="n">
        <v>46268</v>
      </c>
      <c r="B1239" s="32" t="s">
        <v>101</v>
      </c>
      <c r="C1239" s="32"/>
      <c r="D1239" s="33" t="s">
        <v>93</v>
      </c>
      <c r="E1239" s="34" t="n">
        <v>0.5</v>
      </c>
      <c r="F1239" s="32"/>
      <c r="G1239" s="35" t="n">
        <f aca="false">IF(A1239="","",A1239+7-WEEKDAY(A1239))</f>
        <v>46270</v>
      </c>
      <c r="H1239" s="36" t="n">
        <f aca="false">IF(A1239="","",DATE(YEAR(A1239),MONTH(A1239),1))</f>
        <v>46266</v>
      </c>
      <c r="I1239" s="37" t="str">
        <f aca="false">IF(B1239="","",IFERROR(INDEX(st_ID,MATCH(B1239,st_Name,0)),"Unknown"))</f>
        <v>QP-04</v>
      </c>
      <c r="J1239" s="37" t="str">
        <f aca="false">IF(C1239="","",IFERROR(INDEX(cl_Code,MATCH(C1239,cl_Name,0)),"Unknown"))</f>
        <v/>
      </c>
      <c r="K1239" s="37" t="str">
        <f aca="false">IF(D1239="","",IFERROR(INDEX(rt_Billable,MATCH(D1239,rt_Code,0)),"Unknown"))</f>
        <v>No</v>
      </c>
      <c r="L1239" s="38" t="str">
        <f aca="false">IF(K1239&lt;&gt;"Yes","",IFERROR(INDEX(cr_Rate,MATCH(J1239&amp;"|"&amp;D1239,cr_Key,0)),INDEX(rt_Rate,MATCH(D1239,rt_Code,0))))</f>
        <v/>
      </c>
      <c r="M1239" s="25" t="str">
        <f aca="false">IF(L1239="","",ROUND(N(E1239)*L1239,2))</f>
        <v/>
      </c>
      <c r="N1239" s="39" t="n">
        <f aca="false">IF(OR(A1239="",B1239=""),"",SUMIFS(tl_Hours,tl_StaffID,I1239,tl_Date,A1239))</f>
        <v>8</v>
      </c>
      <c r="O1239" s="40" t="str">
        <f aca="false">IF(A1239&amp;B1239&amp;D1239="","",IF(OR(A1239="",B1239="",D1239="",E1239=""),"Incomplete",IF(K1239="Unknown","Unknown code",IF(AND(K1239="Yes",C1239=""),"Billable, needs client",IF(N1239&gt;MaxDayHours,"Over "&amp;MaxDayHours&amp;" hours that day","")))))</f>
        <v/>
      </c>
    </row>
    <row r="1240" customFormat="false" ht="15" hidden="false" customHeight="false" outlineLevel="0" collapsed="false">
      <c r="A1240" s="31" t="n">
        <v>46268</v>
      </c>
      <c r="B1240" s="32" t="s">
        <v>101</v>
      </c>
      <c r="C1240" s="32"/>
      <c r="D1240" s="33" t="s">
        <v>96</v>
      </c>
      <c r="E1240" s="34" t="n">
        <v>1</v>
      </c>
      <c r="F1240" s="32"/>
      <c r="G1240" s="35" t="n">
        <f aca="false">IF(A1240="","",A1240+7-WEEKDAY(A1240))</f>
        <v>46270</v>
      </c>
      <c r="H1240" s="36" t="n">
        <f aca="false">IF(A1240="","",DATE(YEAR(A1240),MONTH(A1240),1))</f>
        <v>46266</v>
      </c>
      <c r="I1240" s="37" t="str">
        <f aca="false">IF(B1240="","",IFERROR(INDEX(st_ID,MATCH(B1240,st_Name,0)),"Unknown"))</f>
        <v>QP-04</v>
      </c>
      <c r="J1240" s="37" t="str">
        <f aca="false">IF(C1240="","",IFERROR(INDEX(cl_Code,MATCH(C1240,cl_Name,0)),"Unknown"))</f>
        <v/>
      </c>
      <c r="K1240" s="37" t="str">
        <f aca="false">IF(D1240="","",IFERROR(INDEX(rt_Billable,MATCH(D1240,rt_Code,0)),"Unknown"))</f>
        <v>No</v>
      </c>
      <c r="L1240" s="38" t="str">
        <f aca="false">IF(K1240&lt;&gt;"Yes","",IFERROR(INDEX(cr_Rate,MATCH(J1240&amp;"|"&amp;D1240,cr_Key,0)),INDEX(rt_Rate,MATCH(D1240,rt_Code,0))))</f>
        <v/>
      </c>
      <c r="M1240" s="25" t="str">
        <f aca="false">IF(L1240="","",ROUND(N(E1240)*L1240,2))</f>
        <v/>
      </c>
      <c r="N1240" s="39" t="n">
        <f aca="false">IF(OR(A1240="",B1240=""),"",SUMIFS(tl_Hours,tl_StaffID,I1240,tl_Date,A1240))</f>
        <v>8</v>
      </c>
      <c r="O1240" s="40" t="str">
        <f aca="false">IF(A1240&amp;B1240&amp;D1240="","",IF(OR(A1240="",B1240="",D1240="",E1240=""),"Incomplete",IF(K1240="Unknown","Unknown code",IF(AND(K1240="Yes",C1240=""),"Billable, needs client",IF(N1240&gt;MaxDayHours,"Over "&amp;MaxDayHours&amp;" hours that day","")))))</f>
        <v/>
      </c>
    </row>
    <row r="1241" customFormat="false" ht="15" hidden="false" customHeight="false" outlineLevel="0" collapsed="false">
      <c r="A1241" s="31" t="n">
        <v>46268</v>
      </c>
      <c r="B1241" s="32" t="s">
        <v>103</v>
      </c>
      <c r="C1241" s="32" t="s">
        <v>90</v>
      </c>
      <c r="D1241" s="33" t="s">
        <v>88</v>
      </c>
      <c r="E1241" s="34" t="n">
        <v>1.75</v>
      </c>
      <c r="F1241" s="32"/>
      <c r="G1241" s="35" t="n">
        <f aca="false">IF(A1241="","",A1241+7-WEEKDAY(A1241))</f>
        <v>46270</v>
      </c>
      <c r="H1241" s="36" t="n">
        <f aca="false">IF(A1241="","",DATE(YEAR(A1241),MONTH(A1241),1))</f>
        <v>46266</v>
      </c>
      <c r="I1241" s="37" t="str">
        <f aca="false">IF(B1241="","",IFERROR(INDEX(st_ID,MATCH(B1241,st_Name,0)),"Unknown"))</f>
        <v>QP-05</v>
      </c>
      <c r="J1241" s="37" t="str">
        <f aca="false">IF(C1241="","",IFERROR(INDEX(cl_Code,MATCH(C1241,cl_Name,0)),"Unknown"))</f>
        <v>BSE</v>
      </c>
      <c r="K1241" s="37" t="str">
        <f aca="false">IF(D1241="","",IFERROR(INDEX(rt_Billable,MATCH(D1241,rt_Code,0)),"Unknown"))</f>
        <v>Yes</v>
      </c>
      <c r="L1241" s="38" t="n">
        <f aca="false">IF(K1241&lt;&gt;"Yes","",IFERROR(INDEX(cr_Rate,MATCH(J1241&amp;"|"&amp;D1241,cr_Key,0)),INDEX(rt_Rate,MATCH(D1241,rt_Code,0))))</f>
        <v>104</v>
      </c>
      <c r="M1241" s="25" t="n">
        <f aca="false">IF(L1241="","",ROUND(N(E1241)*L1241,2))</f>
        <v>182</v>
      </c>
      <c r="N1241" s="39" t="n">
        <f aca="false">IF(OR(A1241="",B1241=""),"",SUMIFS(tl_Hours,tl_StaffID,I1241,tl_Date,A1241))</f>
        <v>8</v>
      </c>
      <c r="O1241" s="40" t="str">
        <f aca="false">IF(A1241&amp;B1241&amp;D1241="","",IF(OR(A1241="",B1241="",D1241="",E1241=""),"Incomplete",IF(K1241="Unknown","Unknown code",IF(AND(K1241="Yes",C1241=""),"Billable, needs client",IF(N1241&gt;MaxDayHours,"Over "&amp;MaxDayHours&amp;" hours that day","")))))</f>
        <v/>
      </c>
    </row>
    <row r="1242" customFormat="false" ht="15" hidden="false" customHeight="false" outlineLevel="0" collapsed="false">
      <c r="A1242" s="31" t="n">
        <v>46268</v>
      </c>
      <c r="B1242" s="32" t="s">
        <v>103</v>
      </c>
      <c r="C1242" s="32" t="s">
        <v>90</v>
      </c>
      <c r="D1242" s="33" t="s">
        <v>89</v>
      </c>
      <c r="E1242" s="34" t="n">
        <v>0.75</v>
      </c>
      <c r="F1242" s="32"/>
      <c r="G1242" s="35" t="n">
        <f aca="false">IF(A1242="","",A1242+7-WEEKDAY(A1242))</f>
        <v>46270</v>
      </c>
      <c r="H1242" s="36" t="n">
        <f aca="false">IF(A1242="","",DATE(YEAR(A1242),MONTH(A1242),1))</f>
        <v>46266</v>
      </c>
      <c r="I1242" s="37" t="str">
        <f aca="false">IF(B1242="","",IFERROR(INDEX(st_ID,MATCH(B1242,st_Name,0)),"Unknown"))</f>
        <v>QP-05</v>
      </c>
      <c r="J1242" s="37" t="str">
        <f aca="false">IF(C1242="","",IFERROR(INDEX(cl_Code,MATCH(C1242,cl_Name,0)),"Unknown"))</f>
        <v>BSE</v>
      </c>
      <c r="K1242" s="37" t="str">
        <f aca="false">IF(D1242="","",IFERROR(INDEX(rt_Billable,MATCH(D1242,rt_Code,0)),"Unknown"))</f>
        <v>Yes</v>
      </c>
      <c r="L1242" s="38" t="n">
        <f aca="false">IF(K1242&lt;&gt;"Yes","",IFERROR(INDEX(cr_Rate,MATCH(J1242&amp;"|"&amp;D1242,cr_Key,0)),INDEX(rt_Rate,MATCH(D1242,rt_Code,0))))</f>
        <v>95</v>
      </c>
      <c r="M1242" s="25" t="n">
        <f aca="false">IF(L1242="","",ROUND(N(E1242)*L1242,2))</f>
        <v>71.25</v>
      </c>
      <c r="N1242" s="39" t="n">
        <f aca="false">IF(OR(A1242="",B1242=""),"",SUMIFS(tl_Hours,tl_StaffID,I1242,tl_Date,A1242))</f>
        <v>8</v>
      </c>
      <c r="O1242" s="40" t="str">
        <f aca="false">IF(A1242&amp;B1242&amp;D1242="","",IF(OR(A1242="",B1242="",D1242="",E1242=""),"Incomplete",IF(K1242="Unknown","Unknown code",IF(AND(K1242="Yes",C1242=""),"Billable, needs client",IF(N1242&gt;MaxDayHours,"Over "&amp;MaxDayHours&amp;" hours that day","")))))</f>
        <v/>
      </c>
    </row>
    <row r="1243" customFormat="false" ht="15" hidden="false" customHeight="false" outlineLevel="0" collapsed="false">
      <c r="A1243" s="31" t="n">
        <v>46268</v>
      </c>
      <c r="B1243" s="32" t="s">
        <v>103</v>
      </c>
      <c r="C1243" s="32" t="s">
        <v>87</v>
      </c>
      <c r="D1243" s="33" t="s">
        <v>88</v>
      </c>
      <c r="E1243" s="34" t="n">
        <v>1.75</v>
      </c>
      <c r="F1243" s="32"/>
      <c r="G1243" s="35" t="n">
        <f aca="false">IF(A1243="","",A1243+7-WEEKDAY(A1243))</f>
        <v>46270</v>
      </c>
      <c r="H1243" s="36" t="n">
        <f aca="false">IF(A1243="","",DATE(YEAR(A1243),MONTH(A1243),1))</f>
        <v>46266</v>
      </c>
      <c r="I1243" s="37" t="str">
        <f aca="false">IF(B1243="","",IFERROR(INDEX(st_ID,MATCH(B1243,st_Name,0)),"Unknown"))</f>
        <v>QP-05</v>
      </c>
      <c r="J1243" s="37" t="str">
        <f aca="false">IF(C1243="","",IFERROR(INDEX(cl_Code,MATCH(C1243,cl_Name,0)),"Unknown"))</f>
        <v>HCS</v>
      </c>
      <c r="K1243" s="37" t="str">
        <f aca="false">IF(D1243="","",IFERROR(INDEX(rt_Billable,MATCH(D1243,rt_Code,0)),"Unknown"))</f>
        <v>Yes</v>
      </c>
      <c r="L1243" s="38" t="n">
        <f aca="false">IF(K1243&lt;&gt;"Yes","",IFERROR(INDEX(cr_Rate,MATCH(J1243&amp;"|"&amp;D1243,cr_Key,0)),INDEX(rt_Rate,MATCH(D1243,rt_Code,0))))</f>
        <v>98</v>
      </c>
      <c r="M1243" s="25" t="n">
        <f aca="false">IF(L1243="","",ROUND(N(E1243)*L1243,2))</f>
        <v>171.5</v>
      </c>
      <c r="N1243" s="39" t="n">
        <f aca="false">IF(OR(A1243="",B1243=""),"",SUMIFS(tl_Hours,tl_StaffID,I1243,tl_Date,A1243))</f>
        <v>8</v>
      </c>
      <c r="O1243" s="40" t="str">
        <f aca="false">IF(A1243&amp;B1243&amp;D1243="","",IF(OR(A1243="",B1243="",D1243="",E1243=""),"Incomplete",IF(K1243="Unknown","Unknown code",IF(AND(K1243="Yes",C1243=""),"Billable, needs client",IF(N1243&gt;MaxDayHours,"Over "&amp;MaxDayHours&amp;" hours that day","")))))</f>
        <v/>
      </c>
    </row>
    <row r="1244" customFormat="false" ht="15" hidden="false" customHeight="false" outlineLevel="0" collapsed="false">
      <c r="A1244" s="31" t="n">
        <v>46268</v>
      </c>
      <c r="B1244" s="32" t="s">
        <v>103</v>
      </c>
      <c r="C1244" s="32" t="s">
        <v>87</v>
      </c>
      <c r="D1244" s="33" t="s">
        <v>89</v>
      </c>
      <c r="E1244" s="34" t="n">
        <v>0.75</v>
      </c>
      <c r="F1244" s="32"/>
      <c r="G1244" s="35" t="n">
        <f aca="false">IF(A1244="","",A1244+7-WEEKDAY(A1244))</f>
        <v>46270</v>
      </c>
      <c r="H1244" s="36" t="n">
        <f aca="false">IF(A1244="","",DATE(YEAR(A1244),MONTH(A1244),1))</f>
        <v>46266</v>
      </c>
      <c r="I1244" s="37" t="str">
        <f aca="false">IF(B1244="","",IFERROR(INDEX(st_ID,MATCH(B1244,st_Name,0)),"Unknown"))</f>
        <v>QP-05</v>
      </c>
      <c r="J1244" s="37" t="str">
        <f aca="false">IF(C1244="","",IFERROR(INDEX(cl_Code,MATCH(C1244,cl_Name,0)),"Unknown"))</f>
        <v>HCS</v>
      </c>
      <c r="K1244" s="37" t="str">
        <f aca="false">IF(D1244="","",IFERROR(INDEX(rt_Billable,MATCH(D1244,rt_Code,0)),"Unknown"))</f>
        <v>Yes</v>
      </c>
      <c r="L1244" s="38" t="n">
        <f aca="false">IF(K1244&lt;&gt;"Yes","",IFERROR(INDEX(cr_Rate,MATCH(J1244&amp;"|"&amp;D1244,cr_Key,0)),INDEX(rt_Rate,MATCH(D1244,rt_Code,0))))</f>
        <v>88</v>
      </c>
      <c r="M1244" s="25" t="n">
        <f aca="false">IF(L1244="","",ROUND(N(E1244)*L1244,2))</f>
        <v>66</v>
      </c>
      <c r="N1244" s="39" t="n">
        <f aca="false">IF(OR(A1244="",B1244=""),"",SUMIFS(tl_Hours,tl_StaffID,I1244,tl_Date,A1244))</f>
        <v>8</v>
      </c>
      <c r="O1244" s="40" t="str">
        <f aca="false">IF(A1244&amp;B1244&amp;D1244="","",IF(OR(A1244="",B1244="",D1244="",E1244=""),"Incomplete",IF(K1244="Unknown","Unknown code",IF(AND(K1244="Yes",C1244=""),"Billable, needs client",IF(N1244&gt;MaxDayHours,"Over "&amp;MaxDayHours&amp;" hours that day","")))))</f>
        <v/>
      </c>
    </row>
    <row r="1245" customFormat="false" ht="15" hidden="false" customHeight="false" outlineLevel="0" collapsed="false">
      <c r="A1245" s="31" t="n">
        <v>46268</v>
      </c>
      <c r="B1245" s="32" t="s">
        <v>103</v>
      </c>
      <c r="C1245" s="32"/>
      <c r="D1245" s="33" t="s">
        <v>93</v>
      </c>
      <c r="E1245" s="34" t="n">
        <v>0.5</v>
      </c>
      <c r="F1245" s="32"/>
      <c r="G1245" s="35" t="n">
        <f aca="false">IF(A1245="","",A1245+7-WEEKDAY(A1245))</f>
        <v>46270</v>
      </c>
      <c r="H1245" s="36" t="n">
        <f aca="false">IF(A1245="","",DATE(YEAR(A1245),MONTH(A1245),1))</f>
        <v>46266</v>
      </c>
      <c r="I1245" s="37" t="str">
        <f aca="false">IF(B1245="","",IFERROR(INDEX(st_ID,MATCH(B1245,st_Name,0)),"Unknown"))</f>
        <v>QP-05</v>
      </c>
      <c r="J1245" s="37" t="str">
        <f aca="false">IF(C1245="","",IFERROR(INDEX(cl_Code,MATCH(C1245,cl_Name,0)),"Unknown"))</f>
        <v/>
      </c>
      <c r="K1245" s="37" t="str">
        <f aca="false">IF(D1245="","",IFERROR(INDEX(rt_Billable,MATCH(D1245,rt_Code,0)),"Unknown"))</f>
        <v>No</v>
      </c>
      <c r="L1245" s="38" t="str">
        <f aca="false">IF(K1245&lt;&gt;"Yes","",IFERROR(INDEX(cr_Rate,MATCH(J1245&amp;"|"&amp;D1245,cr_Key,0)),INDEX(rt_Rate,MATCH(D1245,rt_Code,0))))</f>
        <v/>
      </c>
      <c r="M1245" s="25" t="str">
        <f aca="false">IF(L1245="","",ROUND(N(E1245)*L1245,2))</f>
        <v/>
      </c>
      <c r="N1245" s="39" t="n">
        <f aca="false">IF(OR(A1245="",B1245=""),"",SUMIFS(tl_Hours,tl_StaffID,I1245,tl_Date,A1245))</f>
        <v>8</v>
      </c>
      <c r="O1245" s="40" t="str">
        <f aca="false">IF(A1245&amp;B1245&amp;D1245="","",IF(OR(A1245="",B1245="",D1245="",E1245=""),"Incomplete",IF(K1245="Unknown","Unknown code",IF(AND(K1245="Yes",C1245=""),"Billable, needs client",IF(N1245&gt;MaxDayHours,"Over "&amp;MaxDayHours&amp;" hours that day","")))))</f>
        <v/>
      </c>
    </row>
    <row r="1246" customFormat="false" ht="15" hidden="false" customHeight="false" outlineLevel="0" collapsed="false">
      <c r="A1246" s="31" t="n">
        <v>46268</v>
      </c>
      <c r="B1246" s="32" t="s">
        <v>103</v>
      </c>
      <c r="C1246" s="32"/>
      <c r="D1246" s="33" t="s">
        <v>96</v>
      </c>
      <c r="E1246" s="34" t="n">
        <v>2.5</v>
      </c>
      <c r="F1246" s="32"/>
      <c r="G1246" s="35" t="n">
        <f aca="false">IF(A1246="","",A1246+7-WEEKDAY(A1246))</f>
        <v>46270</v>
      </c>
      <c r="H1246" s="36" t="n">
        <f aca="false">IF(A1246="","",DATE(YEAR(A1246),MONTH(A1246),1))</f>
        <v>46266</v>
      </c>
      <c r="I1246" s="37" t="str">
        <f aca="false">IF(B1246="","",IFERROR(INDEX(st_ID,MATCH(B1246,st_Name,0)),"Unknown"))</f>
        <v>QP-05</v>
      </c>
      <c r="J1246" s="37" t="str">
        <f aca="false">IF(C1246="","",IFERROR(INDEX(cl_Code,MATCH(C1246,cl_Name,0)),"Unknown"))</f>
        <v/>
      </c>
      <c r="K1246" s="37" t="str">
        <f aca="false">IF(D1246="","",IFERROR(INDEX(rt_Billable,MATCH(D1246,rt_Code,0)),"Unknown"))</f>
        <v>No</v>
      </c>
      <c r="L1246" s="38" t="str">
        <f aca="false">IF(K1246&lt;&gt;"Yes","",IFERROR(INDEX(cr_Rate,MATCH(J1246&amp;"|"&amp;D1246,cr_Key,0)),INDEX(rt_Rate,MATCH(D1246,rt_Code,0))))</f>
        <v/>
      </c>
      <c r="M1246" s="25" t="str">
        <f aca="false">IF(L1246="","",ROUND(N(E1246)*L1246,2))</f>
        <v/>
      </c>
      <c r="N1246" s="39" t="n">
        <f aca="false">IF(OR(A1246="",B1246=""),"",SUMIFS(tl_Hours,tl_StaffID,I1246,tl_Date,A1246))</f>
        <v>8</v>
      </c>
      <c r="O1246" s="40" t="str">
        <f aca="false">IF(A1246&amp;B1246&amp;D1246="","",IF(OR(A1246="",B1246="",D1246="",E1246=""),"Incomplete",IF(K1246="Unknown","Unknown code",IF(AND(K1246="Yes",C1246=""),"Billable, needs client",IF(N1246&gt;MaxDayHours,"Over "&amp;MaxDayHours&amp;" hours that day","")))))</f>
        <v/>
      </c>
    </row>
    <row r="1247" customFormat="false" ht="15" hidden="false" customHeight="false" outlineLevel="0" collapsed="false">
      <c r="A1247" s="31" t="n">
        <v>46268</v>
      </c>
      <c r="B1247" s="32" t="s">
        <v>105</v>
      </c>
      <c r="C1247" s="32"/>
      <c r="D1247" s="33" t="s">
        <v>109</v>
      </c>
      <c r="E1247" s="34" t="n">
        <v>8</v>
      </c>
      <c r="F1247" s="32"/>
      <c r="G1247" s="35" t="n">
        <f aca="false">IF(A1247="","",A1247+7-WEEKDAY(A1247))</f>
        <v>46270</v>
      </c>
      <c r="H1247" s="36" t="n">
        <f aca="false">IF(A1247="","",DATE(YEAR(A1247),MONTH(A1247),1))</f>
        <v>46266</v>
      </c>
      <c r="I1247" s="37" t="str">
        <f aca="false">IF(B1247="","",IFERROR(INDEX(st_ID,MATCH(B1247,st_Name,0)),"Unknown"))</f>
        <v>QP-06</v>
      </c>
      <c r="J1247" s="37" t="str">
        <f aca="false">IF(C1247="","",IFERROR(INDEX(cl_Code,MATCH(C1247,cl_Name,0)),"Unknown"))</f>
        <v/>
      </c>
      <c r="K1247" s="37" t="str">
        <f aca="false">IF(D1247="","",IFERROR(INDEX(rt_Billable,MATCH(D1247,rt_Code,0)),"Unknown"))</f>
        <v>No</v>
      </c>
      <c r="L1247" s="38" t="str">
        <f aca="false">IF(K1247&lt;&gt;"Yes","",IFERROR(INDEX(cr_Rate,MATCH(J1247&amp;"|"&amp;D1247,cr_Key,0)),INDEX(rt_Rate,MATCH(D1247,rt_Code,0))))</f>
        <v/>
      </c>
      <c r="M1247" s="25" t="str">
        <f aca="false">IF(L1247="","",ROUND(N(E1247)*L1247,2))</f>
        <v/>
      </c>
      <c r="N1247" s="39" t="n">
        <f aca="false">IF(OR(A1247="",B1247=""),"",SUMIFS(tl_Hours,tl_StaffID,I1247,tl_Date,A1247))</f>
        <v>8</v>
      </c>
      <c r="O1247" s="40" t="str">
        <f aca="false">IF(A1247&amp;B1247&amp;D1247="","",IF(OR(A1247="",B1247="",D1247="",E1247=""),"Incomplete",IF(K1247="Unknown","Unknown code",IF(AND(K1247="Yes",C1247=""),"Billable, needs client",IF(N1247&gt;MaxDayHours,"Over "&amp;MaxDayHours&amp;" hours that day","")))))</f>
        <v/>
      </c>
    </row>
    <row r="1248" customFormat="false" ht="15" hidden="false" customHeight="false" outlineLevel="0" collapsed="false">
      <c r="A1248" s="31" t="n">
        <v>46268</v>
      </c>
      <c r="B1248" s="32" t="s">
        <v>106</v>
      </c>
      <c r="C1248" s="32" t="s">
        <v>112</v>
      </c>
      <c r="D1248" s="33" t="s">
        <v>104</v>
      </c>
      <c r="E1248" s="34" t="n">
        <v>5.5</v>
      </c>
      <c r="F1248" s="32"/>
      <c r="G1248" s="35" t="n">
        <f aca="false">IF(A1248="","",A1248+7-WEEKDAY(A1248))</f>
        <v>46270</v>
      </c>
      <c r="H1248" s="36" t="n">
        <f aca="false">IF(A1248="","",DATE(YEAR(A1248),MONTH(A1248),1))</f>
        <v>46266</v>
      </c>
      <c r="I1248" s="37" t="str">
        <f aca="false">IF(B1248="","",IFERROR(INDEX(st_ID,MATCH(B1248,st_Name,0)),"Unknown"))</f>
        <v>QP-07</v>
      </c>
      <c r="J1248" s="37" t="str">
        <f aca="false">IF(C1248="","",IFERROR(INDEX(cl_Code,MATCH(C1248,cl_Name,0)),"Unknown"))</f>
        <v>PCA</v>
      </c>
      <c r="K1248" s="37" t="str">
        <f aca="false">IF(D1248="","",IFERROR(INDEX(rt_Billable,MATCH(D1248,rt_Code,0)),"Unknown"))</f>
        <v>Yes</v>
      </c>
      <c r="L1248" s="38" t="n">
        <f aca="false">IF(K1248&lt;&gt;"Yes","",IFERROR(INDEX(cr_Rate,MATCH(J1248&amp;"|"&amp;D1248,cr_Key,0)),INDEX(rt_Rate,MATCH(D1248,rt_Code,0))))</f>
        <v>70</v>
      </c>
      <c r="M1248" s="25" t="n">
        <f aca="false">IF(L1248="","",ROUND(N(E1248)*L1248,2))</f>
        <v>385</v>
      </c>
      <c r="N1248" s="39" t="n">
        <f aca="false">IF(OR(A1248="",B1248=""),"",SUMIFS(tl_Hours,tl_StaffID,I1248,tl_Date,A1248))</f>
        <v>8</v>
      </c>
      <c r="O1248" s="40" t="str">
        <f aca="false">IF(A1248&amp;B1248&amp;D1248="","",IF(OR(A1248="",B1248="",D1248="",E1248=""),"Incomplete",IF(K1248="Unknown","Unknown code",IF(AND(K1248="Yes",C1248=""),"Billable, needs client",IF(N1248&gt;MaxDayHours,"Over "&amp;MaxDayHours&amp;" hours that day","")))))</f>
        <v/>
      </c>
    </row>
    <row r="1249" customFormat="false" ht="15" hidden="false" customHeight="false" outlineLevel="0" collapsed="false">
      <c r="A1249" s="31" t="n">
        <v>46268</v>
      </c>
      <c r="B1249" s="32" t="s">
        <v>106</v>
      </c>
      <c r="C1249" s="32" t="s">
        <v>112</v>
      </c>
      <c r="D1249" s="33" t="s">
        <v>89</v>
      </c>
      <c r="E1249" s="34" t="n">
        <v>1.25</v>
      </c>
      <c r="F1249" s="32"/>
      <c r="G1249" s="35" t="n">
        <f aca="false">IF(A1249="","",A1249+7-WEEKDAY(A1249))</f>
        <v>46270</v>
      </c>
      <c r="H1249" s="36" t="n">
        <f aca="false">IF(A1249="","",DATE(YEAR(A1249),MONTH(A1249),1))</f>
        <v>46266</v>
      </c>
      <c r="I1249" s="37" t="str">
        <f aca="false">IF(B1249="","",IFERROR(INDEX(st_ID,MATCH(B1249,st_Name,0)),"Unknown"))</f>
        <v>QP-07</v>
      </c>
      <c r="J1249" s="37" t="str">
        <f aca="false">IF(C1249="","",IFERROR(INDEX(cl_Code,MATCH(C1249,cl_Name,0)),"Unknown"))</f>
        <v>PCA</v>
      </c>
      <c r="K1249" s="37" t="str">
        <f aca="false">IF(D1249="","",IFERROR(INDEX(rt_Billable,MATCH(D1249,rt_Code,0)),"Unknown"))</f>
        <v>Yes</v>
      </c>
      <c r="L1249" s="38" t="n">
        <f aca="false">IF(K1249&lt;&gt;"Yes","",IFERROR(INDEX(cr_Rate,MATCH(J1249&amp;"|"&amp;D1249,cr_Key,0)),INDEX(rt_Rate,MATCH(D1249,rt_Code,0))))</f>
        <v>95</v>
      </c>
      <c r="M1249" s="25" t="n">
        <f aca="false">IF(L1249="","",ROUND(N(E1249)*L1249,2))</f>
        <v>118.75</v>
      </c>
      <c r="N1249" s="39" t="n">
        <f aca="false">IF(OR(A1249="",B1249=""),"",SUMIFS(tl_Hours,tl_StaffID,I1249,tl_Date,A1249))</f>
        <v>8</v>
      </c>
      <c r="O1249" s="40" t="str">
        <f aca="false">IF(A1249&amp;B1249&amp;D1249="","",IF(OR(A1249="",B1249="",D1249="",E1249=""),"Incomplete",IF(K1249="Unknown","Unknown code",IF(AND(K1249="Yes",C1249=""),"Billable, needs client",IF(N1249&gt;MaxDayHours,"Over "&amp;MaxDayHours&amp;" hours that day","")))))</f>
        <v/>
      </c>
    </row>
    <row r="1250" customFormat="false" ht="15" hidden="false" customHeight="false" outlineLevel="0" collapsed="false">
      <c r="A1250" s="31" t="n">
        <v>46268</v>
      </c>
      <c r="B1250" s="32" t="s">
        <v>106</v>
      </c>
      <c r="C1250" s="32"/>
      <c r="D1250" s="33" t="s">
        <v>96</v>
      </c>
      <c r="E1250" s="34" t="n">
        <v>1.25</v>
      </c>
      <c r="F1250" s="32"/>
      <c r="G1250" s="35" t="n">
        <f aca="false">IF(A1250="","",A1250+7-WEEKDAY(A1250))</f>
        <v>46270</v>
      </c>
      <c r="H1250" s="36" t="n">
        <f aca="false">IF(A1250="","",DATE(YEAR(A1250),MONTH(A1250),1))</f>
        <v>46266</v>
      </c>
      <c r="I1250" s="37" t="str">
        <f aca="false">IF(B1250="","",IFERROR(INDEX(st_ID,MATCH(B1250,st_Name,0)),"Unknown"))</f>
        <v>QP-07</v>
      </c>
      <c r="J1250" s="37" t="str">
        <f aca="false">IF(C1250="","",IFERROR(INDEX(cl_Code,MATCH(C1250,cl_Name,0)),"Unknown"))</f>
        <v/>
      </c>
      <c r="K1250" s="37" t="str">
        <f aca="false">IF(D1250="","",IFERROR(INDEX(rt_Billable,MATCH(D1250,rt_Code,0)),"Unknown"))</f>
        <v>No</v>
      </c>
      <c r="L1250" s="38" t="str">
        <f aca="false">IF(K1250&lt;&gt;"Yes","",IFERROR(INDEX(cr_Rate,MATCH(J1250&amp;"|"&amp;D1250,cr_Key,0)),INDEX(rt_Rate,MATCH(D1250,rt_Code,0))))</f>
        <v/>
      </c>
      <c r="M1250" s="25" t="str">
        <f aca="false">IF(L1250="","",ROUND(N(E1250)*L1250,2))</f>
        <v/>
      </c>
      <c r="N1250" s="39" t="n">
        <f aca="false">IF(OR(A1250="",B1250=""),"",SUMIFS(tl_Hours,tl_StaffID,I1250,tl_Date,A1250))</f>
        <v>8</v>
      </c>
      <c r="O1250" s="40" t="str">
        <f aca="false">IF(A1250&amp;B1250&amp;D1250="","",IF(OR(A1250="",B1250="",D1250="",E1250=""),"Incomplete",IF(K1250="Unknown","Unknown code",IF(AND(K1250="Yes",C1250=""),"Billable, needs client",IF(N1250&gt;MaxDayHours,"Over "&amp;MaxDayHours&amp;" hours that day","")))))</f>
        <v/>
      </c>
    </row>
    <row r="1251" customFormat="false" ht="15" hidden="false" customHeight="false" outlineLevel="0" collapsed="false">
      <c r="A1251" s="31" t="n">
        <v>46268</v>
      </c>
      <c r="B1251" s="32" t="s">
        <v>107</v>
      </c>
      <c r="C1251" s="32"/>
      <c r="D1251" s="33" t="s">
        <v>108</v>
      </c>
      <c r="E1251" s="34" t="n">
        <v>6.5</v>
      </c>
      <c r="F1251" s="32"/>
      <c r="G1251" s="35" t="n">
        <f aca="false">IF(A1251="","",A1251+7-WEEKDAY(A1251))</f>
        <v>46270</v>
      </c>
      <c r="H1251" s="36" t="n">
        <f aca="false">IF(A1251="","",DATE(YEAR(A1251),MONTH(A1251),1))</f>
        <v>46266</v>
      </c>
      <c r="I1251" s="37" t="str">
        <f aca="false">IF(B1251="","",IFERROR(INDEX(st_ID,MATCH(B1251,st_Name,0)),"Unknown"))</f>
        <v>QP-08</v>
      </c>
      <c r="J1251" s="37" t="str">
        <f aca="false">IF(C1251="","",IFERROR(INDEX(cl_Code,MATCH(C1251,cl_Name,0)),"Unknown"))</f>
        <v/>
      </c>
      <c r="K1251" s="37" t="str">
        <f aca="false">IF(D1251="","",IFERROR(INDEX(rt_Billable,MATCH(D1251,rt_Code,0)),"Unknown"))</f>
        <v>No</v>
      </c>
      <c r="L1251" s="38" t="str">
        <f aca="false">IF(K1251&lt;&gt;"Yes","",IFERROR(INDEX(cr_Rate,MATCH(J1251&amp;"|"&amp;D1251,cr_Key,0)),INDEX(rt_Rate,MATCH(D1251,rt_Code,0))))</f>
        <v/>
      </c>
      <c r="M1251" s="25" t="str">
        <f aca="false">IF(L1251="","",ROUND(N(E1251)*L1251,2))</f>
        <v/>
      </c>
      <c r="N1251" s="39" t="n">
        <f aca="false">IF(OR(A1251="",B1251=""),"",SUMIFS(tl_Hours,tl_StaffID,I1251,tl_Date,A1251))</f>
        <v>8</v>
      </c>
      <c r="O1251" s="40" t="str">
        <f aca="false">IF(A1251&amp;B1251&amp;D1251="","",IF(OR(A1251="",B1251="",D1251="",E1251=""),"Incomplete",IF(K1251="Unknown","Unknown code",IF(AND(K1251="Yes",C1251=""),"Billable, needs client",IF(N1251&gt;MaxDayHours,"Over "&amp;MaxDayHours&amp;" hours that day","")))))</f>
        <v/>
      </c>
    </row>
    <row r="1252" customFormat="false" ht="15" hidden="false" customHeight="false" outlineLevel="0" collapsed="false">
      <c r="A1252" s="31" t="n">
        <v>46268</v>
      </c>
      <c r="B1252" s="32" t="s">
        <v>107</v>
      </c>
      <c r="C1252" s="32"/>
      <c r="D1252" s="33" t="s">
        <v>98</v>
      </c>
      <c r="E1252" s="34" t="n">
        <v>1.5</v>
      </c>
      <c r="F1252" s="32"/>
      <c r="G1252" s="35" t="n">
        <f aca="false">IF(A1252="","",A1252+7-WEEKDAY(A1252))</f>
        <v>46270</v>
      </c>
      <c r="H1252" s="36" t="n">
        <f aca="false">IF(A1252="","",DATE(YEAR(A1252),MONTH(A1252),1))</f>
        <v>46266</v>
      </c>
      <c r="I1252" s="37" t="str">
        <f aca="false">IF(B1252="","",IFERROR(INDEX(st_ID,MATCH(B1252,st_Name,0)),"Unknown"))</f>
        <v>QP-08</v>
      </c>
      <c r="J1252" s="37" t="str">
        <f aca="false">IF(C1252="","",IFERROR(INDEX(cl_Code,MATCH(C1252,cl_Name,0)),"Unknown"))</f>
        <v/>
      </c>
      <c r="K1252" s="37" t="str">
        <f aca="false">IF(D1252="","",IFERROR(INDEX(rt_Billable,MATCH(D1252,rt_Code,0)),"Unknown"))</f>
        <v>No</v>
      </c>
      <c r="L1252" s="38" t="str">
        <f aca="false">IF(K1252&lt;&gt;"Yes","",IFERROR(INDEX(cr_Rate,MATCH(J1252&amp;"|"&amp;D1252,cr_Key,0)),INDEX(rt_Rate,MATCH(D1252,rt_Code,0))))</f>
        <v/>
      </c>
      <c r="M1252" s="25" t="str">
        <f aca="false">IF(L1252="","",ROUND(N(E1252)*L1252,2))</f>
        <v/>
      </c>
      <c r="N1252" s="39" t="n">
        <f aca="false">IF(OR(A1252="",B1252=""),"",SUMIFS(tl_Hours,tl_StaffID,I1252,tl_Date,A1252))</f>
        <v>8</v>
      </c>
      <c r="O1252" s="40" t="str">
        <f aca="false">IF(A1252&amp;B1252&amp;D1252="","",IF(OR(A1252="",B1252="",D1252="",E1252=""),"Incomplete",IF(K1252="Unknown","Unknown code",IF(AND(K1252="Yes",C1252=""),"Billable, needs client",IF(N1252&gt;MaxDayHours,"Over "&amp;MaxDayHours&amp;" hours that day","")))))</f>
        <v/>
      </c>
    </row>
    <row r="1253" customFormat="false" ht="15" hidden="false" customHeight="false" outlineLevel="0" collapsed="false">
      <c r="A1253" s="31" t="n">
        <v>46269</v>
      </c>
      <c r="B1253" s="32" t="s">
        <v>86</v>
      </c>
      <c r="C1253" s="32" t="s">
        <v>87</v>
      </c>
      <c r="D1253" s="33" t="s">
        <v>88</v>
      </c>
      <c r="E1253" s="34" t="n">
        <v>4.25</v>
      </c>
      <c r="F1253" s="32"/>
      <c r="G1253" s="35" t="n">
        <f aca="false">IF(A1253="","",A1253+7-WEEKDAY(A1253))</f>
        <v>46270</v>
      </c>
      <c r="H1253" s="36" t="n">
        <f aca="false">IF(A1253="","",DATE(YEAR(A1253),MONTH(A1253),1))</f>
        <v>46266</v>
      </c>
      <c r="I1253" s="37" t="str">
        <f aca="false">IF(B1253="","",IFERROR(INDEX(st_ID,MATCH(B1253,st_Name,0)),"Unknown"))</f>
        <v>QP-01</v>
      </c>
      <c r="J1253" s="37" t="str">
        <f aca="false">IF(C1253="","",IFERROR(INDEX(cl_Code,MATCH(C1253,cl_Name,0)),"Unknown"))</f>
        <v>HCS</v>
      </c>
      <c r="K1253" s="37" t="str">
        <f aca="false">IF(D1253="","",IFERROR(INDEX(rt_Billable,MATCH(D1253,rt_Code,0)),"Unknown"))</f>
        <v>Yes</v>
      </c>
      <c r="L1253" s="38" t="n">
        <f aca="false">IF(K1253&lt;&gt;"Yes","",IFERROR(INDEX(cr_Rate,MATCH(J1253&amp;"|"&amp;D1253,cr_Key,0)),INDEX(rt_Rate,MATCH(D1253,rt_Code,0))))</f>
        <v>98</v>
      </c>
      <c r="M1253" s="25" t="n">
        <f aca="false">IF(L1253="","",ROUND(N(E1253)*L1253,2))</f>
        <v>416.5</v>
      </c>
      <c r="N1253" s="39" t="n">
        <f aca="false">IF(OR(A1253="",B1253=""),"",SUMIFS(tl_Hours,tl_StaffID,I1253,tl_Date,A1253))</f>
        <v>8</v>
      </c>
      <c r="O1253" s="40" t="str">
        <f aca="false">IF(A1253&amp;B1253&amp;D1253="","",IF(OR(A1253="",B1253="",D1253="",E1253=""),"Incomplete",IF(K1253="Unknown","Unknown code",IF(AND(K1253="Yes",C1253=""),"Billable, needs client",IF(N1253&gt;MaxDayHours,"Over "&amp;MaxDayHours&amp;" hours that day","")))))</f>
        <v/>
      </c>
    </row>
    <row r="1254" customFormat="false" ht="15" hidden="false" customHeight="false" outlineLevel="0" collapsed="false">
      <c r="A1254" s="31" t="n">
        <v>46269</v>
      </c>
      <c r="B1254" s="32" t="s">
        <v>86</v>
      </c>
      <c r="C1254" s="32" t="s">
        <v>87</v>
      </c>
      <c r="D1254" s="33" t="s">
        <v>89</v>
      </c>
      <c r="E1254" s="34" t="n">
        <v>1.5</v>
      </c>
      <c r="F1254" s="32"/>
      <c r="G1254" s="35" t="n">
        <f aca="false">IF(A1254="","",A1254+7-WEEKDAY(A1254))</f>
        <v>46270</v>
      </c>
      <c r="H1254" s="36" t="n">
        <f aca="false">IF(A1254="","",DATE(YEAR(A1254),MONTH(A1254),1))</f>
        <v>46266</v>
      </c>
      <c r="I1254" s="37" t="str">
        <f aca="false">IF(B1254="","",IFERROR(INDEX(st_ID,MATCH(B1254,st_Name,0)),"Unknown"))</f>
        <v>QP-01</v>
      </c>
      <c r="J1254" s="37" t="str">
        <f aca="false">IF(C1254="","",IFERROR(INDEX(cl_Code,MATCH(C1254,cl_Name,0)),"Unknown"))</f>
        <v>HCS</v>
      </c>
      <c r="K1254" s="37" t="str">
        <f aca="false">IF(D1254="","",IFERROR(INDEX(rt_Billable,MATCH(D1254,rt_Code,0)),"Unknown"))</f>
        <v>Yes</v>
      </c>
      <c r="L1254" s="38" t="n">
        <f aca="false">IF(K1254&lt;&gt;"Yes","",IFERROR(INDEX(cr_Rate,MATCH(J1254&amp;"|"&amp;D1254,cr_Key,0)),INDEX(rt_Rate,MATCH(D1254,rt_Code,0))))</f>
        <v>88</v>
      </c>
      <c r="M1254" s="25" t="n">
        <f aca="false">IF(L1254="","",ROUND(N(E1254)*L1254,2))</f>
        <v>132</v>
      </c>
      <c r="N1254" s="39" t="n">
        <f aca="false">IF(OR(A1254="",B1254=""),"",SUMIFS(tl_Hours,tl_StaffID,I1254,tl_Date,A1254))</f>
        <v>8</v>
      </c>
      <c r="O1254" s="40" t="str">
        <f aca="false">IF(A1254&amp;B1254&amp;D1254="","",IF(OR(A1254="",B1254="",D1254="",E1254=""),"Incomplete",IF(K1254="Unknown","Unknown code",IF(AND(K1254="Yes",C1254=""),"Billable, needs client",IF(N1254&gt;MaxDayHours,"Over "&amp;MaxDayHours&amp;" hours that day","")))))</f>
        <v/>
      </c>
    </row>
    <row r="1255" customFormat="false" ht="15" hidden="false" customHeight="false" outlineLevel="0" collapsed="false">
      <c r="A1255" s="31" t="n">
        <v>46269</v>
      </c>
      <c r="B1255" s="32" t="s">
        <v>86</v>
      </c>
      <c r="C1255" s="32"/>
      <c r="D1255" s="33" t="s">
        <v>96</v>
      </c>
      <c r="E1255" s="34" t="n">
        <v>2.25</v>
      </c>
      <c r="F1255" s="32"/>
      <c r="G1255" s="35" t="n">
        <f aca="false">IF(A1255="","",A1255+7-WEEKDAY(A1255))</f>
        <v>46270</v>
      </c>
      <c r="H1255" s="36" t="n">
        <f aca="false">IF(A1255="","",DATE(YEAR(A1255),MONTH(A1255),1))</f>
        <v>46266</v>
      </c>
      <c r="I1255" s="37" t="str">
        <f aca="false">IF(B1255="","",IFERROR(INDEX(st_ID,MATCH(B1255,st_Name,0)),"Unknown"))</f>
        <v>QP-01</v>
      </c>
      <c r="J1255" s="37" t="str">
        <f aca="false">IF(C1255="","",IFERROR(INDEX(cl_Code,MATCH(C1255,cl_Name,0)),"Unknown"))</f>
        <v/>
      </c>
      <c r="K1255" s="37" t="str">
        <f aca="false">IF(D1255="","",IFERROR(INDEX(rt_Billable,MATCH(D1255,rt_Code,0)),"Unknown"))</f>
        <v>No</v>
      </c>
      <c r="L1255" s="38" t="str">
        <f aca="false">IF(K1255&lt;&gt;"Yes","",IFERROR(INDEX(cr_Rate,MATCH(J1255&amp;"|"&amp;D1255,cr_Key,0)),INDEX(rt_Rate,MATCH(D1255,rt_Code,0))))</f>
        <v/>
      </c>
      <c r="M1255" s="25" t="str">
        <f aca="false">IF(L1255="","",ROUND(N(E1255)*L1255,2))</f>
        <v/>
      </c>
      <c r="N1255" s="39" t="n">
        <f aca="false">IF(OR(A1255="",B1255=""),"",SUMIFS(tl_Hours,tl_StaffID,I1255,tl_Date,A1255))</f>
        <v>8</v>
      </c>
      <c r="O1255" s="40" t="str">
        <f aca="false">IF(A1255&amp;B1255&amp;D1255="","",IF(OR(A1255="",B1255="",D1255="",E1255=""),"Incomplete",IF(K1255="Unknown","Unknown code",IF(AND(K1255="Yes",C1255=""),"Billable, needs client",IF(N1255&gt;MaxDayHours,"Over "&amp;MaxDayHours&amp;" hours that day","")))))</f>
        <v/>
      </c>
    </row>
    <row r="1256" customFormat="false" ht="15" hidden="false" customHeight="false" outlineLevel="0" collapsed="false">
      <c r="A1256" s="31" t="n">
        <v>46269</v>
      </c>
      <c r="B1256" s="32" t="s">
        <v>97</v>
      </c>
      <c r="C1256" s="32" t="s">
        <v>111</v>
      </c>
      <c r="D1256" s="33" t="s">
        <v>104</v>
      </c>
      <c r="E1256" s="34" t="n">
        <v>5.25</v>
      </c>
      <c r="F1256" s="32"/>
      <c r="G1256" s="35" t="n">
        <f aca="false">IF(A1256="","",A1256+7-WEEKDAY(A1256))</f>
        <v>46270</v>
      </c>
      <c r="H1256" s="36" t="n">
        <f aca="false">IF(A1256="","",DATE(YEAR(A1256),MONTH(A1256),1))</f>
        <v>46266</v>
      </c>
      <c r="I1256" s="37" t="str">
        <f aca="false">IF(B1256="","",IFERROR(INDEX(st_ID,MATCH(B1256,st_Name,0)),"Unknown"))</f>
        <v>QP-02</v>
      </c>
      <c r="J1256" s="37" t="str">
        <f aca="false">IF(C1256="","",IFERROR(INDEX(cl_Code,MATCH(C1256,cl_Name,0)),"Unknown"))</f>
        <v>WMS</v>
      </c>
      <c r="K1256" s="37" t="str">
        <f aca="false">IF(D1256="","",IFERROR(INDEX(rt_Billable,MATCH(D1256,rt_Code,0)),"Unknown"))</f>
        <v>Yes</v>
      </c>
      <c r="L1256" s="38" t="n">
        <f aca="false">IF(K1256&lt;&gt;"Yes","",IFERROR(INDEX(cr_Rate,MATCH(J1256&amp;"|"&amp;D1256,cr_Key,0)),INDEX(rt_Rate,MATCH(D1256,rt_Code,0))))</f>
        <v>70</v>
      </c>
      <c r="M1256" s="25" t="n">
        <f aca="false">IF(L1256="","",ROUND(N(E1256)*L1256,2))</f>
        <v>367.5</v>
      </c>
      <c r="N1256" s="39" t="n">
        <f aca="false">IF(OR(A1256="",B1256=""),"",SUMIFS(tl_Hours,tl_StaffID,I1256,tl_Date,A1256))</f>
        <v>8</v>
      </c>
      <c r="O1256" s="40" t="str">
        <f aca="false">IF(A1256&amp;B1256&amp;D1256="","",IF(OR(A1256="",B1256="",D1256="",E1256=""),"Incomplete",IF(K1256="Unknown","Unknown code",IF(AND(K1256="Yes",C1256=""),"Billable, needs client",IF(N1256&gt;MaxDayHours,"Over "&amp;MaxDayHours&amp;" hours that day","")))))</f>
        <v/>
      </c>
    </row>
    <row r="1257" customFormat="false" ht="15" hidden="false" customHeight="false" outlineLevel="0" collapsed="false">
      <c r="A1257" s="31" t="n">
        <v>46269</v>
      </c>
      <c r="B1257" s="32" t="s">
        <v>97</v>
      </c>
      <c r="C1257" s="32" t="s">
        <v>111</v>
      </c>
      <c r="D1257" s="33" t="s">
        <v>92</v>
      </c>
      <c r="E1257" s="34" t="n">
        <v>1</v>
      </c>
      <c r="F1257" s="32"/>
      <c r="G1257" s="35" t="n">
        <f aca="false">IF(A1257="","",A1257+7-WEEKDAY(A1257))</f>
        <v>46270</v>
      </c>
      <c r="H1257" s="36" t="n">
        <f aca="false">IF(A1257="","",DATE(YEAR(A1257),MONTH(A1257),1))</f>
        <v>46266</v>
      </c>
      <c r="I1257" s="37" t="str">
        <f aca="false">IF(B1257="","",IFERROR(INDEX(st_ID,MATCH(B1257,st_Name,0)),"Unknown"))</f>
        <v>QP-02</v>
      </c>
      <c r="J1257" s="37" t="str">
        <f aca="false">IF(C1257="","",IFERROR(INDEX(cl_Code,MATCH(C1257,cl_Name,0)),"Unknown"))</f>
        <v>WMS</v>
      </c>
      <c r="K1257" s="37" t="str">
        <f aca="false">IF(D1257="","",IFERROR(INDEX(rt_Billable,MATCH(D1257,rt_Code,0)),"Unknown"))</f>
        <v>Yes</v>
      </c>
      <c r="L1257" s="38" t="n">
        <f aca="false">IF(K1257&lt;&gt;"Yes","",IFERROR(INDEX(cr_Rate,MATCH(J1257&amp;"|"&amp;D1257,cr_Key,0)),INDEX(rt_Rate,MATCH(D1257,rt_Code,0))))</f>
        <v>150</v>
      </c>
      <c r="M1257" s="25" t="n">
        <f aca="false">IF(L1257="","",ROUND(N(E1257)*L1257,2))</f>
        <v>150</v>
      </c>
      <c r="N1257" s="39" t="n">
        <f aca="false">IF(OR(A1257="",B1257=""),"",SUMIFS(tl_Hours,tl_StaffID,I1257,tl_Date,A1257))</f>
        <v>8</v>
      </c>
      <c r="O1257" s="40" t="str">
        <f aca="false">IF(A1257&amp;B1257&amp;D1257="","",IF(OR(A1257="",B1257="",D1257="",E1257=""),"Incomplete",IF(K1257="Unknown","Unknown code",IF(AND(K1257="Yes",C1257=""),"Billable, needs client",IF(N1257&gt;MaxDayHours,"Over "&amp;MaxDayHours&amp;" hours that day","")))))</f>
        <v/>
      </c>
    </row>
    <row r="1258" customFormat="false" ht="15" hidden="false" customHeight="false" outlineLevel="0" collapsed="false">
      <c r="A1258" s="31" t="n">
        <v>46269</v>
      </c>
      <c r="B1258" s="32" t="s">
        <v>97</v>
      </c>
      <c r="C1258" s="32"/>
      <c r="D1258" s="33" t="s">
        <v>96</v>
      </c>
      <c r="E1258" s="34" t="n">
        <v>1.75</v>
      </c>
      <c r="F1258" s="32"/>
      <c r="G1258" s="35" t="n">
        <f aca="false">IF(A1258="","",A1258+7-WEEKDAY(A1258))</f>
        <v>46270</v>
      </c>
      <c r="H1258" s="36" t="n">
        <f aca="false">IF(A1258="","",DATE(YEAR(A1258),MONTH(A1258),1))</f>
        <v>46266</v>
      </c>
      <c r="I1258" s="37" t="str">
        <f aca="false">IF(B1258="","",IFERROR(INDEX(st_ID,MATCH(B1258,st_Name,0)),"Unknown"))</f>
        <v>QP-02</v>
      </c>
      <c r="J1258" s="37" t="str">
        <f aca="false">IF(C1258="","",IFERROR(INDEX(cl_Code,MATCH(C1258,cl_Name,0)),"Unknown"))</f>
        <v/>
      </c>
      <c r="K1258" s="37" t="str">
        <f aca="false">IF(D1258="","",IFERROR(INDEX(rt_Billable,MATCH(D1258,rt_Code,0)),"Unknown"))</f>
        <v>No</v>
      </c>
      <c r="L1258" s="38" t="str">
        <f aca="false">IF(K1258&lt;&gt;"Yes","",IFERROR(INDEX(cr_Rate,MATCH(J1258&amp;"|"&amp;D1258,cr_Key,0)),INDEX(rt_Rate,MATCH(D1258,rt_Code,0))))</f>
        <v/>
      </c>
      <c r="M1258" s="25" t="str">
        <f aca="false">IF(L1258="","",ROUND(N(E1258)*L1258,2))</f>
        <v/>
      </c>
      <c r="N1258" s="39" t="n">
        <f aca="false">IF(OR(A1258="",B1258=""),"",SUMIFS(tl_Hours,tl_StaffID,I1258,tl_Date,A1258))</f>
        <v>8</v>
      </c>
      <c r="O1258" s="40" t="str">
        <f aca="false">IF(A1258&amp;B1258&amp;D1258="","",IF(OR(A1258="",B1258="",D1258="",E1258=""),"Incomplete",IF(K1258="Unknown","Unknown code",IF(AND(K1258="Yes",C1258=""),"Billable, needs client",IF(N1258&gt;MaxDayHours,"Over "&amp;MaxDayHours&amp;" hours that day","")))))</f>
        <v/>
      </c>
    </row>
    <row r="1259" customFormat="false" ht="15" hidden="false" customHeight="false" outlineLevel="0" collapsed="false">
      <c r="A1259" s="31" t="n">
        <v>46269</v>
      </c>
      <c r="B1259" s="32" t="s">
        <v>101</v>
      </c>
      <c r="C1259" s="32" t="s">
        <v>112</v>
      </c>
      <c r="D1259" s="33" t="s">
        <v>104</v>
      </c>
      <c r="E1259" s="34" t="n">
        <v>4.25</v>
      </c>
      <c r="F1259" s="32"/>
      <c r="G1259" s="35" t="n">
        <f aca="false">IF(A1259="","",A1259+7-WEEKDAY(A1259))</f>
        <v>46270</v>
      </c>
      <c r="H1259" s="36" t="n">
        <f aca="false">IF(A1259="","",DATE(YEAR(A1259),MONTH(A1259),1))</f>
        <v>46266</v>
      </c>
      <c r="I1259" s="37" t="str">
        <f aca="false">IF(B1259="","",IFERROR(INDEX(st_ID,MATCH(B1259,st_Name,0)),"Unknown"))</f>
        <v>QP-04</v>
      </c>
      <c r="J1259" s="37" t="str">
        <f aca="false">IF(C1259="","",IFERROR(INDEX(cl_Code,MATCH(C1259,cl_Name,0)),"Unknown"))</f>
        <v>PCA</v>
      </c>
      <c r="K1259" s="37" t="str">
        <f aca="false">IF(D1259="","",IFERROR(INDEX(rt_Billable,MATCH(D1259,rt_Code,0)),"Unknown"))</f>
        <v>Yes</v>
      </c>
      <c r="L1259" s="38" t="n">
        <f aca="false">IF(K1259&lt;&gt;"Yes","",IFERROR(INDEX(cr_Rate,MATCH(J1259&amp;"|"&amp;D1259,cr_Key,0)),INDEX(rt_Rate,MATCH(D1259,rt_Code,0))))</f>
        <v>70</v>
      </c>
      <c r="M1259" s="25" t="n">
        <f aca="false">IF(L1259="","",ROUND(N(E1259)*L1259,2))</f>
        <v>297.5</v>
      </c>
      <c r="N1259" s="39" t="n">
        <f aca="false">IF(OR(A1259="",B1259=""),"",SUMIFS(tl_Hours,tl_StaffID,I1259,tl_Date,A1259))</f>
        <v>8</v>
      </c>
      <c r="O1259" s="40" t="str">
        <f aca="false">IF(A1259&amp;B1259&amp;D1259="","",IF(OR(A1259="",B1259="",D1259="",E1259=""),"Incomplete",IF(K1259="Unknown","Unknown code",IF(AND(K1259="Yes",C1259=""),"Billable, needs client",IF(N1259&gt;MaxDayHours,"Over "&amp;MaxDayHours&amp;" hours that day","")))))</f>
        <v/>
      </c>
    </row>
    <row r="1260" customFormat="false" ht="15" hidden="false" customHeight="false" outlineLevel="0" collapsed="false">
      <c r="A1260" s="31" t="n">
        <v>46269</v>
      </c>
      <c r="B1260" s="32" t="s">
        <v>101</v>
      </c>
      <c r="C1260" s="32" t="s">
        <v>112</v>
      </c>
      <c r="D1260" s="33" t="s">
        <v>92</v>
      </c>
      <c r="E1260" s="34" t="n">
        <v>2.25</v>
      </c>
      <c r="F1260" s="32"/>
      <c r="G1260" s="35" t="n">
        <f aca="false">IF(A1260="","",A1260+7-WEEKDAY(A1260))</f>
        <v>46270</v>
      </c>
      <c r="H1260" s="36" t="n">
        <f aca="false">IF(A1260="","",DATE(YEAR(A1260),MONTH(A1260),1))</f>
        <v>46266</v>
      </c>
      <c r="I1260" s="37" t="str">
        <f aca="false">IF(B1260="","",IFERROR(INDEX(st_ID,MATCH(B1260,st_Name,0)),"Unknown"))</f>
        <v>QP-04</v>
      </c>
      <c r="J1260" s="37" t="str">
        <f aca="false">IF(C1260="","",IFERROR(INDEX(cl_Code,MATCH(C1260,cl_Name,0)),"Unknown"))</f>
        <v>PCA</v>
      </c>
      <c r="K1260" s="37" t="str">
        <f aca="false">IF(D1260="","",IFERROR(INDEX(rt_Billable,MATCH(D1260,rt_Code,0)),"Unknown"))</f>
        <v>Yes</v>
      </c>
      <c r="L1260" s="38" t="n">
        <f aca="false">IF(K1260&lt;&gt;"Yes","",IFERROR(INDEX(cr_Rate,MATCH(J1260&amp;"|"&amp;D1260,cr_Key,0)),INDEX(rt_Rate,MATCH(D1260,rt_Code,0))))</f>
        <v>150</v>
      </c>
      <c r="M1260" s="25" t="n">
        <f aca="false">IF(L1260="","",ROUND(N(E1260)*L1260,2))</f>
        <v>337.5</v>
      </c>
      <c r="N1260" s="39" t="n">
        <f aca="false">IF(OR(A1260="",B1260=""),"",SUMIFS(tl_Hours,tl_StaffID,I1260,tl_Date,A1260))</f>
        <v>8</v>
      </c>
      <c r="O1260" s="40" t="str">
        <f aca="false">IF(A1260&amp;B1260&amp;D1260="","",IF(OR(A1260="",B1260="",D1260="",E1260=""),"Incomplete",IF(K1260="Unknown","Unknown code",IF(AND(K1260="Yes",C1260=""),"Billable, needs client",IF(N1260&gt;MaxDayHours,"Over "&amp;MaxDayHours&amp;" hours that day","")))))</f>
        <v/>
      </c>
    </row>
    <row r="1261" customFormat="false" ht="15" hidden="false" customHeight="false" outlineLevel="0" collapsed="false">
      <c r="A1261" s="31" t="n">
        <v>46269</v>
      </c>
      <c r="B1261" s="32" t="s">
        <v>101</v>
      </c>
      <c r="C1261" s="32"/>
      <c r="D1261" s="33" t="s">
        <v>96</v>
      </c>
      <c r="E1261" s="34" t="n">
        <v>1.5</v>
      </c>
      <c r="F1261" s="32"/>
      <c r="G1261" s="35" t="n">
        <f aca="false">IF(A1261="","",A1261+7-WEEKDAY(A1261))</f>
        <v>46270</v>
      </c>
      <c r="H1261" s="36" t="n">
        <f aca="false">IF(A1261="","",DATE(YEAR(A1261),MONTH(A1261),1))</f>
        <v>46266</v>
      </c>
      <c r="I1261" s="37" t="str">
        <f aca="false">IF(B1261="","",IFERROR(INDEX(st_ID,MATCH(B1261,st_Name,0)),"Unknown"))</f>
        <v>QP-04</v>
      </c>
      <c r="J1261" s="37" t="str">
        <f aca="false">IF(C1261="","",IFERROR(INDEX(cl_Code,MATCH(C1261,cl_Name,0)),"Unknown"))</f>
        <v/>
      </c>
      <c r="K1261" s="37" t="str">
        <f aca="false">IF(D1261="","",IFERROR(INDEX(rt_Billable,MATCH(D1261,rt_Code,0)),"Unknown"))</f>
        <v>No</v>
      </c>
      <c r="L1261" s="38" t="str">
        <f aca="false">IF(K1261&lt;&gt;"Yes","",IFERROR(INDEX(cr_Rate,MATCH(J1261&amp;"|"&amp;D1261,cr_Key,0)),INDEX(rt_Rate,MATCH(D1261,rt_Code,0))))</f>
        <v/>
      </c>
      <c r="M1261" s="25" t="str">
        <f aca="false">IF(L1261="","",ROUND(N(E1261)*L1261,2))</f>
        <v/>
      </c>
      <c r="N1261" s="39" t="n">
        <f aca="false">IF(OR(A1261="",B1261=""),"",SUMIFS(tl_Hours,tl_StaffID,I1261,tl_Date,A1261))</f>
        <v>8</v>
      </c>
      <c r="O1261" s="40" t="str">
        <f aca="false">IF(A1261&amp;B1261&amp;D1261="","",IF(OR(A1261="",B1261="",D1261="",E1261=""),"Incomplete",IF(K1261="Unknown","Unknown code",IF(AND(K1261="Yes",C1261=""),"Billable, needs client",IF(N1261&gt;MaxDayHours,"Over "&amp;MaxDayHours&amp;" hours that day","")))))</f>
        <v/>
      </c>
    </row>
    <row r="1262" customFormat="false" ht="15" hidden="false" customHeight="false" outlineLevel="0" collapsed="false">
      <c r="A1262" s="31" t="n">
        <v>46269</v>
      </c>
      <c r="B1262" s="32" t="s">
        <v>103</v>
      </c>
      <c r="C1262" s="32" t="s">
        <v>111</v>
      </c>
      <c r="D1262" s="33" t="s">
        <v>88</v>
      </c>
      <c r="E1262" s="34" t="n">
        <v>3.5</v>
      </c>
      <c r="F1262" s="32"/>
      <c r="G1262" s="35" t="n">
        <f aca="false">IF(A1262="","",A1262+7-WEEKDAY(A1262))</f>
        <v>46270</v>
      </c>
      <c r="H1262" s="36" t="n">
        <f aca="false">IF(A1262="","",DATE(YEAR(A1262),MONTH(A1262),1))</f>
        <v>46266</v>
      </c>
      <c r="I1262" s="37" t="str">
        <f aca="false">IF(B1262="","",IFERROR(INDEX(st_ID,MATCH(B1262,st_Name,0)),"Unknown"))</f>
        <v>QP-05</v>
      </c>
      <c r="J1262" s="37" t="str">
        <f aca="false">IF(C1262="","",IFERROR(INDEX(cl_Code,MATCH(C1262,cl_Name,0)),"Unknown"))</f>
        <v>WMS</v>
      </c>
      <c r="K1262" s="37" t="str">
        <f aca="false">IF(D1262="","",IFERROR(INDEX(rt_Billable,MATCH(D1262,rt_Code,0)),"Unknown"))</f>
        <v>Yes</v>
      </c>
      <c r="L1262" s="38" t="n">
        <f aca="false">IF(K1262&lt;&gt;"Yes","",IFERROR(INDEX(cr_Rate,MATCH(J1262&amp;"|"&amp;D1262,cr_Key,0)),INDEX(rt_Rate,MATCH(D1262,rt_Code,0))))</f>
        <v>110</v>
      </c>
      <c r="M1262" s="25" t="n">
        <f aca="false">IF(L1262="","",ROUND(N(E1262)*L1262,2))</f>
        <v>385</v>
      </c>
      <c r="N1262" s="39" t="n">
        <f aca="false">IF(OR(A1262="",B1262=""),"",SUMIFS(tl_Hours,tl_StaffID,I1262,tl_Date,A1262))</f>
        <v>8</v>
      </c>
      <c r="O1262" s="40" t="str">
        <f aca="false">IF(A1262&amp;B1262&amp;D1262="","",IF(OR(A1262="",B1262="",D1262="",E1262=""),"Incomplete",IF(K1262="Unknown","Unknown code",IF(AND(K1262="Yes",C1262=""),"Billable, needs client",IF(N1262&gt;MaxDayHours,"Over "&amp;MaxDayHours&amp;" hours that day","")))))</f>
        <v/>
      </c>
    </row>
    <row r="1263" customFormat="false" ht="15" hidden="false" customHeight="false" outlineLevel="0" collapsed="false">
      <c r="A1263" s="31" t="n">
        <v>46269</v>
      </c>
      <c r="B1263" s="32" t="s">
        <v>103</v>
      </c>
      <c r="C1263" s="32" t="s">
        <v>111</v>
      </c>
      <c r="D1263" s="33" t="s">
        <v>89</v>
      </c>
      <c r="E1263" s="34" t="n">
        <v>2.25</v>
      </c>
      <c r="F1263" s="32"/>
      <c r="G1263" s="35" t="n">
        <f aca="false">IF(A1263="","",A1263+7-WEEKDAY(A1263))</f>
        <v>46270</v>
      </c>
      <c r="H1263" s="36" t="n">
        <f aca="false">IF(A1263="","",DATE(YEAR(A1263),MONTH(A1263),1))</f>
        <v>46266</v>
      </c>
      <c r="I1263" s="37" t="str">
        <f aca="false">IF(B1263="","",IFERROR(INDEX(st_ID,MATCH(B1263,st_Name,0)),"Unknown"))</f>
        <v>QP-05</v>
      </c>
      <c r="J1263" s="37" t="str">
        <f aca="false">IF(C1263="","",IFERROR(INDEX(cl_Code,MATCH(C1263,cl_Name,0)),"Unknown"))</f>
        <v>WMS</v>
      </c>
      <c r="K1263" s="37" t="str">
        <f aca="false">IF(D1263="","",IFERROR(INDEX(rt_Billable,MATCH(D1263,rt_Code,0)),"Unknown"))</f>
        <v>Yes</v>
      </c>
      <c r="L1263" s="38" t="n">
        <f aca="false">IF(K1263&lt;&gt;"Yes","",IFERROR(INDEX(cr_Rate,MATCH(J1263&amp;"|"&amp;D1263,cr_Key,0)),INDEX(rt_Rate,MATCH(D1263,rt_Code,0))))</f>
        <v>95</v>
      </c>
      <c r="M1263" s="25" t="n">
        <f aca="false">IF(L1263="","",ROUND(N(E1263)*L1263,2))</f>
        <v>213.75</v>
      </c>
      <c r="N1263" s="39" t="n">
        <f aca="false">IF(OR(A1263="",B1263=""),"",SUMIFS(tl_Hours,tl_StaffID,I1263,tl_Date,A1263))</f>
        <v>8</v>
      </c>
      <c r="O1263" s="40" t="str">
        <f aca="false">IF(A1263&amp;B1263&amp;D1263="","",IF(OR(A1263="",B1263="",D1263="",E1263=""),"Incomplete",IF(K1263="Unknown","Unknown code",IF(AND(K1263="Yes",C1263=""),"Billable, needs client",IF(N1263&gt;MaxDayHours,"Over "&amp;MaxDayHours&amp;" hours that day","")))))</f>
        <v/>
      </c>
    </row>
    <row r="1264" customFormat="false" ht="15" hidden="false" customHeight="false" outlineLevel="0" collapsed="false">
      <c r="A1264" s="31" t="n">
        <v>46269</v>
      </c>
      <c r="B1264" s="32" t="s">
        <v>103</v>
      </c>
      <c r="C1264" s="32"/>
      <c r="D1264" s="33" t="s">
        <v>96</v>
      </c>
      <c r="E1264" s="34" t="n">
        <v>2.25</v>
      </c>
      <c r="F1264" s="32"/>
      <c r="G1264" s="35" t="n">
        <f aca="false">IF(A1264="","",A1264+7-WEEKDAY(A1264))</f>
        <v>46270</v>
      </c>
      <c r="H1264" s="36" t="n">
        <f aca="false">IF(A1264="","",DATE(YEAR(A1264),MONTH(A1264),1))</f>
        <v>46266</v>
      </c>
      <c r="I1264" s="37" t="str">
        <f aca="false">IF(B1264="","",IFERROR(INDEX(st_ID,MATCH(B1264,st_Name,0)),"Unknown"))</f>
        <v>QP-05</v>
      </c>
      <c r="J1264" s="37" t="str">
        <f aca="false">IF(C1264="","",IFERROR(INDEX(cl_Code,MATCH(C1264,cl_Name,0)),"Unknown"))</f>
        <v/>
      </c>
      <c r="K1264" s="37" t="str">
        <f aca="false">IF(D1264="","",IFERROR(INDEX(rt_Billable,MATCH(D1264,rt_Code,0)),"Unknown"))</f>
        <v>No</v>
      </c>
      <c r="L1264" s="38" t="str">
        <f aca="false">IF(K1264&lt;&gt;"Yes","",IFERROR(INDEX(cr_Rate,MATCH(J1264&amp;"|"&amp;D1264,cr_Key,0)),INDEX(rt_Rate,MATCH(D1264,rt_Code,0))))</f>
        <v/>
      </c>
      <c r="M1264" s="25" t="str">
        <f aca="false">IF(L1264="","",ROUND(N(E1264)*L1264,2))</f>
        <v/>
      </c>
      <c r="N1264" s="39" t="n">
        <f aca="false">IF(OR(A1264="",B1264=""),"",SUMIFS(tl_Hours,tl_StaffID,I1264,tl_Date,A1264))</f>
        <v>8</v>
      </c>
      <c r="O1264" s="40" t="str">
        <f aca="false">IF(A1264&amp;B1264&amp;D1264="","",IF(OR(A1264="",B1264="",D1264="",E1264=""),"Incomplete",IF(K1264="Unknown","Unknown code",IF(AND(K1264="Yes",C1264=""),"Billable, needs client",IF(N1264&gt;MaxDayHours,"Over "&amp;MaxDayHours&amp;" hours that day","")))))</f>
        <v/>
      </c>
    </row>
    <row r="1265" customFormat="false" ht="15" hidden="false" customHeight="false" outlineLevel="0" collapsed="false">
      <c r="A1265" s="31" t="n">
        <v>46269</v>
      </c>
      <c r="B1265" s="32" t="s">
        <v>105</v>
      </c>
      <c r="C1265" s="32" t="s">
        <v>87</v>
      </c>
      <c r="D1265" s="33" t="s">
        <v>88</v>
      </c>
      <c r="E1265" s="34" t="n">
        <v>1.5</v>
      </c>
      <c r="F1265" s="32"/>
      <c r="G1265" s="35" t="n">
        <f aca="false">IF(A1265="","",A1265+7-WEEKDAY(A1265))</f>
        <v>46270</v>
      </c>
      <c r="H1265" s="36" t="n">
        <f aca="false">IF(A1265="","",DATE(YEAR(A1265),MONTH(A1265),1))</f>
        <v>46266</v>
      </c>
      <c r="I1265" s="37" t="str">
        <f aca="false">IF(B1265="","",IFERROR(INDEX(st_ID,MATCH(B1265,st_Name,0)),"Unknown"))</f>
        <v>QP-06</v>
      </c>
      <c r="J1265" s="37" t="str">
        <f aca="false">IF(C1265="","",IFERROR(INDEX(cl_Code,MATCH(C1265,cl_Name,0)),"Unknown"))</f>
        <v>HCS</v>
      </c>
      <c r="K1265" s="37" t="str">
        <f aca="false">IF(D1265="","",IFERROR(INDEX(rt_Billable,MATCH(D1265,rt_Code,0)),"Unknown"))</f>
        <v>Yes</v>
      </c>
      <c r="L1265" s="38" t="n">
        <f aca="false">IF(K1265&lt;&gt;"Yes","",IFERROR(INDEX(cr_Rate,MATCH(J1265&amp;"|"&amp;D1265,cr_Key,0)),INDEX(rt_Rate,MATCH(D1265,rt_Code,0))))</f>
        <v>98</v>
      </c>
      <c r="M1265" s="25" t="n">
        <f aca="false">IF(L1265="","",ROUND(N(E1265)*L1265,2))</f>
        <v>147</v>
      </c>
      <c r="N1265" s="39" t="n">
        <f aca="false">IF(OR(A1265="",B1265=""),"",SUMIFS(tl_Hours,tl_StaffID,I1265,tl_Date,A1265))</f>
        <v>8</v>
      </c>
      <c r="O1265" s="40" t="str">
        <f aca="false">IF(A1265&amp;B1265&amp;D1265="","",IF(OR(A1265="",B1265="",D1265="",E1265=""),"Incomplete",IF(K1265="Unknown","Unknown code",IF(AND(K1265="Yes",C1265=""),"Billable, needs client",IF(N1265&gt;MaxDayHours,"Over "&amp;MaxDayHours&amp;" hours that day","")))))</f>
        <v/>
      </c>
    </row>
    <row r="1266" customFormat="false" ht="15" hidden="false" customHeight="false" outlineLevel="0" collapsed="false">
      <c r="A1266" s="31" t="n">
        <v>46269</v>
      </c>
      <c r="B1266" s="32" t="s">
        <v>105</v>
      </c>
      <c r="C1266" s="32" t="s">
        <v>87</v>
      </c>
      <c r="D1266" s="33" t="s">
        <v>89</v>
      </c>
      <c r="E1266" s="34" t="n">
        <v>1.25</v>
      </c>
      <c r="F1266" s="32"/>
      <c r="G1266" s="35" t="n">
        <f aca="false">IF(A1266="","",A1266+7-WEEKDAY(A1266))</f>
        <v>46270</v>
      </c>
      <c r="H1266" s="36" t="n">
        <f aca="false">IF(A1266="","",DATE(YEAR(A1266),MONTH(A1266),1))</f>
        <v>46266</v>
      </c>
      <c r="I1266" s="37" t="str">
        <f aca="false">IF(B1266="","",IFERROR(INDEX(st_ID,MATCH(B1266,st_Name,0)),"Unknown"))</f>
        <v>QP-06</v>
      </c>
      <c r="J1266" s="37" t="str">
        <f aca="false">IF(C1266="","",IFERROR(INDEX(cl_Code,MATCH(C1266,cl_Name,0)),"Unknown"))</f>
        <v>HCS</v>
      </c>
      <c r="K1266" s="37" t="str">
        <f aca="false">IF(D1266="","",IFERROR(INDEX(rt_Billable,MATCH(D1266,rt_Code,0)),"Unknown"))</f>
        <v>Yes</v>
      </c>
      <c r="L1266" s="38" t="n">
        <f aca="false">IF(K1266&lt;&gt;"Yes","",IFERROR(INDEX(cr_Rate,MATCH(J1266&amp;"|"&amp;D1266,cr_Key,0)),INDEX(rt_Rate,MATCH(D1266,rt_Code,0))))</f>
        <v>88</v>
      </c>
      <c r="M1266" s="25" t="n">
        <f aca="false">IF(L1266="","",ROUND(N(E1266)*L1266,2))</f>
        <v>110</v>
      </c>
      <c r="N1266" s="39" t="n">
        <f aca="false">IF(OR(A1266="",B1266=""),"",SUMIFS(tl_Hours,tl_StaffID,I1266,tl_Date,A1266))</f>
        <v>8</v>
      </c>
      <c r="O1266" s="40" t="str">
        <f aca="false">IF(A1266&amp;B1266&amp;D1266="","",IF(OR(A1266="",B1266="",D1266="",E1266=""),"Incomplete",IF(K1266="Unknown","Unknown code",IF(AND(K1266="Yes",C1266=""),"Billable, needs client",IF(N1266&gt;MaxDayHours,"Over "&amp;MaxDayHours&amp;" hours that day","")))))</f>
        <v/>
      </c>
    </row>
    <row r="1267" customFormat="false" ht="15" hidden="false" customHeight="false" outlineLevel="0" collapsed="false">
      <c r="A1267" s="31" t="n">
        <v>46269</v>
      </c>
      <c r="B1267" s="32" t="s">
        <v>105</v>
      </c>
      <c r="C1267" s="32" t="s">
        <v>90</v>
      </c>
      <c r="D1267" s="33" t="s">
        <v>88</v>
      </c>
      <c r="E1267" s="34" t="n">
        <v>1.75</v>
      </c>
      <c r="F1267" s="32"/>
      <c r="G1267" s="35" t="n">
        <f aca="false">IF(A1267="","",A1267+7-WEEKDAY(A1267))</f>
        <v>46270</v>
      </c>
      <c r="H1267" s="36" t="n">
        <f aca="false">IF(A1267="","",DATE(YEAR(A1267),MONTH(A1267),1))</f>
        <v>46266</v>
      </c>
      <c r="I1267" s="37" t="str">
        <f aca="false">IF(B1267="","",IFERROR(INDEX(st_ID,MATCH(B1267,st_Name,0)),"Unknown"))</f>
        <v>QP-06</v>
      </c>
      <c r="J1267" s="37" t="str">
        <f aca="false">IF(C1267="","",IFERROR(INDEX(cl_Code,MATCH(C1267,cl_Name,0)),"Unknown"))</f>
        <v>BSE</v>
      </c>
      <c r="K1267" s="37" t="str">
        <f aca="false">IF(D1267="","",IFERROR(INDEX(rt_Billable,MATCH(D1267,rt_Code,0)),"Unknown"))</f>
        <v>Yes</v>
      </c>
      <c r="L1267" s="38" t="n">
        <f aca="false">IF(K1267&lt;&gt;"Yes","",IFERROR(INDEX(cr_Rate,MATCH(J1267&amp;"|"&amp;D1267,cr_Key,0)),INDEX(rt_Rate,MATCH(D1267,rt_Code,0))))</f>
        <v>104</v>
      </c>
      <c r="M1267" s="25" t="n">
        <f aca="false">IF(L1267="","",ROUND(N(E1267)*L1267,2))</f>
        <v>182</v>
      </c>
      <c r="N1267" s="39" t="n">
        <f aca="false">IF(OR(A1267="",B1267=""),"",SUMIFS(tl_Hours,tl_StaffID,I1267,tl_Date,A1267))</f>
        <v>8</v>
      </c>
      <c r="O1267" s="40" t="str">
        <f aca="false">IF(A1267&amp;B1267&amp;D1267="","",IF(OR(A1267="",B1267="",D1267="",E1267=""),"Incomplete",IF(K1267="Unknown","Unknown code",IF(AND(K1267="Yes",C1267=""),"Billable, needs client",IF(N1267&gt;MaxDayHours,"Over "&amp;MaxDayHours&amp;" hours that day","")))))</f>
        <v/>
      </c>
    </row>
    <row r="1268" customFormat="false" ht="15" hidden="false" customHeight="false" outlineLevel="0" collapsed="false">
      <c r="A1268" s="31" t="n">
        <v>46269</v>
      </c>
      <c r="B1268" s="32" t="s">
        <v>105</v>
      </c>
      <c r="C1268" s="32" t="s">
        <v>90</v>
      </c>
      <c r="D1268" s="33" t="s">
        <v>89</v>
      </c>
      <c r="E1268" s="34" t="n">
        <v>1</v>
      </c>
      <c r="F1268" s="32"/>
      <c r="G1268" s="35" t="n">
        <f aca="false">IF(A1268="","",A1268+7-WEEKDAY(A1268))</f>
        <v>46270</v>
      </c>
      <c r="H1268" s="36" t="n">
        <f aca="false">IF(A1268="","",DATE(YEAR(A1268),MONTH(A1268),1))</f>
        <v>46266</v>
      </c>
      <c r="I1268" s="37" t="str">
        <f aca="false">IF(B1268="","",IFERROR(INDEX(st_ID,MATCH(B1268,st_Name,0)),"Unknown"))</f>
        <v>QP-06</v>
      </c>
      <c r="J1268" s="37" t="str">
        <f aca="false">IF(C1268="","",IFERROR(INDEX(cl_Code,MATCH(C1268,cl_Name,0)),"Unknown"))</f>
        <v>BSE</v>
      </c>
      <c r="K1268" s="37" t="str">
        <f aca="false">IF(D1268="","",IFERROR(INDEX(rt_Billable,MATCH(D1268,rt_Code,0)),"Unknown"))</f>
        <v>Yes</v>
      </c>
      <c r="L1268" s="38" t="n">
        <f aca="false">IF(K1268&lt;&gt;"Yes","",IFERROR(INDEX(cr_Rate,MATCH(J1268&amp;"|"&amp;D1268,cr_Key,0)),INDEX(rt_Rate,MATCH(D1268,rt_Code,0))))</f>
        <v>95</v>
      </c>
      <c r="M1268" s="25" t="n">
        <f aca="false">IF(L1268="","",ROUND(N(E1268)*L1268,2))</f>
        <v>95</v>
      </c>
      <c r="N1268" s="39" t="n">
        <f aca="false">IF(OR(A1268="",B1268=""),"",SUMIFS(tl_Hours,tl_StaffID,I1268,tl_Date,A1268))</f>
        <v>8</v>
      </c>
      <c r="O1268" s="40" t="str">
        <f aca="false">IF(A1268&amp;B1268&amp;D1268="","",IF(OR(A1268="",B1268="",D1268="",E1268=""),"Incomplete",IF(K1268="Unknown","Unknown code",IF(AND(K1268="Yes",C1268=""),"Billable, needs client",IF(N1268&gt;MaxDayHours,"Over "&amp;MaxDayHours&amp;" hours that day","")))))</f>
        <v/>
      </c>
    </row>
    <row r="1269" customFormat="false" ht="15" hidden="false" customHeight="false" outlineLevel="0" collapsed="false">
      <c r="A1269" s="31" t="n">
        <v>46269</v>
      </c>
      <c r="B1269" s="32" t="s">
        <v>105</v>
      </c>
      <c r="C1269" s="32"/>
      <c r="D1269" s="33" t="s">
        <v>93</v>
      </c>
      <c r="E1269" s="34" t="n">
        <v>0.5</v>
      </c>
      <c r="F1269" s="32"/>
      <c r="G1269" s="35" t="n">
        <f aca="false">IF(A1269="","",A1269+7-WEEKDAY(A1269))</f>
        <v>46270</v>
      </c>
      <c r="H1269" s="36" t="n">
        <f aca="false">IF(A1269="","",DATE(YEAR(A1269),MONTH(A1269),1))</f>
        <v>46266</v>
      </c>
      <c r="I1269" s="37" t="str">
        <f aca="false">IF(B1269="","",IFERROR(INDEX(st_ID,MATCH(B1269,st_Name,0)),"Unknown"))</f>
        <v>QP-06</v>
      </c>
      <c r="J1269" s="37" t="str">
        <f aca="false">IF(C1269="","",IFERROR(INDEX(cl_Code,MATCH(C1269,cl_Name,0)),"Unknown"))</f>
        <v/>
      </c>
      <c r="K1269" s="37" t="str">
        <f aca="false">IF(D1269="","",IFERROR(INDEX(rt_Billable,MATCH(D1269,rt_Code,0)),"Unknown"))</f>
        <v>No</v>
      </c>
      <c r="L1269" s="38" t="str">
        <f aca="false">IF(K1269&lt;&gt;"Yes","",IFERROR(INDEX(cr_Rate,MATCH(J1269&amp;"|"&amp;D1269,cr_Key,0)),INDEX(rt_Rate,MATCH(D1269,rt_Code,0))))</f>
        <v/>
      </c>
      <c r="M1269" s="25" t="str">
        <f aca="false">IF(L1269="","",ROUND(N(E1269)*L1269,2))</f>
        <v/>
      </c>
      <c r="N1269" s="39" t="n">
        <f aca="false">IF(OR(A1269="",B1269=""),"",SUMIFS(tl_Hours,tl_StaffID,I1269,tl_Date,A1269))</f>
        <v>8</v>
      </c>
      <c r="O1269" s="40" t="str">
        <f aca="false">IF(A1269&amp;B1269&amp;D1269="","",IF(OR(A1269="",B1269="",D1269="",E1269=""),"Incomplete",IF(K1269="Unknown","Unknown code",IF(AND(K1269="Yes",C1269=""),"Billable, needs client",IF(N1269&gt;MaxDayHours,"Over "&amp;MaxDayHours&amp;" hours that day","")))))</f>
        <v/>
      </c>
    </row>
    <row r="1270" customFormat="false" ht="15" hidden="false" customHeight="false" outlineLevel="0" collapsed="false">
      <c r="A1270" s="31" t="n">
        <v>46269</v>
      </c>
      <c r="B1270" s="32" t="s">
        <v>105</v>
      </c>
      <c r="C1270" s="32"/>
      <c r="D1270" s="33" t="s">
        <v>96</v>
      </c>
      <c r="E1270" s="34" t="n">
        <v>2</v>
      </c>
      <c r="F1270" s="32"/>
      <c r="G1270" s="35" t="n">
        <f aca="false">IF(A1270="","",A1270+7-WEEKDAY(A1270))</f>
        <v>46270</v>
      </c>
      <c r="H1270" s="36" t="n">
        <f aca="false">IF(A1270="","",DATE(YEAR(A1270),MONTH(A1270),1))</f>
        <v>46266</v>
      </c>
      <c r="I1270" s="37" t="str">
        <f aca="false">IF(B1270="","",IFERROR(INDEX(st_ID,MATCH(B1270,st_Name,0)),"Unknown"))</f>
        <v>QP-06</v>
      </c>
      <c r="J1270" s="37" t="str">
        <f aca="false">IF(C1270="","",IFERROR(INDEX(cl_Code,MATCH(C1270,cl_Name,0)),"Unknown"))</f>
        <v/>
      </c>
      <c r="K1270" s="37" t="str">
        <f aca="false">IF(D1270="","",IFERROR(INDEX(rt_Billable,MATCH(D1270,rt_Code,0)),"Unknown"))</f>
        <v>No</v>
      </c>
      <c r="L1270" s="38" t="str">
        <f aca="false">IF(K1270&lt;&gt;"Yes","",IFERROR(INDEX(cr_Rate,MATCH(J1270&amp;"|"&amp;D1270,cr_Key,0)),INDEX(rt_Rate,MATCH(D1270,rt_Code,0))))</f>
        <v/>
      </c>
      <c r="M1270" s="25" t="str">
        <f aca="false">IF(L1270="","",ROUND(N(E1270)*L1270,2))</f>
        <v/>
      </c>
      <c r="N1270" s="39" t="n">
        <f aca="false">IF(OR(A1270="",B1270=""),"",SUMIFS(tl_Hours,tl_StaffID,I1270,tl_Date,A1270))</f>
        <v>8</v>
      </c>
      <c r="O1270" s="40" t="str">
        <f aca="false">IF(A1270&amp;B1270&amp;D1270="","",IF(OR(A1270="",B1270="",D1270="",E1270=""),"Incomplete",IF(K1270="Unknown","Unknown code",IF(AND(K1270="Yes",C1270=""),"Billable, needs client",IF(N1270&gt;MaxDayHours,"Over "&amp;MaxDayHours&amp;" hours that day","")))))</f>
        <v/>
      </c>
    </row>
    <row r="1271" customFormat="false" ht="15" hidden="false" customHeight="false" outlineLevel="0" collapsed="false">
      <c r="A1271" s="31" t="n">
        <v>46269</v>
      </c>
      <c r="B1271" s="32" t="s">
        <v>106</v>
      </c>
      <c r="C1271" s="32" t="s">
        <v>112</v>
      </c>
      <c r="D1271" s="33" t="s">
        <v>88</v>
      </c>
      <c r="E1271" s="34" t="n">
        <v>4.75</v>
      </c>
      <c r="F1271" s="32"/>
      <c r="G1271" s="35" t="n">
        <f aca="false">IF(A1271="","",A1271+7-WEEKDAY(A1271))</f>
        <v>46270</v>
      </c>
      <c r="H1271" s="36" t="n">
        <f aca="false">IF(A1271="","",DATE(YEAR(A1271),MONTH(A1271),1))</f>
        <v>46266</v>
      </c>
      <c r="I1271" s="37" t="str">
        <f aca="false">IF(B1271="","",IFERROR(INDEX(st_ID,MATCH(B1271,st_Name,0)),"Unknown"))</f>
        <v>QP-07</v>
      </c>
      <c r="J1271" s="37" t="str">
        <f aca="false">IF(C1271="","",IFERROR(INDEX(cl_Code,MATCH(C1271,cl_Name,0)),"Unknown"))</f>
        <v>PCA</v>
      </c>
      <c r="K1271" s="37" t="str">
        <f aca="false">IF(D1271="","",IFERROR(INDEX(rt_Billable,MATCH(D1271,rt_Code,0)),"Unknown"))</f>
        <v>Yes</v>
      </c>
      <c r="L1271" s="38" t="n">
        <f aca="false">IF(K1271&lt;&gt;"Yes","",IFERROR(INDEX(cr_Rate,MATCH(J1271&amp;"|"&amp;D1271,cr_Key,0)),INDEX(rt_Rate,MATCH(D1271,rt_Code,0))))</f>
        <v>110</v>
      </c>
      <c r="M1271" s="25" t="n">
        <f aca="false">IF(L1271="","",ROUND(N(E1271)*L1271,2))</f>
        <v>522.5</v>
      </c>
      <c r="N1271" s="39" t="n">
        <f aca="false">IF(OR(A1271="",B1271=""),"",SUMIFS(tl_Hours,tl_StaffID,I1271,tl_Date,A1271))</f>
        <v>8</v>
      </c>
      <c r="O1271" s="40" t="str">
        <f aca="false">IF(A1271&amp;B1271&amp;D1271="","",IF(OR(A1271="",B1271="",D1271="",E1271=""),"Incomplete",IF(K1271="Unknown","Unknown code",IF(AND(K1271="Yes",C1271=""),"Billable, needs client",IF(N1271&gt;MaxDayHours,"Over "&amp;MaxDayHours&amp;" hours that day","")))))</f>
        <v/>
      </c>
    </row>
    <row r="1272" customFormat="false" ht="15" hidden="false" customHeight="false" outlineLevel="0" collapsed="false">
      <c r="A1272" s="31" t="n">
        <v>46269</v>
      </c>
      <c r="B1272" s="32" t="s">
        <v>106</v>
      </c>
      <c r="C1272" s="32" t="s">
        <v>112</v>
      </c>
      <c r="D1272" s="33" t="s">
        <v>104</v>
      </c>
      <c r="E1272" s="34" t="n">
        <v>1.75</v>
      </c>
      <c r="F1272" s="32"/>
      <c r="G1272" s="35" t="n">
        <f aca="false">IF(A1272="","",A1272+7-WEEKDAY(A1272))</f>
        <v>46270</v>
      </c>
      <c r="H1272" s="36" t="n">
        <f aca="false">IF(A1272="","",DATE(YEAR(A1272),MONTH(A1272),1))</f>
        <v>46266</v>
      </c>
      <c r="I1272" s="37" t="str">
        <f aca="false">IF(B1272="","",IFERROR(INDEX(st_ID,MATCH(B1272,st_Name,0)),"Unknown"))</f>
        <v>QP-07</v>
      </c>
      <c r="J1272" s="37" t="str">
        <f aca="false">IF(C1272="","",IFERROR(INDEX(cl_Code,MATCH(C1272,cl_Name,0)),"Unknown"))</f>
        <v>PCA</v>
      </c>
      <c r="K1272" s="37" t="str">
        <f aca="false">IF(D1272="","",IFERROR(INDEX(rt_Billable,MATCH(D1272,rt_Code,0)),"Unknown"))</f>
        <v>Yes</v>
      </c>
      <c r="L1272" s="38" t="n">
        <f aca="false">IF(K1272&lt;&gt;"Yes","",IFERROR(INDEX(cr_Rate,MATCH(J1272&amp;"|"&amp;D1272,cr_Key,0)),INDEX(rt_Rate,MATCH(D1272,rt_Code,0))))</f>
        <v>70</v>
      </c>
      <c r="M1272" s="25" t="n">
        <f aca="false">IF(L1272="","",ROUND(N(E1272)*L1272,2))</f>
        <v>122.5</v>
      </c>
      <c r="N1272" s="39" t="n">
        <f aca="false">IF(OR(A1272="",B1272=""),"",SUMIFS(tl_Hours,tl_StaffID,I1272,tl_Date,A1272))</f>
        <v>8</v>
      </c>
      <c r="O1272" s="40" t="str">
        <f aca="false">IF(A1272&amp;B1272&amp;D1272="","",IF(OR(A1272="",B1272="",D1272="",E1272=""),"Incomplete",IF(K1272="Unknown","Unknown code",IF(AND(K1272="Yes",C1272=""),"Billable, needs client",IF(N1272&gt;MaxDayHours,"Over "&amp;MaxDayHours&amp;" hours that day","")))))</f>
        <v/>
      </c>
    </row>
    <row r="1273" customFormat="false" ht="15" hidden="false" customHeight="false" outlineLevel="0" collapsed="false">
      <c r="A1273" s="31" t="n">
        <v>46269</v>
      </c>
      <c r="B1273" s="32" t="s">
        <v>106</v>
      </c>
      <c r="C1273" s="32"/>
      <c r="D1273" s="33" t="s">
        <v>96</v>
      </c>
      <c r="E1273" s="34" t="n">
        <v>1.5</v>
      </c>
      <c r="F1273" s="32"/>
      <c r="G1273" s="35" t="n">
        <f aca="false">IF(A1273="","",A1273+7-WEEKDAY(A1273))</f>
        <v>46270</v>
      </c>
      <c r="H1273" s="36" t="n">
        <f aca="false">IF(A1273="","",DATE(YEAR(A1273),MONTH(A1273),1))</f>
        <v>46266</v>
      </c>
      <c r="I1273" s="37" t="str">
        <f aca="false">IF(B1273="","",IFERROR(INDEX(st_ID,MATCH(B1273,st_Name,0)),"Unknown"))</f>
        <v>QP-07</v>
      </c>
      <c r="J1273" s="37" t="str">
        <f aca="false">IF(C1273="","",IFERROR(INDEX(cl_Code,MATCH(C1273,cl_Name,0)),"Unknown"))</f>
        <v/>
      </c>
      <c r="K1273" s="37" t="str">
        <f aca="false">IF(D1273="","",IFERROR(INDEX(rt_Billable,MATCH(D1273,rt_Code,0)),"Unknown"))</f>
        <v>No</v>
      </c>
      <c r="L1273" s="38" t="str">
        <f aca="false">IF(K1273&lt;&gt;"Yes","",IFERROR(INDEX(cr_Rate,MATCH(J1273&amp;"|"&amp;D1273,cr_Key,0)),INDEX(rt_Rate,MATCH(D1273,rt_Code,0))))</f>
        <v/>
      </c>
      <c r="M1273" s="25" t="str">
        <f aca="false">IF(L1273="","",ROUND(N(E1273)*L1273,2))</f>
        <v/>
      </c>
      <c r="N1273" s="39" t="n">
        <f aca="false">IF(OR(A1273="",B1273=""),"",SUMIFS(tl_Hours,tl_StaffID,I1273,tl_Date,A1273))</f>
        <v>8</v>
      </c>
      <c r="O1273" s="40" t="str">
        <f aca="false">IF(A1273&amp;B1273&amp;D1273="","",IF(OR(A1273="",B1273="",D1273="",E1273=""),"Incomplete",IF(K1273="Unknown","Unknown code",IF(AND(K1273="Yes",C1273=""),"Billable, needs client",IF(N1273&gt;MaxDayHours,"Over "&amp;MaxDayHours&amp;" hours that day","")))))</f>
        <v/>
      </c>
    </row>
    <row r="1274" customFormat="false" ht="15" hidden="false" customHeight="false" outlineLevel="0" collapsed="false">
      <c r="A1274" s="31" t="n">
        <v>46269</v>
      </c>
      <c r="B1274" s="32" t="s">
        <v>107</v>
      </c>
      <c r="C1274" s="32"/>
      <c r="D1274" s="33" t="s">
        <v>108</v>
      </c>
      <c r="E1274" s="34" t="n">
        <v>6.5</v>
      </c>
      <c r="F1274" s="32"/>
      <c r="G1274" s="35" t="n">
        <f aca="false">IF(A1274="","",A1274+7-WEEKDAY(A1274))</f>
        <v>46270</v>
      </c>
      <c r="H1274" s="36" t="n">
        <f aca="false">IF(A1274="","",DATE(YEAR(A1274),MONTH(A1274),1))</f>
        <v>46266</v>
      </c>
      <c r="I1274" s="37" t="str">
        <f aca="false">IF(B1274="","",IFERROR(INDEX(st_ID,MATCH(B1274,st_Name,0)),"Unknown"))</f>
        <v>QP-08</v>
      </c>
      <c r="J1274" s="37" t="str">
        <f aca="false">IF(C1274="","",IFERROR(INDEX(cl_Code,MATCH(C1274,cl_Name,0)),"Unknown"))</f>
        <v/>
      </c>
      <c r="K1274" s="37" t="str">
        <f aca="false">IF(D1274="","",IFERROR(INDEX(rt_Billable,MATCH(D1274,rt_Code,0)),"Unknown"))</f>
        <v>No</v>
      </c>
      <c r="L1274" s="38" t="str">
        <f aca="false">IF(K1274&lt;&gt;"Yes","",IFERROR(INDEX(cr_Rate,MATCH(J1274&amp;"|"&amp;D1274,cr_Key,0)),INDEX(rt_Rate,MATCH(D1274,rt_Code,0))))</f>
        <v/>
      </c>
      <c r="M1274" s="25" t="str">
        <f aca="false">IF(L1274="","",ROUND(N(E1274)*L1274,2))</f>
        <v/>
      </c>
      <c r="N1274" s="39" t="n">
        <f aca="false">IF(OR(A1274="",B1274=""),"",SUMIFS(tl_Hours,tl_StaffID,I1274,tl_Date,A1274))</f>
        <v>8</v>
      </c>
      <c r="O1274" s="40" t="str">
        <f aca="false">IF(A1274&amp;B1274&amp;D1274="","",IF(OR(A1274="",B1274="",D1274="",E1274=""),"Incomplete",IF(K1274="Unknown","Unknown code",IF(AND(K1274="Yes",C1274=""),"Billable, needs client",IF(N1274&gt;MaxDayHours,"Over "&amp;MaxDayHours&amp;" hours that day","")))))</f>
        <v/>
      </c>
    </row>
    <row r="1275" customFormat="false" ht="15" hidden="false" customHeight="false" outlineLevel="0" collapsed="false">
      <c r="A1275" s="31" t="n">
        <v>46269</v>
      </c>
      <c r="B1275" s="32" t="s">
        <v>107</v>
      </c>
      <c r="C1275" s="32"/>
      <c r="D1275" s="33" t="s">
        <v>98</v>
      </c>
      <c r="E1275" s="34" t="n">
        <v>1.5</v>
      </c>
      <c r="F1275" s="32"/>
      <c r="G1275" s="35" t="n">
        <f aca="false">IF(A1275="","",A1275+7-WEEKDAY(A1275))</f>
        <v>46270</v>
      </c>
      <c r="H1275" s="36" t="n">
        <f aca="false">IF(A1275="","",DATE(YEAR(A1275),MONTH(A1275),1))</f>
        <v>46266</v>
      </c>
      <c r="I1275" s="37" t="str">
        <f aca="false">IF(B1275="","",IFERROR(INDEX(st_ID,MATCH(B1275,st_Name,0)),"Unknown"))</f>
        <v>QP-08</v>
      </c>
      <c r="J1275" s="37" t="str">
        <f aca="false">IF(C1275="","",IFERROR(INDEX(cl_Code,MATCH(C1275,cl_Name,0)),"Unknown"))</f>
        <v/>
      </c>
      <c r="K1275" s="37" t="str">
        <f aca="false">IF(D1275="","",IFERROR(INDEX(rt_Billable,MATCH(D1275,rt_Code,0)),"Unknown"))</f>
        <v>No</v>
      </c>
      <c r="L1275" s="38" t="str">
        <f aca="false">IF(K1275&lt;&gt;"Yes","",IFERROR(INDEX(cr_Rate,MATCH(J1275&amp;"|"&amp;D1275,cr_Key,0)),INDEX(rt_Rate,MATCH(D1275,rt_Code,0))))</f>
        <v/>
      </c>
      <c r="M1275" s="25" t="str">
        <f aca="false">IF(L1275="","",ROUND(N(E1275)*L1275,2))</f>
        <v/>
      </c>
      <c r="N1275" s="39" t="n">
        <f aca="false">IF(OR(A1275="",B1275=""),"",SUMIFS(tl_Hours,tl_StaffID,I1275,tl_Date,A1275))</f>
        <v>8</v>
      </c>
      <c r="O1275" s="40" t="str">
        <f aca="false">IF(A1275&amp;B1275&amp;D1275="","",IF(OR(A1275="",B1275="",D1275="",E1275=""),"Incomplete",IF(K1275="Unknown","Unknown code",IF(AND(K1275="Yes",C1275=""),"Billable, needs client",IF(N1275&gt;MaxDayHours,"Over "&amp;MaxDayHours&amp;" hours that day","")))))</f>
        <v/>
      </c>
    </row>
    <row r="1276" customFormat="false" ht="15" hidden="false" customHeight="false" outlineLevel="0" collapsed="false">
      <c r="A1276" s="31" t="n">
        <v>46272</v>
      </c>
      <c r="B1276" s="32" t="s">
        <v>86</v>
      </c>
      <c r="C1276" s="32"/>
      <c r="D1276" s="33" t="s">
        <v>109</v>
      </c>
      <c r="E1276" s="34" t="n">
        <v>8</v>
      </c>
      <c r="F1276" s="32" t="s">
        <v>110</v>
      </c>
      <c r="G1276" s="35" t="n">
        <f aca="false">IF(A1276="","",A1276+7-WEEKDAY(A1276))</f>
        <v>46277</v>
      </c>
      <c r="H1276" s="36" t="n">
        <f aca="false">IF(A1276="","",DATE(YEAR(A1276),MONTH(A1276),1))</f>
        <v>46266</v>
      </c>
      <c r="I1276" s="37" t="str">
        <f aca="false">IF(B1276="","",IFERROR(INDEX(st_ID,MATCH(B1276,st_Name,0)),"Unknown"))</f>
        <v>QP-01</v>
      </c>
      <c r="J1276" s="37" t="str">
        <f aca="false">IF(C1276="","",IFERROR(INDEX(cl_Code,MATCH(C1276,cl_Name,0)),"Unknown"))</f>
        <v/>
      </c>
      <c r="K1276" s="37" t="str">
        <f aca="false">IF(D1276="","",IFERROR(INDEX(rt_Billable,MATCH(D1276,rt_Code,0)),"Unknown"))</f>
        <v>No</v>
      </c>
      <c r="L1276" s="38" t="str">
        <f aca="false">IF(K1276&lt;&gt;"Yes","",IFERROR(INDEX(cr_Rate,MATCH(J1276&amp;"|"&amp;D1276,cr_Key,0)),INDEX(rt_Rate,MATCH(D1276,rt_Code,0))))</f>
        <v/>
      </c>
      <c r="M1276" s="25" t="str">
        <f aca="false">IF(L1276="","",ROUND(N(E1276)*L1276,2))</f>
        <v/>
      </c>
      <c r="N1276" s="39" t="n">
        <f aca="false">IF(OR(A1276="",B1276=""),"",SUMIFS(tl_Hours,tl_StaffID,I1276,tl_Date,A1276))</f>
        <v>8</v>
      </c>
      <c r="O1276" s="40" t="str">
        <f aca="false">IF(A1276&amp;B1276&amp;D1276="","",IF(OR(A1276="",B1276="",D1276="",E1276=""),"Incomplete",IF(K1276="Unknown","Unknown code",IF(AND(K1276="Yes",C1276=""),"Billable, needs client",IF(N1276&gt;MaxDayHours,"Over "&amp;MaxDayHours&amp;" hours that day","")))))</f>
        <v/>
      </c>
    </row>
    <row r="1277" customFormat="false" ht="15" hidden="false" customHeight="false" outlineLevel="0" collapsed="false">
      <c r="A1277" s="31" t="n">
        <v>46272</v>
      </c>
      <c r="B1277" s="32" t="s">
        <v>97</v>
      </c>
      <c r="C1277" s="32"/>
      <c r="D1277" s="33" t="s">
        <v>109</v>
      </c>
      <c r="E1277" s="34" t="n">
        <v>8</v>
      </c>
      <c r="F1277" s="32" t="s">
        <v>110</v>
      </c>
      <c r="G1277" s="35" t="n">
        <f aca="false">IF(A1277="","",A1277+7-WEEKDAY(A1277))</f>
        <v>46277</v>
      </c>
      <c r="H1277" s="36" t="n">
        <f aca="false">IF(A1277="","",DATE(YEAR(A1277),MONTH(A1277),1))</f>
        <v>46266</v>
      </c>
      <c r="I1277" s="37" t="str">
        <f aca="false">IF(B1277="","",IFERROR(INDEX(st_ID,MATCH(B1277,st_Name,0)),"Unknown"))</f>
        <v>QP-02</v>
      </c>
      <c r="J1277" s="37" t="str">
        <f aca="false">IF(C1277="","",IFERROR(INDEX(cl_Code,MATCH(C1277,cl_Name,0)),"Unknown"))</f>
        <v/>
      </c>
      <c r="K1277" s="37" t="str">
        <f aca="false">IF(D1277="","",IFERROR(INDEX(rt_Billable,MATCH(D1277,rt_Code,0)),"Unknown"))</f>
        <v>No</v>
      </c>
      <c r="L1277" s="38" t="str">
        <f aca="false">IF(K1277&lt;&gt;"Yes","",IFERROR(INDEX(cr_Rate,MATCH(J1277&amp;"|"&amp;D1277,cr_Key,0)),INDEX(rt_Rate,MATCH(D1277,rt_Code,0))))</f>
        <v/>
      </c>
      <c r="M1277" s="25" t="str">
        <f aca="false">IF(L1277="","",ROUND(N(E1277)*L1277,2))</f>
        <v/>
      </c>
      <c r="N1277" s="39" t="n">
        <f aca="false">IF(OR(A1277="",B1277=""),"",SUMIFS(tl_Hours,tl_StaffID,I1277,tl_Date,A1277))</f>
        <v>8</v>
      </c>
      <c r="O1277" s="40" t="str">
        <f aca="false">IF(A1277&amp;B1277&amp;D1277="","",IF(OR(A1277="",B1277="",D1277="",E1277=""),"Incomplete",IF(K1277="Unknown","Unknown code",IF(AND(K1277="Yes",C1277=""),"Billable, needs client",IF(N1277&gt;MaxDayHours,"Over "&amp;MaxDayHours&amp;" hours that day","")))))</f>
        <v/>
      </c>
    </row>
    <row r="1278" customFormat="false" ht="15" hidden="false" customHeight="false" outlineLevel="0" collapsed="false">
      <c r="A1278" s="31" t="n">
        <v>46272</v>
      </c>
      <c r="B1278" s="32" t="s">
        <v>101</v>
      </c>
      <c r="C1278" s="32"/>
      <c r="D1278" s="33" t="s">
        <v>109</v>
      </c>
      <c r="E1278" s="34" t="n">
        <v>8</v>
      </c>
      <c r="F1278" s="32" t="s">
        <v>110</v>
      </c>
      <c r="G1278" s="35" t="n">
        <f aca="false">IF(A1278="","",A1278+7-WEEKDAY(A1278))</f>
        <v>46277</v>
      </c>
      <c r="H1278" s="36" t="n">
        <f aca="false">IF(A1278="","",DATE(YEAR(A1278),MONTH(A1278),1))</f>
        <v>46266</v>
      </c>
      <c r="I1278" s="37" t="str">
        <f aca="false">IF(B1278="","",IFERROR(INDEX(st_ID,MATCH(B1278,st_Name,0)),"Unknown"))</f>
        <v>QP-04</v>
      </c>
      <c r="J1278" s="37" t="str">
        <f aca="false">IF(C1278="","",IFERROR(INDEX(cl_Code,MATCH(C1278,cl_Name,0)),"Unknown"))</f>
        <v/>
      </c>
      <c r="K1278" s="37" t="str">
        <f aca="false">IF(D1278="","",IFERROR(INDEX(rt_Billable,MATCH(D1278,rt_Code,0)),"Unknown"))</f>
        <v>No</v>
      </c>
      <c r="L1278" s="38" t="str">
        <f aca="false">IF(K1278&lt;&gt;"Yes","",IFERROR(INDEX(cr_Rate,MATCH(J1278&amp;"|"&amp;D1278,cr_Key,0)),INDEX(rt_Rate,MATCH(D1278,rt_Code,0))))</f>
        <v/>
      </c>
      <c r="M1278" s="25" t="str">
        <f aca="false">IF(L1278="","",ROUND(N(E1278)*L1278,2))</f>
        <v/>
      </c>
      <c r="N1278" s="39" t="n">
        <f aca="false">IF(OR(A1278="",B1278=""),"",SUMIFS(tl_Hours,tl_StaffID,I1278,tl_Date,A1278))</f>
        <v>8</v>
      </c>
      <c r="O1278" s="40" t="str">
        <f aca="false">IF(A1278&amp;B1278&amp;D1278="","",IF(OR(A1278="",B1278="",D1278="",E1278=""),"Incomplete",IF(K1278="Unknown","Unknown code",IF(AND(K1278="Yes",C1278=""),"Billable, needs client",IF(N1278&gt;MaxDayHours,"Over "&amp;MaxDayHours&amp;" hours that day","")))))</f>
        <v/>
      </c>
    </row>
    <row r="1279" customFormat="false" ht="15" hidden="false" customHeight="false" outlineLevel="0" collapsed="false">
      <c r="A1279" s="31" t="n">
        <v>46272</v>
      </c>
      <c r="B1279" s="32" t="s">
        <v>103</v>
      </c>
      <c r="C1279" s="32"/>
      <c r="D1279" s="33" t="s">
        <v>109</v>
      </c>
      <c r="E1279" s="34" t="n">
        <v>8</v>
      </c>
      <c r="F1279" s="32" t="s">
        <v>110</v>
      </c>
      <c r="G1279" s="35" t="n">
        <f aca="false">IF(A1279="","",A1279+7-WEEKDAY(A1279))</f>
        <v>46277</v>
      </c>
      <c r="H1279" s="36" t="n">
        <f aca="false">IF(A1279="","",DATE(YEAR(A1279),MONTH(A1279),1))</f>
        <v>46266</v>
      </c>
      <c r="I1279" s="37" t="str">
        <f aca="false">IF(B1279="","",IFERROR(INDEX(st_ID,MATCH(B1279,st_Name,0)),"Unknown"))</f>
        <v>QP-05</v>
      </c>
      <c r="J1279" s="37" t="str">
        <f aca="false">IF(C1279="","",IFERROR(INDEX(cl_Code,MATCH(C1279,cl_Name,0)),"Unknown"))</f>
        <v/>
      </c>
      <c r="K1279" s="37" t="str">
        <f aca="false">IF(D1279="","",IFERROR(INDEX(rt_Billable,MATCH(D1279,rt_Code,0)),"Unknown"))</f>
        <v>No</v>
      </c>
      <c r="L1279" s="38" t="str">
        <f aca="false">IF(K1279&lt;&gt;"Yes","",IFERROR(INDEX(cr_Rate,MATCH(J1279&amp;"|"&amp;D1279,cr_Key,0)),INDEX(rt_Rate,MATCH(D1279,rt_Code,0))))</f>
        <v/>
      </c>
      <c r="M1279" s="25" t="str">
        <f aca="false">IF(L1279="","",ROUND(N(E1279)*L1279,2))</f>
        <v/>
      </c>
      <c r="N1279" s="39" t="n">
        <f aca="false">IF(OR(A1279="",B1279=""),"",SUMIFS(tl_Hours,tl_StaffID,I1279,tl_Date,A1279))</f>
        <v>8</v>
      </c>
      <c r="O1279" s="40" t="str">
        <f aca="false">IF(A1279&amp;B1279&amp;D1279="","",IF(OR(A1279="",B1279="",D1279="",E1279=""),"Incomplete",IF(K1279="Unknown","Unknown code",IF(AND(K1279="Yes",C1279=""),"Billable, needs client",IF(N1279&gt;MaxDayHours,"Over "&amp;MaxDayHours&amp;" hours that day","")))))</f>
        <v/>
      </c>
    </row>
    <row r="1280" customFormat="false" ht="15" hidden="false" customHeight="false" outlineLevel="0" collapsed="false">
      <c r="A1280" s="31" t="n">
        <v>46272</v>
      </c>
      <c r="B1280" s="32" t="s">
        <v>105</v>
      </c>
      <c r="C1280" s="32"/>
      <c r="D1280" s="33" t="s">
        <v>109</v>
      </c>
      <c r="E1280" s="34" t="n">
        <v>8</v>
      </c>
      <c r="F1280" s="32" t="s">
        <v>110</v>
      </c>
      <c r="G1280" s="35" t="n">
        <f aca="false">IF(A1280="","",A1280+7-WEEKDAY(A1280))</f>
        <v>46277</v>
      </c>
      <c r="H1280" s="36" t="n">
        <f aca="false">IF(A1280="","",DATE(YEAR(A1280),MONTH(A1280),1))</f>
        <v>46266</v>
      </c>
      <c r="I1280" s="37" t="str">
        <f aca="false">IF(B1280="","",IFERROR(INDEX(st_ID,MATCH(B1280,st_Name,0)),"Unknown"))</f>
        <v>QP-06</v>
      </c>
      <c r="J1280" s="37" t="str">
        <f aca="false">IF(C1280="","",IFERROR(INDEX(cl_Code,MATCH(C1280,cl_Name,0)),"Unknown"))</f>
        <v/>
      </c>
      <c r="K1280" s="37" t="str">
        <f aca="false">IF(D1280="","",IFERROR(INDEX(rt_Billable,MATCH(D1280,rt_Code,0)),"Unknown"))</f>
        <v>No</v>
      </c>
      <c r="L1280" s="38" t="str">
        <f aca="false">IF(K1280&lt;&gt;"Yes","",IFERROR(INDEX(cr_Rate,MATCH(J1280&amp;"|"&amp;D1280,cr_Key,0)),INDEX(rt_Rate,MATCH(D1280,rt_Code,0))))</f>
        <v/>
      </c>
      <c r="M1280" s="25" t="str">
        <f aca="false">IF(L1280="","",ROUND(N(E1280)*L1280,2))</f>
        <v/>
      </c>
      <c r="N1280" s="39" t="n">
        <f aca="false">IF(OR(A1280="",B1280=""),"",SUMIFS(tl_Hours,tl_StaffID,I1280,tl_Date,A1280))</f>
        <v>8</v>
      </c>
      <c r="O1280" s="40" t="str">
        <f aca="false">IF(A1280&amp;B1280&amp;D1280="","",IF(OR(A1280="",B1280="",D1280="",E1280=""),"Incomplete",IF(K1280="Unknown","Unknown code",IF(AND(K1280="Yes",C1280=""),"Billable, needs client",IF(N1280&gt;MaxDayHours,"Over "&amp;MaxDayHours&amp;" hours that day","")))))</f>
        <v/>
      </c>
    </row>
    <row r="1281" customFormat="false" ht="15" hidden="false" customHeight="false" outlineLevel="0" collapsed="false">
      <c r="A1281" s="31" t="n">
        <v>46272</v>
      </c>
      <c r="B1281" s="32" t="s">
        <v>106</v>
      </c>
      <c r="C1281" s="32"/>
      <c r="D1281" s="33" t="s">
        <v>109</v>
      </c>
      <c r="E1281" s="34" t="n">
        <v>8</v>
      </c>
      <c r="F1281" s="32" t="s">
        <v>110</v>
      </c>
      <c r="G1281" s="35" t="n">
        <f aca="false">IF(A1281="","",A1281+7-WEEKDAY(A1281))</f>
        <v>46277</v>
      </c>
      <c r="H1281" s="36" t="n">
        <f aca="false">IF(A1281="","",DATE(YEAR(A1281),MONTH(A1281),1))</f>
        <v>46266</v>
      </c>
      <c r="I1281" s="37" t="str">
        <f aca="false">IF(B1281="","",IFERROR(INDEX(st_ID,MATCH(B1281,st_Name,0)),"Unknown"))</f>
        <v>QP-07</v>
      </c>
      <c r="J1281" s="37" t="str">
        <f aca="false">IF(C1281="","",IFERROR(INDEX(cl_Code,MATCH(C1281,cl_Name,0)),"Unknown"))</f>
        <v/>
      </c>
      <c r="K1281" s="37" t="str">
        <f aca="false">IF(D1281="","",IFERROR(INDEX(rt_Billable,MATCH(D1281,rt_Code,0)),"Unknown"))</f>
        <v>No</v>
      </c>
      <c r="L1281" s="38" t="str">
        <f aca="false">IF(K1281&lt;&gt;"Yes","",IFERROR(INDEX(cr_Rate,MATCH(J1281&amp;"|"&amp;D1281,cr_Key,0)),INDEX(rt_Rate,MATCH(D1281,rt_Code,0))))</f>
        <v/>
      </c>
      <c r="M1281" s="25" t="str">
        <f aca="false">IF(L1281="","",ROUND(N(E1281)*L1281,2))</f>
        <v/>
      </c>
      <c r="N1281" s="39" t="n">
        <f aca="false">IF(OR(A1281="",B1281=""),"",SUMIFS(tl_Hours,tl_StaffID,I1281,tl_Date,A1281))</f>
        <v>8</v>
      </c>
      <c r="O1281" s="40" t="str">
        <f aca="false">IF(A1281&amp;B1281&amp;D1281="","",IF(OR(A1281="",B1281="",D1281="",E1281=""),"Incomplete",IF(K1281="Unknown","Unknown code",IF(AND(K1281="Yes",C1281=""),"Billable, needs client",IF(N1281&gt;MaxDayHours,"Over "&amp;MaxDayHours&amp;" hours that day","")))))</f>
        <v/>
      </c>
    </row>
    <row r="1282" customFormat="false" ht="15" hidden="false" customHeight="false" outlineLevel="0" collapsed="false">
      <c r="A1282" s="31" t="n">
        <v>46272</v>
      </c>
      <c r="B1282" s="32" t="s">
        <v>107</v>
      </c>
      <c r="C1282" s="32"/>
      <c r="D1282" s="33" t="s">
        <v>109</v>
      </c>
      <c r="E1282" s="34" t="n">
        <v>8</v>
      </c>
      <c r="F1282" s="32" t="s">
        <v>110</v>
      </c>
      <c r="G1282" s="35" t="n">
        <f aca="false">IF(A1282="","",A1282+7-WEEKDAY(A1282))</f>
        <v>46277</v>
      </c>
      <c r="H1282" s="36" t="n">
        <f aca="false">IF(A1282="","",DATE(YEAR(A1282),MONTH(A1282),1))</f>
        <v>46266</v>
      </c>
      <c r="I1282" s="37" t="str">
        <f aca="false">IF(B1282="","",IFERROR(INDEX(st_ID,MATCH(B1282,st_Name,0)),"Unknown"))</f>
        <v>QP-08</v>
      </c>
      <c r="J1282" s="37" t="str">
        <f aca="false">IF(C1282="","",IFERROR(INDEX(cl_Code,MATCH(C1282,cl_Name,0)),"Unknown"))</f>
        <v/>
      </c>
      <c r="K1282" s="37" t="str">
        <f aca="false">IF(D1282="","",IFERROR(INDEX(rt_Billable,MATCH(D1282,rt_Code,0)),"Unknown"))</f>
        <v>No</v>
      </c>
      <c r="L1282" s="38" t="str">
        <f aca="false">IF(K1282&lt;&gt;"Yes","",IFERROR(INDEX(cr_Rate,MATCH(J1282&amp;"|"&amp;D1282,cr_Key,0)),INDEX(rt_Rate,MATCH(D1282,rt_Code,0))))</f>
        <v/>
      </c>
      <c r="M1282" s="25" t="str">
        <f aca="false">IF(L1282="","",ROUND(N(E1282)*L1282,2))</f>
        <v/>
      </c>
      <c r="N1282" s="39" t="n">
        <f aca="false">IF(OR(A1282="",B1282=""),"",SUMIFS(tl_Hours,tl_StaffID,I1282,tl_Date,A1282))</f>
        <v>8</v>
      </c>
      <c r="O1282" s="40" t="str">
        <f aca="false">IF(A1282&amp;B1282&amp;D1282="","",IF(OR(A1282="",B1282="",D1282="",E1282=""),"Incomplete",IF(K1282="Unknown","Unknown code",IF(AND(K1282="Yes",C1282=""),"Billable, needs client",IF(N1282&gt;MaxDayHours,"Over "&amp;MaxDayHours&amp;" hours that day","")))))</f>
        <v/>
      </c>
    </row>
    <row r="1283" customFormat="false" ht="15" hidden="false" customHeight="false" outlineLevel="0" collapsed="false">
      <c r="A1283" s="31" t="n">
        <v>46273</v>
      </c>
      <c r="B1283" s="32" t="s">
        <v>86</v>
      </c>
      <c r="C1283" s="32" t="s">
        <v>87</v>
      </c>
      <c r="D1283" s="33" t="s">
        <v>104</v>
      </c>
      <c r="E1283" s="34" t="n">
        <v>4.5</v>
      </c>
      <c r="F1283" s="32"/>
      <c r="G1283" s="35" t="n">
        <f aca="false">IF(A1283="","",A1283+7-WEEKDAY(A1283))</f>
        <v>46277</v>
      </c>
      <c r="H1283" s="36" t="n">
        <f aca="false">IF(A1283="","",DATE(YEAR(A1283),MONTH(A1283),1))</f>
        <v>46266</v>
      </c>
      <c r="I1283" s="37" t="str">
        <f aca="false">IF(B1283="","",IFERROR(INDEX(st_ID,MATCH(B1283,st_Name,0)),"Unknown"))</f>
        <v>QP-01</v>
      </c>
      <c r="J1283" s="37" t="str">
        <f aca="false">IF(C1283="","",IFERROR(INDEX(cl_Code,MATCH(C1283,cl_Name,0)),"Unknown"))</f>
        <v>HCS</v>
      </c>
      <c r="K1283" s="37" t="str">
        <f aca="false">IF(D1283="","",IFERROR(INDEX(rt_Billable,MATCH(D1283,rt_Code,0)),"Unknown"))</f>
        <v>Yes</v>
      </c>
      <c r="L1283" s="38" t="n">
        <f aca="false">IF(K1283&lt;&gt;"Yes","",IFERROR(INDEX(cr_Rate,MATCH(J1283&amp;"|"&amp;D1283,cr_Key,0)),INDEX(rt_Rate,MATCH(D1283,rt_Code,0))))</f>
        <v>62</v>
      </c>
      <c r="M1283" s="25" t="n">
        <f aca="false">IF(L1283="","",ROUND(N(E1283)*L1283,2))</f>
        <v>279</v>
      </c>
      <c r="N1283" s="39" t="n">
        <f aca="false">IF(OR(A1283="",B1283=""),"",SUMIFS(tl_Hours,tl_StaffID,I1283,tl_Date,A1283))</f>
        <v>8</v>
      </c>
      <c r="O1283" s="40" t="str">
        <f aca="false">IF(A1283&amp;B1283&amp;D1283="","",IF(OR(A1283="",B1283="",D1283="",E1283=""),"Incomplete",IF(K1283="Unknown","Unknown code",IF(AND(K1283="Yes",C1283=""),"Billable, needs client",IF(N1283&gt;MaxDayHours,"Over "&amp;MaxDayHours&amp;" hours that day","")))))</f>
        <v/>
      </c>
    </row>
    <row r="1284" customFormat="false" ht="15" hidden="false" customHeight="false" outlineLevel="0" collapsed="false">
      <c r="A1284" s="31" t="n">
        <v>46273</v>
      </c>
      <c r="B1284" s="32" t="s">
        <v>86</v>
      </c>
      <c r="C1284" s="32" t="s">
        <v>87</v>
      </c>
      <c r="D1284" s="33" t="s">
        <v>88</v>
      </c>
      <c r="E1284" s="34" t="n">
        <v>1.25</v>
      </c>
      <c r="F1284" s="32"/>
      <c r="G1284" s="35" t="n">
        <f aca="false">IF(A1284="","",A1284+7-WEEKDAY(A1284))</f>
        <v>46277</v>
      </c>
      <c r="H1284" s="36" t="n">
        <f aca="false">IF(A1284="","",DATE(YEAR(A1284),MONTH(A1284),1))</f>
        <v>46266</v>
      </c>
      <c r="I1284" s="37" t="str">
        <f aca="false">IF(B1284="","",IFERROR(INDEX(st_ID,MATCH(B1284,st_Name,0)),"Unknown"))</f>
        <v>QP-01</v>
      </c>
      <c r="J1284" s="37" t="str">
        <f aca="false">IF(C1284="","",IFERROR(INDEX(cl_Code,MATCH(C1284,cl_Name,0)),"Unknown"))</f>
        <v>HCS</v>
      </c>
      <c r="K1284" s="37" t="str">
        <f aca="false">IF(D1284="","",IFERROR(INDEX(rt_Billable,MATCH(D1284,rt_Code,0)),"Unknown"))</f>
        <v>Yes</v>
      </c>
      <c r="L1284" s="38" t="n">
        <f aca="false">IF(K1284&lt;&gt;"Yes","",IFERROR(INDEX(cr_Rate,MATCH(J1284&amp;"|"&amp;D1284,cr_Key,0)),INDEX(rt_Rate,MATCH(D1284,rt_Code,0))))</f>
        <v>98</v>
      </c>
      <c r="M1284" s="25" t="n">
        <f aca="false">IF(L1284="","",ROUND(N(E1284)*L1284,2))</f>
        <v>122.5</v>
      </c>
      <c r="N1284" s="39" t="n">
        <f aca="false">IF(OR(A1284="",B1284=""),"",SUMIFS(tl_Hours,tl_StaffID,I1284,tl_Date,A1284))</f>
        <v>8</v>
      </c>
      <c r="O1284" s="40" t="str">
        <f aca="false">IF(A1284&amp;B1284&amp;D1284="","",IF(OR(A1284="",B1284="",D1284="",E1284=""),"Incomplete",IF(K1284="Unknown","Unknown code",IF(AND(K1284="Yes",C1284=""),"Billable, needs client",IF(N1284&gt;MaxDayHours,"Over "&amp;MaxDayHours&amp;" hours that day","")))))</f>
        <v/>
      </c>
    </row>
    <row r="1285" customFormat="false" ht="15" hidden="false" customHeight="false" outlineLevel="0" collapsed="false">
      <c r="A1285" s="31" t="n">
        <v>46273</v>
      </c>
      <c r="B1285" s="32" t="s">
        <v>86</v>
      </c>
      <c r="C1285" s="32"/>
      <c r="D1285" s="33" t="s">
        <v>96</v>
      </c>
      <c r="E1285" s="34" t="n">
        <v>2.25</v>
      </c>
      <c r="F1285" s="32"/>
      <c r="G1285" s="35" t="n">
        <f aca="false">IF(A1285="","",A1285+7-WEEKDAY(A1285))</f>
        <v>46277</v>
      </c>
      <c r="H1285" s="36" t="n">
        <f aca="false">IF(A1285="","",DATE(YEAR(A1285),MONTH(A1285),1))</f>
        <v>46266</v>
      </c>
      <c r="I1285" s="37" t="str">
        <f aca="false">IF(B1285="","",IFERROR(INDEX(st_ID,MATCH(B1285,st_Name,0)),"Unknown"))</f>
        <v>QP-01</v>
      </c>
      <c r="J1285" s="37" t="str">
        <f aca="false">IF(C1285="","",IFERROR(INDEX(cl_Code,MATCH(C1285,cl_Name,0)),"Unknown"))</f>
        <v/>
      </c>
      <c r="K1285" s="37" t="str">
        <f aca="false">IF(D1285="","",IFERROR(INDEX(rt_Billable,MATCH(D1285,rt_Code,0)),"Unknown"))</f>
        <v>No</v>
      </c>
      <c r="L1285" s="38" t="str">
        <f aca="false">IF(K1285&lt;&gt;"Yes","",IFERROR(INDEX(cr_Rate,MATCH(J1285&amp;"|"&amp;D1285,cr_Key,0)),INDEX(rt_Rate,MATCH(D1285,rt_Code,0))))</f>
        <v/>
      </c>
      <c r="M1285" s="25" t="str">
        <f aca="false">IF(L1285="","",ROUND(N(E1285)*L1285,2))</f>
        <v/>
      </c>
      <c r="N1285" s="39" t="n">
        <f aca="false">IF(OR(A1285="",B1285=""),"",SUMIFS(tl_Hours,tl_StaffID,I1285,tl_Date,A1285))</f>
        <v>8</v>
      </c>
      <c r="O1285" s="40" t="str">
        <f aca="false">IF(A1285&amp;B1285&amp;D1285="","",IF(OR(A1285="",B1285="",D1285="",E1285=""),"Incomplete",IF(K1285="Unknown","Unknown code",IF(AND(K1285="Yes",C1285=""),"Billable, needs client",IF(N1285&gt;MaxDayHours,"Over "&amp;MaxDayHours&amp;" hours that day","")))))</f>
        <v/>
      </c>
    </row>
    <row r="1286" customFormat="false" ht="15" hidden="false" customHeight="false" outlineLevel="0" collapsed="false">
      <c r="A1286" s="31" t="n">
        <v>46273</v>
      </c>
      <c r="B1286" s="32" t="s">
        <v>97</v>
      </c>
      <c r="C1286" s="32" t="s">
        <v>111</v>
      </c>
      <c r="D1286" s="33" t="s">
        <v>88</v>
      </c>
      <c r="E1286" s="34" t="n">
        <v>4.75</v>
      </c>
      <c r="F1286" s="32"/>
      <c r="G1286" s="35" t="n">
        <f aca="false">IF(A1286="","",A1286+7-WEEKDAY(A1286))</f>
        <v>46277</v>
      </c>
      <c r="H1286" s="36" t="n">
        <f aca="false">IF(A1286="","",DATE(YEAR(A1286),MONTH(A1286),1))</f>
        <v>46266</v>
      </c>
      <c r="I1286" s="37" t="str">
        <f aca="false">IF(B1286="","",IFERROR(INDEX(st_ID,MATCH(B1286,st_Name,0)),"Unknown"))</f>
        <v>QP-02</v>
      </c>
      <c r="J1286" s="37" t="str">
        <f aca="false">IF(C1286="","",IFERROR(INDEX(cl_Code,MATCH(C1286,cl_Name,0)),"Unknown"))</f>
        <v>WMS</v>
      </c>
      <c r="K1286" s="37" t="str">
        <f aca="false">IF(D1286="","",IFERROR(INDEX(rt_Billable,MATCH(D1286,rt_Code,0)),"Unknown"))</f>
        <v>Yes</v>
      </c>
      <c r="L1286" s="38" t="n">
        <f aca="false">IF(K1286&lt;&gt;"Yes","",IFERROR(INDEX(cr_Rate,MATCH(J1286&amp;"|"&amp;D1286,cr_Key,0)),INDEX(rt_Rate,MATCH(D1286,rt_Code,0))))</f>
        <v>110</v>
      </c>
      <c r="M1286" s="25" t="n">
        <f aca="false">IF(L1286="","",ROUND(N(E1286)*L1286,2))</f>
        <v>522.5</v>
      </c>
      <c r="N1286" s="39" t="n">
        <f aca="false">IF(OR(A1286="",B1286=""),"",SUMIFS(tl_Hours,tl_StaffID,I1286,tl_Date,A1286))</f>
        <v>8</v>
      </c>
      <c r="O1286" s="40" t="str">
        <f aca="false">IF(A1286&amp;B1286&amp;D1286="","",IF(OR(A1286="",B1286="",D1286="",E1286=""),"Incomplete",IF(K1286="Unknown","Unknown code",IF(AND(K1286="Yes",C1286=""),"Billable, needs client",IF(N1286&gt;MaxDayHours,"Over "&amp;MaxDayHours&amp;" hours that day","")))))</f>
        <v/>
      </c>
    </row>
    <row r="1287" customFormat="false" ht="15" hidden="false" customHeight="false" outlineLevel="0" collapsed="false">
      <c r="A1287" s="31" t="n">
        <v>46273</v>
      </c>
      <c r="B1287" s="32" t="s">
        <v>97</v>
      </c>
      <c r="C1287" s="32" t="s">
        <v>111</v>
      </c>
      <c r="D1287" s="33" t="s">
        <v>92</v>
      </c>
      <c r="E1287" s="34" t="n">
        <v>1.25</v>
      </c>
      <c r="F1287" s="32"/>
      <c r="G1287" s="35" t="n">
        <f aca="false">IF(A1287="","",A1287+7-WEEKDAY(A1287))</f>
        <v>46277</v>
      </c>
      <c r="H1287" s="36" t="n">
        <f aca="false">IF(A1287="","",DATE(YEAR(A1287),MONTH(A1287),1))</f>
        <v>46266</v>
      </c>
      <c r="I1287" s="37" t="str">
        <f aca="false">IF(B1287="","",IFERROR(INDEX(st_ID,MATCH(B1287,st_Name,0)),"Unknown"))</f>
        <v>QP-02</v>
      </c>
      <c r="J1287" s="37" t="str">
        <f aca="false">IF(C1287="","",IFERROR(INDEX(cl_Code,MATCH(C1287,cl_Name,0)),"Unknown"))</f>
        <v>WMS</v>
      </c>
      <c r="K1287" s="37" t="str">
        <f aca="false">IF(D1287="","",IFERROR(INDEX(rt_Billable,MATCH(D1287,rt_Code,0)),"Unknown"))</f>
        <v>Yes</v>
      </c>
      <c r="L1287" s="38" t="n">
        <f aca="false">IF(K1287&lt;&gt;"Yes","",IFERROR(INDEX(cr_Rate,MATCH(J1287&amp;"|"&amp;D1287,cr_Key,0)),INDEX(rt_Rate,MATCH(D1287,rt_Code,0))))</f>
        <v>150</v>
      </c>
      <c r="M1287" s="25" t="n">
        <f aca="false">IF(L1287="","",ROUND(N(E1287)*L1287,2))</f>
        <v>187.5</v>
      </c>
      <c r="N1287" s="39" t="n">
        <f aca="false">IF(OR(A1287="",B1287=""),"",SUMIFS(tl_Hours,tl_StaffID,I1287,tl_Date,A1287))</f>
        <v>8</v>
      </c>
      <c r="O1287" s="40" t="str">
        <f aca="false">IF(A1287&amp;B1287&amp;D1287="","",IF(OR(A1287="",B1287="",D1287="",E1287=""),"Incomplete",IF(K1287="Unknown","Unknown code",IF(AND(K1287="Yes",C1287=""),"Billable, needs client",IF(N1287&gt;MaxDayHours,"Over "&amp;MaxDayHours&amp;" hours that day","")))))</f>
        <v/>
      </c>
    </row>
    <row r="1288" customFormat="false" ht="15" hidden="false" customHeight="false" outlineLevel="0" collapsed="false">
      <c r="A1288" s="31" t="n">
        <v>46273</v>
      </c>
      <c r="B1288" s="32" t="s">
        <v>97</v>
      </c>
      <c r="C1288" s="32"/>
      <c r="D1288" s="33" t="s">
        <v>96</v>
      </c>
      <c r="E1288" s="34" t="n">
        <v>2</v>
      </c>
      <c r="F1288" s="32"/>
      <c r="G1288" s="35" t="n">
        <f aca="false">IF(A1288="","",A1288+7-WEEKDAY(A1288))</f>
        <v>46277</v>
      </c>
      <c r="H1288" s="36" t="n">
        <f aca="false">IF(A1288="","",DATE(YEAR(A1288),MONTH(A1288),1))</f>
        <v>46266</v>
      </c>
      <c r="I1288" s="37" t="str">
        <f aca="false">IF(B1288="","",IFERROR(INDEX(st_ID,MATCH(B1288,st_Name,0)),"Unknown"))</f>
        <v>QP-02</v>
      </c>
      <c r="J1288" s="37" t="str">
        <f aca="false">IF(C1288="","",IFERROR(INDEX(cl_Code,MATCH(C1288,cl_Name,0)),"Unknown"))</f>
        <v/>
      </c>
      <c r="K1288" s="37" t="str">
        <f aca="false">IF(D1288="","",IFERROR(INDEX(rt_Billable,MATCH(D1288,rt_Code,0)),"Unknown"))</f>
        <v>No</v>
      </c>
      <c r="L1288" s="38" t="str">
        <f aca="false">IF(K1288&lt;&gt;"Yes","",IFERROR(INDEX(cr_Rate,MATCH(J1288&amp;"|"&amp;D1288,cr_Key,0)),INDEX(rt_Rate,MATCH(D1288,rt_Code,0))))</f>
        <v/>
      </c>
      <c r="M1288" s="25" t="str">
        <f aca="false">IF(L1288="","",ROUND(N(E1288)*L1288,2))</f>
        <v/>
      </c>
      <c r="N1288" s="39" t="n">
        <f aca="false">IF(OR(A1288="",B1288=""),"",SUMIFS(tl_Hours,tl_StaffID,I1288,tl_Date,A1288))</f>
        <v>8</v>
      </c>
      <c r="O1288" s="40" t="str">
        <f aca="false">IF(A1288&amp;B1288&amp;D1288="","",IF(OR(A1288="",B1288="",D1288="",E1288=""),"Incomplete",IF(K1288="Unknown","Unknown code",IF(AND(K1288="Yes",C1288=""),"Billable, needs client",IF(N1288&gt;MaxDayHours,"Over "&amp;MaxDayHours&amp;" hours that day","")))))</f>
        <v/>
      </c>
    </row>
    <row r="1289" customFormat="false" ht="15" hidden="false" customHeight="false" outlineLevel="0" collapsed="false">
      <c r="A1289" s="31" t="n">
        <v>46273</v>
      </c>
      <c r="B1289" s="32" t="s">
        <v>100</v>
      </c>
      <c r="C1289" s="32" t="s">
        <v>90</v>
      </c>
      <c r="D1289" s="33" t="s">
        <v>91</v>
      </c>
      <c r="E1289" s="34" t="n">
        <v>3.25</v>
      </c>
      <c r="F1289" s="32"/>
      <c r="G1289" s="35" t="n">
        <f aca="false">IF(A1289="","",A1289+7-WEEKDAY(A1289))</f>
        <v>46277</v>
      </c>
      <c r="H1289" s="36" t="n">
        <f aca="false">IF(A1289="","",DATE(YEAR(A1289),MONTH(A1289),1))</f>
        <v>46266</v>
      </c>
      <c r="I1289" s="37" t="str">
        <f aca="false">IF(B1289="","",IFERROR(INDEX(st_ID,MATCH(B1289,st_Name,0)),"Unknown"))</f>
        <v>QP-03</v>
      </c>
      <c r="J1289" s="37" t="str">
        <f aca="false">IF(C1289="","",IFERROR(INDEX(cl_Code,MATCH(C1289,cl_Name,0)),"Unknown"))</f>
        <v>BSE</v>
      </c>
      <c r="K1289" s="37" t="str">
        <f aca="false">IF(D1289="","",IFERROR(INDEX(rt_Billable,MATCH(D1289,rt_Code,0)),"Unknown"))</f>
        <v>Yes</v>
      </c>
      <c r="L1289" s="38" t="n">
        <f aca="false">IF(K1289&lt;&gt;"Yes","",IFERROR(INDEX(cr_Rate,MATCH(J1289&amp;"|"&amp;D1289,cr_Key,0)),INDEX(rt_Rate,MATCH(D1289,rt_Code,0))))</f>
        <v>100</v>
      </c>
      <c r="M1289" s="25" t="n">
        <f aca="false">IF(L1289="","",ROUND(N(E1289)*L1289,2))</f>
        <v>325</v>
      </c>
      <c r="N1289" s="39" t="n">
        <f aca="false">IF(OR(A1289="",B1289=""),"",SUMIFS(tl_Hours,tl_StaffID,I1289,tl_Date,A1289))</f>
        <v>8</v>
      </c>
      <c r="O1289" s="40" t="str">
        <f aca="false">IF(A1289&amp;B1289&amp;D1289="","",IF(OR(A1289="",B1289="",D1289="",E1289=""),"Incomplete",IF(K1289="Unknown","Unknown code",IF(AND(K1289="Yes",C1289=""),"Billable, needs client",IF(N1289&gt;MaxDayHours,"Over "&amp;MaxDayHours&amp;" hours that day","")))))</f>
        <v/>
      </c>
    </row>
    <row r="1290" customFormat="false" ht="15" hidden="false" customHeight="false" outlineLevel="0" collapsed="false">
      <c r="A1290" s="31" t="n">
        <v>46273</v>
      </c>
      <c r="B1290" s="32" t="s">
        <v>100</v>
      </c>
      <c r="C1290" s="32" t="s">
        <v>90</v>
      </c>
      <c r="D1290" s="33" t="s">
        <v>92</v>
      </c>
      <c r="E1290" s="34" t="n">
        <v>2.5</v>
      </c>
      <c r="F1290" s="32"/>
      <c r="G1290" s="35" t="n">
        <f aca="false">IF(A1290="","",A1290+7-WEEKDAY(A1290))</f>
        <v>46277</v>
      </c>
      <c r="H1290" s="36" t="n">
        <f aca="false">IF(A1290="","",DATE(YEAR(A1290),MONTH(A1290),1))</f>
        <v>46266</v>
      </c>
      <c r="I1290" s="37" t="str">
        <f aca="false">IF(B1290="","",IFERROR(INDEX(st_ID,MATCH(B1290,st_Name,0)),"Unknown"))</f>
        <v>QP-03</v>
      </c>
      <c r="J1290" s="37" t="str">
        <f aca="false">IF(C1290="","",IFERROR(INDEX(cl_Code,MATCH(C1290,cl_Name,0)),"Unknown"))</f>
        <v>BSE</v>
      </c>
      <c r="K1290" s="37" t="str">
        <f aca="false">IF(D1290="","",IFERROR(INDEX(rt_Billable,MATCH(D1290,rt_Code,0)),"Unknown"))</f>
        <v>Yes</v>
      </c>
      <c r="L1290" s="38" t="n">
        <f aca="false">IF(K1290&lt;&gt;"Yes","",IFERROR(INDEX(cr_Rate,MATCH(J1290&amp;"|"&amp;D1290,cr_Key,0)),INDEX(rt_Rate,MATCH(D1290,rt_Code,0))))</f>
        <v>145</v>
      </c>
      <c r="M1290" s="25" t="n">
        <f aca="false">IF(L1290="","",ROUND(N(E1290)*L1290,2))</f>
        <v>362.5</v>
      </c>
      <c r="N1290" s="39" t="n">
        <f aca="false">IF(OR(A1290="",B1290=""),"",SUMIFS(tl_Hours,tl_StaffID,I1290,tl_Date,A1290))</f>
        <v>8</v>
      </c>
      <c r="O1290" s="40" t="str">
        <f aca="false">IF(A1290&amp;B1290&amp;D1290="","",IF(OR(A1290="",B1290="",D1290="",E1290=""),"Incomplete",IF(K1290="Unknown","Unknown code",IF(AND(K1290="Yes",C1290=""),"Billable, needs client",IF(N1290&gt;MaxDayHours,"Over "&amp;MaxDayHours&amp;" hours that day","")))))</f>
        <v/>
      </c>
    </row>
    <row r="1291" customFormat="false" ht="15" hidden="false" customHeight="false" outlineLevel="0" collapsed="false">
      <c r="A1291" s="31" t="n">
        <v>46273</v>
      </c>
      <c r="B1291" s="32" t="s">
        <v>100</v>
      </c>
      <c r="C1291" s="32"/>
      <c r="D1291" s="33" t="s">
        <v>96</v>
      </c>
      <c r="E1291" s="34" t="n">
        <v>2.25</v>
      </c>
      <c r="F1291" s="32"/>
      <c r="G1291" s="35" t="n">
        <f aca="false">IF(A1291="","",A1291+7-WEEKDAY(A1291))</f>
        <v>46277</v>
      </c>
      <c r="H1291" s="36" t="n">
        <f aca="false">IF(A1291="","",DATE(YEAR(A1291),MONTH(A1291),1))</f>
        <v>46266</v>
      </c>
      <c r="I1291" s="37" t="str">
        <f aca="false">IF(B1291="","",IFERROR(INDEX(st_ID,MATCH(B1291,st_Name,0)),"Unknown"))</f>
        <v>QP-03</v>
      </c>
      <c r="J1291" s="37" t="str">
        <f aca="false">IF(C1291="","",IFERROR(INDEX(cl_Code,MATCH(C1291,cl_Name,0)),"Unknown"))</f>
        <v/>
      </c>
      <c r="K1291" s="37" t="str">
        <f aca="false">IF(D1291="","",IFERROR(INDEX(rt_Billable,MATCH(D1291,rt_Code,0)),"Unknown"))</f>
        <v>No</v>
      </c>
      <c r="L1291" s="38" t="str">
        <f aca="false">IF(K1291&lt;&gt;"Yes","",IFERROR(INDEX(cr_Rate,MATCH(J1291&amp;"|"&amp;D1291,cr_Key,0)),INDEX(rt_Rate,MATCH(D1291,rt_Code,0))))</f>
        <v/>
      </c>
      <c r="M1291" s="25" t="str">
        <f aca="false">IF(L1291="","",ROUND(N(E1291)*L1291,2))</f>
        <v/>
      </c>
      <c r="N1291" s="39" t="n">
        <f aca="false">IF(OR(A1291="",B1291=""),"",SUMIFS(tl_Hours,tl_StaffID,I1291,tl_Date,A1291))</f>
        <v>8</v>
      </c>
      <c r="O1291" s="40" t="str">
        <f aca="false">IF(A1291&amp;B1291&amp;D1291="","",IF(OR(A1291="",B1291="",D1291="",E1291=""),"Incomplete",IF(K1291="Unknown","Unknown code",IF(AND(K1291="Yes",C1291=""),"Billable, needs client",IF(N1291&gt;MaxDayHours,"Over "&amp;MaxDayHours&amp;" hours that day","")))))</f>
        <v/>
      </c>
    </row>
    <row r="1292" customFormat="false" ht="15" hidden="false" customHeight="false" outlineLevel="0" collapsed="false">
      <c r="A1292" s="31" t="n">
        <v>46273</v>
      </c>
      <c r="B1292" s="32" t="s">
        <v>101</v>
      </c>
      <c r="C1292" s="32" t="s">
        <v>112</v>
      </c>
      <c r="D1292" s="33" t="s">
        <v>104</v>
      </c>
      <c r="E1292" s="34" t="n">
        <v>3</v>
      </c>
      <c r="F1292" s="32"/>
      <c r="G1292" s="35" t="n">
        <f aca="false">IF(A1292="","",A1292+7-WEEKDAY(A1292))</f>
        <v>46277</v>
      </c>
      <c r="H1292" s="36" t="n">
        <f aca="false">IF(A1292="","",DATE(YEAR(A1292),MONTH(A1292),1))</f>
        <v>46266</v>
      </c>
      <c r="I1292" s="37" t="str">
        <f aca="false">IF(B1292="","",IFERROR(INDEX(st_ID,MATCH(B1292,st_Name,0)),"Unknown"))</f>
        <v>QP-04</v>
      </c>
      <c r="J1292" s="37" t="str">
        <f aca="false">IF(C1292="","",IFERROR(INDEX(cl_Code,MATCH(C1292,cl_Name,0)),"Unknown"))</f>
        <v>PCA</v>
      </c>
      <c r="K1292" s="37" t="str">
        <f aca="false">IF(D1292="","",IFERROR(INDEX(rt_Billable,MATCH(D1292,rt_Code,0)),"Unknown"))</f>
        <v>Yes</v>
      </c>
      <c r="L1292" s="38" t="n">
        <f aca="false">IF(K1292&lt;&gt;"Yes","",IFERROR(INDEX(cr_Rate,MATCH(J1292&amp;"|"&amp;D1292,cr_Key,0)),INDEX(rt_Rate,MATCH(D1292,rt_Code,0))))</f>
        <v>70</v>
      </c>
      <c r="M1292" s="25" t="n">
        <f aca="false">IF(L1292="","",ROUND(N(E1292)*L1292,2))</f>
        <v>210</v>
      </c>
      <c r="N1292" s="39" t="n">
        <f aca="false">IF(OR(A1292="",B1292=""),"",SUMIFS(tl_Hours,tl_StaffID,I1292,tl_Date,A1292))</f>
        <v>8</v>
      </c>
      <c r="O1292" s="40" t="str">
        <f aca="false">IF(A1292&amp;B1292&amp;D1292="","",IF(OR(A1292="",B1292="",D1292="",E1292=""),"Incomplete",IF(K1292="Unknown","Unknown code",IF(AND(K1292="Yes",C1292=""),"Billable, needs client",IF(N1292&gt;MaxDayHours,"Over "&amp;MaxDayHours&amp;" hours that day","")))))</f>
        <v/>
      </c>
    </row>
    <row r="1293" customFormat="false" ht="15" hidden="false" customHeight="false" outlineLevel="0" collapsed="false">
      <c r="A1293" s="31" t="n">
        <v>46273</v>
      </c>
      <c r="B1293" s="32" t="s">
        <v>101</v>
      </c>
      <c r="C1293" s="32" t="s">
        <v>112</v>
      </c>
      <c r="D1293" s="33" t="s">
        <v>92</v>
      </c>
      <c r="E1293" s="34" t="n">
        <v>0.5</v>
      </c>
      <c r="F1293" s="32"/>
      <c r="G1293" s="35" t="n">
        <f aca="false">IF(A1293="","",A1293+7-WEEKDAY(A1293))</f>
        <v>46277</v>
      </c>
      <c r="H1293" s="36" t="n">
        <f aca="false">IF(A1293="","",DATE(YEAR(A1293),MONTH(A1293),1))</f>
        <v>46266</v>
      </c>
      <c r="I1293" s="37" t="str">
        <f aca="false">IF(B1293="","",IFERROR(INDEX(st_ID,MATCH(B1293,st_Name,0)),"Unknown"))</f>
        <v>QP-04</v>
      </c>
      <c r="J1293" s="37" t="str">
        <f aca="false">IF(C1293="","",IFERROR(INDEX(cl_Code,MATCH(C1293,cl_Name,0)),"Unknown"))</f>
        <v>PCA</v>
      </c>
      <c r="K1293" s="37" t="str">
        <f aca="false">IF(D1293="","",IFERROR(INDEX(rt_Billable,MATCH(D1293,rt_Code,0)),"Unknown"))</f>
        <v>Yes</v>
      </c>
      <c r="L1293" s="38" t="n">
        <f aca="false">IF(K1293&lt;&gt;"Yes","",IFERROR(INDEX(cr_Rate,MATCH(J1293&amp;"|"&amp;D1293,cr_Key,0)),INDEX(rt_Rate,MATCH(D1293,rt_Code,0))))</f>
        <v>150</v>
      </c>
      <c r="M1293" s="25" t="n">
        <f aca="false">IF(L1293="","",ROUND(N(E1293)*L1293,2))</f>
        <v>75</v>
      </c>
      <c r="N1293" s="39" t="n">
        <f aca="false">IF(OR(A1293="",B1293=""),"",SUMIFS(tl_Hours,tl_StaffID,I1293,tl_Date,A1293))</f>
        <v>8</v>
      </c>
      <c r="O1293" s="40" t="str">
        <f aca="false">IF(A1293&amp;B1293&amp;D1293="","",IF(OR(A1293="",B1293="",D1293="",E1293=""),"Incomplete",IF(K1293="Unknown","Unknown code",IF(AND(K1293="Yes",C1293=""),"Billable, needs client",IF(N1293&gt;MaxDayHours,"Over "&amp;MaxDayHours&amp;" hours that day","")))))</f>
        <v/>
      </c>
    </row>
    <row r="1294" customFormat="false" ht="15" hidden="false" customHeight="false" outlineLevel="0" collapsed="false">
      <c r="A1294" s="31" t="n">
        <v>46273</v>
      </c>
      <c r="B1294" s="32" t="s">
        <v>101</v>
      </c>
      <c r="C1294" s="32" t="s">
        <v>87</v>
      </c>
      <c r="D1294" s="33" t="s">
        <v>88</v>
      </c>
      <c r="E1294" s="34" t="n">
        <v>2.5</v>
      </c>
      <c r="F1294" s="32"/>
      <c r="G1294" s="35" t="n">
        <f aca="false">IF(A1294="","",A1294+7-WEEKDAY(A1294))</f>
        <v>46277</v>
      </c>
      <c r="H1294" s="36" t="n">
        <f aca="false">IF(A1294="","",DATE(YEAR(A1294),MONTH(A1294),1))</f>
        <v>46266</v>
      </c>
      <c r="I1294" s="37" t="str">
        <f aca="false">IF(B1294="","",IFERROR(INDEX(st_ID,MATCH(B1294,st_Name,0)),"Unknown"))</f>
        <v>QP-04</v>
      </c>
      <c r="J1294" s="37" t="str">
        <f aca="false">IF(C1294="","",IFERROR(INDEX(cl_Code,MATCH(C1294,cl_Name,0)),"Unknown"))</f>
        <v>HCS</v>
      </c>
      <c r="K1294" s="37" t="str">
        <f aca="false">IF(D1294="","",IFERROR(INDEX(rt_Billable,MATCH(D1294,rt_Code,0)),"Unknown"))</f>
        <v>Yes</v>
      </c>
      <c r="L1294" s="38" t="n">
        <f aca="false">IF(K1294&lt;&gt;"Yes","",IFERROR(INDEX(cr_Rate,MATCH(J1294&amp;"|"&amp;D1294,cr_Key,0)),INDEX(rt_Rate,MATCH(D1294,rt_Code,0))))</f>
        <v>98</v>
      </c>
      <c r="M1294" s="25" t="n">
        <f aca="false">IF(L1294="","",ROUND(N(E1294)*L1294,2))</f>
        <v>245</v>
      </c>
      <c r="N1294" s="39" t="n">
        <f aca="false">IF(OR(A1294="",B1294=""),"",SUMIFS(tl_Hours,tl_StaffID,I1294,tl_Date,A1294))</f>
        <v>8</v>
      </c>
      <c r="O1294" s="40" t="str">
        <f aca="false">IF(A1294&amp;B1294&amp;D1294="","",IF(OR(A1294="",B1294="",D1294="",E1294=""),"Incomplete",IF(K1294="Unknown","Unknown code",IF(AND(K1294="Yes",C1294=""),"Billable, needs client",IF(N1294&gt;MaxDayHours,"Over "&amp;MaxDayHours&amp;" hours that day","")))))</f>
        <v/>
      </c>
    </row>
    <row r="1295" customFormat="false" ht="15" hidden="false" customHeight="false" outlineLevel="0" collapsed="false">
      <c r="A1295" s="31" t="n">
        <v>46273</v>
      </c>
      <c r="B1295" s="32" t="s">
        <v>101</v>
      </c>
      <c r="C1295" s="32" t="s">
        <v>87</v>
      </c>
      <c r="D1295" s="33" t="s">
        <v>92</v>
      </c>
      <c r="E1295" s="34" t="n">
        <v>1</v>
      </c>
      <c r="F1295" s="32"/>
      <c r="G1295" s="35" t="n">
        <f aca="false">IF(A1295="","",A1295+7-WEEKDAY(A1295))</f>
        <v>46277</v>
      </c>
      <c r="H1295" s="36" t="n">
        <f aca="false">IF(A1295="","",DATE(YEAR(A1295),MONTH(A1295),1))</f>
        <v>46266</v>
      </c>
      <c r="I1295" s="37" t="str">
        <f aca="false">IF(B1295="","",IFERROR(INDEX(st_ID,MATCH(B1295,st_Name,0)),"Unknown"))</f>
        <v>QP-04</v>
      </c>
      <c r="J1295" s="37" t="str">
        <f aca="false">IF(C1295="","",IFERROR(INDEX(cl_Code,MATCH(C1295,cl_Name,0)),"Unknown"))</f>
        <v>HCS</v>
      </c>
      <c r="K1295" s="37" t="str">
        <f aca="false">IF(D1295="","",IFERROR(INDEX(rt_Billable,MATCH(D1295,rt_Code,0)),"Unknown"))</f>
        <v>Yes</v>
      </c>
      <c r="L1295" s="38" t="n">
        <f aca="false">IF(K1295&lt;&gt;"Yes","",IFERROR(INDEX(cr_Rate,MATCH(J1295&amp;"|"&amp;D1295,cr_Key,0)),INDEX(rt_Rate,MATCH(D1295,rt_Code,0))))</f>
        <v>140</v>
      </c>
      <c r="M1295" s="25" t="n">
        <f aca="false">IF(L1295="","",ROUND(N(E1295)*L1295,2))</f>
        <v>140</v>
      </c>
      <c r="N1295" s="39" t="n">
        <f aca="false">IF(OR(A1295="",B1295=""),"",SUMIFS(tl_Hours,tl_StaffID,I1295,tl_Date,A1295))</f>
        <v>8</v>
      </c>
      <c r="O1295" s="40" t="str">
        <f aca="false">IF(A1295&amp;B1295&amp;D1295="","",IF(OR(A1295="",B1295="",D1295="",E1295=""),"Incomplete",IF(K1295="Unknown","Unknown code",IF(AND(K1295="Yes",C1295=""),"Billable, needs client",IF(N1295&gt;MaxDayHours,"Over "&amp;MaxDayHours&amp;" hours that day","")))))</f>
        <v/>
      </c>
    </row>
    <row r="1296" customFormat="false" ht="15" hidden="false" customHeight="false" outlineLevel="0" collapsed="false">
      <c r="A1296" s="31" t="n">
        <v>46273</v>
      </c>
      <c r="B1296" s="32" t="s">
        <v>101</v>
      </c>
      <c r="C1296" s="32"/>
      <c r="D1296" s="33" t="s">
        <v>93</v>
      </c>
      <c r="E1296" s="34" t="n">
        <v>0.5</v>
      </c>
      <c r="F1296" s="32"/>
      <c r="G1296" s="35" t="n">
        <f aca="false">IF(A1296="","",A1296+7-WEEKDAY(A1296))</f>
        <v>46277</v>
      </c>
      <c r="H1296" s="36" t="n">
        <f aca="false">IF(A1296="","",DATE(YEAR(A1296),MONTH(A1296),1))</f>
        <v>46266</v>
      </c>
      <c r="I1296" s="37" t="str">
        <f aca="false">IF(B1296="","",IFERROR(INDEX(st_ID,MATCH(B1296,st_Name,0)),"Unknown"))</f>
        <v>QP-04</v>
      </c>
      <c r="J1296" s="37" t="str">
        <f aca="false">IF(C1296="","",IFERROR(INDEX(cl_Code,MATCH(C1296,cl_Name,0)),"Unknown"))</f>
        <v/>
      </c>
      <c r="K1296" s="37" t="str">
        <f aca="false">IF(D1296="","",IFERROR(INDEX(rt_Billable,MATCH(D1296,rt_Code,0)),"Unknown"))</f>
        <v>No</v>
      </c>
      <c r="L1296" s="38" t="str">
        <f aca="false">IF(K1296&lt;&gt;"Yes","",IFERROR(INDEX(cr_Rate,MATCH(J1296&amp;"|"&amp;D1296,cr_Key,0)),INDEX(rt_Rate,MATCH(D1296,rt_Code,0))))</f>
        <v/>
      </c>
      <c r="M1296" s="25" t="str">
        <f aca="false">IF(L1296="","",ROUND(N(E1296)*L1296,2))</f>
        <v/>
      </c>
      <c r="N1296" s="39" t="n">
        <f aca="false">IF(OR(A1296="",B1296=""),"",SUMIFS(tl_Hours,tl_StaffID,I1296,tl_Date,A1296))</f>
        <v>8</v>
      </c>
      <c r="O1296" s="40" t="str">
        <f aca="false">IF(A1296&amp;B1296&amp;D1296="","",IF(OR(A1296="",B1296="",D1296="",E1296=""),"Incomplete",IF(K1296="Unknown","Unknown code",IF(AND(K1296="Yes",C1296=""),"Billable, needs client",IF(N1296&gt;MaxDayHours,"Over "&amp;MaxDayHours&amp;" hours that day","")))))</f>
        <v/>
      </c>
    </row>
    <row r="1297" customFormat="false" ht="15" hidden="false" customHeight="false" outlineLevel="0" collapsed="false">
      <c r="A1297" s="31" t="n">
        <v>46273</v>
      </c>
      <c r="B1297" s="32" t="s">
        <v>101</v>
      </c>
      <c r="C1297" s="32"/>
      <c r="D1297" s="33" t="s">
        <v>96</v>
      </c>
      <c r="E1297" s="34" t="n">
        <v>0.5</v>
      </c>
      <c r="F1297" s="32"/>
      <c r="G1297" s="35" t="n">
        <f aca="false">IF(A1297="","",A1297+7-WEEKDAY(A1297))</f>
        <v>46277</v>
      </c>
      <c r="H1297" s="36" t="n">
        <f aca="false">IF(A1297="","",DATE(YEAR(A1297),MONTH(A1297),1))</f>
        <v>46266</v>
      </c>
      <c r="I1297" s="37" t="str">
        <f aca="false">IF(B1297="","",IFERROR(INDEX(st_ID,MATCH(B1297,st_Name,0)),"Unknown"))</f>
        <v>QP-04</v>
      </c>
      <c r="J1297" s="37" t="str">
        <f aca="false">IF(C1297="","",IFERROR(INDEX(cl_Code,MATCH(C1297,cl_Name,0)),"Unknown"))</f>
        <v/>
      </c>
      <c r="K1297" s="37" t="str">
        <f aca="false">IF(D1297="","",IFERROR(INDEX(rt_Billable,MATCH(D1297,rt_Code,0)),"Unknown"))</f>
        <v>No</v>
      </c>
      <c r="L1297" s="38" t="str">
        <f aca="false">IF(K1297&lt;&gt;"Yes","",IFERROR(INDEX(cr_Rate,MATCH(J1297&amp;"|"&amp;D1297,cr_Key,0)),INDEX(rt_Rate,MATCH(D1297,rt_Code,0))))</f>
        <v/>
      </c>
      <c r="M1297" s="25" t="str">
        <f aca="false">IF(L1297="","",ROUND(N(E1297)*L1297,2))</f>
        <v/>
      </c>
      <c r="N1297" s="39" t="n">
        <f aca="false">IF(OR(A1297="",B1297=""),"",SUMIFS(tl_Hours,tl_StaffID,I1297,tl_Date,A1297))</f>
        <v>8</v>
      </c>
      <c r="O1297" s="40" t="str">
        <f aca="false">IF(A1297&amp;B1297&amp;D1297="","",IF(OR(A1297="",B1297="",D1297="",E1297=""),"Incomplete",IF(K1297="Unknown","Unknown code",IF(AND(K1297="Yes",C1297=""),"Billable, needs client",IF(N1297&gt;MaxDayHours,"Over "&amp;MaxDayHours&amp;" hours that day","")))))</f>
        <v/>
      </c>
    </row>
    <row r="1298" customFormat="false" ht="15" hidden="false" customHeight="false" outlineLevel="0" collapsed="false">
      <c r="A1298" s="31" t="n">
        <v>46273</v>
      </c>
      <c r="B1298" s="32" t="s">
        <v>103</v>
      </c>
      <c r="C1298" s="32" t="s">
        <v>87</v>
      </c>
      <c r="D1298" s="33" t="s">
        <v>104</v>
      </c>
      <c r="E1298" s="34" t="n">
        <v>4.75</v>
      </c>
      <c r="F1298" s="32"/>
      <c r="G1298" s="35" t="n">
        <f aca="false">IF(A1298="","",A1298+7-WEEKDAY(A1298))</f>
        <v>46277</v>
      </c>
      <c r="H1298" s="36" t="n">
        <f aca="false">IF(A1298="","",DATE(YEAR(A1298),MONTH(A1298),1))</f>
        <v>46266</v>
      </c>
      <c r="I1298" s="37" t="str">
        <f aca="false">IF(B1298="","",IFERROR(INDEX(st_ID,MATCH(B1298,st_Name,0)),"Unknown"))</f>
        <v>QP-05</v>
      </c>
      <c r="J1298" s="37" t="str">
        <f aca="false">IF(C1298="","",IFERROR(INDEX(cl_Code,MATCH(C1298,cl_Name,0)),"Unknown"))</f>
        <v>HCS</v>
      </c>
      <c r="K1298" s="37" t="str">
        <f aca="false">IF(D1298="","",IFERROR(INDEX(rt_Billable,MATCH(D1298,rt_Code,0)),"Unknown"))</f>
        <v>Yes</v>
      </c>
      <c r="L1298" s="38" t="n">
        <f aca="false">IF(K1298&lt;&gt;"Yes","",IFERROR(INDEX(cr_Rate,MATCH(J1298&amp;"|"&amp;D1298,cr_Key,0)),INDEX(rt_Rate,MATCH(D1298,rt_Code,0))))</f>
        <v>62</v>
      </c>
      <c r="M1298" s="25" t="n">
        <f aca="false">IF(L1298="","",ROUND(N(E1298)*L1298,2))</f>
        <v>294.5</v>
      </c>
      <c r="N1298" s="39" t="n">
        <f aca="false">IF(OR(A1298="",B1298=""),"",SUMIFS(tl_Hours,tl_StaffID,I1298,tl_Date,A1298))</f>
        <v>8</v>
      </c>
      <c r="O1298" s="40" t="str">
        <f aca="false">IF(A1298&amp;B1298&amp;D1298="","",IF(OR(A1298="",B1298="",D1298="",E1298=""),"Incomplete",IF(K1298="Unknown","Unknown code",IF(AND(K1298="Yes",C1298=""),"Billable, needs client",IF(N1298&gt;MaxDayHours,"Over "&amp;MaxDayHours&amp;" hours that day","")))))</f>
        <v/>
      </c>
    </row>
    <row r="1299" customFormat="false" ht="15" hidden="false" customHeight="false" outlineLevel="0" collapsed="false">
      <c r="A1299" s="31" t="n">
        <v>46273</v>
      </c>
      <c r="B1299" s="32" t="s">
        <v>103</v>
      </c>
      <c r="C1299" s="32" t="s">
        <v>87</v>
      </c>
      <c r="D1299" s="33" t="s">
        <v>89</v>
      </c>
      <c r="E1299" s="34" t="n">
        <v>1.25</v>
      </c>
      <c r="F1299" s="32"/>
      <c r="G1299" s="35" t="n">
        <f aca="false">IF(A1299="","",A1299+7-WEEKDAY(A1299))</f>
        <v>46277</v>
      </c>
      <c r="H1299" s="36" t="n">
        <f aca="false">IF(A1299="","",DATE(YEAR(A1299),MONTH(A1299),1))</f>
        <v>46266</v>
      </c>
      <c r="I1299" s="37" t="str">
        <f aca="false">IF(B1299="","",IFERROR(INDEX(st_ID,MATCH(B1299,st_Name,0)),"Unknown"))</f>
        <v>QP-05</v>
      </c>
      <c r="J1299" s="37" t="str">
        <f aca="false">IF(C1299="","",IFERROR(INDEX(cl_Code,MATCH(C1299,cl_Name,0)),"Unknown"))</f>
        <v>HCS</v>
      </c>
      <c r="K1299" s="37" t="str">
        <f aca="false">IF(D1299="","",IFERROR(INDEX(rt_Billable,MATCH(D1299,rt_Code,0)),"Unknown"))</f>
        <v>Yes</v>
      </c>
      <c r="L1299" s="38" t="n">
        <f aca="false">IF(K1299&lt;&gt;"Yes","",IFERROR(INDEX(cr_Rate,MATCH(J1299&amp;"|"&amp;D1299,cr_Key,0)),INDEX(rt_Rate,MATCH(D1299,rt_Code,0))))</f>
        <v>88</v>
      </c>
      <c r="M1299" s="25" t="n">
        <f aca="false">IF(L1299="","",ROUND(N(E1299)*L1299,2))</f>
        <v>110</v>
      </c>
      <c r="N1299" s="39" t="n">
        <f aca="false">IF(OR(A1299="",B1299=""),"",SUMIFS(tl_Hours,tl_StaffID,I1299,tl_Date,A1299))</f>
        <v>8</v>
      </c>
      <c r="O1299" s="40" t="str">
        <f aca="false">IF(A1299&amp;B1299&amp;D1299="","",IF(OR(A1299="",B1299="",D1299="",E1299=""),"Incomplete",IF(K1299="Unknown","Unknown code",IF(AND(K1299="Yes",C1299=""),"Billable, needs client",IF(N1299&gt;MaxDayHours,"Over "&amp;MaxDayHours&amp;" hours that day","")))))</f>
        <v/>
      </c>
    </row>
    <row r="1300" customFormat="false" ht="15" hidden="false" customHeight="false" outlineLevel="0" collapsed="false">
      <c r="A1300" s="31" t="n">
        <v>46273</v>
      </c>
      <c r="B1300" s="32" t="s">
        <v>103</v>
      </c>
      <c r="C1300" s="32"/>
      <c r="D1300" s="33" t="s">
        <v>96</v>
      </c>
      <c r="E1300" s="34" t="n">
        <v>2</v>
      </c>
      <c r="F1300" s="32"/>
      <c r="G1300" s="35" t="n">
        <f aca="false">IF(A1300="","",A1300+7-WEEKDAY(A1300))</f>
        <v>46277</v>
      </c>
      <c r="H1300" s="36" t="n">
        <f aca="false">IF(A1300="","",DATE(YEAR(A1300),MONTH(A1300),1))</f>
        <v>46266</v>
      </c>
      <c r="I1300" s="37" t="str">
        <f aca="false">IF(B1300="","",IFERROR(INDEX(st_ID,MATCH(B1300,st_Name,0)),"Unknown"))</f>
        <v>QP-05</v>
      </c>
      <c r="J1300" s="37" t="str">
        <f aca="false">IF(C1300="","",IFERROR(INDEX(cl_Code,MATCH(C1300,cl_Name,0)),"Unknown"))</f>
        <v/>
      </c>
      <c r="K1300" s="37" t="str">
        <f aca="false">IF(D1300="","",IFERROR(INDEX(rt_Billable,MATCH(D1300,rt_Code,0)),"Unknown"))</f>
        <v>No</v>
      </c>
      <c r="L1300" s="38" t="str">
        <f aca="false">IF(K1300&lt;&gt;"Yes","",IFERROR(INDEX(cr_Rate,MATCH(J1300&amp;"|"&amp;D1300,cr_Key,0)),INDEX(rt_Rate,MATCH(D1300,rt_Code,0))))</f>
        <v/>
      </c>
      <c r="M1300" s="25" t="str">
        <f aca="false">IF(L1300="","",ROUND(N(E1300)*L1300,2))</f>
        <v/>
      </c>
      <c r="N1300" s="39" t="n">
        <f aca="false">IF(OR(A1300="",B1300=""),"",SUMIFS(tl_Hours,tl_StaffID,I1300,tl_Date,A1300))</f>
        <v>8</v>
      </c>
      <c r="O1300" s="40" t="str">
        <f aca="false">IF(A1300&amp;B1300&amp;D1300="","",IF(OR(A1300="",B1300="",D1300="",E1300=""),"Incomplete",IF(K1300="Unknown","Unknown code",IF(AND(K1300="Yes",C1300=""),"Billable, needs client",IF(N1300&gt;MaxDayHours,"Over "&amp;MaxDayHours&amp;" hours that day","")))))</f>
        <v/>
      </c>
    </row>
    <row r="1301" customFormat="false" ht="15" hidden="false" customHeight="false" outlineLevel="0" collapsed="false">
      <c r="A1301" s="31" t="n">
        <v>46273</v>
      </c>
      <c r="B1301" s="32" t="s">
        <v>105</v>
      </c>
      <c r="C1301" s="32" t="s">
        <v>90</v>
      </c>
      <c r="D1301" s="33" t="s">
        <v>91</v>
      </c>
      <c r="E1301" s="34" t="n">
        <v>4</v>
      </c>
      <c r="F1301" s="32"/>
      <c r="G1301" s="35" t="n">
        <f aca="false">IF(A1301="","",A1301+7-WEEKDAY(A1301))</f>
        <v>46277</v>
      </c>
      <c r="H1301" s="36" t="n">
        <f aca="false">IF(A1301="","",DATE(YEAR(A1301),MONTH(A1301),1))</f>
        <v>46266</v>
      </c>
      <c r="I1301" s="37" t="str">
        <f aca="false">IF(B1301="","",IFERROR(INDEX(st_ID,MATCH(B1301,st_Name,0)),"Unknown"))</f>
        <v>QP-06</v>
      </c>
      <c r="J1301" s="37" t="str">
        <f aca="false">IF(C1301="","",IFERROR(INDEX(cl_Code,MATCH(C1301,cl_Name,0)),"Unknown"))</f>
        <v>BSE</v>
      </c>
      <c r="K1301" s="37" t="str">
        <f aca="false">IF(D1301="","",IFERROR(INDEX(rt_Billable,MATCH(D1301,rt_Code,0)),"Unknown"))</f>
        <v>Yes</v>
      </c>
      <c r="L1301" s="38" t="n">
        <f aca="false">IF(K1301&lt;&gt;"Yes","",IFERROR(INDEX(cr_Rate,MATCH(J1301&amp;"|"&amp;D1301,cr_Key,0)),INDEX(rt_Rate,MATCH(D1301,rt_Code,0))))</f>
        <v>100</v>
      </c>
      <c r="M1301" s="25" t="n">
        <f aca="false">IF(L1301="","",ROUND(N(E1301)*L1301,2))</f>
        <v>400</v>
      </c>
      <c r="N1301" s="39" t="n">
        <f aca="false">IF(OR(A1301="",B1301=""),"",SUMIFS(tl_Hours,tl_StaffID,I1301,tl_Date,A1301))</f>
        <v>8</v>
      </c>
      <c r="O1301" s="40" t="str">
        <f aca="false">IF(A1301&amp;B1301&amp;D1301="","",IF(OR(A1301="",B1301="",D1301="",E1301=""),"Incomplete",IF(K1301="Unknown","Unknown code",IF(AND(K1301="Yes",C1301=""),"Billable, needs client",IF(N1301&gt;MaxDayHours,"Over "&amp;MaxDayHours&amp;" hours that day","")))))</f>
        <v/>
      </c>
    </row>
    <row r="1302" customFormat="false" ht="15" hidden="false" customHeight="false" outlineLevel="0" collapsed="false">
      <c r="A1302" s="31" t="n">
        <v>46273</v>
      </c>
      <c r="B1302" s="32" t="s">
        <v>105</v>
      </c>
      <c r="C1302" s="32" t="s">
        <v>90</v>
      </c>
      <c r="D1302" s="33" t="s">
        <v>89</v>
      </c>
      <c r="E1302" s="34" t="n">
        <v>1.5</v>
      </c>
      <c r="F1302" s="32"/>
      <c r="G1302" s="35" t="n">
        <f aca="false">IF(A1302="","",A1302+7-WEEKDAY(A1302))</f>
        <v>46277</v>
      </c>
      <c r="H1302" s="36" t="n">
        <f aca="false">IF(A1302="","",DATE(YEAR(A1302),MONTH(A1302),1))</f>
        <v>46266</v>
      </c>
      <c r="I1302" s="37" t="str">
        <f aca="false">IF(B1302="","",IFERROR(INDEX(st_ID,MATCH(B1302,st_Name,0)),"Unknown"))</f>
        <v>QP-06</v>
      </c>
      <c r="J1302" s="37" t="str">
        <f aca="false">IF(C1302="","",IFERROR(INDEX(cl_Code,MATCH(C1302,cl_Name,0)),"Unknown"))</f>
        <v>BSE</v>
      </c>
      <c r="K1302" s="37" t="str">
        <f aca="false">IF(D1302="","",IFERROR(INDEX(rt_Billable,MATCH(D1302,rt_Code,0)),"Unknown"))</f>
        <v>Yes</v>
      </c>
      <c r="L1302" s="38" t="n">
        <f aca="false">IF(K1302&lt;&gt;"Yes","",IFERROR(INDEX(cr_Rate,MATCH(J1302&amp;"|"&amp;D1302,cr_Key,0)),INDEX(rt_Rate,MATCH(D1302,rt_Code,0))))</f>
        <v>95</v>
      </c>
      <c r="M1302" s="25" t="n">
        <f aca="false">IF(L1302="","",ROUND(N(E1302)*L1302,2))</f>
        <v>142.5</v>
      </c>
      <c r="N1302" s="39" t="n">
        <f aca="false">IF(OR(A1302="",B1302=""),"",SUMIFS(tl_Hours,tl_StaffID,I1302,tl_Date,A1302))</f>
        <v>8</v>
      </c>
      <c r="O1302" s="40" t="str">
        <f aca="false">IF(A1302&amp;B1302&amp;D1302="","",IF(OR(A1302="",B1302="",D1302="",E1302=""),"Incomplete",IF(K1302="Unknown","Unknown code",IF(AND(K1302="Yes",C1302=""),"Billable, needs client",IF(N1302&gt;MaxDayHours,"Over "&amp;MaxDayHours&amp;" hours that day","")))))</f>
        <v/>
      </c>
    </row>
    <row r="1303" customFormat="false" ht="15" hidden="false" customHeight="false" outlineLevel="0" collapsed="false">
      <c r="A1303" s="31" t="n">
        <v>46273</v>
      </c>
      <c r="B1303" s="32" t="s">
        <v>105</v>
      </c>
      <c r="C1303" s="32"/>
      <c r="D1303" s="33" t="s">
        <v>96</v>
      </c>
      <c r="E1303" s="34" t="n">
        <v>2.5</v>
      </c>
      <c r="F1303" s="32"/>
      <c r="G1303" s="35" t="n">
        <f aca="false">IF(A1303="","",A1303+7-WEEKDAY(A1303))</f>
        <v>46277</v>
      </c>
      <c r="H1303" s="36" t="n">
        <f aca="false">IF(A1303="","",DATE(YEAR(A1303),MONTH(A1303),1))</f>
        <v>46266</v>
      </c>
      <c r="I1303" s="37" t="str">
        <f aca="false">IF(B1303="","",IFERROR(INDEX(st_ID,MATCH(B1303,st_Name,0)),"Unknown"))</f>
        <v>QP-06</v>
      </c>
      <c r="J1303" s="37" t="str">
        <f aca="false">IF(C1303="","",IFERROR(INDEX(cl_Code,MATCH(C1303,cl_Name,0)),"Unknown"))</f>
        <v/>
      </c>
      <c r="K1303" s="37" t="str">
        <f aca="false">IF(D1303="","",IFERROR(INDEX(rt_Billable,MATCH(D1303,rt_Code,0)),"Unknown"))</f>
        <v>No</v>
      </c>
      <c r="L1303" s="38" t="str">
        <f aca="false">IF(K1303&lt;&gt;"Yes","",IFERROR(INDEX(cr_Rate,MATCH(J1303&amp;"|"&amp;D1303,cr_Key,0)),INDEX(rt_Rate,MATCH(D1303,rt_Code,0))))</f>
        <v/>
      </c>
      <c r="M1303" s="25" t="str">
        <f aca="false">IF(L1303="","",ROUND(N(E1303)*L1303,2))</f>
        <v/>
      </c>
      <c r="N1303" s="39" t="n">
        <f aca="false">IF(OR(A1303="",B1303=""),"",SUMIFS(tl_Hours,tl_StaffID,I1303,tl_Date,A1303))</f>
        <v>8</v>
      </c>
      <c r="O1303" s="40" t="str">
        <f aca="false">IF(A1303&amp;B1303&amp;D1303="","",IF(OR(A1303="",B1303="",D1303="",E1303=""),"Incomplete",IF(K1303="Unknown","Unknown code",IF(AND(K1303="Yes",C1303=""),"Billable, needs client",IF(N1303&gt;MaxDayHours,"Over "&amp;MaxDayHours&amp;" hours that day","")))))</f>
        <v/>
      </c>
    </row>
    <row r="1304" customFormat="false" ht="15" hidden="false" customHeight="false" outlineLevel="0" collapsed="false">
      <c r="A1304" s="31" t="n">
        <v>46273</v>
      </c>
      <c r="B1304" s="32" t="s">
        <v>106</v>
      </c>
      <c r="C1304" s="32" t="s">
        <v>102</v>
      </c>
      <c r="D1304" s="33" t="s">
        <v>104</v>
      </c>
      <c r="E1304" s="34" t="n">
        <v>4</v>
      </c>
      <c r="F1304" s="32"/>
      <c r="G1304" s="35" t="n">
        <f aca="false">IF(A1304="","",A1304+7-WEEKDAY(A1304))</f>
        <v>46277</v>
      </c>
      <c r="H1304" s="36" t="n">
        <f aca="false">IF(A1304="","",DATE(YEAR(A1304),MONTH(A1304),1))</f>
        <v>46266</v>
      </c>
      <c r="I1304" s="37" t="str">
        <f aca="false">IF(B1304="","",IFERROR(INDEX(st_ID,MATCH(B1304,st_Name,0)),"Unknown"))</f>
        <v>QP-07</v>
      </c>
      <c r="J1304" s="37" t="str">
        <f aca="false">IF(C1304="","",IFERROR(INDEX(cl_Code,MATCH(C1304,cl_Name,0)),"Unknown"))</f>
        <v>CLH</v>
      </c>
      <c r="K1304" s="37" t="str">
        <f aca="false">IF(D1304="","",IFERROR(INDEX(rt_Billable,MATCH(D1304,rt_Code,0)),"Unknown"))</f>
        <v>Yes</v>
      </c>
      <c r="L1304" s="38" t="n">
        <f aca="false">IF(K1304&lt;&gt;"Yes","",IFERROR(INDEX(cr_Rate,MATCH(J1304&amp;"|"&amp;D1304,cr_Key,0)),INDEX(rt_Rate,MATCH(D1304,rt_Code,0))))</f>
        <v>65</v>
      </c>
      <c r="M1304" s="25" t="n">
        <f aca="false">IF(L1304="","",ROUND(N(E1304)*L1304,2))</f>
        <v>260</v>
      </c>
      <c r="N1304" s="39" t="n">
        <f aca="false">IF(OR(A1304="",B1304=""),"",SUMIFS(tl_Hours,tl_StaffID,I1304,tl_Date,A1304))</f>
        <v>8</v>
      </c>
      <c r="O1304" s="40" t="str">
        <f aca="false">IF(A1304&amp;B1304&amp;D1304="","",IF(OR(A1304="",B1304="",D1304="",E1304=""),"Incomplete",IF(K1304="Unknown","Unknown code",IF(AND(K1304="Yes",C1304=""),"Billable, needs client",IF(N1304&gt;MaxDayHours,"Over "&amp;MaxDayHours&amp;" hours that day","")))))</f>
        <v/>
      </c>
    </row>
    <row r="1305" customFormat="false" ht="15" hidden="false" customHeight="false" outlineLevel="0" collapsed="false">
      <c r="A1305" s="31" t="n">
        <v>46273</v>
      </c>
      <c r="B1305" s="32" t="s">
        <v>106</v>
      </c>
      <c r="C1305" s="32" t="s">
        <v>102</v>
      </c>
      <c r="D1305" s="33" t="s">
        <v>88</v>
      </c>
      <c r="E1305" s="34" t="n">
        <v>2.25</v>
      </c>
      <c r="F1305" s="32"/>
      <c r="G1305" s="35" t="n">
        <f aca="false">IF(A1305="","",A1305+7-WEEKDAY(A1305))</f>
        <v>46277</v>
      </c>
      <c r="H1305" s="36" t="n">
        <f aca="false">IF(A1305="","",DATE(YEAR(A1305),MONTH(A1305),1))</f>
        <v>46266</v>
      </c>
      <c r="I1305" s="37" t="str">
        <f aca="false">IF(B1305="","",IFERROR(INDEX(st_ID,MATCH(B1305,st_Name,0)),"Unknown"))</f>
        <v>QP-07</v>
      </c>
      <c r="J1305" s="37" t="str">
        <f aca="false">IF(C1305="","",IFERROR(INDEX(cl_Code,MATCH(C1305,cl_Name,0)),"Unknown"))</f>
        <v>CLH</v>
      </c>
      <c r="K1305" s="37" t="str">
        <f aca="false">IF(D1305="","",IFERROR(INDEX(rt_Billable,MATCH(D1305,rt_Code,0)),"Unknown"))</f>
        <v>Yes</v>
      </c>
      <c r="L1305" s="38" t="n">
        <f aca="false">IF(K1305&lt;&gt;"Yes","",IFERROR(INDEX(cr_Rate,MATCH(J1305&amp;"|"&amp;D1305,cr_Key,0)),INDEX(rt_Rate,MATCH(D1305,rt_Code,0))))</f>
        <v>110</v>
      </c>
      <c r="M1305" s="25" t="n">
        <f aca="false">IF(L1305="","",ROUND(N(E1305)*L1305,2))</f>
        <v>247.5</v>
      </c>
      <c r="N1305" s="39" t="n">
        <f aca="false">IF(OR(A1305="",B1305=""),"",SUMIFS(tl_Hours,tl_StaffID,I1305,tl_Date,A1305))</f>
        <v>8</v>
      </c>
      <c r="O1305" s="40" t="str">
        <f aca="false">IF(A1305&amp;B1305&amp;D1305="","",IF(OR(A1305="",B1305="",D1305="",E1305=""),"Incomplete",IF(K1305="Unknown","Unknown code",IF(AND(K1305="Yes",C1305=""),"Billable, needs client",IF(N1305&gt;MaxDayHours,"Over "&amp;MaxDayHours&amp;" hours that day","")))))</f>
        <v/>
      </c>
    </row>
    <row r="1306" customFormat="false" ht="15" hidden="false" customHeight="false" outlineLevel="0" collapsed="false">
      <c r="A1306" s="31" t="n">
        <v>46273</v>
      </c>
      <c r="B1306" s="32" t="s">
        <v>106</v>
      </c>
      <c r="C1306" s="32"/>
      <c r="D1306" s="33" t="s">
        <v>96</v>
      </c>
      <c r="E1306" s="34" t="n">
        <v>1.75</v>
      </c>
      <c r="F1306" s="32"/>
      <c r="G1306" s="35" t="n">
        <f aca="false">IF(A1306="","",A1306+7-WEEKDAY(A1306))</f>
        <v>46277</v>
      </c>
      <c r="H1306" s="36" t="n">
        <f aca="false">IF(A1306="","",DATE(YEAR(A1306),MONTH(A1306),1))</f>
        <v>46266</v>
      </c>
      <c r="I1306" s="37" t="str">
        <f aca="false">IF(B1306="","",IFERROR(INDEX(st_ID,MATCH(B1306,st_Name,0)),"Unknown"))</f>
        <v>QP-07</v>
      </c>
      <c r="J1306" s="37" t="str">
        <f aca="false">IF(C1306="","",IFERROR(INDEX(cl_Code,MATCH(C1306,cl_Name,0)),"Unknown"))</f>
        <v/>
      </c>
      <c r="K1306" s="37" t="str">
        <f aca="false">IF(D1306="","",IFERROR(INDEX(rt_Billable,MATCH(D1306,rt_Code,0)),"Unknown"))</f>
        <v>No</v>
      </c>
      <c r="L1306" s="38" t="str">
        <f aca="false">IF(K1306&lt;&gt;"Yes","",IFERROR(INDEX(cr_Rate,MATCH(J1306&amp;"|"&amp;D1306,cr_Key,0)),INDEX(rt_Rate,MATCH(D1306,rt_Code,0))))</f>
        <v/>
      </c>
      <c r="M1306" s="25" t="str">
        <f aca="false">IF(L1306="","",ROUND(N(E1306)*L1306,2))</f>
        <v/>
      </c>
      <c r="N1306" s="39" t="n">
        <f aca="false">IF(OR(A1306="",B1306=""),"",SUMIFS(tl_Hours,tl_StaffID,I1306,tl_Date,A1306))</f>
        <v>8</v>
      </c>
      <c r="O1306" s="40" t="str">
        <f aca="false">IF(A1306&amp;B1306&amp;D1306="","",IF(OR(A1306="",B1306="",D1306="",E1306=""),"Incomplete",IF(K1306="Unknown","Unknown code",IF(AND(K1306="Yes",C1306=""),"Billable, needs client",IF(N1306&gt;MaxDayHours,"Over "&amp;MaxDayHours&amp;" hours that day","")))))</f>
        <v/>
      </c>
    </row>
    <row r="1307" customFormat="false" ht="15" hidden="false" customHeight="false" outlineLevel="0" collapsed="false">
      <c r="A1307" s="31" t="n">
        <v>46273</v>
      </c>
      <c r="B1307" s="32" t="s">
        <v>107</v>
      </c>
      <c r="C1307" s="32"/>
      <c r="D1307" s="33" t="s">
        <v>108</v>
      </c>
      <c r="E1307" s="34" t="n">
        <v>7</v>
      </c>
      <c r="F1307" s="32"/>
      <c r="G1307" s="35" t="n">
        <f aca="false">IF(A1307="","",A1307+7-WEEKDAY(A1307))</f>
        <v>46277</v>
      </c>
      <c r="H1307" s="36" t="n">
        <f aca="false">IF(A1307="","",DATE(YEAR(A1307),MONTH(A1307),1))</f>
        <v>46266</v>
      </c>
      <c r="I1307" s="37" t="str">
        <f aca="false">IF(B1307="","",IFERROR(INDEX(st_ID,MATCH(B1307,st_Name,0)),"Unknown"))</f>
        <v>QP-08</v>
      </c>
      <c r="J1307" s="37" t="str">
        <f aca="false">IF(C1307="","",IFERROR(INDEX(cl_Code,MATCH(C1307,cl_Name,0)),"Unknown"))</f>
        <v/>
      </c>
      <c r="K1307" s="37" t="str">
        <f aca="false">IF(D1307="","",IFERROR(INDEX(rt_Billable,MATCH(D1307,rt_Code,0)),"Unknown"))</f>
        <v>No</v>
      </c>
      <c r="L1307" s="38" t="str">
        <f aca="false">IF(K1307&lt;&gt;"Yes","",IFERROR(INDEX(cr_Rate,MATCH(J1307&amp;"|"&amp;D1307,cr_Key,0)),INDEX(rt_Rate,MATCH(D1307,rt_Code,0))))</f>
        <v/>
      </c>
      <c r="M1307" s="25" t="str">
        <f aca="false">IF(L1307="","",ROUND(N(E1307)*L1307,2))</f>
        <v/>
      </c>
      <c r="N1307" s="39" t="n">
        <f aca="false">IF(OR(A1307="",B1307=""),"",SUMIFS(tl_Hours,tl_StaffID,I1307,tl_Date,A1307))</f>
        <v>8</v>
      </c>
      <c r="O1307" s="40" t="str">
        <f aca="false">IF(A1307&amp;B1307&amp;D1307="","",IF(OR(A1307="",B1307="",D1307="",E1307=""),"Incomplete",IF(K1307="Unknown","Unknown code",IF(AND(K1307="Yes",C1307=""),"Billable, needs client",IF(N1307&gt;MaxDayHours,"Over "&amp;MaxDayHours&amp;" hours that day","")))))</f>
        <v/>
      </c>
    </row>
    <row r="1308" customFormat="false" ht="15" hidden="false" customHeight="false" outlineLevel="0" collapsed="false">
      <c r="A1308" s="31" t="n">
        <v>46273</v>
      </c>
      <c r="B1308" s="32" t="s">
        <v>107</v>
      </c>
      <c r="C1308" s="32"/>
      <c r="D1308" s="33" t="s">
        <v>98</v>
      </c>
      <c r="E1308" s="34" t="n">
        <v>1</v>
      </c>
      <c r="F1308" s="32"/>
      <c r="G1308" s="35" t="n">
        <f aca="false">IF(A1308="","",A1308+7-WEEKDAY(A1308))</f>
        <v>46277</v>
      </c>
      <c r="H1308" s="36" t="n">
        <f aca="false">IF(A1308="","",DATE(YEAR(A1308),MONTH(A1308),1))</f>
        <v>46266</v>
      </c>
      <c r="I1308" s="37" t="str">
        <f aca="false">IF(B1308="","",IFERROR(INDEX(st_ID,MATCH(B1308,st_Name,0)),"Unknown"))</f>
        <v>QP-08</v>
      </c>
      <c r="J1308" s="37" t="str">
        <f aca="false">IF(C1308="","",IFERROR(INDEX(cl_Code,MATCH(C1308,cl_Name,0)),"Unknown"))</f>
        <v/>
      </c>
      <c r="K1308" s="37" t="str">
        <f aca="false">IF(D1308="","",IFERROR(INDEX(rt_Billable,MATCH(D1308,rt_Code,0)),"Unknown"))</f>
        <v>No</v>
      </c>
      <c r="L1308" s="38" t="str">
        <f aca="false">IF(K1308&lt;&gt;"Yes","",IFERROR(INDEX(cr_Rate,MATCH(J1308&amp;"|"&amp;D1308,cr_Key,0)),INDEX(rt_Rate,MATCH(D1308,rt_Code,0))))</f>
        <v/>
      </c>
      <c r="M1308" s="25" t="str">
        <f aca="false">IF(L1308="","",ROUND(N(E1308)*L1308,2))</f>
        <v/>
      </c>
      <c r="N1308" s="39" t="n">
        <f aca="false">IF(OR(A1308="",B1308=""),"",SUMIFS(tl_Hours,tl_StaffID,I1308,tl_Date,A1308))</f>
        <v>8</v>
      </c>
      <c r="O1308" s="40" t="str">
        <f aca="false">IF(A1308&amp;B1308&amp;D1308="","",IF(OR(A1308="",B1308="",D1308="",E1308=""),"Incomplete",IF(K1308="Unknown","Unknown code",IF(AND(K1308="Yes",C1308=""),"Billable, needs client",IF(N1308&gt;MaxDayHours,"Over "&amp;MaxDayHours&amp;" hours that day","")))))</f>
        <v/>
      </c>
    </row>
    <row r="1309" customFormat="false" ht="15" hidden="false" customHeight="false" outlineLevel="0" collapsed="false">
      <c r="A1309" s="31" t="n">
        <v>46274</v>
      </c>
      <c r="B1309" s="32" t="s">
        <v>86</v>
      </c>
      <c r="C1309" s="32" t="s">
        <v>90</v>
      </c>
      <c r="D1309" s="33" t="s">
        <v>91</v>
      </c>
      <c r="E1309" s="34" t="n">
        <v>2.25</v>
      </c>
      <c r="F1309" s="32"/>
      <c r="G1309" s="35" t="n">
        <f aca="false">IF(A1309="","",A1309+7-WEEKDAY(A1309))</f>
        <v>46277</v>
      </c>
      <c r="H1309" s="36" t="n">
        <f aca="false">IF(A1309="","",DATE(YEAR(A1309),MONTH(A1309),1))</f>
        <v>46266</v>
      </c>
      <c r="I1309" s="37" t="str">
        <f aca="false">IF(B1309="","",IFERROR(INDEX(st_ID,MATCH(B1309,st_Name,0)),"Unknown"))</f>
        <v>QP-01</v>
      </c>
      <c r="J1309" s="37" t="str">
        <f aca="false">IF(C1309="","",IFERROR(INDEX(cl_Code,MATCH(C1309,cl_Name,0)),"Unknown"))</f>
        <v>BSE</v>
      </c>
      <c r="K1309" s="37" t="str">
        <f aca="false">IF(D1309="","",IFERROR(INDEX(rt_Billable,MATCH(D1309,rt_Code,0)),"Unknown"))</f>
        <v>Yes</v>
      </c>
      <c r="L1309" s="38" t="n">
        <f aca="false">IF(K1309&lt;&gt;"Yes","",IFERROR(INDEX(cr_Rate,MATCH(J1309&amp;"|"&amp;D1309,cr_Key,0)),INDEX(rt_Rate,MATCH(D1309,rt_Code,0))))</f>
        <v>100</v>
      </c>
      <c r="M1309" s="25" t="n">
        <f aca="false">IF(L1309="","",ROUND(N(E1309)*L1309,2))</f>
        <v>225</v>
      </c>
      <c r="N1309" s="39" t="n">
        <f aca="false">IF(OR(A1309="",B1309=""),"",SUMIFS(tl_Hours,tl_StaffID,I1309,tl_Date,A1309))</f>
        <v>8</v>
      </c>
      <c r="O1309" s="40" t="str">
        <f aca="false">IF(A1309&amp;B1309&amp;D1309="","",IF(OR(A1309="",B1309="",D1309="",E1309=""),"Incomplete",IF(K1309="Unknown","Unknown code",IF(AND(K1309="Yes",C1309=""),"Billable, needs client",IF(N1309&gt;MaxDayHours,"Over "&amp;MaxDayHours&amp;" hours that day","")))))</f>
        <v/>
      </c>
    </row>
    <row r="1310" customFormat="false" ht="15" hidden="false" customHeight="false" outlineLevel="0" collapsed="false">
      <c r="A1310" s="31" t="n">
        <v>46274</v>
      </c>
      <c r="B1310" s="32" t="s">
        <v>86</v>
      </c>
      <c r="C1310" s="32" t="s">
        <v>90</v>
      </c>
      <c r="D1310" s="33" t="s">
        <v>104</v>
      </c>
      <c r="E1310" s="34" t="n">
        <v>0.75</v>
      </c>
      <c r="F1310" s="32"/>
      <c r="G1310" s="35" t="n">
        <f aca="false">IF(A1310="","",A1310+7-WEEKDAY(A1310))</f>
        <v>46277</v>
      </c>
      <c r="H1310" s="36" t="n">
        <f aca="false">IF(A1310="","",DATE(YEAR(A1310),MONTH(A1310),1))</f>
        <v>46266</v>
      </c>
      <c r="I1310" s="37" t="str">
        <f aca="false">IF(B1310="","",IFERROR(INDEX(st_ID,MATCH(B1310,st_Name,0)),"Unknown"))</f>
        <v>QP-01</v>
      </c>
      <c r="J1310" s="37" t="str">
        <f aca="false">IF(C1310="","",IFERROR(INDEX(cl_Code,MATCH(C1310,cl_Name,0)),"Unknown"))</f>
        <v>BSE</v>
      </c>
      <c r="K1310" s="37" t="str">
        <f aca="false">IF(D1310="","",IFERROR(INDEX(rt_Billable,MATCH(D1310,rt_Code,0)),"Unknown"))</f>
        <v>Yes</v>
      </c>
      <c r="L1310" s="38" t="n">
        <f aca="false">IF(K1310&lt;&gt;"Yes","",IFERROR(INDEX(cr_Rate,MATCH(J1310&amp;"|"&amp;D1310,cr_Key,0)),INDEX(rt_Rate,MATCH(D1310,rt_Code,0))))</f>
        <v>70</v>
      </c>
      <c r="M1310" s="25" t="n">
        <f aca="false">IF(L1310="","",ROUND(N(E1310)*L1310,2))</f>
        <v>52.5</v>
      </c>
      <c r="N1310" s="39" t="n">
        <f aca="false">IF(OR(A1310="",B1310=""),"",SUMIFS(tl_Hours,tl_StaffID,I1310,tl_Date,A1310))</f>
        <v>8</v>
      </c>
      <c r="O1310" s="40" t="str">
        <f aca="false">IF(A1310&amp;B1310&amp;D1310="","",IF(OR(A1310="",B1310="",D1310="",E1310=""),"Incomplete",IF(K1310="Unknown","Unknown code",IF(AND(K1310="Yes",C1310=""),"Billable, needs client",IF(N1310&gt;MaxDayHours,"Over "&amp;MaxDayHours&amp;" hours that day","")))))</f>
        <v/>
      </c>
    </row>
    <row r="1311" customFormat="false" ht="15" hidden="false" customHeight="false" outlineLevel="0" collapsed="false">
      <c r="A1311" s="31" t="n">
        <v>46274</v>
      </c>
      <c r="B1311" s="32" t="s">
        <v>86</v>
      </c>
      <c r="C1311" s="32" t="s">
        <v>87</v>
      </c>
      <c r="D1311" s="33" t="s">
        <v>104</v>
      </c>
      <c r="E1311" s="34" t="n">
        <v>1.75</v>
      </c>
      <c r="F1311" s="32"/>
      <c r="G1311" s="35" t="n">
        <f aca="false">IF(A1311="","",A1311+7-WEEKDAY(A1311))</f>
        <v>46277</v>
      </c>
      <c r="H1311" s="36" t="n">
        <f aca="false">IF(A1311="","",DATE(YEAR(A1311),MONTH(A1311),1))</f>
        <v>46266</v>
      </c>
      <c r="I1311" s="37" t="str">
        <f aca="false">IF(B1311="","",IFERROR(INDEX(st_ID,MATCH(B1311,st_Name,0)),"Unknown"))</f>
        <v>QP-01</v>
      </c>
      <c r="J1311" s="37" t="str">
        <f aca="false">IF(C1311="","",IFERROR(INDEX(cl_Code,MATCH(C1311,cl_Name,0)),"Unknown"))</f>
        <v>HCS</v>
      </c>
      <c r="K1311" s="37" t="str">
        <f aca="false">IF(D1311="","",IFERROR(INDEX(rt_Billable,MATCH(D1311,rt_Code,0)),"Unknown"))</f>
        <v>Yes</v>
      </c>
      <c r="L1311" s="38" t="n">
        <f aca="false">IF(K1311&lt;&gt;"Yes","",IFERROR(INDEX(cr_Rate,MATCH(J1311&amp;"|"&amp;D1311,cr_Key,0)),INDEX(rt_Rate,MATCH(D1311,rt_Code,0))))</f>
        <v>62</v>
      </c>
      <c r="M1311" s="25" t="n">
        <f aca="false">IF(L1311="","",ROUND(N(E1311)*L1311,2))</f>
        <v>108.5</v>
      </c>
      <c r="N1311" s="39" t="n">
        <f aca="false">IF(OR(A1311="",B1311=""),"",SUMIFS(tl_Hours,tl_StaffID,I1311,tl_Date,A1311))</f>
        <v>8</v>
      </c>
      <c r="O1311" s="40" t="str">
        <f aca="false">IF(A1311&amp;B1311&amp;D1311="","",IF(OR(A1311="",B1311="",D1311="",E1311=""),"Incomplete",IF(K1311="Unknown","Unknown code",IF(AND(K1311="Yes",C1311=""),"Billable, needs client",IF(N1311&gt;MaxDayHours,"Over "&amp;MaxDayHours&amp;" hours that day","")))))</f>
        <v/>
      </c>
    </row>
    <row r="1312" customFormat="false" ht="15" hidden="false" customHeight="false" outlineLevel="0" collapsed="false">
      <c r="A1312" s="31" t="n">
        <v>46274</v>
      </c>
      <c r="B1312" s="32" t="s">
        <v>86</v>
      </c>
      <c r="C1312" s="32" t="s">
        <v>87</v>
      </c>
      <c r="D1312" s="33" t="s">
        <v>113</v>
      </c>
      <c r="E1312" s="34" t="n">
        <v>1.25</v>
      </c>
      <c r="F1312" s="32"/>
      <c r="G1312" s="35" t="n">
        <f aca="false">IF(A1312="","",A1312+7-WEEKDAY(A1312))</f>
        <v>46277</v>
      </c>
      <c r="H1312" s="36" t="n">
        <f aca="false">IF(A1312="","",DATE(YEAR(A1312),MONTH(A1312),1))</f>
        <v>46266</v>
      </c>
      <c r="I1312" s="37" t="str">
        <f aca="false">IF(B1312="","",IFERROR(INDEX(st_ID,MATCH(B1312,st_Name,0)),"Unknown"))</f>
        <v>QP-01</v>
      </c>
      <c r="J1312" s="37" t="str">
        <f aca="false">IF(C1312="","",IFERROR(INDEX(cl_Code,MATCH(C1312,cl_Name,0)),"Unknown"))</f>
        <v>HCS</v>
      </c>
      <c r="K1312" s="37" t="str">
        <f aca="false">IF(D1312="","",IFERROR(INDEX(rt_Billable,MATCH(D1312,rt_Code,0)),"Unknown"))</f>
        <v>Yes</v>
      </c>
      <c r="L1312" s="38" t="n">
        <f aca="false">IF(K1312&lt;&gt;"Yes","",IFERROR(INDEX(cr_Rate,MATCH(J1312&amp;"|"&amp;D1312,cr_Key,0)),INDEX(rt_Rate,MATCH(D1312,rt_Code,0))))</f>
        <v>85</v>
      </c>
      <c r="M1312" s="25" t="n">
        <f aca="false">IF(L1312="","",ROUND(N(E1312)*L1312,2))</f>
        <v>106.25</v>
      </c>
      <c r="N1312" s="39" t="n">
        <f aca="false">IF(OR(A1312="",B1312=""),"",SUMIFS(tl_Hours,tl_StaffID,I1312,tl_Date,A1312))</f>
        <v>8</v>
      </c>
      <c r="O1312" s="40" t="str">
        <f aca="false">IF(A1312&amp;B1312&amp;D1312="","",IF(OR(A1312="",B1312="",D1312="",E1312=""),"Incomplete",IF(K1312="Unknown","Unknown code",IF(AND(K1312="Yes",C1312=""),"Billable, needs client",IF(N1312&gt;MaxDayHours,"Over "&amp;MaxDayHours&amp;" hours that day","")))))</f>
        <v/>
      </c>
    </row>
    <row r="1313" customFormat="false" ht="15" hidden="false" customHeight="false" outlineLevel="0" collapsed="false">
      <c r="A1313" s="31" t="n">
        <v>46274</v>
      </c>
      <c r="B1313" s="32" t="s">
        <v>86</v>
      </c>
      <c r="C1313" s="32"/>
      <c r="D1313" s="33" t="s">
        <v>93</v>
      </c>
      <c r="E1313" s="34" t="n">
        <v>0.5</v>
      </c>
      <c r="F1313" s="32"/>
      <c r="G1313" s="35" t="n">
        <f aca="false">IF(A1313="","",A1313+7-WEEKDAY(A1313))</f>
        <v>46277</v>
      </c>
      <c r="H1313" s="36" t="n">
        <f aca="false">IF(A1313="","",DATE(YEAR(A1313),MONTH(A1313),1))</f>
        <v>46266</v>
      </c>
      <c r="I1313" s="37" t="str">
        <f aca="false">IF(B1313="","",IFERROR(INDEX(st_ID,MATCH(B1313,st_Name,0)),"Unknown"))</f>
        <v>QP-01</v>
      </c>
      <c r="J1313" s="37" t="str">
        <f aca="false">IF(C1313="","",IFERROR(INDEX(cl_Code,MATCH(C1313,cl_Name,0)),"Unknown"))</f>
        <v/>
      </c>
      <c r="K1313" s="37" t="str">
        <f aca="false">IF(D1313="","",IFERROR(INDEX(rt_Billable,MATCH(D1313,rt_Code,0)),"Unknown"))</f>
        <v>No</v>
      </c>
      <c r="L1313" s="38" t="str">
        <f aca="false">IF(K1313&lt;&gt;"Yes","",IFERROR(INDEX(cr_Rate,MATCH(J1313&amp;"|"&amp;D1313,cr_Key,0)),INDEX(rt_Rate,MATCH(D1313,rt_Code,0))))</f>
        <v/>
      </c>
      <c r="M1313" s="25" t="str">
        <f aca="false">IF(L1313="","",ROUND(N(E1313)*L1313,2))</f>
        <v/>
      </c>
      <c r="N1313" s="39" t="n">
        <f aca="false">IF(OR(A1313="",B1313=""),"",SUMIFS(tl_Hours,tl_StaffID,I1313,tl_Date,A1313))</f>
        <v>8</v>
      </c>
      <c r="O1313" s="40" t="str">
        <f aca="false">IF(A1313&amp;B1313&amp;D1313="","",IF(OR(A1313="",B1313="",D1313="",E1313=""),"Incomplete",IF(K1313="Unknown","Unknown code",IF(AND(K1313="Yes",C1313=""),"Billable, needs client",IF(N1313&gt;MaxDayHours,"Over "&amp;MaxDayHours&amp;" hours that day","")))))</f>
        <v/>
      </c>
    </row>
    <row r="1314" customFormat="false" ht="15" hidden="false" customHeight="false" outlineLevel="0" collapsed="false">
      <c r="A1314" s="31" t="n">
        <v>46274</v>
      </c>
      <c r="B1314" s="32" t="s">
        <v>86</v>
      </c>
      <c r="C1314" s="32"/>
      <c r="D1314" s="33" t="s">
        <v>98</v>
      </c>
      <c r="E1314" s="34" t="n">
        <v>1</v>
      </c>
      <c r="F1314" s="32" t="s">
        <v>99</v>
      </c>
      <c r="G1314" s="35" t="n">
        <f aca="false">IF(A1314="","",A1314+7-WEEKDAY(A1314))</f>
        <v>46277</v>
      </c>
      <c r="H1314" s="36" t="n">
        <f aca="false">IF(A1314="","",DATE(YEAR(A1314),MONTH(A1314),1))</f>
        <v>46266</v>
      </c>
      <c r="I1314" s="37" t="str">
        <f aca="false">IF(B1314="","",IFERROR(INDEX(st_ID,MATCH(B1314,st_Name,0)),"Unknown"))</f>
        <v>QP-01</v>
      </c>
      <c r="J1314" s="37" t="str">
        <f aca="false">IF(C1314="","",IFERROR(INDEX(cl_Code,MATCH(C1314,cl_Name,0)),"Unknown"))</f>
        <v/>
      </c>
      <c r="K1314" s="37" t="str">
        <f aca="false">IF(D1314="","",IFERROR(INDEX(rt_Billable,MATCH(D1314,rt_Code,0)),"Unknown"))</f>
        <v>No</v>
      </c>
      <c r="L1314" s="38" t="str">
        <f aca="false">IF(K1314&lt;&gt;"Yes","",IFERROR(INDEX(cr_Rate,MATCH(J1314&amp;"|"&amp;D1314,cr_Key,0)),INDEX(rt_Rate,MATCH(D1314,rt_Code,0))))</f>
        <v/>
      </c>
      <c r="M1314" s="25" t="str">
        <f aca="false">IF(L1314="","",ROUND(N(E1314)*L1314,2))</f>
        <v/>
      </c>
      <c r="N1314" s="39" t="n">
        <f aca="false">IF(OR(A1314="",B1314=""),"",SUMIFS(tl_Hours,tl_StaffID,I1314,tl_Date,A1314))</f>
        <v>8</v>
      </c>
      <c r="O1314" s="40" t="str">
        <f aca="false">IF(A1314&amp;B1314&amp;D1314="","",IF(OR(A1314="",B1314="",D1314="",E1314=""),"Incomplete",IF(K1314="Unknown","Unknown code",IF(AND(K1314="Yes",C1314=""),"Billable, needs client",IF(N1314&gt;MaxDayHours,"Over "&amp;MaxDayHours&amp;" hours that day","")))))</f>
        <v/>
      </c>
    </row>
    <row r="1315" customFormat="false" ht="15" hidden="false" customHeight="false" outlineLevel="0" collapsed="false">
      <c r="A1315" s="31" t="n">
        <v>46274</v>
      </c>
      <c r="B1315" s="32" t="s">
        <v>86</v>
      </c>
      <c r="C1315" s="32"/>
      <c r="D1315" s="33" t="s">
        <v>96</v>
      </c>
      <c r="E1315" s="34" t="n">
        <v>0.5</v>
      </c>
      <c r="F1315" s="32"/>
      <c r="G1315" s="35" t="n">
        <f aca="false">IF(A1315="","",A1315+7-WEEKDAY(A1315))</f>
        <v>46277</v>
      </c>
      <c r="H1315" s="36" t="n">
        <f aca="false">IF(A1315="","",DATE(YEAR(A1315),MONTH(A1315),1))</f>
        <v>46266</v>
      </c>
      <c r="I1315" s="37" t="str">
        <f aca="false">IF(B1315="","",IFERROR(INDEX(st_ID,MATCH(B1315,st_Name,0)),"Unknown"))</f>
        <v>QP-01</v>
      </c>
      <c r="J1315" s="37" t="str">
        <f aca="false">IF(C1315="","",IFERROR(INDEX(cl_Code,MATCH(C1315,cl_Name,0)),"Unknown"))</f>
        <v/>
      </c>
      <c r="K1315" s="37" t="str">
        <f aca="false">IF(D1315="","",IFERROR(INDEX(rt_Billable,MATCH(D1315,rt_Code,0)),"Unknown"))</f>
        <v>No</v>
      </c>
      <c r="L1315" s="38" t="str">
        <f aca="false">IF(K1315&lt;&gt;"Yes","",IFERROR(INDEX(cr_Rate,MATCH(J1315&amp;"|"&amp;D1315,cr_Key,0)),INDEX(rt_Rate,MATCH(D1315,rt_Code,0))))</f>
        <v/>
      </c>
      <c r="M1315" s="25" t="str">
        <f aca="false">IF(L1315="","",ROUND(N(E1315)*L1315,2))</f>
        <v/>
      </c>
      <c r="N1315" s="39" t="n">
        <f aca="false">IF(OR(A1315="",B1315=""),"",SUMIFS(tl_Hours,tl_StaffID,I1315,tl_Date,A1315))</f>
        <v>8</v>
      </c>
      <c r="O1315" s="40" t="str">
        <f aca="false">IF(A1315&amp;B1315&amp;D1315="","",IF(OR(A1315="",B1315="",D1315="",E1315=""),"Incomplete",IF(K1315="Unknown","Unknown code",IF(AND(K1315="Yes",C1315=""),"Billable, needs client",IF(N1315&gt;MaxDayHours,"Over "&amp;MaxDayHours&amp;" hours that day","")))))</f>
        <v/>
      </c>
    </row>
    <row r="1316" customFormat="false" ht="15" hidden="false" customHeight="false" outlineLevel="0" collapsed="false">
      <c r="A1316" s="31" t="n">
        <v>46274</v>
      </c>
      <c r="B1316" s="32" t="s">
        <v>97</v>
      </c>
      <c r="C1316" s="32" t="s">
        <v>87</v>
      </c>
      <c r="D1316" s="33" t="s">
        <v>104</v>
      </c>
      <c r="E1316" s="34" t="n">
        <v>3</v>
      </c>
      <c r="F1316" s="32"/>
      <c r="G1316" s="35" t="n">
        <f aca="false">IF(A1316="","",A1316+7-WEEKDAY(A1316))</f>
        <v>46277</v>
      </c>
      <c r="H1316" s="36" t="n">
        <f aca="false">IF(A1316="","",DATE(YEAR(A1316),MONTH(A1316),1))</f>
        <v>46266</v>
      </c>
      <c r="I1316" s="37" t="str">
        <f aca="false">IF(B1316="","",IFERROR(INDEX(st_ID,MATCH(B1316,st_Name,0)),"Unknown"))</f>
        <v>QP-02</v>
      </c>
      <c r="J1316" s="37" t="str">
        <f aca="false">IF(C1316="","",IFERROR(INDEX(cl_Code,MATCH(C1316,cl_Name,0)),"Unknown"))</f>
        <v>HCS</v>
      </c>
      <c r="K1316" s="37" t="str">
        <f aca="false">IF(D1316="","",IFERROR(INDEX(rt_Billable,MATCH(D1316,rt_Code,0)),"Unknown"))</f>
        <v>Yes</v>
      </c>
      <c r="L1316" s="38" t="n">
        <f aca="false">IF(K1316&lt;&gt;"Yes","",IFERROR(INDEX(cr_Rate,MATCH(J1316&amp;"|"&amp;D1316,cr_Key,0)),INDEX(rt_Rate,MATCH(D1316,rt_Code,0))))</f>
        <v>62</v>
      </c>
      <c r="M1316" s="25" t="n">
        <f aca="false">IF(L1316="","",ROUND(N(E1316)*L1316,2))</f>
        <v>186</v>
      </c>
      <c r="N1316" s="39" t="n">
        <f aca="false">IF(OR(A1316="",B1316=""),"",SUMIFS(tl_Hours,tl_StaffID,I1316,tl_Date,A1316))</f>
        <v>8</v>
      </c>
      <c r="O1316" s="40" t="str">
        <f aca="false">IF(A1316&amp;B1316&amp;D1316="","",IF(OR(A1316="",B1316="",D1316="",E1316=""),"Incomplete",IF(K1316="Unknown","Unknown code",IF(AND(K1316="Yes",C1316=""),"Billable, needs client",IF(N1316&gt;MaxDayHours,"Over "&amp;MaxDayHours&amp;" hours that day","")))))</f>
        <v/>
      </c>
    </row>
    <row r="1317" customFormat="false" ht="15" hidden="false" customHeight="false" outlineLevel="0" collapsed="false">
      <c r="A1317" s="31" t="n">
        <v>46274</v>
      </c>
      <c r="B1317" s="32" t="s">
        <v>97</v>
      </c>
      <c r="C1317" s="32" t="s">
        <v>87</v>
      </c>
      <c r="D1317" s="33" t="s">
        <v>113</v>
      </c>
      <c r="E1317" s="34" t="n">
        <v>2.25</v>
      </c>
      <c r="F1317" s="32"/>
      <c r="G1317" s="35" t="n">
        <f aca="false">IF(A1317="","",A1317+7-WEEKDAY(A1317))</f>
        <v>46277</v>
      </c>
      <c r="H1317" s="36" t="n">
        <f aca="false">IF(A1317="","",DATE(YEAR(A1317),MONTH(A1317),1))</f>
        <v>46266</v>
      </c>
      <c r="I1317" s="37" t="str">
        <f aca="false">IF(B1317="","",IFERROR(INDEX(st_ID,MATCH(B1317,st_Name,0)),"Unknown"))</f>
        <v>QP-02</v>
      </c>
      <c r="J1317" s="37" t="str">
        <f aca="false">IF(C1317="","",IFERROR(INDEX(cl_Code,MATCH(C1317,cl_Name,0)),"Unknown"))</f>
        <v>HCS</v>
      </c>
      <c r="K1317" s="37" t="str">
        <f aca="false">IF(D1317="","",IFERROR(INDEX(rt_Billable,MATCH(D1317,rt_Code,0)),"Unknown"))</f>
        <v>Yes</v>
      </c>
      <c r="L1317" s="38" t="n">
        <f aca="false">IF(K1317&lt;&gt;"Yes","",IFERROR(INDEX(cr_Rate,MATCH(J1317&amp;"|"&amp;D1317,cr_Key,0)),INDEX(rt_Rate,MATCH(D1317,rt_Code,0))))</f>
        <v>85</v>
      </c>
      <c r="M1317" s="25" t="n">
        <f aca="false">IF(L1317="","",ROUND(N(E1317)*L1317,2))</f>
        <v>191.25</v>
      </c>
      <c r="N1317" s="39" t="n">
        <f aca="false">IF(OR(A1317="",B1317=""),"",SUMIFS(tl_Hours,tl_StaffID,I1317,tl_Date,A1317))</f>
        <v>8</v>
      </c>
      <c r="O1317" s="40" t="str">
        <f aca="false">IF(A1317&amp;B1317&amp;D1317="","",IF(OR(A1317="",B1317="",D1317="",E1317=""),"Incomplete",IF(K1317="Unknown","Unknown code",IF(AND(K1317="Yes",C1317=""),"Billable, needs client",IF(N1317&gt;MaxDayHours,"Over "&amp;MaxDayHours&amp;" hours that day","")))))</f>
        <v/>
      </c>
    </row>
    <row r="1318" customFormat="false" ht="15" hidden="false" customHeight="false" outlineLevel="0" collapsed="false">
      <c r="A1318" s="31" t="n">
        <v>46274</v>
      </c>
      <c r="B1318" s="32" t="s">
        <v>97</v>
      </c>
      <c r="C1318" s="32"/>
      <c r="D1318" s="33" t="s">
        <v>96</v>
      </c>
      <c r="E1318" s="34" t="n">
        <v>2.75</v>
      </c>
      <c r="F1318" s="32"/>
      <c r="G1318" s="35" t="n">
        <f aca="false">IF(A1318="","",A1318+7-WEEKDAY(A1318))</f>
        <v>46277</v>
      </c>
      <c r="H1318" s="36" t="n">
        <f aca="false">IF(A1318="","",DATE(YEAR(A1318),MONTH(A1318),1))</f>
        <v>46266</v>
      </c>
      <c r="I1318" s="37" t="str">
        <f aca="false">IF(B1318="","",IFERROR(INDEX(st_ID,MATCH(B1318,st_Name,0)),"Unknown"))</f>
        <v>QP-02</v>
      </c>
      <c r="J1318" s="37" t="str">
        <f aca="false">IF(C1318="","",IFERROR(INDEX(cl_Code,MATCH(C1318,cl_Name,0)),"Unknown"))</f>
        <v/>
      </c>
      <c r="K1318" s="37" t="str">
        <f aca="false">IF(D1318="","",IFERROR(INDEX(rt_Billable,MATCH(D1318,rt_Code,0)),"Unknown"))</f>
        <v>No</v>
      </c>
      <c r="L1318" s="38" t="str">
        <f aca="false">IF(K1318&lt;&gt;"Yes","",IFERROR(INDEX(cr_Rate,MATCH(J1318&amp;"|"&amp;D1318,cr_Key,0)),INDEX(rt_Rate,MATCH(D1318,rt_Code,0))))</f>
        <v/>
      </c>
      <c r="M1318" s="25" t="str">
        <f aca="false">IF(L1318="","",ROUND(N(E1318)*L1318,2))</f>
        <v/>
      </c>
      <c r="N1318" s="39" t="n">
        <f aca="false">IF(OR(A1318="",B1318=""),"",SUMIFS(tl_Hours,tl_StaffID,I1318,tl_Date,A1318))</f>
        <v>8</v>
      </c>
      <c r="O1318" s="40" t="str">
        <f aca="false">IF(A1318&amp;B1318&amp;D1318="","",IF(OR(A1318="",B1318="",D1318="",E1318=""),"Incomplete",IF(K1318="Unknown","Unknown code",IF(AND(K1318="Yes",C1318=""),"Billable, needs client",IF(N1318&gt;MaxDayHours,"Over "&amp;MaxDayHours&amp;" hours that day","")))))</f>
        <v/>
      </c>
    </row>
    <row r="1319" customFormat="false" ht="15" hidden="false" customHeight="false" outlineLevel="0" collapsed="false">
      <c r="A1319" s="31" t="n">
        <v>46274</v>
      </c>
      <c r="B1319" s="32" t="s">
        <v>100</v>
      </c>
      <c r="C1319" s="32" t="s">
        <v>102</v>
      </c>
      <c r="D1319" s="33" t="s">
        <v>104</v>
      </c>
      <c r="E1319" s="34" t="n">
        <v>2.75</v>
      </c>
      <c r="F1319" s="32"/>
      <c r="G1319" s="35" t="n">
        <f aca="false">IF(A1319="","",A1319+7-WEEKDAY(A1319))</f>
        <v>46277</v>
      </c>
      <c r="H1319" s="36" t="n">
        <f aca="false">IF(A1319="","",DATE(YEAR(A1319),MONTH(A1319),1))</f>
        <v>46266</v>
      </c>
      <c r="I1319" s="37" t="str">
        <f aca="false">IF(B1319="","",IFERROR(INDEX(st_ID,MATCH(B1319,st_Name,0)),"Unknown"))</f>
        <v>QP-03</v>
      </c>
      <c r="J1319" s="37" t="str">
        <f aca="false">IF(C1319="","",IFERROR(INDEX(cl_Code,MATCH(C1319,cl_Name,0)),"Unknown"))</f>
        <v>CLH</v>
      </c>
      <c r="K1319" s="37" t="str">
        <f aca="false">IF(D1319="","",IFERROR(INDEX(rt_Billable,MATCH(D1319,rt_Code,0)),"Unknown"))</f>
        <v>Yes</v>
      </c>
      <c r="L1319" s="38" t="n">
        <f aca="false">IF(K1319&lt;&gt;"Yes","",IFERROR(INDEX(cr_Rate,MATCH(J1319&amp;"|"&amp;D1319,cr_Key,0)),INDEX(rt_Rate,MATCH(D1319,rt_Code,0))))</f>
        <v>65</v>
      </c>
      <c r="M1319" s="25" t="n">
        <f aca="false">IF(L1319="","",ROUND(N(E1319)*L1319,2))</f>
        <v>178.75</v>
      </c>
      <c r="N1319" s="39" t="n">
        <f aca="false">IF(OR(A1319="",B1319=""),"",SUMIFS(tl_Hours,tl_StaffID,I1319,tl_Date,A1319))</f>
        <v>8</v>
      </c>
      <c r="O1319" s="40" t="str">
        <f aca="false">IF(A1319&amp;B1319&amp;D1319="","",IF(OR(A1319="",B1319="",D1319="",E1319=""),"Incomplete",IF(K1319="Unknown","Unknown code",IF(AND(K1319="Yes",C1319=""),"Billable, needs client",IF(N1319&gt;MaxDayHours,"Over "&amp;MaxDayHours&amp;" hours that day","")))))</f>
        <v/>
      </c>
    </row>
    <row r="1320" customFormat="false" ht="15" hidden="false" customHeight="false" outlineLevel="0" collapsed="false">
      <c r="A1320" s="31" t="n">
        <v>46274</v>
      </c>
      <c r="B1320" s="32" t="s">
        <v>100</v>
      </c>
      <c r="C1320" s="32" t="s">
        <v>102</v>
      </c>
      <c r="D1320" s="33" t="s">
        <v>89</v>
      </c>
      <c r="E1320" s="34" t="n">
        <v>2</v>
      </c>
      <c r="F1320" s="32"/>
      <c r="G1320" s="35" t="n">
        <f aca="false">IF(A1320="","",A1320+7-WEEKDAY(A1320))</f>
        <v>46277</v>
      </c>
      <c r="H1320" s="36" t="n">
        <f aca="false">IF(A1320="","",DATE(YEAR(A1320),MONTH(A1320),1))</f>
        <v>46266</v>
      </c>
      <c r="I1320" s="37" t="str">
        <f aca="false">IF(B1320="","",IFERROR(INDEX(st_ID,MATCH(B1320,st_Name,0)),"Unknown"))</f>
        <v>QP-03</v>
      </c>
      <c r="J1320" s="37" t="str">
        <f aca="false">IF(C1320="","",IFERROR(INDEX(cl_Code,MATCH(C1320,cl_Name,0)),"Unknown"))</f>
        <v>CLH</v>
      </c>
      <c r="K1320" s="37" t="str">
        <f aca="false">IF(D1320="","",IFERROR(INDEX(rt_Billable,MATCH(D1320,rt_Code,0)),"Unknown"))</f>
        <v>Yes</v>
      </c>
      <c r="L1320" s="38" t="n">
        <f aca="false">IF(K1320&lt;&gt;"Yes","",IFERROR(INDEX(cr_Rate,MATCH(J1320&amp;"|"&amp;D1320,cr_Key,0)),INDEX(rt_Rate,MATCH(D1320,rt_Code,0))))</f>
        <v>95</v>
      </c>
      <c r="M1320" s="25" t="n">
        <f aca="false">IF(L1320="","",ROUND(N(E1320)*L1320,2))</f>
        <v>190</v>
      </c>
      <c r="N1320" s="39" t="n">
        <f aca="false">IF(OR(A1320="",B1320=""),"",SUMIFS(tl_Hours,tl_StaffID,I1320,tl_Date,A1320))</f>
        <v>8</v>
      </c>
      <c r="O1320" s="40" t="str">
        <f aca="false">IF(A1320&amp;B1320&amp;D1320="","",IF(OR(A1320="",B1320="",D1320="",E1320=""),"Incomplete",IF(K1320="Unknown","Unknown code",IF(AND(K1320="Yes",C1320=""),"Billable, needs client",IF(N1320&gt;MaxDayHours,"Over "&amp;MaxDayHours&amp;" hours that day","")))))</f>
        <v/>
      </c>
    </row>
    <row r="1321" customFormat="false" ht="15" hidden="false" customHeight="false" outlineLevel="0" collapsed="false">
      <c r="A1321" s="31" t="n">
        <v>46274</v>
      </c>
      <c r="B1321" s="32" t="s">
        <v>100</v>
      </c>
      <c r="C1321" s="32"/>
      <c r="D1321" s="33" t="s">
        <v>98</v>
      </c>
      <c r="E1321" s="34" t="n">
        <v>1</v>
      </c>
      <c r="F1321" s="32" t="s">
        <v>99</v>
      </c>
      <c r="G1321" s="35" t="n">
        <f aca="false">IF(A1321="","",A1321+7-WEEKDAY(A1321))</f>
        <v>46277</v>
      </c>
      <c r="H1321" s="36" t="n">
        <f aca="false">IF(A1321="","",DATE(YEAR(A1321),MONTH(A1321),1))</f>
        <v>46266</v>
      </c>
      <c r="I1321" s="37" t="str">
        <f aca="false">IF(B1321="","",IFERROR(INDEX(st_ID,MATCH(B1321,st_Name,0)),"Unknown"))</f>
        <v>QP-03</v>
      </c>
      <c r="J1321" s="37" t="str">
        <f aca="false">IF(C1321="","",IFERROR(INDEX(cl_Code,MATCH(C1321,cl_Name,0)),"Unknown"))</f>
        <v/>
      </c>
      <c r="K1321" s="37" t="str">
        <f aca="false">IF(D1321="","",IFERROR(INDEX(rt_Billable,MATCH(D1321,rt_Code,0)),"Unknown"))</f>
        <v>No</v>
      </c>
      <c r="L1321" s="38" t="str">
        <f aca="false">IF(K1321&lt;&gt;"Yes","",IFERROR(INDEX(cr_Rate,MATCH(J1321&amp;"|"&amp;D1321,cr_Key,0)),INDEX(rt_Rate,MATCH(D1321,rt_Code,0))))</f>
        <v/>
      </c>
      <c r="M1321" s="25" t="str">
        <f aca="false">IF(L1321="","",ROUND(N(E1321)*L1321,2))</f>
        <v/>
      </c>
      <c r="N1321" s="39" t="n">
        <f aca="false">IF(OR(A1321="",B1321=""),"",SUMIFS(tl_Hours,tl_StaffID,I1321,tl_Date,A1321))</f>
        <v>8</v>
      </c>
      <c r="O1321" s="40" t="str">
        <f aca="false">IF(A1321&amp;B1321&amp;D1321="","",IF(OR(A1321="",B1321="",D1321="",E1321=""),"Incomplete",IF(K1321="Unknown","Unknown code",IF(AND(K1321="Yes",C1321=""),"Billable, needs client",IF(N1321&gt;MaxDayHours,"Over "&amp;MaxDayHours&amp;" hours that day","")))))</f>
        <v/>
      </c>
    </row>
    <row r="1322" customFormat="false" ht="15" hidden="false" customHeight="false" outlineLevel="0" collapsed="false">
      <c r="A1322" s="31" t="n">
        <v>46274</v>
      </c>
      <c r="B1322" s="32" t="s">
        <v>100</v>
      </c>
      <c r="C1322" s="32"/>
      <c r="D1322" s="33" t="s">
        <v>96</v>
      </c>
      <c r="E1322" s="34" t="n">
        <v>2.25</v>
      </c>
      <c r="F1322" s="32"/>
      <c r="G1322" s="35" t="n">
        <f aca="false">IF(A1322="","",A1322+7-WEEKDAY(A1322))</f>
        <v>46277</v>
      </c>
      <c r="H1322" s="36" t="n">
        <f aca="false">IF(A1322="","",DATE(YEAR(A1322),MONTH(A1322),1))</f>
        <v>46266</v>
      </c>
      <c r="I1322" s="37" t="str">
        <f aca="false">IF(B1322="","",IFERROR(INDEX(st_ID,MATCH(B1322,st_Name,0)),"Unknown"))</f>
        <v>QP-03</v>
      </c>
      <c r="J1322" s="37" t="str">
        <f aca="false">IF(C1322="","",IFERROR(INDEX(cl_Code,MATCH(C1322,cl_Name,0)),"Unknown"))</f>
        <v/>
      </c>
      <c r="K1322" s="37" t="str">
        <f aca="false">IF(D1322="","",IFERROR(INDEX(rt_Billable,MATCH(D1322,rt_Code,0)),"Unknown"))</f>
        <v>No</v>
      </c>
      <c r="L1322" s="38" t="str">
        <f aca="false">IF(K1322&lt;&gt;"Yes","",IFERROR(INDEX(cr_Rate,MATCH(J1322&amp;"|"&amp;D1322,cr_Key,0)),INDEX(rt_Rate,MATCH(D1322,rt_Code,0))))</f>
        <v/>
      </c>
      <c r="M1322" s="25" t="str">
        <f aca="false">IF(L1322="","",ROUND(N(E1322)*L1322,2))</f>
        <v/>
      </c>
      <c r="N1322" s="39" t="n">
        <f aca="false">IF(OR(A1322="",B1322=""),"",SUMIFS(tl_Hours,tl_StaffID,I1322,tl_Date,A1322))</f>
        <v>8</v>
      </c>
      <c r="O1322" s="40" t="str">
        <f aca="false">IF(A1322&amp;B1322&amp;D1322="","",IF(OR(A1322="",B1322="",D1322="",E1322=""),"Incomplete",IF(K1322="Unknown","Unknown code",IF(AND(K1322="Yes",C1322=""),"Billable, needs client",IF(N1322&gt;MaxDayHours,"Over "&amp;MaxDayHours&amp;" hours that day","")))))</f>
        <v/>
      </c>
    </row>
    <row r="1323" customFormat="false" ht="15" hidden="false" customHeight="false" outlineLevel="0" collapsed="false">
      <c r="A1323" s="31" t="n">
        <v>46274</v>
      </c>
      <c r="B1323" s="32" t="s">
        <v>101</v>
      </c>
      <c r="C1323" s="32" t="s">
        <v>87</v>
      </c>
      <c r="D1323" s="33" t="s">
        <v>104</v>
      </c>
      <c r="E1323" s="34" t="n">
        <v>3.5</v>
      </c>
      <c r="F1323" s="32"/>
      <c r="G1323" s="35" t="n">
        <f aca="false">IF(A1323="","",A1323+7-WEEKDAY(A1323))</f>
        <v>46277</v>
      </c>
      <c r="H1323" s="36" t="n">
        <f aca="false">IF(A1323="","",DATE(YEAR(A1323),MONTH(A1323),1))</f>
        <v>46266</v>
      </c>
      <c r="I1323" s="37" t="str">
        <f aca="false">IF(B1323="","",IFERROR(INDEX(st_ID,MATCH(B1323,st_Name,0)),"Unknown"))</f>
        <v>QP-04</v>
      </c>
      <c r="J1323" s="37" t="str">
        <f aca="false">IF(C1323="","",IFERROR(INDEX(cl_Code,MATCH(C1323,cl_Name,0)),"Unknown"))</f>
        <v>HCS</v>
      </c>
      <c r="K1323" s="37" t="str">
        <f aca="false">IF(D1323="","",IFERROR(INDEX(rt_Billable,MATCH(D1323,rt_Code,0)),"Unknown"))</f>
        <v>Yes</v>
      </c>
      <c r="L1323" s="38" t="n">
        <f aca="false">IF(K1323&lt;&gt;"Yes","",IFERROR(INDEX(cr_Rate,MATCH(J1323&amp;"|"&amp;D1323,cr_Key,0)),INDEX(rt_Rate,MATCH(D1323,rt_Code,0))))</f>
        <v>62</v>
      </c>
      <c r="M1323" s="25" t="n">
        <f aca="false">IF(L1323="","",ROUND(N(E1323)*L1323,2))</f>
        <v>217</v>
      </c>
      <c r="N1323" s="39" t="n">
        <f aca="false">IF(OR(A1323="",B1323=""),"",SUMIFS(tl_Hours,tl_StaffID,I1323,tl_Date,A1323))</f>
        <v>8</v>
      </c>
      <c r="O1323" s="40" t="str">
        <f aca="false">IF(A1323&amp;B1323&amp;D1323="","",IF(OR(A1323="",B1323="",D1323="",E1323=""),"Incomplete",IF(K1323="Unknown","Unknown code",IF(AND(K1323="Yes",C1323=""),"Billable, needs client",IF(N1323&gt;MaxDayHours,"Over "&amp;MaxDayHours&amp;" hours that day","")))))</f>
        <v/>
      </c>
    </row>
    <row r="1324" customFormat="false" ht="15" hidden="false" customHeight="false" outlineLevel="0" collapsed="false">
      <c r="A1324" s="31" t="n">
        <v>46274</v>
      </c>
      <c r="B1324" s="32" t="s">
        <v>101</v>
      </c>
      <c r="C1324" s="32" t="s">
        <v>87</v>
      </c>
      <c r="D1324" s="33" t="s">
        <v>89</v>
      </c>
      <c r="E1324" s="34" t="n">
        <v>2.25</v>
      </c>
      <c r="F1324" s="32"/>
      <c r="G1324" s="35" t="n">
        <f aca="false">IF(A1324="","",A1324+7-WEEKDAY(A1324))</f>
        <v>46277</v>
      </c>
      <c r="H1324" s="36" t="n">
        <f aca="false">IF(A1324="","",DATE(YEAR(A1324),MONTH(A1324),1))</f>
        <v>46266</v>
      </c>
      <c r="I1324" s="37" t="str">
        <f aca="false">IF(B1324="","",IFERROR(INDEX(st_ID,MATCH(B1324,st_Name,0)),"Unknown"))</f>
        <v>QP-04</v>
      </c>
      <c r="J1324" s="37" t="str">
        <f aca="false">IF(C1324="","",IFERROR(INDEX(cl_Code,MATCH(C1324,cl_Name,0)),"Unknown"))</f>
        <v>HCS</v>
      </c>
      <c r="K1324" s="37" t="str">
        <f aca="false">IF(D1324="","",IFERROR(INDEX(rt_Billable,MATCH(D1324,rt_Code,0)),"Unknown"))</f>
        <v>Yes</v>
      </c>
      <c r="L1324" s="38" t="n">
        <f aca="false">IF(K1324&lt;&gt;"Yes","",IFERROR(INDEX(cr_Rate,MATCH(J1324&amp;"|"&amp;D1324,cr_Key,0)),INDEX(rt_Rate,MATCH(D1324,rt_Code,0))))</f>
        <v>88</v>
      </c>
      <c r="M1324" s="25" t="n">
        <f aca="false">IF(L1324="","",ROUND(N(E1324)*L1324,2))</f>
        <v>198</v>
      </c>
      <c r="N1324" s="39" t="n">
        <f aca="false">IF(OR(A1324="",B1324=""),"",SUMIFS(tl_Hours,tl_StaffID,I1324,tl_Date,A1324))</f>
        <v>8</v>
      </c>
      <c r="O1324" s="40" t="str">
        <f aca="false">IF(A1324&amp;B1324&amp;D1324="","",IF(OR(A1324="",B1324="",D1324="",E1324=""),"Incomplete",IF(K1324="Unknown","Unknown code",IF(AND(K1324="Yes",C1324=""),"Billable, needs client",IF(N1324&gt;MaxDayHours,"Over "&amp;MaxDayHours&amp;" hours that day","")))))</f>
        <v/>
      </c>
    </row>
    <row r="1325" customFormat="false" ht="15" hidden="false" customHeight="false" outlineLevel="0" collapsed="false">
      <c r="A1325" s="31" t="n">
        <v>46274</v>
      </c>
      <c r="B1325" s="32" t="s">
        <v>101</v>
      </c>
      <c r="C1325" s="32"/>
      <c r="D1325" s="33" t="s">
        <v>98</v>
      </c>
      <c r="E1325" s="34" t="n">
        <v>1</v>
      </c>
      <c r="F1325" s="32" t="s">
        <v>99</v>
      </c>
      <c r="G1325" s="35" t="n">
        <f aca="false">IF(A1325="","",A1325+7-WEEKDAY(A1325))</f>
        <v>46277</v>
      </c>
      <c r="H1325" s="36" t="n">
        <f aca="false">IF(A1325="","",DATE(YEAR(A1325),MONTH(A1325),1))</f>
        <v>46266</v>
      </c>
      <c r="I1325" s="37" t="str">
        <f aca="false">IF(B1325="","",IFERROR(INDEX(st_ID,MATCH(B1325,st_Name,0)),"Unknown"))</f>
        <v>QP-04</v>
      </c>
      <c r="J1325" s="37" t="str">
        <f aca="false">IF(C1325="","",IFERROR(INDEX(cl_Code,MATCH(C1325,cl_Name,0)),"Unknown"))</f>
        <v/>
      </c>
      <c r="K1325" s="37" t="str">
        <f aca="false">IF(D1325="","",IFERROR(INDEX(rt_Billable,MATCH(D1325,rt_Code,0)),"Unknown"))</f>
        <v>No</v>
      </c>
      <c r="L1325" s="38" t="str">
        <f aca="false">IF(K1325&lt;&gt;"Yes","",IFERROR(INDEX(cr_Rate,MATCH(J1325&amp;"|"&amp;D1325,cr_Key,0)),INDEX(rt_Rate,MATCH(D1325,rt_Code,0))))</f>
        <v/>
      </c>
      <c r="M1325" s="25" t="str">
        <f aca="false">IF(L1325="","",ROUND(N(E1325)*L1325,2))</f>
        <v/>
      </c>
      <c r="N1325" s="39" t="n">
        <f aca="false">IF(OR(A1325="",B1325=""),"",SUMIFS(tl_Hours,tl_StaffID,I1325,tl_Date,A1325))</f>
        <v>8</v>
      </c>
      <c r="O1325" s="40" t="str">
        <f aca="false">IF(A1325&amp;B1325&amp;D1325="","",IF(OR(A1325="",B1325="",D1325="",E1325=""),"Incomplete",IF(K1325="Unknown","Unknown code",IF(AND(K1325="Yes",C1325=""),"Billable, needs client",IF(N1325&gt;MaxDayHours,"Over "&amp;MaxDayHours&amp;" hours that day","")))))</f>
        <v/>
      </c>
    </row>
    <row r="1326" customFormat="false" ht="15" hidden="false" customHeight="false" outlineLevel="0" collapsed="false">
      <c r="A1326" s="31" t="n">
        <v>46274</v>
      </c>
      <c r="B1326" s="32" t="s">
        <v>101</v>
      </c>
      <c r="C1326" s="32"/>
      <c r="D1326" s="33" t="s">
        <v>96</v>
      </c>
      <c r="E1326" s="34" t="n">
        <v>1.25</v>
      </c>
      <c r="F1326" s="32"/>
      <c r="G1326" s="35" t="n">
        <f aca="false">IF(A1326="","",A1326+7-WEEKDAY(A1326))</f>
        <v>46277</v>
      </c>
      <c r="H1326" s="36" t="n">
        <f aca="false">IF(A1326="","",DATE(YEAR(A1326),MONTH(A1326),1))</f>
        <v>46266</v>
      </c>
      <c r="I1326" s="37" t="str">
        <f aca="false">IF(B1326="","",IFERROR(INDEX(st_ID,MATCH(B1326,st_Name,0)),"Unknown"))</f>
        <v>QP-04</v>
      </c>
      <c r="J1326" s="37" t="str">
        <f aca="false">IF(C1326="","",IFERROR(INDEX(cl_Code,MATCH(C1326,cl_Name,0)),"Unknown"))</f>
        <v/>
      </c>
      <c r="K1326" s="37" t="str">
        <f aca="false">IF(D1326="","",IFERROR(INDEX(rt_Billable,MATCH(D1326,rt_Code,0)),"Unknown"))</f>
        <v>No</v>
      </c>
      <c r="L1326" s="38" t="str">
        <f aca="false">IF(K1326&lt;&gt;"Yes","",IFERROR(INDEX(cr_Rate,MATCH(J1326&amp;"|"&amp;D1326,cr_Key,0)),INDEX(rt_Rate,MATCH(D1326,rt_Code,0))))</f>
        <v/>
      </c>
      <c r="M1326" s="25" t="str">
        <f aca="false">IF(L1326="","",ROUND(N(E1326)*L1326,2))</f>
        <v/>
      </c>
      <c r="N1326" s="39" t="n">
        <f aca="false">IF(OR(A1326="",B1326=""),"",SUMIFS(tl_Hours,tl_StaffID,I1326,tl_Date,A1326))</f>
        <v>8</v>
      </c>
      <c r="O1326" s="40" t="str">
        <f aca="false">IF(A1326&amp;B1326&amp;D1326="","",IF(OR(A1326="",B1326="",D1326="",E1326=""),"Incomplete",IF(K1326="Unknown","Unknown code",IF(AND(K1326="Yes",C1326=""),"Billable, needs client",IF(N1326&gt;MaxDayHours,"Over "&amp;MaxDayHours&amp;" hours that day","")))))</f>
        <v/>
      </c>
    </row>
    <row r="1327" customFormat="false" ht="15" hidden="false" customHeight="false" outlineLevel="0" collapsed="false">
      <c r="A1327" s="31" t="n">
        <v>46274</v>
      </c>
      <c r="B1327" s="32" t="s">
        <v>103</v>
      </c>
      <c r="C1327" s="32" t="s">
        <v>87</v>
      </c>
      <c r="D1327" s="33" t="s">
        <v>88</v>
      </c>
      <c r="E1327" s="34" t="n">
        <v>4.75</v>
      </c>
      <c r="F1327" s="32"/>
      <c r="G1327" s="35" t="n">
        <f aca="false">IF(A1327="","",A1327+7-WEEKDAY(A1327))</f>
        <v>46277</v>
      </c>
      <c r="H1327" s="36" t="n">
        <f aca="false">IF(A1327="","",DATE(YEAR(A1327),MONTH(A1327),1))</f>
        <v>46266</v>
      </c>
      <c r="I1327" s="37" t="str">
        <f aca="false">IF(B1327="","",IFERROR(INDEX(st_ID,MATCH(B1327,st_Name,0)),"Unknown"))</f>
        <v>QP-05</v>
      </c>
      <c r="J1327" s="37" t="str">
        <f aca="false">IF(C1327="","",IFERROR(INDEX(cl_Code,MATCH(C1327,cl_Name,0)),"Unknown"))</f>
        <v>HCS</v>
      </c>
      <c r="K1327" s="37" t="str">
        <f aca="false">IF(D1327="","",IFERROR(INDEX(rt_Billable,MATCH(D1327,rt_Code,0)),"Unknown"))</f>
        <v>Yes</v>
      </c>
      <c r="L1327" s="38" t="n">
        <f aca="false">IF(K1327&lt;&gt;"Yes","",IFERROR(INDEX(cr_Rate,MATCH(J1327&amp;"|"&amp;D1327,cr_Key,0)),INDEX(rt_Rate,MATCH(D1327,rt_Code,0))))</f>
        <v>98</v>
      </c>
      <c r="M1327" s="25" t="n">
        <f aca="false">IF(L1327="","",ROUND(N(E1327)*L1327,2))</f>
        <v>465.5</v>
      </c>
      <c r="N1327" s="39" t="n">
        <f aca="false">IF(OR(A1327="",B1327=""),"",SUMIFS(tl_Hours,tl_StaffID,I1327,tl_Date,A1327))</f>
        <v>8</v>
      </c>
      <c r="O1327" s="40" t="str">
        <f aca="false">IF(A1327&amp;B1327&amp;D1327="","",IF(OR(A1327="",B1327="",D1327="",E1327=""),"Incomplete",IF(K1327="Unknown","Unknown code",IF(AND(K1327="Yes",C1327=""),"Billable, needs client",IF(N1327&gt;MaxDayHours,"Over "&amp;MaxDayHours&amp;" hours that day","")))))</f>
        <v/>
      </c>
    </row>
    <row r="1328" customFormat="false" ht="15" hidden="false" customHeight="false" outlineLevel="0" collapsed="false">
      <c r="A1328" s="31" t="n">
        <v>46274</v>
      </c>
      <c r="B1328" s="32" t="s">
        <v>103</v>
      </c>
      <c r="C1328" s="32" t="s">
        <v>87</v>
      </c>
      <c r="D1328" s="33" t="s">
        <v>89</v>
      </c>
      <c r="E1328" s="34" t="n">
        <v>1.5</v>
      </c>
      <c r="F1328" s="32"/>
      <c r="G1328" s="35" t="n">
        <f aca="false">IF(A1328="","",A1328+7-WEEKDAY(A1328))</f>
        <v>46277</v>
      </c>
      <c r="H1328" s="36" t="n">
        <f aca="false">IF(A1328="","",DATE(YEAR(A1328),MONTH(A1328),1))</f>
        <v>46266</v>
      </c>
      <c r="I1328" s="37" t="str">
        <f aca="false">IF(B1328="","",IFERROR(INDEX(st_ID,MATCH(B1328,st_Name,0)),"Unknown"))</f>
        <v>QP-05</v>
      </c>
      <c r="J1328" s="37" t="str">
        <f aca="false">IF(C1328="","",IFERROR(INDEX(cl_Code,MATCH(C1328,cl_Name,0)),"Unknown"))</f>
        <v>HCS</v>
      </c>
      <c r="K1328" s="37" t="str">
        <f aca="false">IF(D1328="","",IFERROR(INDEX(rt_Billable,MATCH(D1328,rt_Code,0)),"Unknown"))</f>
        <v>Yes</v>
      </c>
      <c r="L1328" s="38" t="n">
        <f aca="false">IF(K1328&lt;&gt;"Yes","",IFERROR(INDEX(cr_Rate,MATCH(J1328&amp;"|"&amp;D1328,cr_Key,0)),INDEX(rt_Rate,MATCH(D1328,rt_Code,0))))</f>
        <v>88</v>
      </c>
      <c r="M1328" s="25" t="n">
        <f aca="false">IF(L1328="","",ROUND(N(E1328)*L1328,2))</f>
        <v>132</v>
      </c>
      <c r="N1328" s="39" t="n">
        <f aca="false">IF(OR(A1328="",B1328=""),"",SUMIFS(tl_Hours,tl_StaffID,I1328,tl_Date,A1328))</f>
        <v>8</v>
      </c>
      <c r="O1328" s="40" t="str">
        <f aca="false">IF(A1328&amp;B1328&amp;D1328="","",IF(OR(A1328="",B1328="",D1328="",E1328=""),"Incomplete",IF(K1328="Unknown","Unknown code",IF(AND(K1328="Yes",C1328=""),"Billable, needs client",IF(N1328&gt;MaxDayHours,"Over "&amp;MaxDayHours&amp;" hours that day","")))))</f>
        <v/>
      </c>
    </row>
    <row r="1329" customFormat="false" ht="15" hidden="false" customHeight="false" outlineLevel="0" collapsed="false">
      <c r="A1329" s="31" t="n">
        <v>46274</v>
      </c>
      <c r="B1329" s="32" t="s">
        <v>103</v>
      </c>
      <c r="C1329" s="32"/>
      <c r="D1329" s="33" t="s">
        <v>98</v>
      </c>
      <c r="E1329" s="34" t="n">
        <v>1</v>
      </c>
      <c r="F1329" s="32" t="s">
        <v>99</v>
      </c>
      <c r="G1329" s="35" t="n">
        <f aca="false">IF(A1329="","",A1329+7-WEEKDAY(A1329))</f>
        <v>46277</v>
      </c>
      <c r="H1329" s="36" t="n">
        <f aca="false">IF(A1329="","",DATE(YEAR(A1329),MONTH(A1329),1))</f>
        <v>46266</v>
      </c>
      <c r="I1329" s="37" t="str">
        <f aca="false">IF(B1329="","",IFERROR(INDEX(st_ID,MATCH(B1329,st_Name,0)),"Unknown"))</f>
        <v>QP-05</v>
      </c>
      <c r="J1329" s="37" t="str">
        <f aca="false">IF(C1329="","",IFERROR(INDEX(cl_Code,MATCH(C1329,cl_Name,0)),"Unknown"))</f>
        <v/>
      </c>
      <c r="K1329" s="37" t="str">
        <f aca="false">IF(D1329="","",IFERROR(INDEX(rt_Billable,MATCH(D1329,rt_Code,0)),"Unknown"))</f>
        <v>No</v>
      </c>
      <c r="L1329" s="38" t="str">
        <f aca="false">IF(K1329&lt;&gt;"Yes","",IFERROR(INDEX(cr_Rate,MATCH(J1329&amp;"|"&amp;D1329,cr_Key,0)),INDEX(rt_Rate,MATCH(D1329,rt_Code,0))))</f>
        <v/>
      </c>
      <c r="M1329" s="25" t="str">
        <f aca="false">IF(L1329="","",ROUND(N(E1329)*L1329,2))</f>
        <v/>
      </c>
      <c r="N1329" s="39" t="n">
        <f aca="false">IF(OR(A1329="",B1329=""),"",SUMIFS(tl_Hours,tl_StaffID,I1329,tl_Date,A1329))</f>
        <v>8</v>
      </c>
      <c r="O1329" s="40" t="str">
        <f aca="false">IF(A1329&amp;B1329&amp;D1329="","",IF(OR(A1329="",B1329="",D1329="",E1329=""),"Incomplete",IF(K1329="Unknown","Unknown code",IF(AND(K1329="Yes",C1329=""),"Billable, needs client",IF(N1329&gt;MaxDayHours,"Over "&amp;MaxDayHours&amp;" hours that day","")))))</f>
        <v/>
      </c>
    </row>
    <row r="1330" customFormat="false" ht="15" hidden="false" customHeight="false" outlineLevel="0" collapsed="false">
      <c r="A1330" s="31" t="n">
        <v>46274</v>
      </c>
      <c r="B1330" s="32" t="s">
        <v>103</v>
      </c>
      <c r="C1330" s="32"/>
      <c r="D1330" s="33" t="s">
        <v>96</v>
      </c>
      <c r="E1330" s="34" t="n">
        <v>0.75</v>
      </c>
      <c r="F1330" s="32"/>
      <c r="G1330" s="35" t="n">
        <f aca="false">IF(A1330="","",A1330+7-WEEKDAY(A1330))</f>
        <v>46277</v>
      </c>
      <c r="H1330" s="36" t="n">
        <f aca="false">IF(A1330="","",DATE(YEAR(A1330),MONTH(A1330),1))</f>
        <v>46266</v>
      </c>
      <c r="I1330" s="37" t="str">
        <f aca="false">IF(B1330="","",IFERROR(INDEX(st_ID,MATCH(B1330,st_Name,0)),"Unknown"))</f>
        <v>QP-05</v>
      </c>
      <c r="J1330" s="37" t="str">
        <f aca="false">IF(C1330="","",IFERROR(INDEX(cl_Code,MATCH(C1330,cl_Name,0)),"Unknown"))</f>
        <v/>
      </c>
      <c r="K1330" s="37" t="str">
        <f aca="false">IF(D1330="","",IFERROR(INDEX(rt_Billable,MATCH(D1330,rt_Code,0)),"Unknown"))</f>
        <v>No</v>
      </c>
      <c r="L1330" s="38" t="str">
        <f aca="false">IF(K1330&lt;&gt;"Yes","",IFERROR(INDEX(cr_Rate,MATCH(J1330&amp;"|"&amp;D1330,cr_Key,0)),INDEX(rt_Rate,MATCH(D1330,rt_Code,0))))</f>
        <v/>
      </c>
      <c r="M1330" s="25" t="str">
        <f aca="false">IF(L1330="","",ROUND(N(E1330)*L1330,2))</f>
        <v/>
      </c>
      <c r="N1330" s="39" t="n">
        <f aca="false">IF(OR(A1330="",B1330=""),"",SUMIFS(tl_Hours,tl_StaffID,I1330,tl_Date,A1330))</f>
        <v>8</v>
      </c>
      <c r="O1330" s="40" t="str">
        <f aca="false">IF(A1330&amp;B1330&amp;D1330="","",IF(OR(A1330="",B1330="",D1330="",E1330=""),"Incomplete",IF(K1330="Unknown","Unknown code",IF(AND(K1330="Yes",C1330=""),"Billable, needs client",IF(N1330&gt;MaxDayHours,"Over "&amp;MaxDayHours&amp;" hours that day","")))))</f>
        <v/>
      </c>
    </row>
    <row r="1331" customFormat="false" ht="15" hidden="false" customHeight="false" outlineLevel="0" collapsed="false">
      <c r="A1331" s="31" t="n">
        <v>46274</v>
      </c>
      <c r="B1331" s="32" t="s">
        <v>105</v>
      </c>
      <c r="C1331" s="32" t="s">
        <v>90</v>
      </c>
      <c r="D1331" s="33" t="s">
        <v>88</v>
      </c>
      <c r="E1331" s="34" t="n">
        <v>4.5</v>
      </c>
      <c r="F1331" s="32"/>
      <c r="G1331" s="35" t="n">
        <f aca="false">IF(A1331="","",A1331+7-WEEKDAY(A1331))</f>
        <v>46277</v>
      </c>
      <c r="H1331" s="36" t="n">
        <f aca="false">IF(A1331="","",DATE(YEAR(A1331),MONTH(A1331),1))</f>
        <v>46266</v>
      </c>
      <c r="I1331" s="37" t="str">
        <f aca="false">IF(B1331="","",IFERROR(INDEX(st_ID,MATCH(B1331,st_Name,0)),"Unknown"))</f>
        <v>QP-06</v>
      </c>
      <c r="J1331" s="37" t="str">
        <f aca="false">IF(C1331="","",IFERROR(INDEX(cl_Code,MATCH(C1331,cl_Name,0)),"Unknown"))</f>
        <v>BSE</v>
      </c>
      <c r="K1331" s="37" t="str">
        <f aca="false">IF(D1331="","",IFERROR(INDEX(rt_Billable,MATCH(D1331,rt_Code,0)),"Unknown"))</f>
        <v>Yes</v>
      </c>
      <c r="L1331" s="38" t="n">
        <f aca="false">IF(K1331&lt;&gt;"Yes","",IFERROR(INDEX(cr_Rate,MATCH(J1331&amp;"|"&amp;D1331,cr_Key,0)),INDEX(rt_Rate,MATCH(D1331,rt_Code,0))))</f>
        <v>104</v>
      </c>
      <c r="M1331" s="25" t="n">
        <f aca="false">IF(L1331="","",ROUND(N(E1331)*L1331,2))</f>
        <v>468</v>
      </c>
      <c r="N1331" s="39" t="n">
        <f aca="false">IF(OR(A1331="",B1331=""),"",SUMIFS(tl_Hours,tl_StaffID,I1331,tl_Date,A1331))</f>
        <v>8</v>
      </c>
      <c r="O1331" s="40" t="str">
        <f aca="false">IF(A1331&amp;B1331&amp;D1331="","",IF(OR(A1331="",B1331="",D1331="",E1331=""),"Incomplete",IF(K1331="Unknown","Unknown code",IF(AND(K1331="Yes",C1331=""),"Billable, needs client",IF(N1331&gt;MaxDayHours,"Over "&amp;MaxDayHours&amp;" hours that day","")))))</f>
        <v/>
      </c>
    </row>
    <row r="1332" customFormat="false" ht="15" hidden="false" customHeight="false" outlineLevel="0" collapsed="false">
      <c r="A1332" s="31" t="n">
        <v>46274</v>
      </c>
      <c r="B1332" s="32" t="s">
        <v>105</v>
      </c>
      <c r="C1332" s="32" t="s">
        <v>90</v>
      </c>
      <c r="D1332" s="33" t="s">
        <v>89</v>
      </c>
      <c r="E1332" s="34" t="n">
        <v>1.5</v>
      </c>
      <c r="F1332" s="32"/>
      <c r="G1332" s="35" t="n">
        <f aca="false">IF(A1332="","",A1332+7-WEEKDAY(A1332))</f>
        <v>46277</v>
      </c>
      <c r="H1332" s="36" t="n">
        <f aca="false">IF(A1332="","",DATE(YEAR(A1332),MONTH(A1332),1))</f>
        <v>46266</v>
      </c>
      <c r="I1332" s="37" t="str">
        <f aca="false">IF(B1332="","",IFERROR(INDEX(st_ID,MATCH(B1332,st_Name,0)),"Unknown"))</f>
        <v>QP-06</v>
      </c>
      <c r="J1332" s="37" t="str">
        <f aca="false">IF(C1332="","",IFERROR(INDEX(cl_Code,MATCH(C1332,cl_Name,0)),"Unknown"))</f>
        <v>BSE</v>
      </c>
      <c r="K1332" s="37" t="str">
        <f aca="false">IF(D1332="","",IFERROR(INDEX(rt_Billable,MATCH(D1332,rt_Code,0)),"Unknown"))</f>
        <v>Yes</v>
      </c>
      <c r="L1332" s="38" t="n">
        <f aca="false">IF(K1332&lt;&gt;"Yes","",IFERROR(INDEX(cr_Rate,MATCH(J1332&amp;"|"&amp;D1332,cr_Key,0)),INDEX(rt_Rate,MATCH(D1332,rt_Code,0))))</f>
        <v>95</v>
      </c>
      <c r="M1332" s="25" t="n">
        <f aca="false">IF(L1332="","",ROUND(N(E1332)*L1332,2))</f>
        <v>142.5</v>
      </c>
      <c r="N1332" s="39" t="n">
        <f aca="false">IF(OR(A1332="",B1332=""),"",SUMIFS(tl_Hours,tl_StaffID,I1332,tl_Date,A1332))</f>
        <v>8</v>
      </c>
      <c r="O1332" s="40" t="str">
        <f aca="false">IF(A1332&amp;B1332&amp;D1332="","",IF(OR(A1332="",B1332="",D1332="",E1332=""),"Incomplete",IF(K1332="Unknown","Unknown code",IF(AND(K1332="Yes",C1332=""),"Billable, needs client",IF(N1332&gt;MaxDayHours,"Over "&amp;MaxDayHours&amp;" hours that day","")))))</f>
        <v/>
      </c>
    </row>
    <row r="1333" customFormat="false" ht="15" hidden="false" customHeight="false" outlineLevel="0" collapsed="false">
      <c r="A1333" s="31" t="n">
        <v>46274</v>
      </c>
      <c r="B1333" s="32" t="s">
        <v>105</v>
      </c>
      <c r="C1333" s="32"/>
      <c r="D1333" s="33" t="s">
        <v>96</v>
      </c>
      <c r="E1333" s="34" t="n">
        <v>2</v>
      </c>
      <c r="F1333" s="32"/>
      <c r="G1333" s="35" t="n">
        <f aca="false">IF(A1333="","",A1333+7-WEEKDAY(A1333))</f>
        <v>46277</v>
      </c>
      <c r="H1333" s="36" t="n">
        <f aca="false">IF(A1333="","",DATE(YEAR(A1333),MONTH(A1333),1))</f>
        <v>46266</v>
      </c>
      <c r="I1333" s="37" t="str">
        <f aca="false">IF(B1333="","",IFERROR(INDEX(st_ID,MATCH(B1333,st_Name,0)),"Unknown"))</f>
        <v>QP-06</v>
      </c>
      <c r="J1333" s="37" t="str">
        <f aca="false">IF(C1333="","",IFERROR(INDEX(cl_Code,MATCH(C1333,cl_Name,0)),"Unknown"))</f>
        <v/>
      </c>
      <c r="K1333" s="37" t="str">
        <f aca="false">IF(D1333="","",IFERROR(INDEX(rt_Billable,MATCH(D1333,rt_Code,0)),"Unknown"))</f>
        <v>No</v>
      </c>
      <c r="L1333" s="38" t="str">
        <f aca="false">IF(K1333&lt;&gt;"Yes","",IFERROR(INDEX(cr_Rate,MATCH(J1333&amp;"|"&amp;D1333,cr_Key,0)),INDEX(rt_Rate,MATCH(D1333,rt_Code,0))))</f>
        <v/>
      </c>
      <c r="M1333" s="25" t="str">
        <f aca="false">IF(L1333="","",ROUND(N(E1333)*L1333,2))</f>
        <v/>
      </c>
      <c r="N1333" s="39" t="n">
        <f aca="false">IF(OR(A1333="",B1333=""),"",SUMIFS(tl_Hours,tl_StaffID,I1333,tl_Date,A1333))</f>
        <v>8</v>
      </c>
      <c r="O1333" s="40" t="str">
        <f aca="false">IF(A1333&amp;B1333&amp;D1333="","",IF(OR(A1333="",B1333="",D1333="",E1333=""),"Incomplete",IF(K1333="Unknown","Unknown code",IF(AND(K1333="Yes",C1333=""),"Billable, needs client",IF(N1333&gt;MaxDayHours,"Over "&amp;MaxDayHours&amp;" hours that day","")))))</f>
        <v/>
      </c>
    </row>
    <row r="1334" customFormat="false" ht="15" hidden="false" customHeight="false" outlineLevel="0" collapsed="false">
      <c r="A1334" s="31" t="n">
        <v>46274</v>
      </c>
      <c r="B1334" s="32" t="s">
        <v>106</v>
      </c>
      <c r="C1334" s="32" t="s">
        <v>112</v>
      </c>
      <c r="D1334" s="33" t="s">
        <v>88</v>
      </c>
      <c r="E1334" s="34" t="n">
        <v>4.25</v>
      </c>
      <c r="F1334" s="32"/>
      <c r="G1334" s="35" t="n">
        <f aca="false">IF(A1334="","",A1334+7-WEEKDAY(A1334))</f>
        <v>46277</v>
      </c>
      <c r="H1334" s="36" t="n">
        <f aca="false">IF(A1334="","",DATE(YEAR(A1334),MONTH(A1334),1))</f>
        <v>46266</v>
      </c>
      <c r="I1334" s="37" t="str">
        <f aca="false">IF(B1334="","",IFERROR(INDEX(st_ID,MATCH(B1334,st_Name,0)),"Unknown"))</f>
        <v>QP-07</v>
      </c>
      <c r="J1334" s="37" t="str">
        <f aca="false">IF(C1334="","",IFERROR(INDEX(cl_Code,MATCH(C1334,cl_Name,0)),"Unknown"))</f>
        <v>PCA</v>
      </c>
      <c r="K1334" s="37" t="str">
        <f aca="false">IF(D1334="","",IFERROR(INDEX(rt_Billable,MATCH(D1334,rt_Code,0)),"Unknown"))</f>
        <v>Yes</v>
      </c>
      <c r="L1334" s="38" t="n">
        <f aca="false">IF(K1334&lt;&gt;"Yes","",IFERROR(INDEX(cr_Rate,MATCH(J1334&amp;"|"&amp;D1334,cr_Key,0)),INDEX(rt_Rate,MATCH(D1334,rt_Code,0))))</f>
        <v>110</v>
      </c>
      <c r="M1334" s="25" t="n">
        <f aca="false">IF(L1334="","",ROUND(N(E1334)*L1334,2))</f>
        <v>467.5</v>
      </c>
      <c r="N1334" s="39" t="n">
        <f aca="false">IF(OR(A1334="",B1334=""),"",SUMIFS(tl_Hours,tl_StaffID,I1334,tl_Date,A1334))</f>
        <v>8</v>
      </c>
      <c r="O1334" s="40" t="str">
        <f aca="false">IF(A1334&amp;B1334&amp;D1334="","",IF(OR(A1334="",B1334="",D1334="",E1334=""),"Incomplete",IF(K1334="Unknown","Unknown code",IF(AND(K1334="Yes",C1334=""),"Billable, needs client",IF(N1334&gt;MaxDayHours,"Over "&amp;MaxDayHours&amp;" hours that day","")))))</f>
        <v/>
      </c>
    </row>
    <row r="1335" customFormat="false" ht="15" hidden="false" customHeight="false" outlineLevel="0" collapsed="false">
      <c r="A1335" s="31" t="n">
        <v>46274</v>
      </c>
      <c r="B1335" s="32" t="s">
        <v>106</v>
      </c>
      <c r="C1335" s="32" t="s">
        <v>112</v>
      </c>
      <c r="D1335" s="33" t="s">
        <v>89</v>
      </c>
      <c r="E1335" s="34" t="n">
        <v>2.25</v>
      </c>
      <c r="F1335" s="32"/>
      <c r="G1335" s="35" t="n">
        <f aca="false">IF(A1335="","",A1335+7-WEEKDAY(A1335))</f>
        <v>46277</v>
      </c>
      <c r="H1335" s="36" t="n">
        <f aca="false">IF(A1335="","",DATE(YEAR(A1335),MONTH(A1335),1))</f>
        <v>46266</v>
      </c>
      <c r="I1335" s="37" t="str">
        <f aca="false">IF(B1335="","",IFERROR(INDEX(st_ID,MATCH(B1335,st_Name,0)),"Unknown"))</f>
        <v>QP-07</v>
      </c>
      <c r="J1335" s="37" t="str">
        <f aca="false">IF(C1335="","",IFERROR(INDEX(cl_Code,MATCH(C1335,cl_Name,0)),"Unknown"))</f>
        <v>PCA</v>
      </c>
      <c r="K1335" s="37" t="str">
        <f aca="false">IF(D1335="","",IFERROR(INDEX(rt_Billable,MATCH(D1335,rt_Code,0)),"Unknown"))</f>
        <v>Yes</v>
      </c>
      <c r="L1335" s="38" t="n">
        <f aca="false">IF(K1335&lt;&gt;"Yes","",IFERROR(INDEX(cr_Rate,MATCH(J1335&amp;"|"&amp;D1335,cr_Key,0)),INDEX(rt_Rate,MATCH(D1335,rt_Code,0))))</f>
        <v>95</v>
      </c>
      <c r="M1335" s="25" t="n">
        <f aca="false">IF(L1335="","",ROUND(N(E1335)*L1335,2))</f>
        <v>213.75</v>
      </c>
      <c r="N1335" s="39" t="n">
        <f aca="false">IF(OR(A1335="",B1335=""),"",SUMIFS(tl_Hours,tl_StaffID,I1335,tl_Date,A1335))</f>
        <v>8</v>
      </c>
      <c r="O1335" s="40" t="str">
        <f aca="false">IF(A1335&amp;B1335&amp;D1335="","",IF(OR(A1335="",B1335="",D1335="",E1335=""),"Incomplete",IF(K1335="Unknown","Unknown code",IF(AND(K1335="Yes",C1335=""),"Billable, needs client",IF(N1335&gt;MaxDayHours,"Over "&amp;MaxDayHours&amp;" hours that day","")))))</f>
        <v/>
      </c>
    </row>
    <row r="1336" customFormat="false" ht="15" hidden="false" customHeight="false" outlineLevel="0" collapsed="false">
      <c r="A1336" s="31" t="n">
        <v>46274</v>
      </c>
      <c r="B1336" s="32" t="s">
        <v>106</v>
      </c>
      <c r="C1336" s="32"/>
      <c r="D1336" s="33" t="s">
        <v>98</v>
      </c>
      <c r="E1336" s="34" t="n">
        <v>1</v>
      </c>
      <c r="F1336" s="32" t="s">
        <v>99</v>
      </c>
      <c r="G1336" s="35" t="n">
        <f aca="false">IF(A1336="","",A1336+7-WEEKDAY(A1336))</f>
        <v>46277</v>
      </c>
      <c r="H1336" s="36" t="n">
        <f aca="false">IF(A1336="","",DATE(YEAR(A1336),MONTH(A1336),1))</f>
        <v>46266</v>
      </c>
      <c r="I1336" s="37" t="str">
        <f aca="false">IF(B1336="","",IFERROR(INDEX(st_ID,MATCH(B1336,st_Name,0)),"Unknown"))</f>
        <v>QP-07</v>
      </c>
      <c r="J1336" s="37" t="str">
        <f aca="false">IF(C1336="","",IFERROR(INDEX(cl_Code,MATCH(C1336,cl_Name,0)),"Unknown"))</f>
        <v/>
      </c>
      <c r="K1336" s="37" t="str">
        <f aca="false">IF(D1336="","",IFERROR(INDEX(rt_Billable,MATCH(D1336,rt_Code,0)),"Unknown"))</f>
        <v>No</v>
      </c>
      <c r="L1336" s="38" t="str">
        <f aca="false">IF(K1336&lt;&gt;"Yes","",IFERROR(INDEX(cr_Rate,MATCH(J1336&amp;"|"&amp;D1336,cr_Key,0)),INDEX(rt_Rate,MATCH(D1336,rt_Code,0))))</f>
        <v/>
      </c>
      <c r="M1336" s="25" t="str">
        <f aca="false">IF(L1336="","",ROUND(N(E1336)*L1336,2))</f>
        <v/>
      </c>
      <c r="N1336" s="39" t="n">
        <f aca="false">IF(OR(A1336="",B1336=""),"",SUMIFS(tl_Hours,tl_StaffID,I1336,tl_Date,A1336))</f>
        <v>8</v>
      </c>
      <c r="O1336" s="40" t="str">
        <f aca="false">IF(A1336&amp;B1336&amp;D1336="","",IF(OR(A1336="",B1336="",D1336="",E1336=""),"Incomplete",IF(K1336="Unknown","Unknown code",IF(AND(K1336="Yes",C1336=""),"Billable, needs client",IF(N1336&gt;MaxDayHours,"Over "&amp;MaxDayHours&amp;" hours that day","")))))</f>
        <v/>
      </c>
    </row>
    <row r="1337" customFormat="false" ht="15" hidden="false" customHeight="false" outlineLevel="0" collapsed="false">
      <c r="A1337" s="31" t="n">
        <v>46274</v>
      </c>
      <c r="B1337" s="32" t="s">
        <v>106</v>
      </c>
      <c r="C1337" s="32"/>
      <c r="D1337" s="33" t="s">
        <v>96</v>
      </c>
      <c r="E1337" s="34" t="n">
        <v>0.5</v>
      </c>
      <c r="F1337" s="32"/>
      <c r="G1337" s="35" t="n">
        <f aca="false">IF(A1337="","",A1337+7-WEEKDAY(A1337))</f>
        <v>46277</v>
      </c>
      <c r="H1337" s="36" t="n">
        <f aca="false">IF(A1337="","",DATE(YEAR(A1337),MONTH(A1337),1))</f>
        <v>46266</v>
      </c>
      <c r="I1337" s="37" t="str">
        <f aca="false">IF(B1337="","",IFERROR(INDEX(st_ID,MATCH(B1337,st_Name,0)),"Unknown"))</f>
        <v>QP-07</v>
      </c>
      <c r="J1337" s="37" t="str">
        <f aca="false">IF(C1337="","",IFERROR(INDEX(cl_Code,MATCH(C1337,cl_Name,0)),"Unknown"))</f>
        <v/>
      </c>
      <c r="K1337" s="37" t="str">
        <f aca="false">IF(D1337="","",IFERROR(INDEX(rt_Billable,MATCH(D1337,rt_Code,0)),"Unknown"))</f>
        <v>No</v>
      </c>
      <c r="L1337" s="38" t="str">
        <f aca="false">IF(K1337&lt;&gt;"Yes","",IFERROR(INDEX(cr_Rate,MATCH(J1337&amp;"|"&amp;D1337,cr_Key,0)),INDEX(rt_Rate,MATCH(D1337,rt_Code,0))))</f>
        <v/>
      </c>
      <c r="M1337" s="25" t="str">
        <f aca="false">IF(L1337="","",ROUND(N(E1337)*L1337,2))</f>
        <v/>
      </c>
      <c r="N1337" s="39" t="n">
        <f aca="false">IF(OR(A1337="",B1337=""),"",SUMIFS(tl_Hours,tl_StaffID,I1337,tl_Date,A1337))</f>
        <v>8</v>
      </c>
      <c r="O1337" s="40" t="str">
        <f aca="false">IF(A1337&amp;B1337&amp;D1337="","",IF(OR(A1337="",B1337="",D1337="",E1337=""),"Incomplete",IF(K1337="Unknown","Unknown code",IF(AND(K1337="Yes",C1337=""),"Billable, needs client",IF(N1337&gt;MaxDayHours,"Over "&amp;MaxDayHours&amp;" hours that day","")))))</f>
        <v/>
      </c>
    </row>
    <row r="1338" customFormat="false" ht="15" hidden="false" customHeight="false" outlineLevel="0" collapsed="false">
      <c r="A1338" s="31" t="n">
        <v>46274</v>
      </c>
      <c r="B1338" s="32" t="s">
        <v>107</v>
      </c>
      <c r="C1338" s="32"/>
      <c r="D1338" s="33" t="s">
        <v>108</v>
      </c>
      <c r="E1338" s="34" t="n">
        <v>7</v>
      </c>
      <c r="F1338" s="32"/>
      <c r="G1338" s="35" t="n">
        <f aca="false">IF(A1338="","",A1338+7-WEEKDAY(A1338))</f>
        <v>46277</v>
      </c>
      <c r="H1338" s="36" t="n">
        <f aca="false">IF(A1338="","",DATE(YEAR(A1338),MONTH(A1338),1))</f>
        <v>46266</v>
      </c>
      <c r="I1338" s="37" t="str">
        <f aca="false">IF(B1338="","",IFERROR(INDEX(st_ID,MATCH(B1338,st_Name,0)),"Unknown"))</f>
        <v>QP-08</v>
      </c>
      <c r="J1338" s="37" t="str">
        <f aca="false">IF(C1338="","",IFERROR(INDEX(cl_Code,MATCH(C1338,cl_Name,0)),"Unknown"))</f>
        <v/>
      </c>
      <c r="K1338" s="37" t="str">
        <f aca="false">IF(D1338="","",IFERROR(INDEX(rt_Billable,MATCH(D1338,rt_Code,0)),"Unknown"))</f>
        <v>No</v>
      </c>
      <c r="L1338" s="38" t="str">
        <f aca="false">IF(K1338&lt;&gt;"Yes","",IFERROR(INDEX(cr_Rate,MATCH(J1338&amp;"|"&amp;D1338,cr_Key,0)),INDEX(rt_Rate,MATCH(D1338,rt_Code,0))))</f>
        <v/>
      </c>
      <c r="M1338" s="25" t="str">
        <f aca="false">IF(L1338="","",ROUND(N(E1338)*L1338,2))</f>
        <v/>
      </c>
      <c r="N1338" s="39" t="n">
        <f aca="false">IF(OR(A1338="",B1338=""),"",SUMIFS(tl_Hours,tl_StaffID,I1338,tl_Date,A1338))</f>
        <v>8</v>
      </c>
      <c r="O1338" s="40" t="str">
        <f aca="false">IF(A1338&amp;B1338&amp;D1338="","",IF(OR(A1338="",B1338="",D1338="",E1338=""),"Incomplete",IF(K1338="Unknown","Unknown code",IF(AND(K1338="Yes",C1338=""),"Billable, needs client",IF(N1338&gt;MaxDayHours,"Over "&amp;MaxDayHours&amp;" hours that day","")))))</f>
        <v/>
      </c>
    </row>
    <row r="1339" customFormat="false" ht="15" hidden="false" customHeight="false" outlineLevel="0" collapsed="false">
      <c r="A1339" s="31" t="n">
        <v>46274</v>
      </c>
      <c r="B1339" s="32" t="s">
        <v>107</v>
      </c>
      <c r="C1339" s="32"/>
      <c r="D1339" s="33" t="s">
        <v>98</v>
      </c>
      <c r="E1339" s="34" t="n">
        <v>1</v>
      </c>
      <c r="F1339" s="32"/>
      <c r="G1339" s="35" t="n">
        <f aca="false">IF(A1339="","",A1339+7-WEEKDAY(A1339))</f>
        <v>46277</v>
      </c>
      <c r="H1339" s="36" t="n">
        <f aca="false">IF(A1339="","",DATE(YEAR(A1339),MONTH(A1339),1))</f>
        <v>46266</v>
      </c>
      <c r="I1339" s="37" t="str">
        <f aca="false">IF(B1339="","",IFERROR(INDEX(st_ID,MATCH(B1339,st_Name,0)),"Unknown"))</f>
        <v>QP-08</v>
      </c>
      <c r="J1339" s="37" t="str">
        <f aca="false">IF(C1339="","",IFERROR(INDEX(cl_Code,MATCH(C1339,cl_Name,0)),"Unknown"))</f>
        <v/>
      </c>
      <c r="K1339" s="37" t="str">
        <f aca="false">IF(D1339="","",IFERROR(INDEX(rt_Billable,MATCH(D1339,rt_Code,0)),"Unknown"))</f>
        <v>No</v>
      </c>
      <c r="L1339" s="38" t="str">
        <f aca="false">IF(K1339&lt;&gt;"Yes","",IFERROR(INDEX(cr_Rate,MATCH(J1339&amp;"|"&amp;D1339,cr_Key,0)),INDEX(rt_Rate,MATCH(D1339,rt_Code,0))))</f>
        <v/>
      </c>
      <c r="M1339" s="25" t="str">
        <f aca="false">IF(L1339="","",ROUND(N(E1339)*L1339,2))</f>
        <v/>
      </c>
      <c r="N1339" s="39" t="n">
        <f aca="false">IF(OR(A1339="",B1339=""),"",SUMIFS(tl_Hours,tl_StaffID,I1339,tl_Date,A1339))</f>
        <v>8</v>
      </c>
      <c r="O1339" s="40" t="str">
        <f aca="false">IF(A1339&amp;B1339&amp;D1339="","",IF(OR(A1339="",B1339="",D1339="",E1339=""),"Incomplete",IF(K1339="Unknown","Unknown code",IF(AND(K1339="Yes",C1339=""),"Billable, needs client",IF(N1339&gt;MaxDayHours,"Over "&amp;MaxDayHours&amp;" hours that day","")))))</f>
        <v/>
      </c>
    </row>
    <row r="1340" customFormat="false" ht="15" hidden="false" customHeight="false" outlineLevel="0" collapsed="false">
      <c r="A1340" s="31" t="n">
        <v>46275</v>
      </c>
      <c r="B1340" s="32" t="s">
        <v>86</v>
      </c>
      <c r="C1340" s="32" t="s">
        <v>90</v>
      </c>
      <c r="D1340" s="33" t="s">
        <v>88</v>
      </c>
      <c r="E1340" s="34" t="n">
        <v>2.25</v>
      </c>
      <c r="F1340" s="32"/>
      <c r="G1340" s="35" t="n">
        <f aca="false">IF(A1340="","",A1340+7-WEEKDAY(A1340))</f>
        <v>46277</v>
      </c>
      <c r="H1340" s="36" t="n">
        <f aca="false">IF(A1340="","",DATE(YEAR(A1340),MONTH(A1340),1))</f>
        <v>46266</v>
      </c>
      <c r="I1340" s="37" t="str">
        <f aca="false">IF(B1340="","",IFERROR(INDEX(st_ID,MATCH(B1340,st_Name,0)),"Unknown"))</f>
        <v>QP-01</v>
      </c>
      <c r="J1340" s="37" t="str">
        <f aca="false">IF(C1340="","",IFERROR(INDEX(cl_Code,MATCH(C1340,cl_Name,0)),"Unknown"))</f>
        <v>BSE</v>
      </c>
      <c r="K1340" s="37" t="str">
        <f aca="false">IF(D1340="","",IFERROR(INDEX(rt_Billable,MATCH(D1340,rt_Code,0)),"Unknown"))</f>
        <v>Yes</v>
      </c>
      <c r="L1340" s="38" t="n">
        <f aca="false">IF(K1340&lt;&gt;"Yes","",IFERROR(INDEX(cr_Rate,MATCH(J1340&amp;"|"&amp;D1340,cr_Key,0)),INDEX(rt_Rate,MATCH(D1340,rt_Code,0))))</f>
        <v>104</v>
      </c>
      <c r="M1340" s="25" t="n">
        <f aca="false">IF(L1340="","",ROUND(N(E1340)*L1340,2))</f>
        <v>234</v>
      </c>
      <c r="N1340" s="39" t="n">
        <f aca="false">IF(OR(A1340="",B1340=""),"",SUMIFS(tl_Hours,tl_StaffID,I1340,tl_Date,A1340))</f>
        <v>8</v>
      </c>
      <c r="O1340" s="40" t="str">
        <f aca="false">IF(A1340&amp;B1340&amp;D1340="","",IF(OR(A1340="",B1340="",D1340="",E1340=""),"Incomplete",IF(K1340="Unknown","Unknown code",IF(AND(K1340="Yes",C1340=""),"Billable, needs client",IF(N1340&gt;MaxDayHours,"Over "&amp;MaxDayHours&amp;" hours that day","")))))</f>
        <v/>
      </c>
    </row>
    <row r="1341" customFormat="false" ht="15" hidden="false" customHeight="false" outlineLevel="0" collapsed="false">
      <c r="A1341" s="31" t="n">
        <v>46275</v>
      </c>
      <c r="B1341" s="32" t="s">
        <v>86</v>
      </c>
      <c r="C1341" s="32" t="s">
        <v>90</v>
      </c>
      <c r="D1341" s="33" t="s">
        <v>89</v>
      </c>
      <c r="E1341" s="34" t="n">
        <v>0.5</v>
      </c>
      <c r="F1341" s="32"/>
      <c r="G1341" s="35" t="n">
        <f aca="false">IF(A1341="","",A1341+7-WEEKDAY(A1341))</f>
        <v>46277</v>
      </c>
      <c r="H1341" s="36" t="n">
        <f aca="false">IF(A1341="","",DATE(YEAR(A1341),MONTH(A1341),1))</f>
        <v>46266</v>
      </c>
      <c r="I1341" s="37" t="str">
        <f aca="false">IF(B1341="","",IFERROR(INDEX(st_ID,MATCH(B1341,st_Name,0)),"Unknown"))</f>
        <v>QP-01</v>
      </c>
      <c r="J1341" s="37" t="str">
        <f aca="false">IF(C1341="","",IFERROR(INDEX(cl_Code,MATCH(C1341,cl_Name,0)),"Unknown"))</f>
        <v>BSE</v>
      </c>
      <c r="K1341" s="37" t="str">
        <f aca="false">IF(D1341="","",IFERROR(INDEX(rt_Billable,MATCH(D1341,rt_Code,0)),"Unknown"))</f>
        <v>Yes</v>
      </c>
      <c r="L1341" s="38" t="n">
        <f aca="false">IF(K1341&lt;&gt;"Yes","",IFERROR(INDEX(cr_Rate,MATCH(J1341&amp;"|"&amp;D1341,cr_Key,0)),INDEX(rt_Rate,MATCH(D1341,rt_Code,0))))</f>
        <v>95</v>
      </c>
      <c r="M1341" s="25" t="n">
        <f aca="false">IF(L1341="","",ROUND(N(E1341)*L1341,2))</f>
        <v>47.5</v>
      </c>
      <c r="N1341" s="39" t="n">
        <f aca="false">IF(OR(A1341="",B1341=""),"",SUMIFS(tl_Hours,tl_StaffID,I1341,tl_Date,A1341))</f>
        <v>8</v>
      </c>
      <c r="O1341" s="40" t="str">
        <f aca="false">IF(A1341&amp;B1341&amp;D1341="","",IF(OR(A1341="",B1341="",D1341="",E1341=""),"Incomplete",IF(K1341="Unknown","Unknown code",IF(AND(K1341="Yes",C1341=""),"Billable, needs client",IF(N1341&gt;MaxDayHours,"Over "&amp;MaxDayHours&amp;" hours that day","")))))</f>
        <v/>
      </c>
    </row>
    <row r="1342" customFormat="false" ht="15" hidden="false" customHeight="false" outlineLevel="0" collapsed="false">
      <c r="A1342" s="31" t="n">
        <v>46275</v>
      </c>
      <c r="B1342" s="32" t="s">
        <v>86</v>
      </c>
      <c r="C1342" s="32" t="s">
        <v>112</v>
      </c>
      <c r="D1342" s="33" t="s">
        <v>88</v>
      </c>
      <c r="E1342" s="34" t="n">
        <v>2</v>
      </c>
      <c r="F1342" s="32"/>
      <c r="G1342" s="35" t="n">
        <f aca="false">IF(A1342="","",A1342+7-WEEKDAY(A1342))</f>
        <v>46277</v>
      </c>
      <c r="H1342" s="36" t="n">
        <f aca="false">IF(A1342="","",DATE(YEAR(A1342),MONTH(A1342),1))</f>
        <v>46266</v>
      </c>
      <c r="I1342" s="37" t="str">
        <f aca="false">IF(B1342="","",IFERROR(INDEX(st_ID,MATCH(B1342,st_Name,0)),"Unknown"))</f>
        <v>QP-01</v>
      </c>
      <c r="J1342" s="37" t="str">
        <f aca="false">IF(C1342="","",IFERROR(INDEX(cl_Code,MATCH(C1342,cl_Name,0)),"Unknown"))</f>
        <v>PCA</v>
      </c>
      <c r="K1342" s="37" t="str">
        <f aca="false">IF(D1342="","",IFERROR(INDEX(rt_Billable,MATCH(D1342,rt_Code,0)),"Unknown"))</f>
        <v>Yes</v>
      </c>
      <c r="L1342" s="38" t="n">
        <f aca="false">IF(K1342&lt;&gt;"Yes","",IFERROR(INDEX(cr_Rate,MATCH(J1342&amp;"|"&amp;D1342,cr_Key,0)),INDEX(rt_Rate,MATCH(D1342,rt_Code,0))))</f>
        <v>110</v>
      </c>
      <c r="M1342" s="25" t="n">
        <f aca="false">IF(L1342="","",ROUND(N(E1342)*L1342,2))</f>
        <v>220</v>
      </c>
      <c r="N1342" s="39" t="n">
        <f aca="false">IF(OR(A1342="",B1342=""),"",SUMIFS(tl_Hours,tl_StaffID,I1342,tl_Date,A1342))</f>
        <v>8</v>
      </c>
      <c r="O1342" s="40" t="str">
        <f aca="false">IF(A1342&amp;B1342&amp;D1342="","",IF(OR(A1342="",B1342="",D1342="",E1342=""),"Incomplete",IF(K1342="Unknown","Unknown code",IF(AND(K1342="Yes",C1342=""),"Billable, needs client",IF(N1342&gt;MaxDayHours,"Over "&amp;MaxDayHours&amp;" hours that day","")))))</f>
        <v/>
      </c>
    </row>
    <row r="1343" customFormat="false" ht="15" hidden="false" customHeight="false" outlineLevel="0" collapsed="false">
      <c r="A1343" s="31" t="n">
        <v>46275</v>
      </c>
      <c r="B1343" s="32" t="s">
        <v>86</v>
      </c>
      <c r="C1343" s="32" t="s">
        <v>112</v>
      </c>
      <c r="D1343" s="33" t="s">
        <v>104</v>
      </c>
      <c r="E1343" s="34" t="n">
        <v>0.75</v>
      </c>
      <c r="F1343" s="32"/>
      <c r="G1343" s="35" t="n">
        <f aca="false">IF(A1343="","",A1343+7-WEEKDAY(A1343))</f>
        <v>46277</v>
      </c>
      <c r="H1343" s="36" t="n">
        <f aca="false">IF(A1343="","",DATE(YEAR(A1343),MONTH(A1343),1))</f>
        <v>46266</v>
      </c>
      <c r="I1343" s="37" t="str">
        <f aca="false">IF(B1343="","",IFERROR(INDEX(st_ID,MATCH(B1343,st_Name,0)),"Unknown"))</f>
        <v>QP-01</v>
      </c>
      <c r="J1343" s="37" t="str">
        <f aca="false">IF(C1343="","",IFERROR(INDEX(cl_Code,MATCH(C1343,cl_Name,0)),"Unknown"))</f>
        <v>PCA</v>
      </c>
      <c r="K1343" s="37" t="str">
        <f aca="false">IF(D1343="","",IFERROR(INDEX(rt_Billable,MATCH(D1343,rt_Code,0)),"Unknown"))</f>
        <v>Yes</v>
      </c>
      <c r="L1343" s="38" t="n">
        <f aca="false">IF(K1343&lt;&gt;"Yes","",IFERROR(INDEX(cr_Rate,MATCH(J1343&amp;"|"&amp;D1343,cr_Key,0)),INDEX(rt_Rate,MATCH(D1343,rt_Code,0))))</f>
        <v>70</v>
      </c>
      <c r="M1343" s="25" t="n">
        <f aca="false">IF(L1343="","",ROUND(N(E1343)*L1343,2))</f>
        <v>52.5</v>
      </c>
      <c r="N1343" s="39" t="n">
        <f aca="false">IF(OR(A1343="",B1343=""),"",SUMIFS(tl_Hours,tl_StaffID,I1343,tl_Date,A1343))</f>
        <v>8</v>
      </c>
      <c r="O1343" s="40" t="str">
        <f aca="false">IF(A1343&amp;B1343&amp;D1343="","",IF(OR(A1343="",B1343="",D1343="",E1343=""),"Incomplete",IF(K1343="Unknown","Unknown code",IF(AND(K1343="Yes",C1343=""),"Billable, needs client",IF(N1343&gt;MaxDayHours,"Over "&amp;MaxDayHours&amp;" hours that day","")))))</f>
        <v/>
      </c>
    </row>
    <row r="1344" customFormat="false" ht="15" hidden="false" customHeight="false" outlineLevel="0" collapsed="false">
      <c r="A1344" s="31" t="n">
        <v>46275</v>
      </c>
      <c r="B1344" s="32" t="s">
        <v>86</v>
      </c>
      <c r="C1344" s="32"/>
      <c r="D1344" s="33" t="s">
        <v>93</v>
      </c>
      <c r="E1344" s="34" t="n">
        <v>0.5</v>
      </c>
      <c r="F1344" s="32"/>
      <c r="G1344" s="35" t="n">
        <f aca="false">IF(A1344="","",A1344+7-WEEKDAY(A1344))</f>
        <v>46277</v>
      </c>
      <c r="H1344" s="36" t="n">
        <f aca="false">IF(A1344="","",DATE(YEAR(A1344),MONTH(A1344),1))</f>
        <v>46266</v>
      </c>
      <c r="I1344" s="37" t="str">
        <f aca="false">IF(B1344="","",IFERROR(INDEX(st_ID,MATCH(B1344,st_Name,0)),"Unknown"))</f>
        <v>QP-01</v>
      </c>
      <c r="J1344" s="37" t="str">
        <f aca="false">IF(C1344="","",IFERROR(INDEX(cl_Code,MATCH(C1344,cl_Name,0)),"Unknown"))</f>
        <v/>
      </c>
      <c r="K1344" s="37" t="str">
        <f aca="false">IF(D1344="","",IFERROR(INDEX(rt_Billable,MATCH(D1344,rt_Code,0)),"Unknown"))</f>
        <v>No</v>
      </c>
      <c r="L1344" s="38" t="str">
        <f aca="false">IF(K1344&lt;&gt;"Yes","",IFERROR(INDEX(cr_Rate,MATCH(J1344&amp;"|"&amp;D1344,cr_Key,0)),INDEX(rt_Rate,MATCH(D1344,rt_Code,0))))</f>
        <v/>
      </c>
      <c r="M1344" s="25" t="str">
        <f aca="false">IF(L1344="","",ROUND(N(E1344)*L1344,2))</f>
        <v/>
      </c>
      <c r="N1344" s="39" t="n">
        <f aca="false">IF(OR(A1344="",B1344=""),"",SUMIFS(tl_Hours,tl_StaffID,I1344,tl_Date,A1344))</f>
        <v>8</v>
      </c>
      <c r="O1344" s="40" t="str">
        <f aca="false">IF(A1344&amp;B1344&amp;D1344="","",IF(OR(A1344="",B1344="",D1344="",E1344=""),"Incomplete",IF(K1344="Unknown","Unknown code",IF(AND(K1344="Yes",C1344=""),"Billable, needs client",IF(N1344&gt;MaxDayHours,"Over "&amp;MaxDayHours&amp;" hours that day","")))))</f>
        <v/>
      </c>
    </row>
    <row r="1345" customFormat="false" ht="15" hidden="false" customHeight="false" outlineLevel="0" collapsed="false">
      <c r="A1345" s="31" t="n">
        <v>46275</v>
      </c>
      <c r="B1345" s="32" t="s">
        <v>86</v>
      </c>
      <c r="C1345" s="32"/>
      <c r="D1345" s="33" t="s">
        <v>96</v>
      </c>
      <c r="E1345" s="34" t="n">
        <v>2</v>
      </c>
      <c r="F1345" s="32"/>
      <c r="G1345" s="35" t="n">
        <f aca="false">IF(A1345="","",A1345+7-WEEKDAY(A1345))</f>
        <v>46277</v>
      </c>
      <c r="H1345" s="36" t="n">
        <f aca="false">IF(A1345="","",DATE(YEAR(A1345),MONTH(A1345),1))</f>
        <v>46266</v>
      </c>
      <c r="I1345" s="37" t="str">
        <f aca="false">IF(B1345="","",IFERROR(INDEX(st_ID,MATCH(B1345,st_Name,0)),"Unknown"))</f>
        <v>QP-01</v>
      </c>
      <c r="J1345" s="37" t="str">
        <f aca="false">IF(C1345="","",IFERROR(INDEX(cl_Code,MATCH(C1345,cl_Name,0)),"Unknown"))</f>
        <v/>
      </c>
      <c r="K1345" s="37" t="str">
        <f aca="false">IF(D1345="","",IFERROR(INDEX(rt_Billable,MATCH(D1345,rt_Code,0)),"Unknown"))</f>
        <v>No</v>
      </c>
      <c r="L1345" s="38" t="str">
        <f aca="false">IF(K1345&lt;&gt;"Yes","",IFERROR(INDEX(cr_Rate,MATCH(J1345&amp;"|"&amp;D1345,cr_Key,0)),INDEX(rt_Rate,MATCH(D1345,rt_Code,0))))</f>
        <v/>
      </c>
      <c r="M1345" s="25" t="str">
        <f aca="false">IF(L1345="","",ROUND(N(E1345)*L1345,2))</f>
        <v/>
      </c>
      <c r="N1345" s="39" t="n">
        <f aca="false">IF(OR(A1345="",B1345=""),"",SUMIFS(tl_Hours,tl_StaffID,I1345,tl_Date,A1345))</f>
        <v>8</v>
      </c>
      <c r="O1345" s="40" t="str">
        <f aca="false">IF(A1345&amp;B1345&amp;D1345="","",IF(OR(A1345="",B1345="",D1345="",E1345=""),"Incomplete",IF(K1345="Unknown","Unknown code",IF(AND(K1345="Yes",C1345=""),"Billable, needs client",IF(N1345&gt;MaxDayHours,"Over "&amp;MaxDayHours&amp;" hours that day","")))))</f>
        <v/>
      </c>
    </row>
    <row r="1346" customFormat="false" ht="15" hidden="false" customHeight="false" outlineLevel="0" collapsed="false">
      <c r="A1346" s="31" t="n">
        <v>46275</v>
      </c>
      <c r="B1346" s="32" t="s">
        <v>97</v>
      </c>
      <c r="C1346" s="32" t="s">
        <v>87</v>
      </c>
      <c r="D1346" s="33" t="s">
        <v>104</v>
      </c>
      <c r="E1346" s="34" t="n">
        <v>2.25</v>
      </c>
      <c r="F1346" s="32"/>
      <c r="G1346" s="35" t="n">
        <f aca="false">IF(A1346="","",A1346+7-WEEKDAY(A1346))</f>
        <v>46277</v>
      </c>
      <c r="H1346" s="36" t="n">
        <f aca="false">IF(A1346="","",DATE(YEAR(A1346),MONTH(A1346),1))</f>
        <v>46266</v>
      </c>
      <c r="I1346" s="37" t="str">
        <f aca="false">IF(B1346="","",IFERROR(INDEX(st_ID,MATCH(B1346,st_Name,0)),"Unknown"))</f>
        <v>QP-02</v>
      </c>
      <c r="J1346" s="37" t="str">
        <f aca="false">IF(C1346="","",IFERROR(INDEX(cl_Code,MATCH(C1346,cl_Name,0)),"Unknown"))</f>
        <v>HCS</v>
      </c>
      <c r="K1346" s="37" t="str">
        <f aca="false">IF(D1346="","",IFERROR(INDEX(rt_Billable,MATCH(D1346,rt_Code,0)),"Unknown"))</f>
        <v>Yes</v>
      </c>
      <c r="L1346" s="38" t="n">
        <f aca="false">IF(K1346&lt;&gt;"Yes","",IFERROR(INDEX(cr_Rate,MATCH(J1346&amp;"|"&amp;D1346,cr_Key,0)),INDEX(rt_Rate,MATCH(D1346,rt_Code,0))))</f>
        <v>62</v>
      </c>
      <c r="M1346" s="25" t="n">
        <f aca="false">IF(L1346="","",ROUND(N(E1346)*L1346,2))</f>
        <v>139.5</v>
      </c>
      <c r="N1346" s="39" t="n">
        <f aca="false">IF(OR(A1346="",B1346=""),"",SUMIFS(tl_Hours,tl_StaffID,I1346,tl_Date,A1346))</f>
        <v>8</v>
      </c>
      <c r="O1346" s="40" t="str">
        <f aca="false">IF(A1346&amp;B1346&amp;D1346="","",IF(OR(A1346="",B1346="",D1346="",E1346=""),"Incomplete",IF(K1346="Unknown","Unknown code",IF(AND(K1346="Yes",C1346=""),"Billable, needs client",IF(N1346&gt;MaxDayHours,"Over "&amp;MaxDayHours&amp;" hours that day","")))))</f>
        <v/>
      </c>
    </row>
    <row r="1347" customFormat="false" ht="15" hidden="false" customHeight="false" outlineLevel="0" collapsed="false">
      <c r="A1347" s="31" t="n">
        <v>46275</v>
      </c>
      <c r="B1347" s="32" t="s">
        <v>97</v>
      </c>
      <c r="C1347" s="32" t="s">
        <v>87</v>
      </c>
      <c r="D1347" s="33" t="s">
        <v>89</v>
      </c>
      <c r="E1347" s="34" t="n">
        <v>0.5</v>
      </c>
      <c r="F1347" s="32"/>
      <c r="G1347" s="35" t="n">
        <f aca="false">IF(A1347="","",A1347+7-WEEKDAY(A1347))</f>
        <v>46277</v>
      </c>
      <c r="H1347" s="36" t="n">
        <f aca="false">IF(A1347="","",DATE(YEAR(A1347),MONTH(A1347),1))</f>
        <v>46266</v>
      </c>
      <c r="I1347" s="37" t="str">
        <f aca="false">IF(B1347="","",IFERROR(INDEX(st_ID,MATCH(B1347,st_Name,0)),"Unknown"))</f>
        <v>QP-02</v>
      </c>
      <c r="J1347" s="37" t="str">
        <f aca="false">IF(C1347="","",IFERROR(INDEX(cl_Code,MATCH(C1347,cl_Name,0)),"Unknown"))</f>
        <v>HCS</v>
      </c>
      <c r="K1347" s="37" t="str">
        <f aca="false">IF(D1347="","",IFERROR(INDEX(rt_Billable,MATCH(D1347,rt_Code,0)),"Unknown"))</f>
        <v>Yes</v>
      </c>
      <c r="L1347" s="38" t="n">
        <f aca="false">IF(K1347&lt;&gt;"Yes","",IFERROR(INDEX(cr_Rate,MATCH(J1347&amp;"|"&amp;D1347,cr_Key,0)),INDEX(rt_Rate,MATCH(D1347,rt_Code,0))))</f>
        <v>88</v>
      </c>
      <c r="M1347" s="25" t="n">
        <f aca="false">IF(L1347="","",ROUND(N(E1347)*L1347,2))</f>
        <v>44</v>
      </c>
      <c r="N1347" s="39" t="n">
        <f aca="false">IF(OR(A1347="",B1347=""),"",SUMIFS(tl_Hours,tl_StaffID,I1347,tl_Date,A1347))</f>
        <v>8</v>
      </c>
      <c r="O1347" s="40" t="str">
        <f aca="false">IF(A1347&amp;B1347&amp;D1347="","",IF(OR(A1347="",B1347="",D1347="",E1347=""),"Incomplete",IF(K1347="Unknown","Unknown code",IF(AND(K1347="Yes",C1347=""),"Billable, needs client",IF(N1347&gt;MaxDayHours,"Over "&amp;MaxDayHours&amp;" hours that day","")))))</f>
        <v/>
      </c>
    </row>
    <row r="1348" customFormat="false" ht="15" hidden="false" customHeight="false" outlineLevel="0" collapsed="false">
      <c r="A1348" s="31" t="n">
        <v>46275</v>
      </c>
      <c r="B1348" s="32" t="s">
        <v>97</v>
      </c>
      <c r="C1348" s="32" t="s">
        <v>90</v>
      </c>
      <c r="D1348" s="33" t="s">
        <v>91</v>
      </c>
      <c r="E1348" s="34" t="n">
        <v>2</v>
      </c>
      <c r="F1348" s="32"/>
      <c r="G1348" s="35" t="n">
        <f aca="false">IF(A1348="","",A1348+7-WEEKDAY(A1348))</f>
        <v>46277</v>
      </c>
      <c r="H1348" s="36" t="n">
        <f aca="false">IF(A1348="","",DATE(YEAR(A1348),MONTH(A1348),1))</f>
        <v>46266</v>
      </c>
      <c r="I1348" s="37" t="str">
        <f aca="false">IF(B1348="","",IFERROR(INDEX(st_ID,MATCH(B1348,st_Name,0)),"Unknown"))</f>
        <v>QP-02</v>
      </c>
      <c r="J1348" s="37" t="str">
        <f aca="false">IF(C1348="","",IFERROR(INDEX(cl_Code,MATCH(C1348,cl_Name,0)),"Unknown"))</f>
        <v>BSE</v>
      </c>
      <c r="K1348" s="37" t="str">
        <f aca="false">IF(D1348="","",IFERROR(INDEX(rt_Billable,MATCH(D1348,rt_Code,0)),"Unknown"))</f>
        <v>Yes</v>
      </c>
      <c r="L1348" s="38" t="n">
        <f aca="false">IF(K1348&lt;&gt;"Yes","",IFERROR(INDEX(cr_Rate,MATCH(J1348&amp;"|"&amp;D1348,cr_Key,0)),INDEX(rt_Rate,MATCH(D1348,rt_Code,0))))</f>
        <v>100</v>
      </c>
      <c r="M1348" s="25" t="n">
        <f aca="false">IF(L1348="","",ROUND(N(E1348)*L1348,2))</f>
        <v>200</v>
      </c>
      <c r="N1348" s="39" t="n">
        <f aca="false">IF(OR(A1348="",B1348=""),"",SUMIFS(tl_Hours,tl_StaffID,I1348,tl_Date,A1348))</f>
        <v>8</v>
      </c>
      <c r="O1348" s="40" t="str">
        <f aca="false">IF(A1348&amp;B1348&amp;D1348="","",IF(OR(A1348="",B1348="",D1348="",E1348=""),"Incomplete",IF(K1348="Unknown","Unknown code",IF(AND(K1348="Yes",C1348=""),"Billable, needs client",IF(N1348&gt;MaxDayHours,"Over "&amp;MaxDayHours&amp;" hours that day","")))))</f>
        <v/>
      </c>
    </row>
    <row r="1349" customFormat="false" ht="15" hidden="false" customHeight="false" outlineLevel="0" collapsed="false">
      <c r="A1349" s="31" t="n">
        <v>46275</v>
      </c>
      <c r="B1349" s="32" t="s">
        <v>97</v>
      </c>
      <c r="C1349" s="32" t="s">
        <v>90</v>
      </c>
      <c r="D1349" s="33" t="s">
        <v>104</v>
      </c>
      <c r="E1349" s="34" t="n">
        <v>0.75</v>
      </c>
      <c r="F1349" s="32"/>
      <c r="G1349" s="35" t="n">
        <f aca="false">IF(A1349="","",A1349+7-WEEKDAY(A1349))</f>
        <v>46277</v>
      </c>
      <c r="H1349" s="36" t="n">
        <f aca="false">IF(A1349="","",DATE(YEAR(A1349),MONTH(A1349),1))</f>
        <v>46266</v>
      </c>
      <c r="I1349" s="37" t="str">
        <f aca="false">IF(B1349="","",IFERROR(INDEX(st_ID,MATCH(B1349,st_Name,0)),"Unknown"))</f>
        <v>QP-02</v>
      </c>
      <c r="J1349" s="37" t="str">
        <f aca="false">IF(C1349="","",IFERROR(INDEX(cl_Code,MATCH(C1349,cl_Name,0)),"Unknown"))</f>
        <v>BSE</v>
      </c>
      <c r="K1349" s="37" t="str">
        <f aca="false">IF(D1349="","",IFERROR(INDEX(rt_Billable,MATCH(D1349,rt_Code,0)),"Unknown"))</f>
        <v>Yes</v>
      </c>
      <c r="L1349" s="38" t="n">
        <f aca="false">IF(K1349&lt;&gt;"Yes","",IFERROR(INDEX(cr_Rate,MATCH(J1349&amp;"|"&amp;D1349,cr_Key,0)),INDEX(rt_Rate,MATCH(D1349,rt_Code,0))))</f>
        <v>70</v>
      </c>
      <c r="M1349" s="25" t="n">
        <f aca="false">IF(L1349="","",ROUND(N(E1349)*L1349,2))</f>
        <v>52.5</v>
      </c>
      <c r="N1349" s="39" t="n">
        <f aca="false">IF(OR(A1349="",B1349=""),"",SUMIFS(tl_Hours,tl_StaffID,I1349,tl_Date,A1349))</f>
        <v>8</v>
      </c>
      <c r="O1349" s="40" t="str">
        <f aca="false">IF(A1349&amp;B1349&amp;D1349="","",IF(OR(A1349="",B1349="",D1349="",E1349=""),"Incomplete",IF(K1349="Unknown","Unknown code",IF(AND(K1349="Yes",C1349=""),"Billable, needs client",IF(N1349&gt;MaxDayHours,"Over "&amp;MaxDayHours&amp;" hours that day","")))))</f>
        <v/>
      </c>
    </row>
    <row r="1350" customFormat="false" ht="15" hidden="false" customHeight="false" outlineLevel="0" collapsed="false">
      <c r="A1350" s="31" t="n">
        <v>46275</v>
      </c>
      <c r="B1350" s="32" t="s">
        <v>97</v>
      </c>
      <c r="C1350" s="32"/>
      <c r="D1350" s="33" t="s">
        <v>93</v>
      </c>
      <c r="E1350" s="34" t="n">
        <v>0.5</v>
      </c>
      <c r="F1350" s="32"/>
      <c r="G1350" s="35" t="n">
        <f aca="false">IF(A1350="","",A1350+7-WEEKDAY(A1350))</f>
        <v>46277</v>
      </c>
      <c r="H1350" s="36" t="n">
        <f aca="false">IF(A1350="","",DATE(YEAR(A1350),MONTH(A1350),1))</f>
        <v>46266</v>
      </c>
      <c r="I1350" s="37" t="str">
        <f aca="false">IF(B1350="","",IFERROR(INDEX(st_ID,MATCH(B1350,st_Name,0)),"Unknown"))</f>
        <v>QP-02</v>
      </c>
      <c r="J1350" s="37" t="str">
        <f aca="false">IF(C1350="","",IFERROR(INDEX(cl_Code,MATCH(C1350,cl_Name,0)),"Unknown"))</f>
        <v/>
      </c>
      <c r="K1350" s="37" t="str">
        <f aca="false">IF(D1350="","",IFERROR(INDEX(rt_Billable,MATCH(D1350,rt_Code,0)),"Unknown"))</f>
        <v>No</v>
      </c>
      <c r="L1350" s="38" t="str">
        <f aca="false">IF(K1350&lt;&gt;"Yes","",IFERROR(INDEX(cr_Rate,MATCH(J1350&amp;"|"&amp;D1350,cr_Key,0)),INDEX(rt_Rate,MATCH(D1350,rt_Code,0))))</f>
        <v/>
      </c>
      <c r="M1350" s="25" t="str">
        <f aca="false">IF(L1350="","",ROUND(N(E1350)*L1350,2))</f>
        <v/>
      </c>
      <c r="N1350" s="39" t="n">
        <f aca="false">IF(OR(A1350="",B1350=""),"",SUMIFS(tl_Hours,tl_StaffID,I1350,tl_Date,A1350))</f>
        <v>8</v>
      </c>
      <c r="O1350" s="40" t="str">
        <f aca="false">IF(A1350&amp;B1350&amp;D1350="","",IF(OR(A1350="",B1350="",D1350="",E1350=""),"Incomplete",IF(K1350="Unknown","Unknown code",IF(AND(K1350="Yes",C1350=""),"Billable, needs client",IF(N1350&gt;MaxDayHours,"Over "&amp;MaxDayHours&amp;" hours that day","")))))</f>
        <v/>
      </c>
    </row>
    <row r="1351" customFormat="false" ht="15" hidden="false" customHeight="false" outlineLevel="0" collapsed="false">
      <c r="A1351" s="31" t="n">
        <v>46275</v>
      </c>
      <c r="B1351" s="32" t="s">
        <v>97</v>
      </c>
      <c r="C1351" s="32"/>
      <c r="D1351" s="33" t="s">
        <v>96</v>
      </c>
      <c r="E1351" s="34" t="n">
        <v>2</v>
      </c>
      <c r="F1351" s="32"/>
      <c r="G1351" s="35" t="n">
        <f aca="false">IF(A1351="","",A1351+7-WEEKDAY(A1351))</f>
        <v>46277</v>
      </c>
      <c r="H1351" s="36" t="n">
        <f aca="false">IF(A1351="","",DATE(YEAR(A1351),MONTH(A1351),1))</f>
        <v>46266</v>
      </c>
      <c r="I1351" s="37" t="str">
        <f aca="false">IF(B1351="","",IFERROR(INDEX(st_ID,MATCH(B1351,st_Name,0)),"Unknown"))</f>
        <v>QP-02</v>
      </c>
      <c r="J1351" s="37" t="str">
        <f aca="false">IF(C1351="","",IFERROR(INDEX(cl_Code,MATCH(C1351,cl_Name,0)),"Unknown"))</f>
        <v/>
      </c>
      <c r="K1351" s="37" t="str">
        <f aca="false">IF(D1351="","",IFERROR(INDEX(rt_Billable,MATCH(D1351,rt_Code,0)),"Unknown"))</f>
        <v>No</v>
      </c>
      <c r="L1351" s="38" t="str">
        <f aca="false">IF(K1351&lt;&gt;"Yes","",IFERROR(INDEX(cr_Rate,MATCH(J1351&amp;"|"&amp;D1351,cr_Key,0)),INDEX(rt_Rate,MATCH(D1351,rt_Code,0))))</f>
        <v/>
      </c>
      <c r="M1351" s="25" t="str">
        <f aca="false">IF(L1351="","",ROUND(N(E1351)*L1351,2))</f>
        <v/>
      </c>
      <c r="N1351" s="39" t="n">
        <f aca="false">IF(OR(A1351="",B1351=""),"",SUMIFS(tl_Hours,tl_StaffID,I1351,tl_Date,A1351))</f>
        <v>8</v>
      </c>
      <c r="O1351" s="40" t="str">
        <f aca="false">IF(A1351&amp;B1351&amp;D1351="","",IF(OR(A1351="",B1351="",D1351="",E1351=""),"Incomplete",IF(K1351="Unknown","Unknown code",IF(AND(K1351="Yes",C1351=""),"Billable, needs client",IF(N1351&gt;MaxDayHours,"Over "&amp;MaxDayHours&amp;" hours that day","")))))</f>
        <v/>
      </c>
    </row>
    <row r="1352" customFormat="false" ht="15" hidden="false" customHeight="false" outlineLevel="0" collapsed="false">
      <c r="A1352" s="31" t="n">
        <v>46275</v>
      </c>
      <c r="B1352" s="32" t="s">
        <v>100</v>
      </c>
      <c r="C1352" s="32" t="s">
        <v>102</v>
      </c>
      <c r="D1352" s="33" t="s">
        <v>104</v>
      </c>
      <c r="E1352" s="34" t="n">
        <v>1.5</v>
      </c>
      <c r="F1352" s="32"/>
      <c r="G1352" s="35" t="n">
        <f aca="false">IF(A1352="","",A1352+7-WEEKDAY(A1352))</f>
        <v>46277</v>
      </c>
      <c r="H1352" s="36" t="n">
        <f aca="false">IF(A1352="","",DATE(YEAR(A1352),MONTH(A1352),1))</f>
        <v>46266</v>
      </c>
      <c r="I1352" s="37" t="str">
        <f aca="false">IF(B1352="","",IFERROR(INDEX(st_ID,MATCH(B1352,st_Name,0)),"Unknown"))</f>
        <v>QP-03</v>
      </c>
      <c r="J1352" s="37" t="str">
        <f aca="false">IF(C1352="","",IFERROR(INDEX(cl_Code,MATCH(C1352,cl_Name,0)),"Unknown"))</f>
        <v>CLH</v>
      </c>
      <c r="K1352" s="37" t="str">
        <f aca="false">IF(D1352="","",IFERROR(INDEX(rt_Billable,MATCH(D1352,rt_Code,0)),"Unknown"))</f>
        <v>Yes</v>
      </c>
      <c r="L1352" s="38" t="n">
        <f aca="false">IF(K1352&lt;&gt;"Yes","",IFERROR(INDEX(cr_Rate,MATCH(J1352&amp;"|"&amp;D1352,cr_Key,0)),INDEX(rt_Rate,MATCH(D1352,rt_Code,0))))</f>
        <v>65</v>
      </c>
      <c r="M1352" s="25" t="n">
        <f aca="false">IF(L1352="","",ROUND(N(E1352)*L1352,2))</f>
        <v>97.5</v>
      </c>
      <c r="N1352" s="39" t="n">
        <f aca="false">IF(OR(A1352="",B1352=""),"",SUMIFS(tl_Hours,tl_StaffID,I1352,tl_Date,A1352))</f>
        <v>8</v>
      </c>
      <c r="O1352" s="40" t="str">
        <f aca="false">IF(A1352&amp;B1352&amp;D1352="","",IF(OR(A1352="",B1352="",D1352="",E1352=""),"Incomplete",IF(K1352="Unknown","Unknown code",IF(AND(K1352="Yes",C1352=""),"Billable, needs client",IF(N1352&gt;MaxDayHours,"Over "&amp;MaxDayHours&amp;" hours that day","")))))</f>
        <v/>
      </c>
    </row>
    <row r="1353" customFormat="false" ht="15" hidden="false" customHeight="false" outlineLevel="0" collapsed="false">
      <c r="A1353" s="31" t="n">
        <v>46275</v>
      </c>
      <c r="B1353" s="32" t="s">
        <v>100</v>
      </c>
      <c r="C1353" s="32" t="s">
        <v>102</v>
      </c>
      <c r="D1353" s="33" t="s">
        <v>88</v>
      </c>
      <c r="E1353" s="34" t="n">
        <v>1</v>
      </c>
      <c r="F1353" s="32"/>
      <c r="G1353" s="35" t="n">
        <f aca="false">IF(A1353="","",A1353+7-WEEKDAY(A1353))</f>
        <v>46277</v>
      </c>
      <c r="H1353" s="36" t="n">
        <f aca="false">IF(A1353="","",DATE(YEAR(A1353),MONTH(A1353),1))</f>
        <v>46266</v>
      </c>
      <c r="I1353" s="37" t="str">
        <f aca="false">IF(B1353="","",IFERROR(INDEX(st_ID,MATCH(B1353,st_Name,0)),"Unknown"))</f>
        <v>QP-03</v>
      </c>
      <c r="J1353" s="37" t="str">
        <f aca="false">IF(C1353="","",IFERROR(INDEX(cl_Code,MATCH(C1353,cl_Name,0)),"Unknown"))</f>
        <v>CLH</v>
      </c>
      <c r="K1353" s="37" t="str">
        <f aca="false">IF(D1353="","",IFERROR(INDEX(rt_Billable,MATCH(D1353,rt_Code,0)),"Unknown"))</f>
        <v>Yes</v>
      </c>
      <c r="L1353" s="38" t="n">
        <f aca="false">IF(K1353&lt;&gt;"Yes","",IFERROR(INDEX(cr_Rate,MATCH(J1353&amp;"|"&amp;D1353,cr_Key,0)),INDEX(rt_Rate,MATCH(D1353,rt_Code,0))))</f>
        <v>110</v>
      </c>
      <c r="M1353" s="25" t="n">
        <f aca="false">IF(L1353="","",ROUND(N(E1353)*L1353,2))</f>
        <v>110</v>
      </c>
      <c r="N1353" s="39" t="n">
        <f aca="false">IF(OR(A1353="",B1353=""),"",SUMIFS(tl_Hours,tl_StaffID,I1353,tl_Date,A1353))</f>
        <v>8</v>
      </c>
      <c r="O1353" s="40" t="str">
        <f aca="false">IF(A1353&amp;B1353&amp;D1353="","",IF(OR(A1353="",B1353="",D1353="",E1353=""),"Incomplete",IF(K1353="Unknown","Unknown code",IF(AND(K1353="Yes",C1353=""),"Billable, needs client",IF(N1353&gt;MaxDayHours,"Over "&amp;MaxDayHours&amp;" hours that day","")))))</f>
        <v/>
      </c>
    </row>
    <row r="1354" customFormat="false" ht="15" hidden="false" customHeight="false" outlineLevel="0" collapsed="false">
      <c r="A1354" s="31" t="n">
        <v>46275</v>
      </c>
      <c r="B1354" s="32" t="s">
        <v>100</v>
      </c>
      <c r="C1354" s="32" t="s">
        <v>90</v>
      </c>
      <c r="D1354" s="33" t="s">
        <v>91</v>
      </c>
      <c r="E1354" s="34" t="n">
        <v>1.75</v>
      </c>
      <c r="F1354" s="32"/>
      <c r="G1354" s="35" t="n">
        <f aca="false">IF(A1354="","",A1354+7-WEEKDAY(A1354))</f>
        <v>46277</v>
      </c>
      <c r="H1354" s="36" t="n">
        <f aca="false">IF(A1354="","",DATE(YEAR(A1354),MONTH(A1354),1))</f>
        <v>46266</v>
      </c>
      <c r="I1354" s="37" t="str">
        <f aca="false">IF(B1354="","",IFERROR(INDEX(st_ID,MATCH(B1354,st_Name,0)),"Unknown"))</f>
        <v>QP-03</v>
      </c>
      <c r="J1354" s="37" t="str">
        <f aca="false">IF(C1354="","",IFERROR(INDEX(cl_Code,MATCH(C1354,cl_Name,0)),"Unknown"))</f>
        <v>BSE</v>
      </c>
      <c r="K1354" s="37" t="str">
        <f aca="false">IF(D1354="","",IFERROR(INDEX(rt_Billable,MATCH(D1354,rt_Code,0)),"Unknown"))</f>
        <v>Yes</v>
      </c>
      <c r="L1354" s="38" t="n">
        <f aca="false">IF(K1354&lt;&gt;"Yes","",IFERROR(INDEX(cr_Rate,MATCH(J1354&amp;"|"&amp;D1354,cr_Key,0)),INDEX(rt_Rate,MATCH(D1354,rt_Code,0))))</f>
        <v>100</v>
      </c>
      <c r="M1354" s="25" t="n">
        <f aca="false">IF(L1354="","",ROUND(N(E1354)*L1354,2))</f>
        <v>175</v>
      </c>
      <c r="N1354" s="39" t="n">
        <f aca="false">IF(OR(A1354="",B1354=""),"",SUMIFS(tl_Hours,tl_StaffID,I1354,tl_Date,A1354))</f>
        <v>8</v>
      </c>
      <c r="O1354" s="40" t="str">
        <f aca="false">IF(A1354&amp;B1354&amp;D1354="","",IF(OR(A1354="",B1354="",D1354="",E1354=""),"Incomplete",IF(K1354="Unknown","Unknown code",IF(AND(K1354="Yes",C1354=""),"Billable, needs client",IF(N1354&gt;MaxDayHours,"Over "&amp;MaxDayHours&amp;" hours that day","")))))</f>
        <v/>
      </c>
    </row>
    <row r="1355" customFormat="false" ht="15" hidden="false" customHeight="false" outlineLevel="0" collapsed="false">
      <c r="A1355" s="31" t="n">
        <v>46275</v>
      </c>
      <c r="B1355" s="32" t="s">
        <v>100</v>
      </c>
      <c r="C1355" s="32" t="s">
        <v>90</v>
      </c>
      <c r="D1355" s="33" t="s">
        <v>92</v>
      </c>
      <c r="E1355" s="34" t="n">
        <v>0.75</v>
      </c>
      <c r="F1355" s="32"/>
      <c r="G1355" s="35" t="n">
        <f aca="false">IF(A1355="","",A1355+7-WEEKDAY(A1355))</f>
        <v>46277</v>
      </c>
      <c r="H1355" s="36" t="n">
        <f aca="false">IF(A1355="","",DATE(YEAR(A1355),MONTH(A1355),1))</f>
        <v>46266</v>
      </c>
      <c r="I1355" s="37" t="str">
        <f aca="false">IF(B1355="","",IFERROR(INDEX(st_ID,MATCH(B1355,st_Name,0)),"Unknown"))</f>
        <v>QP-03</v>
      </c>
      <c r="J1355" s="37" t="str">
        <f aca="false">IF(C1355="","",IFERROR(INDEX(cl_Code,MATCH(C1355,cl_Name,0)),"Unknown"))</f>
        <v>BSE</v>
      </c>
      <c r="K1355" s="37" t="str">
        <f aca="false">IF(D1355="","",IFERROR(INDEX(rt_Billable,MATCH(D1355,rt_Code,0)),"Unknown"))</f>
        <v>Yes</v>
      </c>
      <c r="L1355" s="38" t="n">
        <f aca="false">IF(K1355&lt;&gt;"Yes","",IFERROR(INDEX(cr_Rate,MATCH(J1355&amp;"|"&amp;D1355,cr_Key,0)),INDEX(rt_Rate,MATCH(D1355,rt_Code,0))))</f>
        <v>145</v>
      </c>
      <c r="M1355" s="25" t="n">
        <f aca="false">IF(L1355="","",ROUND(N(E1355)*L1355,2))</f>
        <v>108.75</v>
      </c>
      <c r="N1355" s="39" t="n">
        <f aca="false">IF(OR(A1355="",B1355=""),"",SUMIFS(tl_Hours,tl_StaffID,I1355,tl_Date,A1355))</f>
        <v>8</v>
      </c>
      <c r="O1355" s="40" t="str">
        <f aca="false">IF(A1355&amp;B1355&amp;D1355="","",IF(OR(A1355="",B1355="",D1355="",E1355=""),"Incomplete",IF(K1355="Unknown","Unknown code",IF(AND(K1355="Yes",C1355=""),"Billable, needs client",IF(N1355&gt;MaxDayHours,"Over "&amp;MaxDayHours&amp;" hours that day","")))))</f>
        <v/>
      </c>
    </row>
    <row r="1356" customFormat="false" ht="15" hidden="false" customHeight="false" outlineLevel="0" collapsed="false">
      <c r="A1356" s="31" t="n">
        <v>46275</v>
      </c>
      <c r="B1356" s="32" t="s">
        <v>100</v>
      </c>
      <c r="C1356" s="32"/>
      <c r="D1356" s="33" t="s">
        <v>93</v>
      </c>
      <c r="E1356" s="34" t="n">
        <v>0.5</v>
      </c>
      <c r="F1356" s="32"/>
      <c r="G1356" s="35" t="n">
        <f aca="false">IF(A1356="","",A1356+7-WEEKDAY(A1356))</f>
        <v>46277</v>
      </c>
      <c r="H1356" s="36" t="n">
        <f aca="false">IF(A1356="","",DATE(YEAR(A1356),MONTH(A1356),1))</f>
        <v>46266</v>
      </c>
      <c r="I1356" s="37" t="str">
        <f aca="false">IF(B1356="","",IFERROR(INDEX(st_ID,MATCH(B1356,st_Name,0)),"Unknown"))</f>
        <v>QP-03</v>
      </c>
      <c r="J1356" s="37" t="str">
        <f aca="false">IF(C1356="","",IFERROR(INDEX(cl_Code,MATCH(C1356,cl_Name,0)),"Unknown"))</f>
        <v/>
      </c>
      <c r="K1356" s="37" t="str">
        <f aca="false">IF(D1356="","",IFERROR(INDEX(rt_Billable,MATCH(D1356,rt_Code,0)),"Unknown"))</f>
        <v>No</v>
      </c>
      <c r="L1356" s="38" t="str">
        <f aca="false">IF(K1356&lt;&gt;"Yes","",IFERROR(INDEX(cr_Rate,MATCH(J1356&amp;"|"&amp;D1356,cr_Key,0)),INDEX(rt_Rate,MATCH(D1356,rt_Code,0))))</f>
        <v/>
      </c>
      <c r="M1356" s="25" t="str">
        <f aca="false">IF(L1356="","",ROUND(N(E1356)*L1356,2))</f>
        <v/>
      </c>
      <c r="N1356" s="39" t="n">
        <f aca="false">IF(OR(A1356="",B1356=""),"",SUMIFS(tl_Hours,tl_StaffID,I1356,tl_Date,A1356))</f>
        <v>8</v>
      </c>
      <c r="O1356" s="40" t="str">
        <f aca="false">IF(A1356&amp;B1356&amp;D1356="","",IF(OR(A1356="",B1356="",D1356="",E1356=""),"Incomplete",IF(K1356="Unknown","Unknown code",IF(AND(K1356="Yes",C1356=""),"Billable, needs client",IF(N1356&gt;MaxDayHours,"Over "&amp;MaxDayHours&amp;" hours that day","")))))</f>
        <v/>
      </c>
    </row>
    <row r="1357" customFormat="false" ht="15" hidden="false" customHeight="false" outlineLevel="0" collapsed="false">
      <c r="A1357" s="31" t="n">
        <v>46275</v>
      </c>
      <c r="B1357" s="32" t="s">
        <v>100</v>
      </c>
      <c r="C1357" s="32"/>
      <c r="D1357" s="33" t="s">
        <v>96</v>
      </c>
      <c r="E1357" s="34" t="n">
        <v>2.5</v>
      </c>
      <c r="F1357" s="32"/>
      <c r="G1357" s="35" t="n">
        <f aca="false">IF(A1357="","",A1357+7-WEEKDAY(A1357))</f>
        <v>46277</v>
      </c>
      <c r="H1357" s="36" t="n">
        <f aca="false">IF(A1357="","",DATE(YEAR(A1357),MONTH(A1357),1))</f>
        <v>46266</v>
      </c>
      <c r="I1357" s="37" t="str">
        <f aca="false">IF(B1357="","",IFERROR(INDEX(st_ID,MATCH(B1357,st_Name,0)),"Unknown"))</f>
        <v>QP-03</v>
      </c>
      <c r="J1357" s="37" t="str">
        <f aca="false">IF(C1357="","",IFERROR(INDEX(cl_Code,MATCH(C1357,cl_Name,0)),"Unknown"))</f>
        <v/>
      </c>
      <c r="K1357" s="37" t="str">
        <f aca="false">IF(D1357="","",IFERROR(INDEX(rt_Billable,MATCH(D1357,rt_Code,0)),"Unknown"))</f>
        <v>No</v>
      </c>
      <c r="L1357" s="38" t="str">
        <f aca="false">IF(K1357&lt;&gt;"Yes","",IFERROR(INDEX(cr_Rate,MATCH(J1357&amp;"|"&amp;D1357,cr_Key,0)),INDEX(rt_Rate,MATCH(D1357,rt_Code,0))))</f>
        <v/>
      </c>
      <c r="M1357" s="25" t="str">
        <f aca="false">IF(L1357="","",ROUND(N(E1357)*L1357,2))</f>
        <v/>
      </c>
      <c r="N1357" s="39" t="n">
        <f aca="false">IF(OR(A1357="",B1357=""),"",SUMIFS(tl_Hours,tl_StaffID,I1357,tl_Date,A1357))</f>
        <v>8</v>
      </c>
      <c r="O1357" s="40" t="str">
        <f aca="false">IF(A1357&amp;B1357&amp;D1357="","",IF(OR(A1357="",B1357="",D1357="",E1357=""),"Incomplete",IF(K1357="Unknown","Unknown code",IF(AND(K1357="Yes",C1357=""),"Billable, needs client",IF(N1357&gt;MaxDayHours,"Over "&amp;MaxDayHours&amp;" hours that day","")))))</f>
        <v/>
      </c>
    </row>
    <row r="1358" customFormat="false" ht="15" hidden="false" customHeight="false" outlineLevel="0" collapsed="false">
      <c r="A1358" s="31" t="n">
        <v>46275</v>
      </c>
      <c r="B1358" s="32" t="s">
        <v>101</v>
      </c>
      <c r="C1358" s="32"/>
      <c r="D1358" s="33" t="s">
        <v>104</v>
      </c>
      <c r="E1358" s="34" t="n">
        <v>5.5</v>
      </c>
      <c r="F1358" s="32" t="s">
        <v>114</v>
      </c>
      <c r="G1358" s="35" t="n">
        <f aca="false">IF(A1358="","",A1358+7-WEEKDAY(A1358))</f>
        <v>46277</v>
      </c>
      <c r="H1358" s="36" t="n">
        <f aca="false">IF(A1358="","",DATE(YEAR(A1358),MONTH(A1358),1))</f>
        <v>46266</v>
      </c>
      <c r="I1358" s="37" t="str">
        <f aca="false">IF(B1358="","",IFERROR(INDEX(st_ID,MATCH(B1358,st_Name,0)),"Unknown"))</f>
        <v>QP-04</v>
      </c>
      <c r="J1358" s="37" t="str">
        <f aca="false">IF(C1358="","",IFERROR(INDEX(cl_Code,MATCH(C1358,cl_Name,0)),"Unknown"))</f>
        <v/>
      </c>
      <c r="K1358" s="37" t="str">
        <f aca="false">IF(D1358="","",IFERROR(INDEX(rt_Billable,MATCH(D1358,rt_Code,0)),"Unknown"))</f>
        <v>Yes</v>
      </c>
      <c r="L1358" s="38" t="n">
        <f aca="false">IF(K1358&lt;&gt;"Yes","",IFERROR(INDEX(cr_Rate,MATCH(J1358&amp;"|"&amp;D1358,cr_Key,0)),INDEX(rt_Rate,MATCH(D1358,rt_Code,0))))</f>
        <v>70</v>
      </c>
      <c r="M1358" s="25" t="n">
        <f aca="false">IF(L1358="","",ROUND(N(E1358)*L1358,2))</f>
        <v>385</v>
      </c>
      <c r="N1358" s="39" t="n">
        <f aca="false">IF(OR(A1358="",B1358=""),"",SUMIFS(tl_Hours,tl_StaffID,I1358,tl_Date,A1358))</f>
        <v>8</v>
      </c>
      <c r="O1358" s="40" t="str">
        <f aca="false">IF(A1358&amp;B1358&amp;D1358="","",IF(OR(A1358="",B1358="",D1358="",E1358=""),"Incomplete",IF(K1358="Unknown","Unknown code",IF(AND(K1358="Yes",C1358=""),"Billable, needs client",IF(N1358&gt;MaxDayHours,"Over "&amp;MaxDayHours&amp;" hours that day","")))))</f>
        <v>Billable, needs client</v>
      </c>
    </row>
    <row r="1359" customFormat="false" ht="15" hidden="false" customHeight="false" outlineLevel="0" collapsed="false">
      <c r="A1359" s="31" t="n">
        <v>46275</v>
      </c>
      <c r="B1359" s="32" t="s">
        <v>101</v>
      </c>
      <c r="C1359" s="32" t="s">
        <v>87</v>
      </c>
      <c r="D1359" s="33" t="s">
        <v>88</v>
      </c>
      <c r="E1359" s="34" t="n">
        <v>1</v>
      </c>
      <c r="F1359" s="32"/>
      <c r="G1359" s="35" t="n">
        <f aca="false">IF(A1359="","",A1359+7-WEEKDAY(A1359))</f>
        <v>46277</v>
      </c>
      <c r="H1359" s="36" t="n">
        <f aca="false">IF(A1359="","",DATE(YEAR(A1359),MONTH(A1359),1))</f>
        <v>46266</v>
      </c>
      <c r="I1359" s="37" t="str">
        <f aca="false">IF(B1359="","",IFERROR(INDEX(st_ID,MATCH(B1359,st_Name,0)),"Unknown"))</f>
        <v>QP-04</v>
      </c>
      <c r="J1359" s="37" t="str">
        <f aca="false">IF(C1359="","",IFERROR(INDEX(cl_Code,MATCH(C1359,cl_Name,0)),"Unknown"))</f>
        <v>HCS</v>
      </c>
      <c r="K1359" s="37" t="str">
        <f aca="false">IF(D1359="","",IFERROR(INDEX(rt_Billable,MATCH(D1359,rt_Code,0)),"Unknown"))</f>
        <v>Yes</v>
      </c>
      <c r="L1359" s="38" t="n">
        <f aca="false">IF(K1359&lt;&gt;"Yes","",IFERROR(INDEX(cr_Rate,MATCH(J1359&amp;"|"&amp;D1359,cr_Key,0)),INDEX(rt_Rate,MATCH(D1359,rt_Code,0))))</f>
        <v>98</v>
      </c>
      <c r="M1359" s="25" t="n">
        <f aca="false">IF(L1359="","",ROUND(N(E1359)*L1359,2))</f>
        <v>98</v>
      </c>
      <c r="N1359" s="39" t="n">
        <f aca="false">IF(OR(A1359="",B1359=""),"",SUMIFS(tl_Hours,tl_StaffID,I1359,tl_Date,A1359))</f>
        <v>8</v>
      </c>
      <c r="O1359" s="40" t="str">
        <f aca="false">IF(A1359&amp;B1359&amp;D1359="","",IF(OR(A1359="",B1359="",D1359="",E1359=""),"Incomplete",IF(K1359="Unknown","Unknown code",IF(AND(K1359="Yes",C1359=""),"Billable, needs client",IF(N1359&gt;MaxDayHours,"Over "&amp;MaxDayHours&amp;" hours that day","")))))</f>
        <v/>
      </c>
    </row>
    <row r="1360" customFormat="false" ht="15" hidden="false" customHeight="false" outlineLevel="0" collapsed="false">
      <c r="A1360" s="31" t="n">
        <v>46275</v>
      </c>
      <c r="B1360" s="32" t="s">
        <v>101</v>
      </c>
      <c r="C1360" s="32"/>
      <c r="D1360" s="33" t="s">
        <v>96</v>
      </c>
      <c r="E1360" s="34" t="n">
        <v>1.5</v>
      </c>
      <c r="F1360" s="32"/>
      <c r="G1360" s="35" t="n">
        <f aca="false">IF(A1360="","",A1360+7-WEEKDAY(A1360))</f>
        <v>46277</v>
      </c>
      <c r="H1360" s="36" t="n">
        <f aca="false">IF(A1360="","",DATE(YEAR(A1360),MONTH(A1360),1))</f>
        <v>46266</v>
      </c>
      <c r="I1360" s="37" t="str">
        <f aca="false">IF(B1360="","",IFERROR(INDEX(st_ID,MATCH(B1360,st_Name,0)),"Unknown"))</f>
        <v>QP-04</v>
      </c>
      <c r="J1360" s="37" t="str">
        <f aca="false">IF(C1360="","",IFERROR(INDEX(cl_Code,MATCH(C1360,cl_Name,0)),"Unknown"))</f>
        <v/>
      </c>
      <c r="K1360" s="37" t="str">
        <f aca="false">IF(D1360="","",IFERROR(INDEX(rt_Billable,MATCH(D1360,rt_Code,0)),"Unknown"))</f>
        <v>No</v>
      </c>
      <c r="L1360" s="38" t="str">
        <f aca="false">IF(K1360&lt;&gt;"Yes","",IFERROR(INDEX(cr_Rate,MATCH(J1360&amp;"|"&amp;D1360,cr_Key,0)),INDEX(rt_Rate,MATCH(D1360,rt_Code,0))))</f>
        <v/>
      </c>
      <c r="M1360" s="25" t="str">
        <f aca="false">IF(L1360="","",ROUND(N(E1360)*L1360,2))</f>
        <v/>
      </c>
      <c r="N1360" s="39" t="n">
        <f aca="false">IF(OR(A1360="",B1360=""),"",SUMIFS(tl_Hours,tl_StaffID,I1360,tl_Date,A1360))</f>
        <v>8</v>
      </c>
      <c r="O1360" s="40" t="str">
        <f aca="false">IF(A1360&amp;B1360&amp;D1360="","",IF(OR(A1360="",B1360="",D1360="",E1360=""),"Incomplete",IF(K1360="Unknown","Unknown code",IF(AND(K1360="Yes",C1360=""),"Billable, needs client",IF(N1360&gt;MaxDayHours,"Over "&amp;MaxDayHours&amp;" hours that day","")))))</f>
        <v/>
      </c>
    </row>
    <row r="1361" customFormat="false" ht="15" hidden="false" customHeight="false" outlineLevel="0" collapsed="false">
      <c r="A1361" s="31" t="n">
        <v>46275</v>
      </c>
      <c r="B1361" s="32" t="s">
        <v>103</v>
      </c>
      <c r="C1361" s="32" t="s">
        <v>87</v>
      </c>
      <c r="D1361" s="33" t="s">
        <v>104</v>
      </c>
      <c r="E1361" s="34" t="n">
        <v>4.25</v>
      </c>
      <c r="F1361" s="32"/>
      <c r="G1361" s="35" t="n">
        <f aca="false">IF(A1361="","",A1361+7-WEEKDAY(A1361))</f>
        <v>46277</v>
      </c>
      <c r="H1361" s="36" t="n">
        <f aca="false">IF(A1361="","",DATE(YEAR(A1361),MONTH(A1361),1))</f>
        <v>46266</v>
      </c>
      <c r="I1361" s="37" t="str">
        <f aca="false">IF(B1361="","",IFERROR(INDEX(st_ID,MATCH(B1361,st_Name,0)),"Unknown"))</f>
        <v>QP-05</v>
      </c>
      <c r="J1361" s="37" t="str">
        <f aca="false">IF(C1361="","",IFERROR(INDEX(cl_Code,MATCH(C1361,cl_Name,0)),"Unknown"))</f>
        <v>HCS</v>
      </c>
      <c r="K1361" s="37" t="str">
        <f aca="false">IF(D1361="","",IFERROR(INDEX(rt_Billable,MATCH(D1361,rt_Code,0)),"Unknown"))</f>
        <v>Yes</v>
      </c>
      <c r="L1361" s="38" t="n">
        <f aca="false">IF(K1361&lt;&gt;"Yes","",IFERROR(INDEX(cr_Rate,MATCH(J1361&amp;"|"&amp;D1361,cr_Key,0)),INDEX(rt_Rate,MATCH(D1361,rt_Code,0))))</f>
        <v>62</v>
      </c>
      <c r="M1361" s="25" t="n">
        <f aca="false">IF(L1361="","",ROUND(N(E1361)*L1361,2))</f>
        <v>263.5</v>
      </c>
      <c r="N1361" s="39" t="n">
        <f aca="false">IF(OR(A1361="",B1361=""),"",SUMIFS(tl_Hours,tl_StaffID,I1361,tl_Date,A1361))</f>
        <v>8</v>
      </c>
      <c r="O1361" s="40" t="str">
        <f aca="false">IF(A1361&amp;B1361&amp;D1361="","",IF(OR(A1361="",B1361="",D1361="",E1361=""),"Incomplete",IF(K1361="Unknown","Unknown code",IF(AND(K1361="Yes",C1361=""),"Billable, needs client",IF(N1361&gt;MaxDayHours,"Over "&amp;MaxDayHours&amp;" hours that day","")))))</f>
        <v/>
      </c>
    </row>
    <row r="1362" customFormat="false" ht="15" hidden="false" customHeight="false" outlineLevel="0" collapsed="false">
      <c r="A1362" s="31" t="n">
        <v>46275</v>
      </c>
      <c r="B1362" s="32" t="s">
        <v>103</v>
      </c>
      <c r="C1362" s="32" t="s">
        <v>87</v>
      </c>
      <c r="D1362" s="33" t="s">
        <v>88</v>
      </c>
      <c r="E1362" s="34" t="n">
        <v>1</v>
      </c>
      <c r="F1362" s="32"/>
      <c r="G1362" s="35" t="n">
        <f aca="false">IF(A1362="","",A1362+7-WEEKDAY(A1362))</f>
        <v>46277</v>
      </c>
      <c r="H1362" s="36" t="n">
        <f aca="false">IF(A1362="","",DATE(YEAR(A1362),MONTH(A1362),1))</f>
        <v>46266</v>
      </c>
      <c r="I1362" s="37" t="str">
        <f aca="false">IF(B1362="","",IFERROR(INDEX(st_ID,MATCH(B1362,st_Name,0)),"Unknown"))</f>
        <v>QP-05</v>
      </c>
      <c r="J1362" s="37" t="str">
        <f aca="false">IF(C1362="","",IFERROR(INDEX(cl_Code,MATCH(C1362,cl_Name,0)),"Unknown"))</f>
        <v>HCS</v>
      </c>
      <c r="K1362" s="37" t="str">
        <f aca="false">IF(D1362="","",IFERROR(INDEX(rt_Billable,MATCH(D1362,rt_Code,0)),"Unknown"))</f>
        <v>Yes</v>
      </c>
      <c r="L1362" s="38" t="n">
        <f aca="false">IF(K1362&lt;&gt;"Yes","",IFERROR(INDEX(cr_Rate,MATCH(J1362&amp;"|"&amp;D1362,cr_Key,0)),INDEX(rt_Rate,MATCH(D1362,rt_Code,0))))</f>
        <v>98</v>
      </c>
      <c r="M1362" s="25" t="n">
        <f aca="false">IF(L1362="","",ROUND(N(E1362)*L1362,2))</f>
        <v>98</v>
      </c>
      <c r="N1362" s="39" t="n">
        <f aca="false">IF(OR(A1362="",B1362=""),"",SUMIFS(tl_Hours,tl_StaffID,I1362,tl_Date,A1362))</f>
        <v>8</v>
      </c>
      <c r="O1362" s="40" t="str">
        <f aca="false">IF(A1362&amp;B1362&amp;D1362="","",IF(OR(A1362="",B1362="",D1362="",E1362=""),"Incomplete",IF(K1362="Unknown","Unknown code",IF(AND(K1362="Yes",C1362=""),"Billable, needs client",IF(N1362&gt;MaxDayHours,"Over "&amp;MaxDayHours&amp;" hours that day","")))))</f>
        <v/>
      </c>
    </row>
    <row r="1363" customFormat="false" ht="15" hidden="false" customHeight="false" outlineLevel="0" collapsed="false">
      <c r="A1363" s="31" t="n">
        <v>46275</v>
      </c>
      <c r="B1363" s="32" t="s">
        <v>103</v>
      </c>
      <c r="C1363" s="32"/>
      <c r="D1363" s="33" t="s">
        <v>96</v>
      </c>
      <c r="E1363" s="34" t="n">
        <v>2.75</v>
      </c>
      <c r="F1363" s="32"/>
      <c r="G1363" s="35" t="n">
        <f aca="false">IF(A1363="","",A1363+7-WEEKDAY(A1363))</f>
        <v>46277</v>
      </c>
      <c r="H1363" s="36" t="n">
        <f aca="false">IF(A1363="","",DATE(YEAR(A1363),MONTH(A1363),1))</f>
        <v>46266</v>
      </c>
      <c r="I1363" s="37" t="str">
        <f aca="false">IF(B1363="","",IFERROR(INDEX(st_ID,MATCH(B1363,st_Name,0)),"Unknown"))</f>
        <v>QP-05</v>
      </c>
      <c r="J1363" s="37" t="str">
        <f aca="false">IF(C1363="","",IFERROR(INDEX(cl_Code,MATCH(C1363,cl_Name,0)),"Unknown"))</f>
        <v/>
      </c>
      <c r="K1363" s="37" t="str">
        <f aca="false">IF(D1363="","",IFERROR(INDEX(rt_Billable,MATCH(D1363,rt_Code,0)),"Unknown"))</f>
        <v>No</v>
      </c>
      <c r="L1363" s="38" t="str">
        <f aca="false">IF(K1363&lt;&gt;"Yes","",IFERROR(INDEX(cr_Rate,MATCH(J1363&amp;"|"&amp;D1363,cr_Key,0)),INDEX(rt_Rate,MATCH(D1363,rt_Code,0))))</f>
        <v/>
      </c>
      <c r="M1363" s="25" t="str">
        <f aca="false">IF(L1363="","",ROUND(N(E1363)*L1363,2))</f>
        <v/>
      </c>
      <c r="N1363" s="39" t="n">
        <f aca="false">IF(OR(A1363="",B1363=""),"",SUMIFS(tl_Hours,tl_StaffID,I1363,tl_Date,A1363))</f>
        <v>8</v>
      </c>
      <c r="O1363" s="40" t="str">
        <f aca="false">IF(A1363&amp;B1363&amp;D1363="","",IF(OR(A1363="",B1363="",D1363="",E1363=""),"Incomplete",IF(K1363="Unknown","Unknown code",IF(AND(K1363="Yes",C1363=""),"Billable, needs client",IF(N1363&gt;MaxDayHours,"Over "&amp;MaxDayHours&amp;" hours that day","")))))</f>
        <v/>
      </c>
    </row>
    <row r="1364" customFormat="false" ht="15" hidden="false" customHeight="false" outlineLevel="0" collapsed="false">
      <c r="A1364" s="31" t="n">
        <v>46275</v>
      </c>
      <c r="B1364" s="32" t="s">
        <v>105</v>
      </c>
      <c r="C1364" s="32" t="s">
        <v>87</v>
      </c>
      <c r="D1364" s="33" t="s">
        <v>104</v>
      </c>
      <c r="E1364" s="34" t="n">
        <v>1.5</v>
      </c>
      <c r="F1364" s="32"/>
      <c r="G1364" s="35" t="n">
        <f aca="false">IF(A1364="","",A1364+7-WEEKDAY(A1364))</f>
        <v>46277</v>
      </c>
      <c r="H1364" s="36" t="n">
        <f aca="false">IF(A1364="","",DATE(YEAR(A1364),MONTH(A1364),1))</f>
        <v>46266</v>
      </c>
      <c r="I1364" s="37" t="str">
        <f aca="false">IF(B1364="","",IFERROR(INDEX(st_ID,MATCH(B1364,st_Name,0)),"Unknown"))</f>
        <v>QP-06</v>
      </c>
      <c r="J1364" s="37" t="str">
        <f aca="false">IF(C1364="","",IFERROR(INDEX(cl_Code,MATCH(C1364,cl_Name,0)),"Unknown"))</f>
        <v>HCS</v>
      </c>
      <c r="K1364" s="37" t="str">
        <f aca="false">IF(D1364="","",IFERROR(INDEX(rt_Billable,MATCH(D1364,rt_Code,0)),"Unknown"))</f>
        <v>Yes</v>
      </c>
      <c r="L1364" s="38" t="n">
        <f aca="false">IF(K1364&lt;&gt;"Yes","",IFERROR(INDEX(cr_Rate,MATCH(J1364&amp;"|"&amp;D1364,cr_Key,0)),INDEX(rt_Rate,MATCH(D1364,rt_Code,0))))</f>
        <v>62</v>
      </c>
      <c r="M1364" s="25" t="n">
        <f aca="false">IF(L1364="","",ROUND(N(E1364)*L1364,2))</f>
        <v>93</v>
      </c>
      <c r="N1364" s="39" t="n">
        <f aca="false">IF(OR(A1364="",B1364=""),"",SUMIFS(tl_Hours,tl_StaffID,I1364,tl_Date,A1364))</f>
        <v>8</v>
      </c>
      <c r="O1364" s="40" t="str">
        <f aca="false">IF(A1364&amp;B1364&amp;D1364="","",IF(OR(A1364="",B1364="",D1364="",E1364=""),"Incomplete",IF(K1364="Unknown","Unknown code",IF(AND(K1364="Yes",C1364=""),"Billable, needs client",IF(N1364&gt;MaxDayHours,"Over "&amp;MaxDayHours&amp;" hours that day","")))))</f>
        <v/>
      </c>
    </row>
    <row r="1365" customFormat="false" ht="15" hidden="false" customHeight="false" outlineLevel="0" collapsed="false">
      <c r="A1365" s="31" t="n">
        <v>46275</v>
      </c>
      <c r="B1365" s="32" t="s">
        <v>105</v>
      </c>
      <c r="C1365" s="32" t="s">
        <v>87</v>
      </c>
      <c r="D1365" s="33" t="s">
        <v>92</v>
      </c>
      <c r="E1365" s="34" t="n">
        <v>1.25</v>
      </c>
      <c r="F1365" s="32"/>
      <c r="G1365" s="35" t="n">
        <f aca="false">IF(A1365="","",A1365+7-WEEKDAY(A1365))</f>
        <v>46277</v>
      </c>
      <c r="H1365" s="36" t="n">
        <f aca="false">IF(A1365="","",DATE(YEAR(A1365),MONTH(A1365),1))</f>
        <v>46266</v>
      </c>
      <c r="I1365" s="37" t="str">
        <f aca="false">IF(B1365="","",IFERROR(INDEX(st_ID,MATCH(B1365,st_Name,0)),"Unknown"))</f>
        <v>QP-06</v>
      </c>
      <c r="J1365" s="37" t="str">
        <f aca="false">IF(C1365="","",IFERROR(INDEX(cl_Code,MATCH(C1365,cl_Name,0)),"Unknown"))</f>
        <v>HCS</v>
      </c>
      <c r="K1365" s="37" t="str">
        <f aca="false">IF(D1365="","",IFERROR(INDEX(rt_Billable,MATCH(D1365,rt_Code,0)),"Unknown"))</f>
        <v>Yes</v>
      </c>
      <c r="L1365" s="38" t="n">
        <f aca="false">IF(K1365&lt;&gt;"Yes","",IFERROR(INDEX(cr_Rate,MATCH(J1365&amp;"|"&amp;D1365,cr_Key,0)),INDEX(rt_Rate,MATCH(D1365,rt_Code,0))))</f>
        <v>140</v>
      </c>
      <c r="M1365" s="25" t="n">
        <f aca="false">IF(L1365="","",ROUND(N(E1365)*L1365,2))</f>
        <v>175</v>
      </c>
      <c r="N1365" s="39" t="n">
        <f aca="false">IF(OR(A1365="",B1365=""),"",SUMIFS(tl_Hours,tl_StaffID,I1365,tl_Date,A1365))</f>
        <v>8</v>
      </c>
      <c r="O1365" s="40" t="str">
        <f aca="false">IF(A1365&amp;B1365&amp;D1365="","",IF(OR(A1365="",B1365="",D1365="",E1365=""),"Incomplete",IF(K1365="Unknown","Unknown code",IF(AND(K1365="Yes",C1365=""),"Billable, needs client",IF(N1365&gt;MaxDayHours,"Over "&amp;MaxDayHours&amp;" hours that day","")))))</f>
        <v/>
      </c>
    </row>
    <row r="1366" customFormat="false" ht="15" hidden="false" customHeight="false" outlineLevel="0" collapsed="false">
      <c r="A1366" s="31" t="n">
        <v>46275</v>
      </c>
      <c r="B1366" s="32" t="s">
        <v>105</v>
      </c>
      <c r="C1366" s="32" t="s">
        <v>90</v>
      </c>
      <c r="D1366" s="33" t="s">
        <v>88</v>
      </c>
      <c r="E1366" s="34" t="n">
        <v>2.5</v>
      </c>
      <c r="F1366" s="32"/>
      <c r="G1366" s="35" t="n">
        <f aca="false">IF(A1366="","",A1366+7-WEEKDAY(A1366))</f>
        <v>46277</v>
      </c>
      <c r="H1366" s="36" t="n">
        <f aca="false">IF(A1366="","",DATE(YEAR(A1366),MONTH(A1366),1))</f>
        <v>46266</v>
      </c>
      <c r="I1366" s="37" t="str">
        <f aca="false">IF(B1366="","",IFERROR(INDEX(st_ID,MATCH(B1366,st_Name,0)),"Unknown"))</f>
        <v>QP-06</v>
      </c>
      <c r="J1366" s="37" t="str">
        <f aca="false">IF(C1366="","",IFERROR(INDEX(cl_Code,MATCH(C1366,cl_Name,0)),"Unknown"))</f>
        <v>BSE</v>
      </c>
      <c r="K1366" s="37" t="str">
        <f aca="false">IF(D1366="","",IFERROR(INDEX(rt_Billable,MATCH(D1366,rt_Code,0)),"Unknown"))</f>
        <v>Yes</v>
      </c>
      <c r="L1366" s="38" t="n">
        <f aca="false">IF(K1366&lt;&gt;"Yes","",IFERROR(INDEX(cr_Rate,MATCH(J1366&amp;"|"&amp;D1366,cr_Key,0)),INDEX(rt_Rate,MATCH(D1366,rt_Code,0))))</f>
        <v>104</v>
      </c>
      <c r="M1366" s="25" t="n">
        <f aca="false">IF(L1366="","",ROUND(N(E1366)*L1366,2))</f>
        <v>260</v>
      </c>
      <c r="N1366" s="39" t="n">
        <f aca="false">IF(OR(A1366="",B1366=""),"",SUMIFS(tl_Hours,tl_StaffID,I1366,tl_Date,A1366))</f>
        <v>8</v>
      </c>
      <c r="O1366" s="40" t="str">
        <f aca="false">IF(A1366&amp;B1366&amp;D1366="","",IF(OR(A1366="",B1366="",D1366="",E1366=""),"Incomplete",IF(K1366="Unknown","Unknown code",IF(AND(K1366="Yes",C1366=""),"Billable, needs client",IF(N1366&gt;MaxDayHours,"Over "&amp;MaxDayHours&amp;" hours that day","")))))</f>
        <v/>
      </c>
    </row>
    <row r="1367" customFormat="false" ht="15" hidden="false" customHeight="false" outlineLevel="0" collapsed="false">
      <c r="A1367" s="31" t="n">
        <v>46275</v>
      </c>
      <c r="B1367" s="32" t="s">
        <v>105</v>
      </c>
      <c r="C1367" s="32" t="s">
        <v>90</v>
      </c>
      <c r="D1367" s="33" t="s">
        <v>92</v>
      </c>
      <c r="E1367" s="34" t="n">
        <v>0.25</v>
      </c>
      <c r="F1367" s="32"/>
      <c r="G1367" s="35" t="n">
        <f aca="false">IF(A1367="","",A1367+7-WEEKDAY(A1367))</f>
        <v>46277</v>
      </c>
      <c r="H1367" s="36" t="n">
        <f aca="false">IF(A1367="","",DATE(YEAR(A1367),MONTH(A1367),1))</f>
        <v>46266</v>
      </c>
      <c r="I1367" s="37" t="str">
        <f aca="false">IF(B1367="","",IFERROR(INDEX(st_ID,MATCH(B1367,st_Name,0)),"Unknown"))</f>
        <v>QP-06</v>
      </c>
      <c r="J1367" s="37" t="str">
        <f aca="false">IF(C1367="","",IFERROR(INDEX(cl_Code,MATCH(C1367,cl_Name,0)),"Unknown"))</f>
        <v>BSE</v>
      </c>
      <c r="K1367" s="37" t="str">
        <f aca="false">IF(D1367="","",IFERROR(INDEX(rt_Billable,MATCH(D1367,rt_Code,0)),"Unknown"))</f>
        <v>Yes</v>
      </c>
      <c r="L1367" s="38" t="n">
        <f aca="false">IF(K1367&lt;&gt;"Yes","",IFERROR(INDEX(cr_Rate,MATCH(J1367&amp;"|"&amp;D1367,cr_Key,0)),INDEX(rt_Rate,MATCH(D1367,rt_Code,0))))</f>
        <v>145</v>
      </c>
      <c r="M1367" s="25" t="n">
        <f aca="false">IF(L1367="","",ROUND(N(E1367)*L1367,2))</f>
        <v>36.25</v>
      </c>
      <c r="N1367" s="39" t="n">
        <f aca="false">IF(OR(A1367="",B1367=""),"",SUMIFS(tl_Hours,tl_StaffID,I1367,tl_Date,A1367))</f>
        <v>8</v>
      </c>
      <c r="O1367" s="40" t="str">
        <f aca="false">IF(A1367&amp;B1367&amp;D1367="","",IF(OR(A1367="",B1367="",D1367="",E1367=""),"Incomplete",IF(K1367="Unknown","Unknown code",IF(AND(K1367="Yes",C1367=""),"Billable, needs client",IF(N1367&gt;MaxDayHours,"Over "&amp;MaxDayHours&amp;" hours that day","")))))</f>
        <v/>
      </c>
    </row>
    <row r="1368" customFormat="false" ht="15" hidden="false" customHeight="false" outlineLevel="0" collapsed="false">
      <c r="A1368" s="31" t="n">
        <v>46275</v>
      </c>
      <c r="B1368" s="32" t="s">
        <v>105</v>
      </c>
      <c r="C1368" s="32"/>
      <c r="D1368" s="33" t="s">
        <v>93</v>
      </c>
      <c r="E1368" s="34" t="n">
        <v>0.5</v>
      </c>
      <c r="F1368" s="32"/>
      <c r="G1368" s="35" t="n">
        <f aca="false">IF(A1368="","",A1368+7-WEEKDAY(A1368))</f>
        <v>46277</v>
      </c>
      <c r="H1368" s="36" t="n">
        <f aca="false">IF(A1368="","",DATE(YEAR(A1368),MONTH(A1368),1))</f>
        <v>46266</v>
      </c>
      <c r="I1368" s="37" t="str">
        <f aca="false">IF(B1368="","",IFERROR(INDEX(st_ID,MATCH(B1368,st_Name,0)),"Unknown"))</f>
        <v>QP-06</v>
      </c>
      <c r="J1368" s="37" t="str">
        <f aca="false">IF(C1368="","",IFERROR(INDEX(cl_Code,MATCH(C1368,cl_Name,0)),"Unknown"))</f>
        <v/>
      </c>
      <c r="K1368" s="37" t="str">
        <f aca="false">IF(D1368="","",IFERROR(INDEX(rt_Billable,MATCH(D1368,rt_Code,0)),"Unknown"))</f>
        <v>No</v>
      </c>
      <c r="L1368" s="38" t="str">
        <f aca="false">IF(K1368&lt;&gt;"Yes","",IFERROR(INDEX(cr_Rate,MATCH(J1368&amp;"|"&amp;D1368,cr_Key,0)),INDEX(rt_Rate,MATCH(D1368,rt_Code,0))))</f>
        <v/>
      </c>
      <c r="M1368" s="25" t="str">
        <f aca="false">IF(L1368="","",ROUND(N(E1368)*L1368,2))</f>
        <v/>
      </c>
      <c r="N1368" s="39" t="n">
        <f aca="false">IF(OR(A1368="",B1368=""),"",SUMIFS(tl_Hours,tl_StaffID,I1368,tl_Date,A1368))</f>
        <v>8</v>
      </c>
      <c r="O1368" s="40" t="str">
        <f aca="false">IF(A1368&amp;B1368&amp;D1368="","",IF(OR(A1368="",B1368="",D1368="",E1368=""),"Incomplete",IF(K1368="Unknown","Unknown code",IF(AND(K1368="Yes",C1368=""),"Billable, needs client",IF(N1368&gt;MaxDayHours,"Over "&amp;MaxDayHours&amp;" hours that day","")))))</f>
        <v/>
      </c>
    </row>
    <row r="1369" customFormat="false" ht="15" hidden="false" customHeight="false" outlineLevel="0" collapsed="false">
      <c r="A1369" s="31" t="n">
        <v>46275</v>
      </c>
      <c r="B1369" s="32" t="s">
        <v>105</v>
      </c>
      <c r="C1369" s="32"/>
      <c r="D1369" s="33" t="s">
        <v>96</v>
      </c>
      <c r="E1369" s="34" t="n">
        <v>2</v>
      </c>
      <c r="F1369" s="32"/>
      <c r="G1369" s="35" t="n">
        <f aca="false">IF(A1369="","",A1369+7-WEEKDAY(A1369))</f>
        <v>46277</v>
      </c>
      <c r="H1369" s="36" t="n">
        <f aca="false">IF(A1369="","",DATE(YEAR(A1369),MONTH(A1369),1))</f>
        <v>46266</v>
      </c>
      <c r="I1369" s="37" t="str">
        <f aca="false">IF(B1369="","",IFERROR(INDEX(st_ID,MATCH(B1369,st_Name,0)),"Unknown"))</f>
        <v>QP-06</v>
      </c>
      <c r="J1369" s="37" t="str">
        <f aca="false">IF(C1369="","",IFERROR(INDEX(cl_Code,MATCH(C1369,cl_Name,0)),"Unknown"))</f>
        <v/>
      </c>
      <c r="K1369" s="37" t="str">
        <f aca="false">IF(D1369="","",IFERROR(INDEX(rt_Billable,MATCH(D1369,rt_Code,0)),"Unknown"))</f>
        <v>No</v>
      </c>
      <c r="L1369" s="38" t="str">
        <f aca="false">IF(K1369&lt;&gt;"Yes","",IFERROR(INDEX(cr_Rate,MATCH(J1369&amp;"|"&amp;D1369,cr_Key,0)),INDEX(rt_Rate,MATCH(D1369,rt_Code,0))))</f>
        <v/>
      </c>
      <c r="M1369" s="25" t="str">
        <f aca="false">IF(L1369="","",ROUND(N(E1369)*L1369,2))</f>
        <v/>
      </c>
      <c r="N1369" s="39" t="n">
        <f aca="false">IF(OR(A1369="",B1369=""),"",SUMIFS(tl_Hours,tl_StaffID,I1369,tl_Date,A1369))</f>
        <v>8</v>
      </c>
      <c r="O1369" s="40" t="str">
        <f aca="false">IF(A1369&amp;B1369&amp;D1369="","",IF(OR(A1369="",B1369="",D1369="",E1369=""),"Incomplete",IF(K1369="Unknown","Unknown code",IF(AND(K1369="Yes",C1369=""),"Billable, needs client",IF(N1369&gt;MaxDayHours,"Over "&amp;MaxDayHours&amp;" hours that day","")))))</f>
        <v/>
      </c>
    </row>
    <row r="1370" customFormat="false" ht="15" hidden="false" customHeight="false" outlineLevel="0" collapsed="false">
      <c r="A1370" s="31" t="n">
        <v>46275</v>
      </c>
      <c r="B1370" s="32" t="s">
        <v>106</v>
      </c>
      <c r="C1370" s="32" t="s">
        <v>87</v>
      </c>
      <c r="D1370" s="33" t="s">
        <v>104</v>
      </c>
      <c r="E1370" s="34" t="n">
        <v>3</v>
      </c>
      <c r="F1370" s="32"/>
      <c r="G1370" s="35" t="n">
        <f aca="false">IF(A1370="","",A1370+7-WEEKDAY(A1370))</f>
        <v>46277</v>
      </c>
      <c r="H1370" s="36" t="n">
        <f aca="false">IF(A1370="","",DATE(YEAR(A1370),MONTH(A1370),1))</f>
        <v>46266</v>
      </c>
      <c r="I1370" s="37" t="str">
        <f aca="false">IF(B1370="","",IFERROR(INDEX(st_ID,MATCH(B1370,st_Name,0)),"Unknown"))</f>
        <v>QP-07</v>
      </c>
      <c r="J1370" s="37" t="str">
        <f aca="false">IF(C1370="","",IFERROR(INDEX(cl_Code,MATCH(C1370,cl_Name,0)),"Unknown"))</f>
        <v>HCS</v>
      </c>
      <c r="K1370" s="37" t="str">
        <f aca="false">IF(D1370="","",IFERROR(INDEX(rt_Billable,MATCH(D1370,rt_Code,0)),"Unknown"))</f>
        <v>Yes</v>
      </c>
      <c r="L1370" s="38" t="n">
        <f aca="false">IF(K1370&lt;&gt;"Yes","",IFERROR(INDEX(cr_Rate,MATCH(J1370&amp;"|"&amp;D1370,cr_Key,0)),INDEX(rt_Rate,MATCH(D1370,rt_Code,0))))</f>
        <v>62</v>
      </c>
      <c r="M1370" s="25" t="n">
        <f aca="false">IF(L1370="","",ROUND(N(E1370)*L1370,2))</f>
        <v>186</v>
      </c>
      <c r="N1370" s="39" t="n">
        <f aca="false">IF(OR(A1370="",B1370=""),"",SUMIFS(tl_Hours,tl_StaffID,I1370,tl_Date,A1370))</f>
        <v>8.5</v>
      </c>
      <c r="O1370" s="40" t="str">
        <f aca="false">IF(A1370&amp;B1370&amp;D1370="","",IF(OR(A1370="",B1370="",D1370="",E1370=""),"Incomplete",IF(K1370="Unknown","Unknown code",IF(AND(K1370="Yes",C1370=""),"Billable, needs client",IF(N1370&gt;MaxDayHours,"Over "&amp;MaxDayHours&amp;" hours that day","")))))</f>
        <v/>
      </c>
    </row>
    <row r="1371" customFormat="false" ht="15" hidden="false" customHeight="false" outlineLevel="0" collapsed="false">
      <c r="A1371" s="31" t="n">
        <v>46275</v>
      </c>
      <c r="B1371" s="32" t="s">
        <v>106</v>
      </c>
      <c r="C1371" s="32" t="s">
        <v>112</v>
      </c>
      <c r="D1371" s="33" t="s">
        <v>88</v>
      </c>
      <c r="E1371" s="34" t="n">
        <v>2</v>
      </c>
      <c r="F1371" s="32"/>
      <c r="G1371" s="35" t="n">
        <f aca="false">IF(A1371="","",A1371+7-WEEKDAY(A1371))</f>
        <v>46277</v>
      </c>
      <c r="H1371" s="36" t="n">
        <f aca="false">IF(A1371="","",DATE(YEAR(A1371),MONTH(A1371),1))</f>
        <v>46266</v>
      </c>
      <c r="I1371" s="37" t="str">
        <f aca="false">IF(B1371="","",IFERROR(INDEX(st_ID,MATCH(B1371,st_Name,0)),"Unknown"))</f>
        <v>QP-07</v>
      </c>
      <c r="J1371" s="37" t="str">
        <f aca="false">IF(C1371="","",IFERROR(INDEX(cl_Code,MATCH(C1371,cl_Name,0)),"Unknown"))</f>
        <v>PCA</v>
      </c>
      <c r="K1371" s="37" t="str">
        <f aca="false">IF(D1371="","",IFERROR(INDEX(rt_Billable,MATCH(D1371,rt_Code,0)),"Unknown"))</f>
        <v>Yes</v>
      </c>
      <c r="L1371" s="38" t="n">
        <f aca="false">IF(K1371&lt;&gt;"Yes","",IFERROR(INDEX(cr_Rate,MATCH(J1371&amp;"|"&amp;D1371,cr_Key,0)),INDEX(rt_Rate,MATCH(D1371,rt_Code,0))))</f>
        <v>110</v>
      </c>
      <c r="M1371" s="25" t="n">
        <f aca="false">IF(L1371="","",ROUND(N(E1371)*L1371,2))</f>
        <v>220</v>
      </c>
      <c r="N1371" s="39" t="n">
        <f aca="false">IF(OR(A1371="",B1371=""),"",SUMIFS(tl_Hours,tl_StaffID,I1371,tl_Date,A1371))</f>
        <v>8.5</v>
      </c>
      <c r="O1371" s="40" t="str">
        <f aca="false">IF(A1371&amp;B1371&amp;D1371="","",IF(OR(A1371="",B1371="",D1371="",E1371=""),"Incomplete",IF(K1371="Unknown","Unknown code",IF(AND(K1371="Yes",C1371=""),"Billable, needs client",IF(N1371&gt;MaxDayHours,"Over "&amp;MaxDayHours&amp;" hours that day","")))))</f>
        <v/>
      </c>
    </row>
    <row r="1372" customFormat="false" ht="15" hidden="false" customHeight="false" outlineLevel="0" collapsed="false">
      <c r="A1372" s="31" t="n">
        <v>46275</v>
      </c>
      <c r="B1372" s="32" t="s">
        <v>106</v>
      </c>
      <c r="C1372" s="32" t="s">
        <v>112</v>
      </c>
      <c r="D1372" s="33" t="s">
        <v>104</v>
      </c>
      <c r="E1372" s="34" t="n">
        <v>1</v>
      </c>
      <c r="F1372" s="32"/>
      <c r="G1372" s="35" t="n">
        <f aca="false">IF(A1372="","",A1372+7-WEEKDAY(A1372))</f>
        <v>46277</v>
      </c>
      <c r="H1372" s="36" t="n">
        <f aca="false">IF(A1372="","",DATE(YEAR(A1372),MONTH(A1372),1))</f>
        <v>46266</v>
      </c>
      <c r="I1372" s="37" t="str">
        <f aca="false">IF(B1372="","",IFERROR(INDEX(st_ID,MATCH(B1372,st_Name,0)),"Unknown"))</f>
        <v>QP-07</v>
      </c>
      <c r="J1372" s="37" t="str">
        <f aca="false">IF(C1372="","",IFERROR(INDEX(cl_Code,MATCH(C1372,cl_Name,0)),"Unknown"))</f>
        <v>PCA</v>
      </c>
      <c r="K1372" s="37" t="str">
        <f aca="false">IF(D1372="","",IFERROR(INDEX(rt_Billable,MATCH(D1372,rt_Code,0)),"Unknown"))</f>
        <v>Yes</v>
      </c>
      <c r="L1372" s="38" t="n">
        <f aca="false">IF(K1372&lt;&gt;"Yes","",IFERROR(INDEX(cr_Rate,MATCH(J1372&amp;"|"&amp;D1372,cr_Key,0)),INDEX(rt_Rate,MATCH(D1372,rt_Code,0))))</f>
        <v>70</v>
      </c>
      <c r="M1372" s="25" t="n">
        <f aca="false">IF(L1372="","",ROUND(N(E1372)*L1372,2))</f>
        <v>70</v>
      </c>
      <c r="N1372" s="39" t="n">
        <f aca="false">IF(OR(A1372="",B1372=""),"",SUMIFS(tl_Hours,tl_StaffID,I1372,tl_Date,A1372))</f>
        <v>8.5</v>
      </c>
      <c r="O1372" s="40" t="str">
        <f aca="false">IF(A1372&amp;B1372&amp;D1372="","",IF(OR(A1372="",B1372="",D1372="",E1372=""),"Incomplete",IF(K1372="Unknown","Unknown code",IF(AND(K1372="Yes",C1372=""),"Billable, needs client",IF(N1372&gt;MaxDayHours,"Over "&amp;MaxDayHours&amp;" hours that day","")))))</f>
        <v/>
      </c>
    </row>
    <row r="1373" customFormat="false" ht="15" hidden="false" customHeight="false" outlineLevel="0" collapsed="false">
      <c r="A1373" s="31" t="n">
        <v>46275</v>
      </c>
      <c r="B1373" s="32" t="s">
        <v>106</v>
      </c>
      <c r="C1373" s="32"/>
      <c r="D1373" s="33" t="s">
        <v>93</v>
      </c>
      <c r="E1373" s="34" t="n">
        <v>0.5</v>
      </c>
      <c r="F1373" s="32"/>
      <c r="G1373" s="35" t="n">
        <f aca="false">IF(A1373="","",A1373+7-WEEKDAY(A1373))</f>
        <v>46277</v>
      </c>
      <c r="H1373" s="36" t="n">
        <f aca="false">IF(A1373="","",DATE(YEAR(A1373),MONTH(A1373),1))</f>
        <v>46266</v>
      </c>
      <c r="I1373" s="37" t="str">
        <f aca="false">IF(B1373="","",IFERROR(INDEX(st_ID,MATCH(B1373,st_Name,0)),"Unknown"))</f>
        <v>QP-07</v>
      </c>
      <c r="J1373" s="37" t="str">
        <f aca="false">IF(C1373="","",IFERROR(INDEX(cl_Code,MATCH(C1373,cl_Name,0)),"Unknown"))</f>
        <v/>
      </c>
      <c r="K1373" s="37" t="str">
        <f aca="false">IF(D1373="","",IFERROR(INDEX(rt_Billable,MATCH(D1373,rt_Code,0)),"Unknown"))</f>
        <v>No</v>
      </c>
      <c r="L1373" s="38" t="str">
        <f aca="false">IF(K1373&lt;&gt;"Yes","",IFERROR(INDEX(cr_Rate,MATCH(J1373&amp;"|"&amp;D1373,cr_Key,0)),INDEX(rt_Rate,MATCH(D1373,rt_Code,0))))</f>
        <v/>
      </c>
      <c r="M1373" s="25" t="str">
        <f aca="false">IF(L1373="","",ROUND(N(E1373)*L1373,2))</f>
        <v/>
      </c>
      <c r="N1373" s="39" t="n">
        <f aca="false">IF(OR(A1373="",B1373=""),"",SUMIFS(tl_Hours,tl_StaffID,I1373,tl_Date,A1373))</f>
        <v>8.5</v>
      </c>
      <c r="O1373" s="40" t="str">
        <f aca="false">IF(A1373&amp;B1373&amp;D1373="","",IF(OR(A1373="",B1373="",D1373="",E1373=""),"Incomplete",IF(K1373="Unknown","Unknown code",IF(AND(K1373="Yes",C1373=""),"Billable, needs client",IF(N1373&gt;MaxDayHours,"Over "&amp;MaxDayHours&amp;" hours that day","")))))</f>
        <v/>
      </c>
    </row>
    <row r="1374" customFormat="false" ht="15" hidden="false" customHeight="false" outlineLevel="0" collapsed="false">
      <c r="A1374" s="31" t="n">
        <v>46275</v>
      </c>
      <c r="B1374" s="32" t="s">
        <v>106</v>
      </c>
      <c r="C1374" s="32"/>
      <c r="D1374" s="33" t="s">
        <v>94</v>
      </c>
      <c r="E1374" s="34" t="n">
        <v>1.5</v>
      </c>
      <c r="F1374" s="32" t="s">
        <v>95</v>
      </c>
      <c r="G1374" s="35" t="n">
        <f aca="false">IF(A1374="","",A1374+7-WEEKDAY(A1374))</f>
        <v>46277</v>
      </c>
      <c r="H1374" s="36" t="n">
        <f aca="false">IF(A1374="","",DATE(YEAR(A1374),MONTH(A1374),1))</f>
        <v>46266</v>
      </c>
      <c r="I1374" s="37" t="str">
        <f aca="false">IF(B1374="","",IFERROR(INDEX(st_ID,MATCH(B1374,st_Name,0)),"Unknown"))</f>
        <v>QP-07</v>
      </c>
      <c r="J1374" s="37" t="str">
        <f aca="false">IF(C1374="","",IFERROR(INDEX(cl_Code,MATCH(C1374,cl_Name,0)),"Unknown"))</f>
        <v/>
      </c>
      <c r="K1374" s="37" t="str">
        <f aca="false">IF(D1374="","",IFERROR(INDEX(rt_Billable,MATCH(D1374,rt_Code,0)),"Unknown"))</f>
        <v>No</v>
      </c>
      <c r="L1374" s="38" t="str">
        <f aca="false">IF(K1374&lt;&gt;"Yes","",IFERROR(INDEX(cr_Rate,MATCH(J1374&amp;"|"&amp;D1374,cr_Key,0)),INDEX(rt_Rate,MATCH(D1374,rt_Code,0))))</f>
        <v/>
      </c>
      <c r="M1374" s="25" t="str">
        <f aca="false">IF(L1374="","",ROUND(N(E1374)*L1374,2))</f>
        <v/>
      </c>
      <c r="N1374" s="39" t="n">
        <f aca="false">IF(OR(A1374="",B1374=""),"",SUMIFS(tl_Hours,tl_StaffID,I1374,tl_Date,A1374))</f>
        <v>8.5</v>
      </c>
      <c r="O1374" s="40" t="str">
        <f aca="false">IF(A1374&amp;B1374&amp;D1374="","",IF(OR(A1374="",B1374="",D1374="",E1374=""),"Incomplete",IF(K1374="Unknown","Unknown code",IF(AND(K1374="Yes",C1374=""),"Billable, needs client",IF(N1374&gt;MaxDayHours,"Over "&amp;MaxDayHours&amp;" hours that day","")))))</f>
        <v/>
      </c>
    </row>
    <row r="1375" customFormat="false" ht="15" hidden="false" customHeight="false" outlineLevel="0" collapsed="false">
      <c r="A1375" s="31" t="n">
        <v>46275</v>
      </c>
      <c r="B1375" s="32" t="s">
        <v>106</v>
      </c>
      <c r="C1375" s="32"/>
      <c r="D1375" s="33" t="s">
        <v>96</v>
      </c>
      <c r="E1375" s="34" t="n">
        <v>0.5</v>
      </c>
      <c r="F1375" s="32"/>
      <c r="G1375" s="35" t="n">
        <f aca="false">IF(A1375="","",A1375+7-WEEKDAY(A1375))</f>
        <v>46277</v>
      </c>
      <c r="H1375" s="36" t="n">
        <f aca="false">IF(A1375="","",DATE(YEAR(A1375),MONTH(A1375),1))</f>
        <v>46266</v>
      </c>
      <c r="I1375" s="37" t="str">
        <f aca="false">IF(B1375="","",IFERROR(INDEX(st_ID,MATCH(B1375,st_Name,0)),"Unknown"))</f>
        <v>QP-07</v>
      </c>
      <c r="J1375" s="37" t="str">
        <f aca="false">IF(C1375="","",IFERROR(INDEX(cl_Code,MATCH(C1375,cl_Name,0)),"Unknown"))</f>
        <v/>
      </c>
      <c r="K1375" s="37" t="str">
        <f aca="false">IF(D1375="","",IFERROR(INDEX(rt_Billable,MATCH(D1375,rt_Code,0)),"Unknown"))</f>
        <v>No</v>
      </c>
      <c r="L1375" s="38" t="str">
        <f aca="false">IF(K1375&lt;&gt;"Yes","",IFERROR(INDEX(cr_Rate,MATCH(J1375&amp;"|"&amp;D1375,cr_Key,0)),INDEX(rt_Rate,MATCH(D1375,rt_Code,0))))</f>
        <v/>
      </c>
      <c r="M1375" s="25" t="str">
        <f aca="false">IF(L1375="","",ROUND(N(E1375)*L1375,2))</f>
        <v/>
      </c>
      <c r="N1375" s="39" t="n">
        <f aca="false">IF(OR(A1375="",B1375=""),"",SUMIFS(tl_Hours,tl_StaffID,I1375,tl_Date,A1375))</f>
        <v>8.5</v>
      </c>
      <c r="O1375" s="40" t="str">
        <f aca="false">IF(A1375&amp;B1375&amp;D1375="","",IF(OR(A1375="",B1375="",D1375="",E1375=""),"Incomplete",IF(K1375="Unknown","Unknown code",IF(AND(K1375="Yes",C1375=""),"Billable, needs client",IF(N1375&gt;MaxDayHours,"Over "&amp;MaxDayHours&amp;" hours that day","")))))</f>
        <v/>
      </c>
    </row>
    <row r="1376" customFormat="false" ht="15" hidden="false" customHeight="false" outlineLevel="0" collapsed="false">
      <c r="A1376" s="31" t="n">
        <v>46275</v>
      </c>
      <c r="B1376" s="32" t="s">
        <v>107</v>
      </c>
      <c r="C1376" s="32"/>
      <c r="D1376" s="33" t="s">
        <v>108</v>
      </c>
      <c r="E1376" s="34" t="n">
        <v>7</v>
      </c>
      <c r="F1376" s="32"/>
      <c r="G1376" s="35" t="n">
        <f aca="false">IF(A1376="","",A1376+7-WEEKDAY(A1376))</f>
        <v>46277</v>
      </c>
      <c r="H1376" s="36" t="n">
        <f aca="false">IF(A1376="","",DATE(YEAR(A1376),MONTH(A1376),1))</f>
        <v>46266</v>
      </c>
      <c r="I1376" s="37" t="str">
        <f aca="false">IF(B1376="","",IFERROR(INDEX(st_ID,MATCH(B1376,st_Name,0)),"Unknown"))</f>
        <v>QP-08</v>
      </c>
      <c r="J1376" s="37" t="str">
        <f aca="false">IF(C1376="","",IFERROR(INDEX(cl_Code,MATCH(C1376,cl_Name,0)),"Unknown"))</f>
        <v/>
      </c>
      <c r="K1376" s="37" t="str">
        <f aca="false">IF(D1376="","",IFERROR(INDEX(rt_Billable,MATCH(D1376,rt_Code,0)),"Unknown"))</f>
        <v>No</v>
      </c>
      <c r="L1376" s="38" t="str">
        <f aca="false">IF(K1376&lt;&gt;"Yes","",IFERROR(INDEX(cr_Rate,MATCH(J1376&amp;"|"&amp;D1376,cr_Key,0)),INDEX(rt_Rate,MATCH(D1376,rt_Code,0))))</f>
        <v/>
      </c>
      <c r="M1376" s="25" t="str">
        <f aca="false">IF(L1376="","",ROUND(N(E1376)*L1376,2))</f>
        <v/>
      </c>
      <c r="N1376" s="39" t="n">
        <f aca="false">IF(OR(A1376="",B1376=""),"",SUMIFS(tl_Hours,tl_StaffID,I1376,tl_Date,A1376))</f>
        <v>8</v>
      </c>
      <c r="O1376" s="40" t="str">
        <f aca="false">IF(A1376&amp;B1376&amp;D1376="","",IF(OR(A1376="",B1376="",D1376="",E1376=""),"Incomplete",IF(K1376="Unknown","Unknown code",IF(AND(K1376="Yes",C1376=""),"Billable, needs client",IF(N1376&gt;MaxDayHours,"Over "&amp;MaxDayHours&amp;" hours that day","")))))</f>
        <v/>
      </c>
    </row>
    <row r="1377" customFormat="false" ht="15" hidden="false" customHeight="false" outlineLevel="0" collapsed="false">
      <c r="A1377" s="31" t="n">
        <v>46275</v>
      </c>
      <c r="B1377" s="32" t="s">
        <v>107</v>
      </c>
      <c r="C1377" s="32"/>
      <c r="D1377" s="33" t="s">
        <v>98</v>
      </c>
      <c r="E1377" s="34" t="n">
        <v>1</v>
      </c>
      <c r="F1377" s="32"/>
      <c r="G1377" s="35" t="n">
        <f aca="false">IF(A1377="","",A1377+7-WEEKDAY(A1377))</f>
        <v>46277</v>
      </c>
      <c r="H1377" s="36" t="n">
        <f aca="false">IF(A1377="","",DATE(YEAR(A1377),MONTH(A1377),1))</f>
        <v>46266</v>
      </c>
      <c r="I1377" s="37" t="str">
        <f aca="false">IF(B1377="","",IFERROR(INDEX(st_ID,MATCH(B1377,st_Name,0)),"Unknown"))</f>
        <v>QP-08</v>
      </c>
      <c r="J1377" s="37" t="str">
        <f aca="false">IF(C1377="","",IFERROR(INDEX(cl_Code,MATCH(C1377,cl_Name,0)),"Unknown"))</f>
        <v/>
      </c>
      <c r="K1377" s="37" t="str">
        <f aca="false">IF(D1377="","",IFERROR(INDEX(rt_Billable,MATCH(D1377,rt_Code,0)),"Unknown"))</f>
        <v>No</v>
      </c>
      <c r="L1377" s="38" t="str">
        <f aca="false">IF(K1377&lt;&gt;"Yes","",IFERROR(INDEX(cr_Rate,MATCH(J1377&amp;"|"&amp;D1377,cr_Key,0)),INDEX(rt_Rate,MATCH(D1377,rt_Code,0))))</f>
        <v/>
      </c>
      <c r="M1377" s="25" t="str">
        <f aca="false">IF(L1377="","",ROUND(N(E1377)*L1377,2))</f>
        <v/>
      </c>
      <c r="N1377" s="39" t="n">
        <f aca="false">IF(OR(A1377="",B1377=""),"",SUMIFS(tl_Hours,tl_StaffID,I1377,tl_Date,A1377))</f>
        <v>8</v>
      </c>
      <c r="O1377" s="40" t="str">
        <f aca="false">IF(A1377&amp;B1377&amp;D1377="","",IF(OR(A1377="",B1377="",D1377="",E1377=""),"Incomplete",IF(K1377="Unknown","Unknown code",IF(AND(K1377="Yes",C1377=""),"Billable, needs client",IF(N1377&gt;MaxDayHours,"Over "&amp;MaxDayHours&amp;" hours that day","")))))</f>
        <v/>
      </c>
    </row>
    <row r="1378" customFormat="false" ht="15" hidden="false" customHeight="false" outlineLevel="0" collapsed="false">
      <c r="A1378" s="31" t="n">
        <v>46276</v>
      </c>
      <c r="B1378" s="32" t="s">
        <v>86</v>
      </c>
      <c r="C1378" s="32" t="s">
        <v>87</v>
      </c>
      <c r="D1378" s="33" t="s">
        <v>88</v>
      </c>
      <c r="E1378" s="34" t="n">
        <v>4.75</v>
      </c>
      <c r="F1378" s="32"/>
      <c r="G1378" s="35" t="n">
        <f aca="false">IF(A1378="","",A1378+7-WEEKDAY(A1378))</f>
        <v>46277</v>
      </c>
      <c r="H1378" s="36" t="n">
        <f aca="false">IF(A1378="","",DATE(YEAR(A1378),MONTH(A1378),1))</f>
        <v>46266</v>
      </c>
      <c r="I1378" s="37" t="str">
        <f aca="false">IF(B1378="","",IFERROR(INDEX(st_ID,MATCH(B1378,st_Name,0)),"Unknown"))</f>
        <v>QP-01</v>
      </c>
      <c r="J1378" s="37" t="str">
        <f aca="false">IF(C1378="","",IFERROR(INDEX(cl_Code,MATCH(C1378,cl_Name,0)),"Unknown"))</f>
        <v>HCS</v>
      </c>
      <c r="K1378" s="37" t="str">
        <f aca="false">IF(D1378="","",IFERROR(INDEX(rt_Billable,MATCH(D1378,rt_Code,0)),"Unknown"))</f>
        <v>Yes</v>
      </c>
      <c r="L1378" s="38" t="n">
        <f aca="false">IF(K1378&lt;&gt;"Yes","",IFERROR(INDEX(cr_Rate,MATCH(J1378&amp;"|"&amp;D1378,cr_Key,0)),INDEX(rt_Rate,MATCH(D1378,rt_Code,0))))</f>
        <v>98</v>
      </c>
      <c r="M1378" s="25" t="n">
        <f aca="false">IF(L1378="","",ROUND(N(E1378)*L1378,2))</f>
        <v>465.5</v>
      </c>
      <c r="N1378" s="39" t="n">
        <f aca="false">IF(OR(A1378="",B1378=""),"",SUMIFS(tl_Hours,tl_StaffID,I1378,tl_Date,A1378))</f>
        <v>8</v>
      </c>
      <c r="O1378" s="40" t="str">
        <f aca="false">IF(A1378&amp;B1378&amp;D1378="","",IF(OR(A1378="",B1378="",D1378="",E1378=""),"Incomplete",IF(K1378="Unknown","Unknown code",IF(AND(K1378="Yes",C1378=""),"Billable, needs client",IF(N1378&gt;MaxDayHours,"Over "&amp;MaxDayHours&amp;" hours that day","")))))</f>
        <v/>
      </c>
    </row>
    <row r="1379" customFormat="false" ht="15" hidden="false" customHeight="false" outlineLevel="0" collapsed="false">
      <c r="A1379" s="31" t="n">
        <v>46276</v>
      </c>
      <c r="B1379" s="32" t="s">
        <v>86</v>
      </c>
      <c r="C1379" s="32" t="s">
        <v>87</v>
      </c>
      <c r="D1379" s="33" t="s">
        <v>113</v>
      </c>
      <c r="E1379" s="34" t="n">
        <v>1.25</v>
      </c>
      <c r="F1379" s="32"/>
      <c r="G1379" s="35" t="n">
        <f aca="false">IF(A1379="","",A1379+7-WEEKDAY(A1379))</f>
        <v>46277</v>
      </c>
      <c r="H1379" s="36" t="n">
        <f aca="false">IF(A1379="","",DATE(YEAR(A1379),MONTH(A1379),1))</f>
        <v>46266</v>
      </c>
      <c r="I1379" s="37" t="str">
        <f aca="false">IF(B1379="","",IFERROR(INDEX(st_ID,MATCH(B1379,st_Name,0)),"Unknown"))</f>
        <v>QP-01</v>
      </c>
      <c r="J1379" s="37" t="str">
        <f aca="false">IF(C1379="","",IFERROR(INDEX(cl_Code,MATCH(C1379,cl_Name,0)),"Unknown"))</f>
        <v>HCS</v>
      </c>
      <c r="K1379" s="37" t="str">
        <f aca="false">IF(D1379="","",IFERROR(INDEX(rt_Billable,MATCH(D1379,rt_Code,0)),"Unknown"))</f>
        <v>Yes</v>
      </c>
      <c r="L1379" s="38" t="n">
        <f aca="false">IF(K1379&lt;&gt;"Yes","",IFERROR(INDEX(cr_Rate,MATCH(J1379&amp;"|"&amp;D1379,cr_Key,0)),INDEX(rt_Rate,MATCH(D1379,rt_Code,0))))</f>
        <v>85</v>
      </c>
      <c r="M1379" s="25" t="n">
        <f aca="false">IF(L1379="","",ROUND(N(E1379)*L1379,2))</f>
        <v>106.25</v>
      </c>
      <c r="N1379" s="39" t="n">
        <f aca="false">IF(OR(A1379="",B1379=""),"",SUMIFS(tl_Hours,tl_StaffID,I1379,tl_Date,A1379))</f>
        <v>8</v>
      </c>
      <c r="O1379" s="40" t="str">
        <f aca="false">IF(A1379&amp;B1379&amp;D1379="","",IF(OR(A1379="",B1379="",D1379="",E1379=""),"Incomplete",IF(K1379="Unknown","Unknown code",IF(AND(K1379="Yes",C1379=""),"Billable, needs client",IF(N1379&gt;MaxDayHours,"Over "&amp;MaxDayHours&amp;" hours that day","")))))</f>
        <v/>
      </c>
    </row>
    <row r="1380" customFormat="false" ht="15" hidden="false" customHeight="false" outlineLevel="0" collapsed="false">
      <c r="A1380" s="31" t="n">
        <v>46276</v>
      </c>
      <c r="B1380" s="32" t="s">
        <v>86</v>
      </c>
      <c r="C1380" s="32"/>
      <c r="D1380" s="33" t="s">
        <v>96</v>
      </c>
      <c r="E1380" s="34" t="n">
        <v>2</v>
      </c>
      <c r="F1380" s="32"/>
      <c r="G1380" s="35" t="n">
        <f aca="false">IF(A1380="","",A1380+7-WEEKDAY(A1380))</f>
        <v>46277</v>
      </c>
      <c r="H1380" s="36" t="n">
        <f aca="false">IF(A1380="","",DATE(YEAR(A1380),MONTH(A1380),1))</f>
        <v>46266</v>
      </c>
      <c r="I1380" s="37" t="str">
        <f aca="false">IF(B1380="","",IFERROR(INDEX(st_ID,MATCH(B1380,st_Name,0)),"Unknown"))</f>
        <v>QP-01</v>
      </c>
      <c r="J1380" s="37" t="str">
        <f aca="false">IF(C1380="","",IFERROR(INDEX(cl_Code,MATCH(C1380,cl_Name,0)),"Unknown"))</f>
        <v/>
      </c>
      <c r="K1380" s="37" t="str">
        <f aca="false">IF(D1380="","",IFERROR(INDEX(rt_Billable,MATCH(D1380,rt_Code,0)),"Unknown"))</f>
        <v>No</v>
      </c>
      <c r="L1380" s="38" t="str">
        <f aca="false">IF(K1380&lt;&gt;"Yes","",IFERROR(INDEX(cr_Rate,MATCH(J1380&amp;"|"&amp;D1380,cr_Key,0)),INDEX(rt_Rate,MATCH(D1380,rt_Code,0))))</f>
        <v/>
      </c>
      <c r="M1380" s="25" t="str">
        <f aca="false">IF(L1380="","",ROUND(N(E1380)*L1380,2))</f>
        <v/>
      </c>
      <c r="N1380" s="39" t="n">
        <f aca="false">IF(OR(A1380="",B1380=""),"",SUMIFS(tl_Hours,tl_StaffID,I1380,tl_Date,A1380))</f>
        <v>8</v>
      </c>
      <c r="O1380" s="40" t="str">
        <f aca="false">IF(A1380&amp;B1380&amp;D1380="","",IF(OR(A1380="",B1380="",D1380="",E1380=""),"Incomplete",IF(K1380="Unknown","Unknown code",IF(AND(K1380="Yes",C1380=""),"Billable, needs client",IF(N1380&gt;MaxDayHours,"Over "&amp;MaxDayHours&amp;" hours that day","")))))</f>
        <v/>
      </c>
    </row>
    <row r="1381" customFormat="false" ht="15" hidden="false" customHeight="false" outlineLevel="0" collapsed="false">
      <c r="A1381" s="31" t="n">
        <v>46276</v>
      </c>
      <c r="B1381" s="32" t="s">
        <v>97</v>
      </c>
      <c r="C1381" s="32" t="s">
        <v>111</v>
      </c>
      <c r="D1381" s="33" t="s">
        <v>88</v>
      </c>
      <c r="E1381" s="34" t="n">
        <v>3.5</v>
      </c>
      <c r="F1381" s="32"/>
      <c r="G1381" s="35" t="n">
        <f aca="false">IF(A1381="","",A1381+7-WEEKDAY(A1381))</f>
        <v>46277</v>
      </c>
      <c r="H1381" s="36" t="n">
        <f aca="false">IF(A1381="","",DATE(YEAR(A1381),MONTH(A1381),1))</f>
        <v>46266</v>
      </c>
      <c r="I1381" s="37" t="str">
        <f aca="false">IF(B1381="","",IFERROR(INDEX(st_ID,MATCH(B1381,st_Name,0)),"Unknown"))</f>
        <v>QP-02</v>
      </c>
      <c r="J1381" s="37" t="str">
        <f aca="false">IF(C1381="","",IFERROR(INDEX(cl_Code,MATCH(C1381,cl_Name,0)),"Unknown"))</f>
        <v>WMS</v>
      </c>
      <c r="K1381" s="37" t="str">
        <f aca="false">IF(D1381="","",IFERROR(INDEX(rt_Billable,MATCH(D1381,rt_Code,0)),"Unknown"))</f>
        <v>Yes</v>
      </c>
      <c r="L1381" s="38" t="n">
        <f aca="false">IF(K1381&lt;&gt;"Yes","",IFERROR(INDEX(cr_Rate,MATCH(J1381&amp;"|"&amp;D1381,cr_Key,0)),INDEX(rt_Rate,MATCH(D1381,rt_Code,0))))</f>
        <v>110</v>
      </c>
      <c r="M1381" s="25" t="n">
        <f aca="false">IF(L1381="","",ROUND(N(E1381)*L1381,2))</f>
        <v>385</v>
      </c>
      <c r="N1381" s="39" t="n">
        <f aca="false">IF(OR(A1381="",B1381=""),"",SUMIFS(tl_Hours,tl_StaffID,I1381,tl_Date,A1381))</f>
        <v>8</v>
      </c>
      <c r="O1381" s="40" t="str">
        <f aca="false">IF(A1381&amp;B1381&amp;D1381="","",IF(OR(A1381="",B1381="",D1381="",E1381=""),"Incomplete",IF(K1381="Unknown","Unknown code",IF(AND(K1381="Yes",C1381=""),"Billable, needs client",IF(N1381&gt;MaxDayHours,"Over "&amp;MaxDayHours&amp;" hours that day","")))))</f>
        <v/>
      </c>
    </row>
    <row r="1382" customFormat="false" ht="15" hidden="false" customHeight="false" outlineLevel="0" collapsed="false">
      <c r="A1382" s="31" t="n">
        <v>46276</v>
      </c>
      <c r="B1382" s="32" t="s">
        <v>97</v>
      </c>
      <c r="C1382" s="32" t="s">
        <v>111</v>
      </c>
      <c r="D1382" s="33" t="s">
        <v>92</v>
      </c>
      <c r="E1382" s="34" t="n">
        <v>2.5</v>
      </c>
      <c r="F1382" s="32"/>
      <c r="G1382" s="35" t="n">
        <f aca="false">IF(A1382="","",A1382+7-WEEKDAY(A1382))</f>
        <v>46277</v>
      </c>
      <c r="H1382" s="36" t="n">
        <f aca="false">IF(A1382="","",DATE(YEAR(A1382),MONTH(A1382),1))</f>
        <v>46266</v>
      </c>
      <c r="I1382" s="37" t="str">
        <f aca="false">IF(B1382="","",IFERROR(INDEX(st_ID,MATCH(B1382,st_Name,0)),"Unknown"))</f>
        <v>QP-02</v>
      </c>
      <c r="J1382" s="37" t="str">
        <f aca="false">IF(C1382="","",IFERROR(INDEX(cl_Code,MATCH(C1382,cl_Name,0)),"Unknown"))</f>
        <v>WMS</v>
      </c>
      <c r="K1382" s="37" t="str">
        <f aca="false">IF(D1382="","",IFERROR(INDEX(rt_Billable,MATCH(D1382,rt_Code,0)),"Unknown"))</f>
        <v>Yes</v>
      </c>
      <c r="L1382" s="38" t="n">
        <f aca="false">IF(K1382&lt;&gt;"Yes","",IFERROR(INDEX(cr_Rate,MATCH(J1382&amp;"|"&amp;D1382,cr_Key,0)),INDEX(rt_Rate,MATCH(D1382,rt_Code,0))))</f>
        <v>150</v>
      </c>
      <c r="M1382" s="25" t="n">
        <f aca="false">IF(L1382="","",ROUND(N(E1382)*L1382,2))</f>
        <v>375</v>
      </c>
      <c r="N1382" s="39" t="n">
        <f aca="false">IF(OR(A1382="",B1382=""),"",SUMIFS(tl_Hours,tl_StaffID,I1382,tl_Date,A1382))</f>
        <v>8</v>
      </c>
      <c r="O1382" s="40" t="str">
        <f aca="false">IF(A1382&amp;B1382&amp;D1382="","",IF(OR(A1382="",B1382="",D1382="",E1382=""),"Incomplete",IF(K1382="Unknown","Unknown code",IF(AND(K1382="Yes",C1382=""),"Billable, needs client",IF(N1382&gt;MaxDayHours,"Over "&amp;MaxDayHours&amp;" hours that day","")))))</f>
        <v/>
      </c>
    </row>
    <row r="1383" customFormat="false" ht="15" hidden="false" customHeight="false" outlineLevel="0" collapsed="false">
      <c r="A1383" s="31" t="n">
        <v>46276</v>
      </c>
      <c r="B1383" s="32" t="s">
        <v>97</v>
      </c>
      <c r="C1383" s="32"/>
      <c r="D1383" s="33" t="s">
        <v>96</v>
      </c>
      <c r="E1383" s="34" t="n">
        <v>2</v>
      </c>
      <c r="F1383" s="32"/>
      <c r="G1383" s="35" t="n">
        <f aca="false">IF(A1383="","",A1383+7-WEEKDAY(A1383))</f>
        <v>46277</v>
      </c>
      <c r="H1383" s="36" t="n">
        <f aca="false">IF(A1383="","",DATE(YEAR(A1383),MONTH(A1383),1))</f>
        <v>46266</v>
      </c>
      <c r="I1383" s="37" t="str">
        <f aca="false">IF(B1383="","",IFERROR(INDEX(st_ID,MATCH(B1383,st_Name,0)),"Unknown"))</f>
        <v>QP-02</v>
      </c>
      <c r="J1383" s="37" t="str">
        <f aca="false">IF(C1383="","",IFERROR(INDEX(cl_Code,MATCH(C1383,cl_Name,0)),"Unknown"))</f>
        <v/>
      </c>
      <c r="K1383" s="37" t="str">
        <f aca="false">IF(D1383="","",IFERROR(INDEX(rt_Billable,MATCH(D1383,rt_Code,0)),"Unknown"))</f>
        <v>No</v>
      </c>
      <c r="L1383" s="38" t="str">
        <f aca="false">IF(K1383&lt;&gt;"Yes","",IFERROR(INDEX(cr_Rate,MATCH(J1383&amp;"|"&amp;D1383,cr_Key,0)),INDEX(rt_Rate,MATCH(D1383,rt_Code,0))))</f>
        <v/>
      </c>
      <c r="M1383" s="25" t="str">
        <f aca="false">IF(L1383="","",ROUND(N(E1383)*L1383,2))</f>
        <v/>
      </c>
      <c r="N1383" s="39" t="n">
        <f aca="false">IF(OR(A1383="",B1383=""),"",SUMIFS(tl_Hours,tl_StaffID,I1383,tl_Date,A1383))</f>
        <v>8</v>
      </c>
      <c r="O1383" s="40" t="str">
        <f aca="false">IF(A1383&amp;B1383&amp;D1383="","",IF(OR(A1383="",B1383="",D1383="",E1383=""),"Incomplete",IF(K1383="Unknown","Unknown code",IF(AND(K1383="Yes",C1383=""),"Billable, needs client",IF(N1383&gt;MaxDayHours,"Over "&amp;MaxDayHours&amp;" hours that day","")))))</f>
        <v/>
      </c>
    </row>
    <row r="1384" customFormat="false" ht="15" hidden="false" customHeight="false" outlineLevel="0" collapsed="false">
      <c r="A1384" s="31" t="n">
        <v>46276</v>
      </c>
      <c r="B1384" s="32" t="s">
        <v>101</v>
      </c>
      <c r="C1384" s="32" t="s">
        <v>112</v>
      </c>
      <c r="D1384" s="33" t="s">
        <v>104</v>
      </c>
      <c r="E1384" s="34" t="n">
        <v>2.5</v>
      </c>
      <c r="F1384" s="32"/>
      <c r="G1384" s="35" t="n">
        <f aca="false">IF(A1384="","",A1384+7-WEEKDAY(A1384))</f>
        <v>46277</v>
      </c>
      <c r="H1384" s="36" t="n">
        <f aca="false">IF(A1384="","",DATE(YEAR(A1384),MONTH(A1384),1))</f>
        <v>46266</v>
      </c>
      <c r="I1384" s="37" t="str">
        <f aca="false">IF(B1384="","",IFERROR(INDEX(st_ID,MATCH(B1384,st_Name,0)),"Unknown"))</f>
        <v>QP-04</v>
      </c>
      <c r="J1384" s="37" t="str">
        <f aca="false">IF(C1384="","",IFERROR(INDEX(cl_Code,MATCH(C1384,cl_Name,0)),"Unknown"))</f>
        <v>PCA</v>
      </c>
      <c r="K1384" s="37" t="str">
        <f aca="false">IF(D1384="","",IFERROR(INDEX(rt_Billable,MATCH(D1384,rt_Code,0)),"Unknown"))</f>
        <v>Yes</v>
      </c>
      <c r="L1384" s="38" t="n">
        <f aca="false">IF(K1384&lt;&gt;"Yes","",IFERROR(INDEX(cr_Rate,MATCH(J1384&amp;"|"&amp;D1384,cr_Key,0)),INDEX(rt_Rate,MATCH(D1384,rt_Code,0))))</f>
        <v>70</v>
      </c>
      <c r="M1384" s="25" t="n">
        <f aca="false">IF(L1384="","",ROUND(N(E1384)*L1384,2))</f>
        <v>175</v>
      </c>
      <c r="N1384" s="39" t="n">
        <f aca="false">IF(OR(A1384="",B1384=""),"",SUMIFS(tl_Hours,tl_StaffID,I1384,tl_Date,A1384))</f>
        <v>8</v>
      </c>
      <c r="O1384" s="40" t="str">
        <f aca="false">IF(A1384&amp;B1384&amp;D1384="","",IF(OR(A1384="",B1384="",D1384="",E1384=""),"Incomplete",IF(K1384="Unknown","Unknown code",IF(AND(K1384="Yes",C1384=""),"Billable, needs client",IF(N1384&gt;MaxDayHours,"Over "&amp;MaxDayHours&amp;" hours that day","")))))</f>
        <v/>
      </c>
    </row>
    <row r="1385" customFormat="false" ht="15" hidden="false" customHeight="false" outlineLevel="0" collapsed="false">
      <c r="A1385" s="31" t="n">
        <v>46276</v>
      </c>
      <c r="B1385" s="32" t="s">
        <v>101</v>
      </c>
      <c r="C1385" s="32" t="s">
        <v>112</v>
      </c>
      <c r="D1385" s="33" t="s">
        <v>88</v>
      </c>
      <c r="E1385" s="34" t="n">
        <v>0.5</v>
      </c>
      <c r="F1385" s="32"/>
      <c r="G1385" s="35" t="n">
        <f aca="false">IF(A1385="","",A1385+7-WEEKDAY(A1385))</f>
        <v>46277</v>
      </c>
      <c r="H1385" s="36" t="n">
        <f aca="false">IF(A1385="","",DATE(YEAR(A1385),MONTH(A1385),1))</f>
        <v>46266</v>
      </c>
      <c r="I1385" s="37" t="str">
        <f aca="false">IF(B1385="","",IFERROR(INDEX(st_ID,MATCH(B1385,st_Name,0)),"Unknown"))</f>
        <v>QP-04</v>
      </c>
      <c r="J1385" s="37" t="str">
        <f aca="false">IF(C1385="","",IFERROR(INDEX(cl_Code,MATCH(C1385,cl_Name,0)),"Unknown"))</f>
        <v>PCA</v>
      </c>
      <c r="K1385" s="37" t="str">
        <f aca="false">IF(D1385="","",IFERROR(INDEX(rt_Billable,MATCH(D1385,rt_Code,0)),"Unknown"))</f>
        <v>Yes</v>
      </c>
      <c r="L1385" s="38" t="n">
        <f aca="false">IF(K1385&lt;&gt;"Yes","",IFERROR(INDEX(cr_Rate,MATCH(J1385&amp;"|"&amp;D1385,cr_Key,0)),INDEX(rt_Rate,MATCH(D1385,rt_Code,0))))</f>
        <v>110</v>
      </c>
      <c r="M1385" s="25" t="n">
        <f aca="false">IF(L1385="","",ROUND(N(E1385)*L1385,2))</f>
        <v>55</v>
      </c>
      <c r="N1385" s="39" t="n">
        <f aca="false">IF(OR(A1385="",B1385=""),"",SUMIFS(tl_Hours,tl_StaffID,I1385,tl_Date,A1385))</f>
        <v>8</v>
      </c>
      <c r="O1385" s="40" t="str">
        <f aca="false">IF(A1385&amp;B1385&amp;D1385="","",IF(OR(A1385="",B1385="",D1385="",E1385=""),"Incomplete",IF(K1385="Unknown","Unknown code",IF(AND(K1385="Yes",C1385=""),"Billable, needs client",IF(N1385&gt;MaxDayHours,"Over "&amp;MaxDayHours&amp;" hours that day","")))))</f>
        <v/>
      </c>
    </row>
    <row r="1386" customFormat="false" ht="15" hidden="false" customHeight="false" outlineLevel="0" collapsed="false">
      <c r="A1386" s="31" t="n">
        <v>46276</v>
      </c>
      <c r="B1386" s="32" t="s">
        <v>101</v>
      </c>
      <c r="C1386" s="32" t="s">
        <v>102</v>
      </c>
      <c r="D1386" s="33" t="s">
        <v>88</v>
      </c>
      <c r="E1386" s="34" t="n">
        <v>2.25</v>
      </c>
      <c r="F1386" s="32"/>
      <c r="G1386" s="35" t="n">
        <f aca="false">IF(A1386="","",A1386+7-WEEKDAY(A1386))</f>
        <v>46277</v>
      </c>
      <c r="H1386" s="36" t="n">
        <f aca="false">IF(A1386="","",DATE(YEAR(A1386),MONTH(A1386),1))</f>
        <v>46266</v>
      </c>
      <c r="I1386" s="37" t="str">
        <f aca="false">IF(B1386="","",IFERROR(INDEX(st_ID,MATCH(B1386,st_Name,0)),"Unknown"))</f>
        <v>QP-04</v>
      </c>
      <c r="J1386" s="37" t="str">
        <f aca="false">IF(C1386="","",IFERROR(INDEX(cl_Code,MATCH(C1386,cl_Name,0)),"Unknown"))</f>
        <v>CLH</v>
      </c>
      <c r="K1386" s="37" t="str">
        <f aca="false">IF(D1386="","",IFERROR(INDEX(rt_Billable,MATCH(D1386,rt_Code,0)),"Unknown"))</f>
        <v>Yes</v>
      </c>
      <c r="L1386" s="38" t="n">
        <f aca="false">IF(K1386&lt;&gt;"Yes","",IFERROR(INDEX(cr_Rate,MATCH(J1386&amp;"|"&amp;D1386,cr_Key,0)),INDEX(rt_Rate,MATCH(D1386,rt_Code,0))))</f>
        <v>110</v>
      </c>
      <c r="M1386" s="25" t="n">
        <f aca="false">IF(L1386="","",ROUND(N(E1386)*L1386,2))</f>
        <v>247.5</v>
      </c>
      <c r="N1386" s="39" t="n">
        <f aca="false">IF(OR(A1386="",B1386=""),"",SUMIFS(tl_Hours,tl_StaffID,I1386,tl_Date,A1386))</f>
        <v>8</v>
      </c>
      <c r="O1386" s="40" t="str">
        <f aca="false">IF(A1386&amp;B1386&amp;D1386="","",IF(OR(A1386="",B1386="",D1386="",E1386=""),"Incomplete",IF(K1386="Unknown","Unknown code",IF(AND(K1386="Yes",C1386=""),"Billable, needs client",IF(N1386&gt;MaxDayHours,"Over "&amp;MaxDayHours&amp;" hours that day","")))))</f>
        <v/>
      </c>
    </row>
    <row r="1387" customFormat="false" ht="15" hidden="false" customHeight="false" outlineLevel="0" collapsed="false">
      <c r="A1387" s="31" t="n">
        <v>46276</v>
      </c>
      <c r="B1387" s="32" t="s">
        <v>101</v>
      </c>
      <c r="C1387" s="32" t="s">
        <v>102</v>
      </c>
      <c r="D1387" s="33" t="s">
        <v>92</v>
      </c>
      <c r="E1387" s="34" t="n">
        <v>0.75</v>
      </c>
      <c r="F1387" s="32"/>
      <c r="G1387" s="35" t="n">
        <f aca="false">IF(A1387="","",A1387+7-WEEKDAY(A1387))</f>
        <v>46277</v>
      </c>
      <c r="H1387" s="36" t="n">
        <f aca="false">IF(A1387="","",DATE(YEAR(A1387),MONTH(A1387),1))</f>
        <v>46266</v>
      </c>
      <c r="I1387" s="37" t="str">
        <f aca="false">IF(B1387="","",IFERROR(INDEX(st_ID,MATCH(B1387,st_Name,0)),"Unknown"))</f>
        <v>QP-04</v>
      </c>
      <c r="J1387" s="37" t="str">
        <f aca="false">IF(C1387="","",IFERROR(INDEX(cl_Code,MATCH(C1387,cl_Name,0)),"Unknown"))</f>
        <v>CLH</v>
      </c>
      <c r="K1387" s="37" t="str">
        <f aca="false">IF(D1387="","",IFERROR(INDEX(rt_Billable,MATCH(D1387,rt_Code,0)),"Unknown"))</f>
        <v>Yes</v>
      </c>
      <c r="L1387" s="38" t="n">
        <f aca="false">IF(K1387&lt;&gt;"Yes","",IFERROR(INDEX(cr_Rate,MATCH(J1387&amp;"|"&amp;D1387,cr_Key,0)),INDEX(rt_Rate,MATCH(D1387,rt_Code,0))))</f>
        <v>150</v>
      </c>
      <c r="M1387" s="25" t="n">
        <f aca="false">IF(L1387="","",ROUND(N(E1387)*L1387,2))</f>
        <v>112.5</v>
      </c>
      <c r="N1387" s="39" t="n">
        <f aca="false">IF(OR(A1387="",B1387=""),"",SUMIFS(tl_Hours,tl_StaffID,I1387,tl_Date,A1387))</f>
        <v>8</v>
      </c>
      <c r="O1387" s="40" t="str">
        <f aca="false">IF(A1387&amp;B1387&amp;D1387="","",IF(OR(A1387="",B1387="",D1387="",E1387=""),"Incomplete",IF(K1387="Unknown","Unknown code",IF(AND(K1387="Yes",C1387=""),"Billable, needs client",IF(N1387&gt;MaxDayHours,"Over "&amp;MaxDayHours&amp;" hours that day","")))))</f>
        <v/>
      </c>
    </row>
    <row r="1388" customFormat="false" ht="15" hidden="false" customHeight="false" outlineLevel="0" collapsed="false">
      <c r="A1388" s="31" t="n">
        <v>46276</v>
      </c>
      <c r="B1388" s="32" t="s">
        <v>101</v>
      </c>
      <c r="C1388" s="32"/>
      <c r="D1388" s="33" t="s">
        <v>93</v>
      </c>
      <c r="E1388" s="34" t="n">
        <v>0.5</v>
      </c>
      <c r="F1388" s="32"/>
      <c r="G1388" s="35" t="n">
        <f aca="false">IF(A1388="","",A1388+7-WEEKDAY(A1388))</f>
        <v>46277</v>
      </c>
      <c r="H1388" s="36" t="n">
        <f aca="false">IF(A1388="","",DATE(YEAR(A1388),MONTH(A1388),1))</f>
        <v>46266</v>
      </c>
      <c r="I1388" s="37" t="str">
        <f aca="false">IF(B1388="","",IFERROR(INDEX(st_ID,MATCH(B1388,st_Name,0)),"Unknown"))</f>
        <v>QP-04</v>
      </c>
      <c r="J1388" s="37" t="str">
        <f aca="false">IF(C1388="","",IFERROR(INDEX(cl_Code,MATCH(C1388,cl_Name,0)),"Unknown"))</f>
        <v/>
      </c>
      <c r="K1388" s="37" t="str">
        <f aca="false">IF(D1388="","",IFERROR(INDEX(rt_Billable,MATCH(D1388,rt_Code,0)),"Unknown"))</f>
        <v>No</v>
      </c>
      <c r="L1388" s="38" t="str">
        <f aca="false">IF(K1388&lt;&gt;"Yes","",IFERROR(INDEX(cr_Rate,MATCH(J1388&amp;"|"&amp;D1388,cr_Key,0)),INDEX(rt_Rate,MATCH(D1388,rt_Code,0))))</f>
        <v/>
      </c>
      <c r="M1388" s="25" t="str">
        <f aca="false">IF(L1388="","",ROUND(N(E1388)*L1388,2))</f>
        <v/>
      </c>
      <c r="N1388" s="39" t="n">
        <f aca="false">IF(OR(A1388="",B1388=""),"",SUMIFS(tl_Hours,tl_StaffID,I1388,tl_Date,A1388))</f>
        <v>8</v>
      </c>
      <c r="O1388" s="40" t="str">
        <f aca="false">IF(A1388&amp;B1388&amp;D1388="","",IF(OR(A1388="",B1388="",D1388="",E1388=""),"Incomplete",IF(K1388="Unknown","Unknown code",IF(AND(K1388="Yes",C1388=""),"Billable, needs client",IF(N1388&gt;MaxDayHours,"Over "&amp;MaxDayHours&amp;" hours that day","")))))</f>
        <v/>
      </c>
    </row>
    <row r="1389" customFormat="false" ht="15" hidden="false" customHeight="false" outlineLevel="0" collapsed="false">
      <c r="A1389" s="31" t="n">
        <v>46276</v>
      </c>
      <c r="B1389" s="32" t="s">
        <v>101</v>
      </c>
      <c r="C1389" s="32"/>
      <c r="D1389" s="33" t="s">
        <v>96</v>
      </c>
      <c r="E1389" s="34" t="n">
        <v>1.5</v>
      </c>
      <c r="F1389" s="32"/>
      <c r="G1389" s="35" t="n">
        <f aca="false">IF(A1389="","",A1389+7-WEEKDAY(A1389))</f>
        <v>46277</v>
      </c>
      <c r="H1389" s="36" t="n">
        <f aca="false">IF(A1389="","",DATE(YEAR(A1389),MONTH(A1389),1))</f>
        <v>46266</v>
      </c>
      <c r="I1389" s="37" t="str">
        <f aca="false">IF(B1389="","",IFERROR(INDEX(st_ID,MATCH(B1389,st_Name,0)),"Unknown"))</f>
        <v>QP-04</v>
      </c>
      <c r="J1389" s="37" t="str">
        <f aca="false">IF(C1389="","",IFERROR(INDEX(cl_Code,MATCH(C1389,cl_Name,0)),"Unknown"))</f>
        <v/>
      </c>
      <c r="K1389" s="37" t="str">
        <f aca="false">IF(D1389="","",IFERROR(INDEX(rt_Billable,MATCH(D1389,rt_Code,0)),"Unknown"))</f>
        <v>No</v>
      </c>
      <c r="L1389" s="38" t="str">
        <f aca="false">IF(K1389&lt;&gt;"Yes","",IFERROR(INDEX(cr_Rate,MATCH(J1389&amp;"|"&amp;D1389,cr_Key,0)),INDEX(rt_Rate,MATCH(D1389,rt_Code,0))))</f>
        <v/>
      </c>
      <c r="M1389" s="25" t="str">
        <f aca="false">IF(L1389="","",ROUND(N(E1389)*L1389,2))</f>
        <v/>
      </c>
      <c r="N1389" s="39" t="n">
        <f aca="false">IF(OR(A1389="",B1389=""),"",SUMIFS(tl_Hours,tl_StaffID,I1389,tl_Date,A1389))</f>
        <v>8</v>
      </c>
      <c r="O1389" s="40" t="str">
        <f aca="false">IF(A1389&amp;B1389&amp;D1389="","",IF(OR(A1389="",B1389="",D1389="",E1389=""),"Incomplete",IF(K1389="Unknown","Unknown code",IF(AND(K1389="Yes",C1389=""),"Billable, needs client",IF(N1389&gt;MaxDayHours,"Over "&amp;MaxDayHours&amp;" hours that day","")))))</f>
        <v/>
      </c>
    </row>
    <row r="1390" customFormat="false" ht="15" hidden="false" customHeight="false" outlineLevel="0" collapsed="false">
      <c r="A1390" s="31" t="n">
        <v>46276</v>
      </c>
      <c r="B1390" s="32" t="s">
        <v>103</v>
      </c>
      <c r="C1390" s="32" t="s">
        <v>111</v>
      </c>
      <c r="D1390" s="33" t="s">
        <v>104</v>
      </c>
      <c r="E1390" s="34" t="n">
        <v>4.75</v>
      </c>
      <c r="F1390" s="32"/>
      <c r="G1390" s="35" t="n">
        <f aca="false">IF(A1390="","",A1390+7-WEEKDAY(A1390))</f>
        <v>46277</v>
      </c>
      <c r="H1390" s="36" t="n">
        <f aca="false">IF(A1390="","",DATE(YEAR(A1390),MONTH(A1390),1))</f>
        <v>46266</v>
      </c>
      <c r="I1390" s="37" t="str">
        <f aca="false">IF(B1390="","",IFERROR(INDEX(st_ID,MATCH(B1390,st_Name,0)),"Unknown"))</f>
        <v>QP-05</v>
      </c>
      <c r="J1390" s="37" t="str">
        <f aca="false">IF(C1390="","",IFERROR(INDEX(cl_Code,MATCH(C1390,cl_Name,0)),"Unknown"))</f>
        <v>WMS</v>
      </c>
      <c r="K1390" s="37" t="str">
        <f aca="false">IF(D1390="","",IFERROR(INDEX(rt_Billable,MATCH(D1390,rt_Code,0)),"Unknown"))</f>
        <v>Yes</v>
      </c>
      <c r="L1390" s="38" t="n">
        <f aca="false">IF(K1390&lt;&gt;"Yes","",IFERROR(INDEX(cr_Rate,MATCH(J1390&amp;"|"&amp;D1390,cr_Key,0)),INDEX(rt_Rate,MATCH(D1390,rt_Code,0))))</f>
        <v>70</v>
      </c>
      <c r="M1390" s="25" t="n">
        <f aca="false">IF(L1390="","",ROUND(N(E1390)*L1390,2))</f>
        <v>332.5</v>
      </c>
      <c r="N1390" s="39" t="n">
        <f aca="false">IF(OR(A1390="",B1390=""),"",SUMIFS(tl_Hours,tl_StaffID,I1390,tl_Date,A1390))</f>
        <v>8</v>
      </c>
      <c r="O1390" s="40" t="str">
        <f aca="false">IF(A1390&amp;B1390&amp;D1390="","",IF(OR(A1390="",B1390="",D1390="",E1390=""),"Incomplete",IF(K1390="Unknown","Unknown code",IF(AND(K1390="Yes",C1390=""),"Billable, needs client",IF(N1390&gt;MaxDayHours,"Over "&amp;MaxDayHours&amp;" hours that day","")))))</f>
        <v/>
      </c>
    </row>
    <row r="1391" customFormat="false" ht="15" hidden="false" customHeight="false" outlineLevel="0" collapsed="false">
      <c r="A1391" s="31" t="n">
        <v>46276</v>
      </c>
      <c r="B1391" s="32" t="s">
        <v>103</v>
      </c>
      <c r="C1391" s="32" t="s">
        <v>111</v>
      </c>
      <c r="D1391" s="33" t="s">
        <v>113</v>
      </c>
      <c r="E1391" s="34" t="n">
        <v>1.25</v>
      </c>
      <c r="F1391" s="32"/>
      <c r="G1391" s="35" t="n">
        <f aca="false">IF(A1391="","",A1391+7-WEEKDAY(A1391))</f>
        <v>46277</v>
      </c>
      <c r="H1391" s="36" t="n">
        <f aca="false">IF(A1391="","",DATE(YEAR(A1391),MONTH(A1391),1))</f>
        <v>46266</v>
      </c>
      <c r="I1391" s="37" t="str">
        <f aca="false">IF(B1391="","",IFERROR(INDEX(st_ID,MATCH(B1391,st_Name,0)),"Unknown"))</f>
        <v>QP-05</v>
      </c>
      <c r="J1391" s="37" t="str">
        <f aca="false">IF(C1391="","",IFERROR(INDEX(cl_Code,MATCH(C1391,cl_Name,0)),"Unknown"))</f>
        <v>WMS</v>
      </c>
      <c r="K1391" s="37" t="str">
        <f aca="false">IF(D1391="","",IFERROR(INDEX(rt_Billable,MATCH(D1391,rt_Code,0)),"Unknown"))</f>
        <v>Yes</v>
      </c>
      <c r="L1391" s="38" t="n">
        <f aca="false">IF(K1391&lt;&gt;"Yes","",IFERROR(INDEX(cr_Rate,MATCH(J1391&amp;"|"&amp;D1391,cr_Key,0)),INDEX(rt_Rate,MATCH(D1391,rt_Code,0))))</f>
        <v>85</v>
      </c>
      <c r="M1391" s="25" t="n">
        <f aca="false">IF(L1391="","",ROUND(N(E1391)*L1391,2))</f>
        <v>106.25</v>
      </c>
      <c r="N1391" s="39" t="n">
        <f aca="false">IF(OR(A1391="",B1391=""),"",SUMIFS(tl_Hours,tl_StaffID,I1391,tl_Date,A1391))</f>
        <v>8</v>
      </c>
      <c r="O1391" s="40" t="str">
        <f aca="false">IF(A1391&amp;B1391&amp;D1391="","",IF(OR(A1391="",B1391="",D1391="",E1391=""),"Incomplete",IF(K1391="Unknown","Unknown code",IF(AND(K1391="Yes",C1391=""),"Billable, needs client",IF(N1391&gt;MaxDayHours,"Over "&amp;MaxDayHours&amp;" hours that day","")))))</f>
        <v/>
      </c>
    </row>
    <row r="1392" customFormat="false" ht="15" hidden="false" customHeight="false" outlineLevel="0" collapsed="false">
      <c r="A1392" s="31" t="n">
        <v>46276</v>
      </c>
      <c r="B1392" s="32" t="s">
        <v>103</v>
      </c>
      <c r="C1392" s="32"/>
      <c r="D1392" s="33" t="s">
        <v>94</v>
      </c>
      <c r="E1392" s="34" t="n">
        <v>1.5</v>
      </c>
      <c r="F1392" s="32" t="s">
        <v>95</v>
      </c>
      <c r="G1392" s="35" t="n">
        <f aca="false">IF(A1392="","",A1392+7-WEEKDAY(A1392))</f>
        <v>46277</v>
      </c>
      <c r="H1392" s="36" t="n">
        <f aca="false">IF(A1392="","",DATE(YEAR(A1392),MONTH(A1392),1))</f>
        <v>46266</v>
      </c>
      <c r="I1392" s="37" t="str">
        <f aca="false">IF(B1392="","",IFERROR(INDEX(st_ID,MATCH(B1392,st_Name,0)),"Unknown"))</f>
        <v>QP-05</v>
      </c>
      <c r="J1392" s="37" t="str">
        <f aca="false">IF(C1392="","",IFERROR(INDEX(cl_Code,MATCH(C1392,cl_Name,0)),"Unknown"))</f>
        <v/>
      </c>
      <c r="K1392" s="37" t="str">
        <f aca="false">IF(D1392="","",IFERROR(INDEX(rt_Billable,MATCH(D1392,rt_Code,0)),"Unknown"))</f>
        <v>No</v>
      </c>
      <c r="L1392" s="38" t="str">
        <f aca="false">IF(K1392&lt;&gt;"Yes","",IFERROR(INDEX(cr_Rate,MATCH(J1392&amp;"|"&amp;D1392,cr_Key,0)),INDEX(rt_Rate,MATCH(D1392,rt_Code,0))))</f>
        <v/>
      </c>
      <c r="M1392" s="25" t="str">
        <f aca="false">IF(L1392="","",ROUND(N(E1392)*L1392,2))</f>
        <v/>
      </c>
      <c r="N1392" s="39" t="n">
        <f aca="false">IF(OR(A1392="",B1392=""),"",SUMIFS(tl_Hours,tl_StaffID,I1392,tl_Date,A1392))</f>
        <v>8</v>
      </c>
      <c r="O1392" s="40" t="str">
        <f aca="false">IF(A1392&amp;B1392&amp;D1392="","",IF(OR(A1392="",B1392="",D1392="",E1392=""),"Incomplete",IF(K1392="Unknown","Unknown code",IF(AND(K1392="Yes",C1392=""),"Billable, needs client",IF(N1392&gt;MaxDayHours,"Over "&amp;MaxDayHours&amp;" hours that day","")))))</f>
        <v/>
      </c>
    </row>
    <row r="1393" customFormat="false" ht="15" hidden="false" customHeight="false" outlineLevel="0" collapsed="false">
      <c r="A1393" s="31" t="n">
        <v>46276</v>
      </c>
      <c r="B1393" s="32" t="s">
        <v>103</v>
      </c>
      <c r="C1393" s="32"/>
      <c r="D1393" s="33" t="s">
        <v>96</v>
      </c>
      <c r="E1393" s="34" t="n">
        <v>0.5</v>
      </c>
      <c r="F1393" s="32"/>
      <c r="G1393" s="35" t="n">
        <f aca="false">IF(A1393="","",A1393+7-WEEKDAY(A1393))</f>
        <v>46277</v>
      </c>
      <c r="H1393" s="36" t="n">
        <f aca="false">IF(A1393="","",DATE(YEAR(A1393),MONTH(A1393),1))</f>
        <v>46266</v>
      </c>
      <c r="I1393" s="37" t="str">
        <f aca="false">IF(B1393="","",IFERROR(INDEX(st_ID,MATCH(B1393,st_Name,0)),"Unknown"))</f>
        <v>QP-05</v>
      </c>
      <c r="J1393" s="37" t="str">
        <f aca="false">IF(C1393="","",IFERROR(INDEX(cl_Code,MATCH(C1393,cl_Name,0)),"Unknown"))</f>
        <v/>
      </c>
      <c r="K1393" s="37" t="str">
        <f aca="false">IF(D1393="","",IFERROR(INDEX(rt_Billable,MATCH(D1393,rt_Code,0)),"Unknown"))</f>
        <v>No</v>
      </c>
      <c r="L1393" s="38" t="str">
        <f aca="false">IF(K1393&lt;&gt;"Yes","",IFERROR(INDEX(cr_Rate,MATCH(J1393&amp;"|"&amp;D1393,cr_Key,0)),INDEX(rt_Rate,MATCH(D1393,rt_Code,0))))</f>
        <v/>
      </c>
      <c r="M1393" s="25" t="str">
        <f aca="false">IF(L1393="","",ROUND(N(E1393)*L1393,2))</f>
        <v/>
      </c>
      <c r="N1393" s="39" t="n">
        <f aca="false">IF(OR(A1393="",B1393=""),"",SUMIFS(tl_Hours,tl_StaffID,I1393,tl_Date,A1393))</f>
        <v>8</v>
      </c>
      <c r="O1393" s="40" t="str">
        <f aca="false">IF(A1393&amp;B1393&amp;D1393="","",IF(OR(A1393="",B1393="",D1393="",E1393=""),"Incomplete",IF(K1393="Unknown","Unknown code",IF(AND(K1393="Yes",C1393=""),"Billable, needs client",IF(N1393&gt;MaxDayHours,"Over "&amp;MaxDayHours&amp;" hours that day","")))))</f>
        <v/>
      </c>
    </row>
    <row r="1394" customFormat="false" ht="15" hidden="false" customHeight="false" outlineLevel="0" collapsed="false">
      <c r="A1394" s="31" t="n">
        <v>46276</v>
      </c>
      <c r="B1394" s="32" t="s">
        <v>105</v>
      </c>
      <c r="C1394" s="32" t="s">
        <v>87</v>
      </c>
      <c r="D1394" s="33" t="s">
        <v>104</v>
      </c>
      <c r="E1394" s="34" t="n">
        <v>2.25</v>
      </c>
      <c r="F1394" s="32"/>
      <c r="G1394" s="35" t="n">
        <f aca="false">IF(A1394="","",A1394+7-WEEKDAY(A1394))</f>
        <v>46277</v>
      </c>
      <c r="H1394" s="36" t="n">
        <f aca="false">IF(A1394="","",DATE(YEAR(A1394),MONTH(A1394),1))</f>
        <v>46266</v>
      </c>
      <c r="I1394" s="37" t="str">
        <f aca="false">IF(B1394="","",IFERROR(INDEX(st_ID,MATCH(B1394,st_Name,0)),"Unknown"))</f>
        <v>QP-06</v>
      </c>
      <c r="J1394" s="37" t="str">
        <f aca="false">IF(C1394="","",IFERROR(INDEX(cl_Code,MATCH(C1394,cl_Name,0)),"Unknown"))</f>
        <v>HCS</v>
      </c>
      <c r="K1394" s="37" t="str">
        <f aca="false">IF(D1394="","",IFERROR(INDEX(rt_Billable,MATCH(D1394,rt_Code,0)),"Unknown"))</f>
        <v>Yes</v>
      </c>
      <c r="L1394" s="38" t="n">
        <f aca="false">IF(K1394&lt;&gt;"Yes","",IFERROR(INDEX(cr_Rate,MATCH(J1394&amp;"|"&amp;D1394,cr_Key,0)),INDEX(rt_Rate,MATCH(D1394,rt_Code,0))))</f>
        <v>62</v>
      </c>
      <c r="M1394" s="25" t="n">
        <f aca="false">IF(L1394="","",ROUND(N(E1394)*L1394,2))</f>
        <v>139.5</v>
      </c>
      <c r="N1394" s="39" t="n">
        <f aca="false">IF(OR(A1394="",B1394=""),"",SUMIFS(tl_Hours,tl_StaffID,I1394,tl_Date,A1394))</f>
        <v>8</v>
      </c>
      <c r="O1394" s="40" t="str">
        <f aca="false">IF(A1394&amp;B1394&amp;D1394="","",IF(OR(A1394="",B1394="",D1394="",E1394=""),"Incomplete",IF(K1394="Unknown","Unknown code",IF(AND(K1394="Yes",C1394=""),"Billable, needs client",IF(N1394&gt;MaxDayHours,"Over "&amp;MaxDayHours&amp;" hours that day","")))))</f>
        <v/>
      </c>
    </row>
    <row r="1395" customFormat="false" ht="15" hidden="false" customHeight="false" outlineLevel="0" collapsed="false">
      <c r="A1395" s="31" t="n">
        <v>46276</v>
      </c>
      <c r="B1395" s="32" t="s">
        <v>105</v>
      </c>
      <c r="C1395" s="32" t="s">
        <v>87</v>
      </c>
      <c r="D1395" s="33" t="s">
        <v>113</v>
      </c>
      <c r="E1395" s="34" t="n">
        <v>0.75</v>
      </c>
      <c r="F1395" s="32"/>
      <c r="G1395" s="35" t="n">
        <f aca="false">IF(A1395="","",A1395+7-WEEKDAY(A1395))</f>
        <v>46277</v>
      </c>
      <c r="H1395" s="36" t="n">
        <f aca="false">IF(A1395="","",DATE(YEAR(A1395),MONTH(A1395),1))</f>
        <v>46266</v>
      </c>
      <c r="I1395" s="37" t="str">
        <f aca="false">IF(B1395="","",IFERROR(INDEX(st_ID,MATCH(B1395,st_Name,0)),"Unknown"))</f>
        <v>QP-06</v>
      </c>
      <c r="J1395" s="37" t="str">
        <f aca="false">IF(C1395="","",IFERROR(INDEX(cl_Code,MATCH(C1395,cl_Name,0)),"Unknown"))</f>
        <v>HCS</v>
      </c>
      <c r="K1395" s="37" t="str">
        <f aca="false">IF(D1395="","",IFERROR(INDEX(rt_Billable,MATCH(D1395,rt_Code,0)),"Unknown"))</f>
        <v>Yes</v>
      </c>
      <c r="L1395" s="38" t="n">
        <f aca="false">IF(K1395&lt;&gt;"Yes","",IFERROR(INDEX(cr_Rate,MATCH(J1395&amp;"|"&amp;D1395,cr_Key,0)),INDEX(rt_Rate,MATCH(D1395,rt_Code,0))))</f>
        <v>85</v>
      </c>
      <c r="M1395" s="25" t="n">
        <f aca="false">IF(L1395="","",ROUND(N(E1395)*L1395,2))</f>
        <v>63.75</v>
      </c>
      <c r="N1395" s="39" t="n">
        <f aca="false">IF(OR(A1395="",B1395=""),"",SUMIFS(tl_Hours,tl_StaffID,I1395,tl_Date,A1395))</f>
        <v>8</v>
      </c>
      <c r="O1395" s="40" t="str">
        <f aca="false">IF(A1395&amp;B1395&amp;D1395="","",IF(OR(A1395="",B1395="",D1395="",E1395=""),"Incomplete",IF(K1395="Unknown","Unknown code",IF(AND(K1395="Yes",C1395=""),"Billable, needs client",IF(N1395&gt;MaxDayHours,"Over "&amp;MaxDayHours&amp;" hours that day","")))))</f>
        <v/>
      </c>
    </row>
    <row r="1396" customFormat="false" ht="15" hidden="false" customHeight="false" outlineLevel="0" collapsed="false">
      <c r="A1396" s="31" t="n">
        <v>46276</v>
      </c>
      <c r="B1396" s="32" t="s">
        <v>105</v>
      </c>
      <c r="C1396" s="32" t="s">
        <v>90</v>
      </c>
      <c r="D1396" s="33" t="s">
        <v>88</v>
      </c>
      <c r="E1396" s="34" t="n">
        <v>2</v>
      </c>
      <c r="F1396" s="32"/>
      <c r="G1396" s="35" t="n">
        <f aca="false">IF(A1396="","",A1396+7-WEEKDAY(A1396))</f>
        <v>46277</v>
      </c>
      <c r="H1396" s="36" t="n">
        <f aca="false">IF(A1396="","",DATE(YEAR(A1396),MONTH(A1396),1))</f>
        <v>46266</v>
      </c>
      <c r="I1396" s="37" t="str">
        <f aca="false">IF(B1396="","",IFERROR(INDEX(st_ID,MATCH(B1396,st_Name,0)),"Unknown"))</f>
        <v>QP-06</v>
      </c>
      <c r="J1396" s="37" t="str">
        <f aca="false">IF(C1396="","",IFERROR(INDEX(cl_Code,MATCH(C1396,cl_Name,0)),"Unknown"))</f>
        <v>BSE</v>
      </c>
      <c r="K1396" s="37" t="str">
        <f aca="false">IF(D1396="","",IFERROR(INDEX(rt_Billable,MATCH(D1396,rt_Code,0)),"Unknown"))</f>
        <v>Yes</v>
      </c>
      <c r="L1396" s="38" t="n">
        <f aca="false">IF(K1396&lt;&gt;"Yes","",IFERROR(INDEX(cr_Rate,MATCH(J1396&amp;"|"&amp;D1396,cr_Key,0)),INDEX(rt_Rate,MATCH(D1396,rt_Code,0))))</f>
        <v>104</v>
      </c>
      <c r="M1396" s="25" t="n">
        <f aca="false">IF(L1396="","",ROUND(N(E1396)*L1396,2))</f>
        <v>208</v>
      </c>
      <c r="N1396" s="39" t="n">
        <f aca="false">IF(OR(A1396="",B1396=""),"",SUMIFS(tl_Hours,tl_StaffID,I1396,tl_Date,A1396))</f>
        <v>8</v>
      </c>
      <c r="O1396" s="40" t="str">
        <f aca="false">IF(A1396&amp;B1396&amp;D1396="","",IF(OR(A1396="",B1396="",D1396="",E1396=""),"Incomplete",IF(K1396="Unknown","Unknown code",IF(AND(K1396="Yes",C1396=""),"Billable, needs client",IF(N1396&gt;MaxDayHours,"Over "&amp;MaxDayHours&amp;" hours that day","")))))</f>
        <v/>
      </c>
    </row>
    <row r="1397" customFormat="false" ht="15" hidden="false" customHeight="false" outlineLevel="0" collapsed="false">
      <c r="A1397" s="31" t="n">
        <v>46276</v>
      </c>
      <c r="B1397" s="32" t="s">
        <v>105</v>
      </c>
      <c r="C1397" s="32" t="s">
        <v>90</v>
      </c>
      <c r="D1397" s="33" t="s">
        <v>92</v>
      </c>
      <c r="E1397" s="34" t="n">
        <v>1</v>
      </c>
      <c r="F1397" s="32"/>
      <c r="G1397" s="35" t="n">
        <f aca="false">IF(A1397="","",A1397+7-WEEKDAY(A1397))</f>
        <v>46277</v>
      </c>
      <c r="H1397" s="36" t="n">
        <f aca="false">IF(A1397="","",DATE(YEAR(A1397),MONTH(A1397),1))</f>
        <v>46266</v>
      </c>
      <c r="I1397" s="37" t="str">
        <f aca="false">IF(B1397="","",IFERROR(INDEX(st_ID,MATCH(B1397,st_Name,0)),"Unknown"))</f>
        <v>QP-06</v>
      </c>
      <c r="J1397" s="37" t="str">
        <f aca="false">IF(C1397="","",IFERROR(INDEX(cl_Code,MATCH(C1397,cl_Name,0)),"Unknown"))</f>
        <v>BSE</v>
      </c>
      <c r="K1397" s="37" t="str">
        <f aca="false">IF(D1397="","",IFERROR(INDEX(rt_Billable,MATCH(D1397,rt_Code,0)),"Unknown"))</f>
        <v>Yes</v>
      </c>
      <c r="L1397" s="38" t="n">
        <f aca="false">IF(K1397&lt;&gt;"Yes","",IFERROR(INDEX(cr_Rate,MATCH(J1397&amp;"|"&amp;D1397,cr_Key,0)),INDEX(rt_Rate,MATCH(D1397,rt_Code,0))))</f>
        <v>145</v>
      </c>
      <c r="M1397" s="25" t="n">
        <f aca="false">IF(L1397="","",ROUND(N(E1397)*L1397,2))</f>
        <v>145</v>
      </c>
      <c r="N1397" s="39" t="n">
        <f aca="false">IF(OR(A1397="",B1397=""),"",SUMIFS(tl_Hours,tl_StaffID,I1397,tl_Date,A1397))</f>
        <v>8</v>
      </c>
      <c r="O1397" s="40" t="str">
        <f aca="false">IF(A1397&amp;B1397&amp;D1397="","",IF(OR(A1397="",B1397="",D1397="",E1397=""),"Incomplete",IF(K1397="Unknown","Unknown code",IF(AND(K1397="Yes",C1397=""),"Billable, needs client",IF(N1397&gt;MaxDayHours,"Over "&amp;MaxDayHours&amp;" hours that day","")))))</f>
        <v/>
      </c>
    </row>
    <row r="1398" customFormat="false" ht="15" hidden="false" customHeight="false" outlineLevel="0" collapsed="false">
      <c r="A1398" s="31" t="n">
        <v>46276</v>
      </c>
      <c r="B1398" s="32" t="s">
        <v>105</v>
      </c>
      <c r="C1398" s="32"/>
      <c r="D1398" s="33" t="s">
        <v>93</v>
      </c>
      <c r="E1398" s="34" t="n">
        <v>0.5</v>
      </c>
      <c r="F1398" s="32"/>
      <c r="G1398" s="35" t="n">
        <f aca="false">IF(A1398="","",A1398+7-WEEKDAY(A1398))</f>
        <v>46277</v>
      </c>
      <c r="H1398" s="36" t="n">
        <f aca="false">IF(A1398="","",DATE(YEAR(A1398),MONTH(A1398),1))</f>
        <v>46266</v>
      </c>
      <c r="I1398" s="37" t="str">
        <f aca="false">IF(B1398="","",IFERROR(INDEX(st_ID,MATCH(B1398,st_Name,0)),"Unknown"))</f>
        <v>QP-06</v>
      </c>
      <c r="J1398" s="37" t="str">
        <f aca="false">IF(C1398="","",IFERROR(INDEX(cl_Code,MATCH(C1398,cl_Name,0)),"Unknown"))</f>
        <v/>
      </c>
      <c r="K1398" s="37" t="str">
        <f aca="false">IF(D1398="","",IFERROR(INDEX(rt_Billable,MATCH(D1398,rt_Code,0)),"Unknown"))</f>
        <v>No</v>
      </c>
      <c r="L1398" s="38" t="str">
        <f aca="false">IF(K1398&lt;&gt;"Yes","",IFERROR(INDEX(cr_Rate,MATCH(J1398&amp;"|"&amp;D1398,cr_Key,0)),INDEX(rt_Rate,MATCH(D1398,rt_Code,0))))</f>
        <v/>
      </c>
      <c r="M1398" s="25" t="str">
        <f aca="false">IF(L1398="","",ROUND(N(E1398)*L1398,2))</f>
        <v/>
      </c>
      <c r="N1398" s="39" t="n">
        <f aca="false">IF(OR(A1398="",B1398=""),"",SUMIFS(tl_Hours,tl_StaffID,I1398,tl_Date,A1398))</f>
        <v>8</v>
      </c>
      <c r="O1398" s="40" t="str">
        <f aca="false">IF(A1398&amp;B1398&amp;D1398="","",IF(OR(A1398="",B1398="",D1398="",E1398=""),"Incomplete",IF(K1398="Unknown","Unknown code",IF(AND(K1398="Yes",C1398=""),"Billable, needs client",IF(N1398&gt;MaxDayHours,"Over "&amp;MaxDayHours&amp;" hours that day","")))))</f>
        <v/>
      </c>
    </row>
    <row r="1399" customFormat="false" ht="15" hidden="false" customHeight="false" outlineLevel="0" collapsed="false">
      <c r="A1399" s="31" t="n">
        <v>46276</v>
      </c>
      <c r="B1399" s="32" t="s">
        <v>105</v>
      </c>
      <c r="C1399" s="32"/>
      <c r="D1399" s="33" t="s">
        <v>96</v>
      </c>
      <c r="E1399" s="34" t="n">
        <v>1.5</v>
      </c>
      <c r="F1399" s="32"/>
      <c r="G1399" s="35" t="n">
        <f aca="false">IF(A1399="","",A1399+7-WEEKDAY(A1399))</f>
        <v>46277</v>
      </c>
      <c r="H1399" s="36" t="n">
        <f aca="false">IF(A1399="","",DATE(YEAR(A1399),MONTH(A1399),1))</f>
        <v>46266</v>
      </c>
      <c r="I1399" s="37" t="str">
        <f aca="false">IF(B1399="","",IFERROR(INDEX(st_ID,MATCH(B1399,st_Name,0)),"Unknown"))</f>
        <v>QP-06</v>
      </c>
      <c r="J1399" s="37" t="str">
        <f aca="false">IF(C1399="","",IFERROR(INDEX(cl_Code,MATCH(C1399,cl_Name,0)),"Unknown"))</f>
        <v/>
      </c>
      <c r="K1399" s="37" t="str">
        <f aca="false">IF(D1399="","",IFERROR(INDEX(rt_Billable,MATCH(D1399,rt_Code,0)),"Unknown"))</f>
        <v>No</v>
      </c>
      <c r="L1399" s="38" t="str">
        <f aca="false">IF(K1399&lt;&gt;"Yes","",IFERROR(INDEX(cr_Rate,MATCH(J1399&amp;"|"&amp;D1399,cr_Key,0)),INDEX(rt_Rate,MATCH(D1399,rt_Code,0))))</f>
        <v/>
      </c>
      <c r="M1399" s="25" t="str">
        <f aca="false">IF(L1399="","",ROUND(N(E1399)*L1399,2))</f>
        <v/>
      </c>
      <c r="N1399" s="39" t="n">
        <f aca="false">IF(OR(A1399="",B1399=""),"",SUMIFS(tl_Hours,tl_StaffID,I1399,tl_Date,A1399))</f>
        <v>8</v>
      </c>
      <c r="O1399" s="40" t="str">
        <f aca="false">IF(A1399&amp;B1399&amp;D1399="","",IF(OR(A1399="",B1399="",D1399="",E1399=""),"Incomplete",IF(K1399="Unknown","Unknown code",IF(AND(K1399="Yes",C1399=""),"Billable, needs client",IF(N1399&gt;MaxDayHours,"Over "&amp;MaxDayHours&amp;" hours that day","")))))</f>
        <v/>
      </c>
    </row>
    <row r="1400" customFormat="false" ht="15" hidden="false" customHeight="false" outlineLevel="0" collapsed="false">
      <c r="A1400" s="31" t="n">
        <v>46276</v>
      </c>
      <c r="B1400" s="32" t="s">
        <v>106</v>
      </c>
      <c r="C1400" s="32" t="s">
        <v>87</v>
      </c>
      <c r="D1400" s="33" t="s">
        <v>88</v>
      </c>
      <c r="E1400" s="34" t="n">
        <v>4.75</v>
      </c>
      <c r="F1400" s="32"/>
      <c r="G1400" s="35" t="n">
        <f aca="false">IF(A1400="","",A1400+7-WEEKDAY(A1400))</f>
        <v>46277</v>
      </c>
      <c r="H1400" s="36" t="n">
        <f aca="false">IF(A1400="","",DATE(YEAR(A1400),MONTH(A1400),1))</f>
        <v>46266</v>
      </c>
      <c r="I1400" s="37" t="str">
        <f aca="false">IF(B1400="","",IFERROR(INDEX(st_ID,MATCH(B1400,st_Name,0)),"Unknown"))</f>
        <v>QP-07</v>
      </c>
      <c r="J1400" s="37" t="str">
        <f aca="false">IF(C1400="","",IFERROR(INDEX(cl_Code,MATCH(C1400,cl_Name,0)),"Unknown"))</f>
        <v>HCS</v>
      </c>
      <c r="K1400" s="37" t="str">
        <f aca="false">IF(D1400="","",IFERROR(INDEX(rt_Billable,MATCH(D1400,rt_Code,0)),"Unknown"))</f>
        <v>Yes</v>
      </c>
      <c r="L1400" s="38" t="n">
        <f aca="false">IF(K1400&lt;&gt;"Yes","",IFERROR(INDEX(cr_Rate,MATCH(J1400&amp;"|"&amp;D1400,cr_Key,0)),INDEX(rt_Rate,MATCH(D1400,rt_Code,0))))</f>
        <v>98</v>
      </c>
      <c r="M1400" s="25" t="n">
        <f aca="false">IF(L1400="","",ROUND(N(E1400)*L1400,2))</f>
        <v>465.5</v>
      </c>
      <c r="N1400" s="39" t="n">
        <f aca="false">IF(OR(A1400="",B1400=""),"",SUMIFS(tl_Hours,tl_StaffID,I1400,tl_Date,A1400))</f>
        <v>8</v>
      </c>
      <c r="O1400" s="40" t="str">
        <f aca="false">IF(A1400&amp;B1400&amp;D1400="","",IF(OR(A1400="",B1400="",D1400="",E1400=""),"Incomplete",IF(K1400="Unknown","Unknown code",IF(AND(K1400="Yes",C1400=""),"Billable, needs client",IF(N1400&gt;MaxDayHours,"Over "&amp;MaxDayHours&amp;" hours that day","")))))</f>
        <v/>
      </c>
    </row>
    <row r="1401" customFormat="false" ht="15" hidden="false" customHeight="false" outlineLevel="0" collapsed="false">
      <c r="A1401" s="31" t="n">
        <v>46276</v>
      </c>
      <c r="B1401" s="32" t="s">
        <v>106</v>
      </c>
      <c r="C1401" s="32" t="s">
        <v>87</v>
      </c>
      <c r="D1401" s="33" t="s">
        <v>89</v>
      </c>
      <c r="E1401" s="34" t="n">
        <v>1.25</v>
      </c>
      <c r="F1401" s="32"/>
      <c r="G1401" s="35" t="n">
        <f aca="false">IF(A1401="","",A1401+7-WEEKDAY(A1401))</f>
        <v>46277</v>
      </c>
      <c r="H1401" s="36" t="n">
        <f aca="false">IF(A1401="","",DATE(YEAR(A1401),MONTH(A1401),1))</f>
        <v>46266</v>
      </c>
      <c r="I1401" s="37" t="str">
        <f aca="false">IF(B1401="","",IFERROR(INDEX(st_ID,MATCH(B1401,st_Name,0)),"Unknown"))</f>
        <v>QP-07</v>
      </c>
      <c r="J1401" s="37" t="str">
        <f aca="false">IF(C1401="","",IFERROR(INDEX(cl_Code,MATCH(C1401,cl_Name,0)),"Unknown"))</f>
        <v>HCS</v>
      </c>
      <c r="K1401" s="37" t="str">
        <f aca="false">IF(D1401="","",IFERROR(INDEX(rt_Billable,MATCH(D1401,rt_Code,0)),"Unknown"))</f>
        <v>Yes</v>
      </c>
      <c r="L1401" s="38" t="n">
        <f aca="false">IF(K1401&lt;&gt;"Yes","",IFERROR(INDEX(cr_Rate,MATCH(J1401&amp;"|"&amp;D1401,cr_Key,0)),INDEX(rt_Rate,MATCH(D1401,rt_Code,0))))</f>
        <v>88</v>
      </c>
      <c r="M1401" s="25" t="n">
        <f aca="false">IF(L1401="","",ROUND(N(E1401)*L1401,2))</f>
        <v>110</v>
      </c>
      <c r="N1401" s="39" t="n">
        <f aca="false">IF(OR(A1401="",B1401=""),"",SUMIFS(tl_Hours,tl_StaffID,I1401,tl_Date,A1401))</f>
        <v>8</v>
      </c>
      <c r="O1401" s="40" t="str">
        <f aca="false">IF(A1401&amp;B1401&amp;D1401="","",IF(OR(A1401="",B1401="",D1401="",E1401=""),"Incomplete",IF(K1401="Unknown","Unknown code",IF(AND(K1401="Yes",C1401=""),"Billable, needs client",IF(N1401&gt;MaxDayHours,"Over "&amp;MaxDayHours&amp;" hours that day","")))))</f>
        <v/>
      </c>
    </row>
    <row r="1402" customFormat="false" ht="15" hidden="false" customHeight="false" outlineLevel="0" collapsed="false">
      <c r="A1402" s="31" t="n">
        <v>46276</v>
      </c>
      <c r="B1402" s="32" t="s">
        <v>106</v>
      </c>
      <c r="C1402" s="32"/>
      <c r="D1402" s="33" t="s">
        <v>96</v>
      </c>
      <c r="E1402" s="34" t="n">
        <v>2</v>
      </c>
      <c r="F1402" s="32"/>
      <c r="G1402" s="35" t="n">
        <f aca="false">IF(A1402="","",A1402+7-WEEKDAY(A1402))</f>
        <v>46277</v>
      </c>
      <c r="H1402" s="36" t="n">
        <f aca="false">IF(A1402="","",DATE(YEAR(A1402),MONTH(A1402),1))</f>
        <v>46266</v>
      </c>
      <c r="I1402" s="37" t="str">
        <f aca="false">IF(B1402="","",IFERROR(INDEX(st_ID,MATCH(B1402,st_Name,0)),"Unknown"))</f>
        <v>QP-07</v>
      </c>
      <c r="J1402" s="37" t="str">
        <f aca="false">IF(C1402="","",IFERROR(INDEX(cl_Code,MATCH(C1402,cl_Name,0)),"Unknown"))</f>
        <v/>
      </c>
      <c r="K1402" s="37" t="str">
        <f aca="false">IF(D1402="","",IFERROR(INDEX(rt_Billable,MATCH(D1402,rt_Code,0)),"Unknown"))</f>
        <v>No</v>
      </c>
      <c r="L1402" s="38" t="str">
        <f aca="false">IF(K1402&lt;&gt;"Yes","",IFERROR(INDEX(cr_Rate,MATCH(J1402&amp;"|"&amp;D1402,cr_Key,0)),INDEX(rt_Rate,MATCH(D1402,rt_Code,0))))</f>
        <v/>
      </c>
      <c r="M1402" s="25" t="str">
        <f aca="false">IF(L1402="","",ROUND(N(E1402)*L1402,2))</f>
        <v/>
      </c>
      <c r="N1402" s="39" t="n">
        <f aca="false">IF(OR(A1402="",B1402=""),"",SUMIFS(tl_Hours,tl_StaffID,I1402,tl_Date,A1402))</f>
        <v>8</v>
      </c>
      <c r="O1402" s="40" t="str">
        <f aca="false">IF(A1402&amp;B1402&amp;D1402="","",IF(OR(A1402="",B1402="",D1402="",E1402=""),"Incomplete",IF(K1402="Unknown","Unknown code",IF(AND(K1402="Yes",C1402=""),"Billable, needs client",IF(N1402&gt;MaxDayHours,"Over "&amp;MaxDayHours&amp;" hours that day","")))))</f>
        <v/>
      </c>
    </row>
    <row r="1403" customFormat="false" ht="15" hidden="false" customHeight="false" outlineLevel="0" collapsed="false">
      <c r="A1403" s="31" t="n">
        <v>46276</v>
      </c>
      <c r="B1403" s="32" t="s">
        <v>107</v>
      </c>
      <c r="C1403" s="32"/>
      <c r="D1403" s="33" t="s">
        <v>108</v>
      </c>
      <c r="E1403" s="34" t="n">
        <v>6.5</v>
      </c>
      <c r="F1403" s="32"/>
      <c r="G1403" s="35" t="n">
        <f aca="false">IF(A1403="","",A1403+7-WEEKDAY(A1403))</f>
        <v>46277</v>
      </c>
      <c r="H1403" s="36" t="n">
        <f aca="false">IF(A1403="","",DATE(YEAR(A1403),MONTH(A1403),1))</f>
        <v>46266</v>
      </c>
      <c r="I1403" s="37" t="str">
        <f aca="false">IF(B1403="","",IFERROR(INDEX(st_ID,MATCH(B1403,st_Name,0)),"Unknown"))</f>
        <v>QP-08</v>
      </c>
      <c r="J1403" s="37" t="str">
        <f aca="false">IF(C1403="","",IFERROR(INDEX(cl_Code,MATCH(C1403,cl_Name,0)),"Unknown"))</f>
        <v/>
      </c>
      <c r="K1403" s="37" t="str">
        <f aca="false">IF(D1403="","",IFERROR(INDEX(rt_Billable,MATCH(D1403,rt_Code,0)),"Unknown"))</f>
        <v>No</v>
      </c>
      <c r="L1403" s="38" t="str">
        <f aca="false">IF(K1403&lt;&gt;"Yes","",IFERROR(INDEX(cr_Rate,MATCH(J1403&amp;"|"&amp;D1403,cr_Key,0)),INDEX(rt_Rate,MATCH(D1403,rt_Code,0))))</f>
        <v/>
      </c>
      <c r="M1403" s="25" t="str">
        <f aca="false">IF(L1403="","",ROUND(N(E1403)*L1403,2))</f>
        <v/>
      </c>
      <c r="N1403" s="39" t="n">
        <f aca="false">IF(OR(A1403="",B1403=""),"",SUMIFS(tl_Hours,tl_StaffID,I1403,tl_Date,A1403))</f>
        <v>8</v>
      </c>
      <c r="O1403" s="40" t="str">
        <f aca="false">IF(A1403&amp;B1403&amp;D1403="","",IF(OR(A1403="",B1403="",D1403="",E1403=""),"Incomplete",IF(K1403="Unknown","Unknown code",IF(AND(K1403="Yes",C1403=""),"Billable, needs client",IF(N1403&gt;MaxDayHours,"Over "&amp;MaxDayHours&amp;" hours that day","")))))</f>
        <v/>
      </c>
    </row>
    <row r="1404" customFormat="false" ht="15" hidden="false" customHeight="false" outlineLevel="0" collapsed="false">
      <c r="A1404" s="31" t="n">
        <v>46276</v>
      </c>
      <c r="B1404" s="32" t="s">
        <v>107</v>
      </c>
      <c r="C1404" s="32"/>
      <c r="D1404" s="33" t="s">
        <v>98</v>
      </c>
      <c r="E1404" s="34" t="n">
        <v>1.5</v>
      </c>
      <c r="F1404" s="32"/>
      <c r="G1404" s="35" t="n">
        <f aca="false">IF(A1404="","",A1404+7-WEEKDAY(A1404))</f>
        <v>46277</v>
      </c>
      <c r="H1404" s="36" t="n">
        <f aca="false">IF(A1404="","",DATE(YEAR(A1404),MONTH(A1404),1))</f>
        <v>46266</v>
      </c>
      <c r="I1404" s="37" t="str">
        <f aca="false">IF(B1404="","",IFERROR(INDEX(st_ID,MATCH(B1404,st_Name,0)),"Unknown"))</f>
        <v>QP-08</v>
      </c>
      <c r="J1404" s="37" t="str">
        <f aca="false">IF(C1404="","",IFERROR(INDEX(cl_Code,MATCH(C1404,cl_Name,0)),"Unknown"))</f>
        <v/>
      </c>
      <c r="K1404" s="37" t="str">
        <f aca="false">IF(D1404="","",IFERROR(INDEX(rt_Billable,MATCH(D1404,rt_Code,0)),"Unknown"))</f>
        <v>No</v>
      </c>
      <c r="L1404" s="38" t="str">
        <f aca="false">IF(K1404&lt;&gt;"Yes","",IFERROR(INDEX(cr_Rate,MATCH(J1404&amp;"|"&amp;D1404,cr_Key,0)),INDEX(rt_Rate,MATCH(D1404,rt_Code,0))))</f>
        <v/>
      </c>
      <c r="M1404" s="25" t="str">
        <f aca="false">IF(L1404="","",ROUND(N(E1404)*L1404,2))</f>
        <v/>
      </c>
      <c r="N1404" s="39" t="n">
        <f aca="false">IF(OR(A1404="",B1404=""),"",SUMIFS(tl_Hours,tl_StaffID,I1404,tl_Date,A1404))</f>
        <v>8</v>
      </c>
      <c r="O1404" s="40" t="str">
        <f aca="false">IF(A1404&amp;B1404&amp;D1404="","",IF(OR(A1404="",B1404="",D1404="",E1404=""),"Incomplete",IF(K1404="Unknown","Unknown code",IF(AND(K1404="Yes",C1404=""),"Billable, needs client",IF(N1404&gt;MaxDayHours,"Over "&amp;MaxDayHours&amp;" hours that day","")))))</f>
        <v/>
      </c>
    </row>
    <row r="1405" customFormat="false" ht="15" hidden="false" customHeight="false" outlineLevel="0" collapsed="false">
      <c r="A1405" s="31" t="n">
        <v>46279</v>
      </c>
      <c r="B1405" s="32" t="s">
        <v>86</v>
      </c>
      <c r="C1405" s="32"/>
      <c r="D1405" s="33" t="s">
        <v>109</v>
      </c>
      <c r="E1405" s="34" t="n">
        <v>8</v>
      </c>
      <c r="F1405" s="32"/>
      <c r="G1405" s="35" t="n">
        <f aca="false">IF(A1405="","",A1405+7-WEEKDAY(A1405))</f>
        <v>46284</v>
      </c>
      <c r="H1405" s="36" t="n">
        <f aca="false">IF(A1405="","",DATE(YEAR(A1405),MONTH(A1405),1))</f>
        <v>46266</v>
      </c>
      <c r="I1405" s="37" t="str">
        <f aca="false">IF(B1405="","",IFERROR(INDEX(st_ID,MATCH(B1405,st_Name,0)),"Unknown"))</f>
        <v>QP-01</v>
      </c>
      <c r="J1405" s="37" t="str">
        <f aca="false">IF(C1405="","",IFERROR(INDEX(cl_Code,MATCH(C1405,cl_Name,0)),"Unknown"))</f>
        <v/>
      </c>
      <c r="K1405" s="37" t="str">
        <f aca="false">IF(D1405="","",IFERROR(INDEX(rt_Billable,MATCH(D1405,rt_Code,0)),"Unknown"))</f>
        <v>No</v>
      </c>
      <c r="L1405" s="38" t="str">
        <f aca="false">IF(K1405&lt;&gt;"Yes","",IFERROR(INDEX(cr_Rate,MATCH(J1405&amp;"|"&amp;D1405,cr_Key,0)),INDEX(rt_Rate,MATCH(D1405,rt_Code,0))))</f>
        <v/>
      </c>
      <c r="M1405" s="25" t="str">
        <f aca="false">IF(L1405="","",ROUND(N(E1405)*L1405,2))</f>
        <v/>
      </c>
      <c r="N1405" s="39" t="n">
        <f aca="false">IF(OR(A1405="",B1405=""),"",SUMIFS(tl_Hours,tl_StaffID,I1405,tl_Date,A1405))</f>
        <v>8</v>
      </c>
      <c r="O1405" s="40" t="str">
        <f aca="false">IF(A1405&amp;B1405&amp;D1405="","",IF(OR(A1405="",B1405="",D1405="",E1405=""),"Incomplete",IF(K1405="Unknown","Unknown code",IF(AND(K1405="Yes",C1405=""),"Billable, needs client",IF(N1405&gt;MaxDayHours,"Over "&amp;MaxDayHours&amp;" hours that day","")))))</f>
        <v/>
      </c>
    </row>
    <row r="1406" customFormat="false" ht="15" hidden="false" customHeight="false" outlineLevel="0" collapsed="false">
      <c r="A1406" s="31" t="n">
        <v>46279</v>
      </c>
      <c r="B1406" s="32" t="s">
        <v>97</v>
      </c>
      <c r="C1406" s="32" t="s">
        <v>90</v>
      </c>
      <c r="D1406" s="33" t="s">
        <v>91</v>
      </c>
      <c r="E1406" s="34" t="n">
        <v>5</v>
      </c>
      <c r="F1406" s="32"/>
      <c r="G1406" s="35" t="n">
        <f aca="false">IF(A1406="","",A1406+7-WEEKDAY(A1406))</f>
        <v>46284</v>
      </c>
      <c r="H1406" s="36" t="n">
        <f aca="false">IF(A1406="","",DATE(YEAR(A1406),MONTH(A1406),1))</f>
        <v>46266</v>
      </c>
      <c r="I1406" s="37" t="str">
        <f aca="false">IF(B1406="","",IFERROR(INDEX(st_ID,MATCH(B1406,st_Name,0)),"Unknown"))</f>
        <v>QP-02</v>
      </c>
      <c r="J1406" s="37" t="str">
        <f aca="false">IF(C1406="","",IFERROR(INDEX(cl_Code,MATCH(C1406,cl_Name,0)),"Unknown"))</f>
        <v>BSE</v>
      </c>
      <c r="K1406" s="37" t="str">
        <f aca="false">IF(D1406="","",IFERROR(INDEX(rt_Billable,MATCH(D1406,rt_Code,0)),"Unknown"))</f>
        <v>Yes</v>
      </c>
      <c r="L1406" s="38" t="n">
        <f aca="false">IF(K1406&lt;&gt;"Yes","",IFERROR(INDEX(cr_Rate,MATCH(J1406&amp;"|"&amp;D1406,cr_Key,0)),INDEX(rt_Rate,MATCH(D1406,rt_Code,0))))</f>
        <v>100</v>
      </c>
      <c r="M1406" s="25" t="n">
        <f aca="false">IF(L1406="","",ROUND(N(E1406)*L1406,2))</f>
        <v>500</v>
      </c>
      <c r="N1406" s="39" t="n">
        <f aca="false">IF(OR(A1406="",B1406=""),"",SUMIFS(tl_Hours,tl_StaffID,I1406,tl_Date,A1406))</f>
        <v>8</v>
      </c>
      <c r="O1406" s="40" t="str">
        <f aca="false">IF(A1406&amp;B1406&amp;D1406="","",IF(OR(A1406="",B1406="",D1406="",E1406=""),"Incomplete",IF(K1406="Unknown","Unknown code",IF(AND(K1406="Yes",C1406=""),"Billable, needs client",IF(N1406&gt;MaxDayHours,"Over "&amp;MaxDayHours&amp;" hours that day","")))))</f>
        <v/>
      </c>
    </row>
    <row r="1407" customFormat="false" ht="15" hidden="false" customHeight="false" outlineLevel="0" collapsed="false">
      <c r="A1407" s="31" t="n">
        <v>46279</v>
      </c>
      <c r="B1407" s="32" t="s">
        <v>97</v>
      </c>
      <c r="C1407" s="32" t="s">
        <v>90</v>
      </c>
      <c r="D1407" s="33" t="s">
        <v>89</v>
      </c>
      <c r="E1407" s="34" t="n">
        <v>1</v>
      </c>
      <c r="F1407" s="32"/>
      <c r="G1407" s="35" t="n">
        <f aca="false">IF(A1407="","",A1407+7-WEEKDAY(A1407))</f>
        <v>46284</v>
      </c>
      <c r="H1407" s="36" t="n">
        <f aca="false">IF(A1407="","",DATE(YEAR(A1407),MONTH(A1407),1))</f>
        <v>46266</v>
      </c>
      <c r="I1407" s="37" t="str">
        <f aca="false">IF(B1407="","",IFERROR(INDEX(st_ID,MATCH(B1407,st_Name,0)),"Unknown"))</f>
        <v>QP-02</v>
      </c>
      <c r="J1407" s="37" t="str">
        <f aca="false">IF(C1407="","",IFERROR(INDEX(cl_Code,MATCH(C1407,cl_Name,0)),"Unknown"))</f>
        <v>BSE</v>
      </c>
      <c r="K1407" s="37" t="str">
        <f aca="false">IF(D1407="","",IFERROR(INDEX(rt_Billable,MATCH(D1407,rt_Code,0)),"Unknown"))</f>
        <v>Yes</v>
      </c>
      <c r="L1407" s="38" t="n">
        <f aca="false">IF(K1407&lt;&gt;"Yes","",IFERROR(INDEX(cr_Rate,MATCH(J1407&amp;"|"&amp;D1407,cr_Key,0)),INDEX(rt_Rate,MATCH(D1407,rt_Code,0))))</f>
        <v>95</v>
      </c>
      <c r="M1407" s="25" t="n">
        <f aca="false">IF(L1407="","",ROUND(N(E1407)*L1407,2))</f>
        <v>95</v>
      </c>
      <c r="N1407" s="39" t="n">
        <f aca="false">IF(OR(A1407="",B1407=""),"",SUMIFS(tl_Hours,tl_StaffID,I1407,tl_Date,A1407))</f>
        <v>8</v>
      </c>
      <c r="O1407" s="40" t="str">
        <f aca="false">IF(A1407&amp;B1407&amp;D1407="","",IF(OR(A1407="",B1407="",D1407="",E1407=""),"Incomplete",IF(K1407="Unknown","Unknown code",IF(AND(K1407="Yes",C1407=""),"Billable, needs client",IF(N1407&gt;MaxDayHours,"Over "&amp;MaxDayHours&amp;" hours that day","")))))</f>
        <v/>
      </c>
    </row>
    <row r="1408" customFormat="false" ht="15" hidden="false" customHeight="false" outlineLevel="0" collapsed="false">
      <c r="A1408" s="31" t="n">
        <v>46279</v>
      </c>
      <c r="B1408" s="32" t="s">
        <v>97</v>
      </c>
      <c r="C1408" s="32"/>
      <c r="D1408" s="33" t="s">
        <v>94</v>
      </c>
      <c r="E1408" s="34" t="n">
        <v>1.5</v>
      </c>
      <c r="F1408" s="32" t="s">
        <v>95</v>
      </c>
      <c r="G1408" s="35" t="n">
        <f aca="false">IF(A1408="","",A1408+7-WEEKDAY(A1408))</f>
        <v>46284</v>
      </c>
      <c r="H1408" s="36" t="n">
        <f aca="false">IF(A1408="","",DATE(YEAR(A1408),MONTH(A1408),1))</f>
        <v>46266</v>
      </c>
      <c r="I1408" s="37" t="str">
        <f aca="false">IF(B1408="","",IFERROR(INDEX(st_ID,MATCH(B1408,st_Name,0)),"Unknown"))</f>
        <v>QP-02</v>
      </c>
      <c r="J1408" s="37" t="str">
        <f aca="false">IF(C1408="","",IFERROR(INDEX(cl_Code,MATCH(C1408,cl_Name,0)),"Unknown"))</f>
        <v/>
      </c>
      <c r="K1408" s="37" t="str">
        <f aca="false">IF(D1408="","",IFERROR(INDEX(rt_Billable,MATCH(D1408,rt_Code,0)),"Unknown"))</f>
        <v>No</v>
      </c>
      <c r="L1408" s="38" t="str">
        <f aca="false">IF(K1408&lt;&gt;"Yes","",IFERROR(INDEX(cr_Rate,MATCH(J1408&amp;"|"&amp;D1408,cr_Key,0)),INDEX(rt_Rate,MATCH(D1408,rt_Code,0))))</f>
        <v/>
      </c>
      <c r="M1408" s="25" t="str">
        <f aca="false">IF(L1408="","",ROUND(N(E1408)*L1408,2))</f>
        <v/>
      </c>
      <c r="N1408" s="39" t="n">
        <f aca="false">IF(OR(A1408="",B1408=""),"",SUMIFS(tl_Hours,tl_StaffID,I1408,tl_Date,A1408))</f>
        <v>8</v>
      </c>
      <c r="O1408" s="40" t="str">
        <f aca="false">IF(A1408&amp;B1408&amp;D1408="","",IF(OR(A1408="",B1408="",D1408="",E1408=""),"Incomplete",IF(K1408="Unknown","Unknown code",IF(AND(K1408="Yes",C1408=""),"Billable, needs client",IF(N1408&gt;MaxDayHours,"Over "&amp;MaxDayHours&amp;" hours that day","")))))</f>
        <v/>
      </c>
    </row>
    <row r="1409" customFormat="false" ht="15" hidden="false" customHeight="false" outlineLevel="0" collapsed="false">
      <c r="A1409" s="31" t="n">
        <v>46279</v>
      </c>
      <c r="B1409" s="32" t="s">
        <v>97</v>
      </c>
      <c r="C1409" s="32"/>
      <c r="D1409" s="33" t="s">
        <v>96</v>
      </c>
      <c r="E1409" s="34" t="n">
        <v>0.5</v>
      </c>
      <c r="F1409" s="32"/>
      <c r="G1409" s="35" t="n">
        <f aca="false">IF(A1409="","",A1409+7-WEEKDAY(A1409))</f>
        <v>46284</v>
      </c>
      <c r="H1409" s="36" t="n">
        <f aca="false">IF(A1409="","",DATE(YEAR(A1409),MONTH(A1409),1))</f>
        <v>46266</v>
      </c>
      <c r="I1409" s="37" t="str">
        <f aca="false">IF(B1409="","",IFERROR(INDEX(st_ID,MATCH(B1409,st_Name,0)),"Unknown"))</f>
        <v>QP-02</v>
      </c>
      <c r="J1409" s="37" t="str">
        <f aca="false">IF(C1409="","",IFERROR(INDEX(cl_Code,MATCH(C1409,cl_Name,0)),"Unknown"))</f>
        <v/>
      </c>
      <c r="K1409" s="37" t="str">
        <f aca="false">IF(D1409="","",IFERROR(INDEX(rt_Billable,MATCH(D1409,rt_Code,0)),"Unknown"))</f>
        <v>No</v>
      </c>
      <c r="L1409" s="38" t="str">
        <f aca="false">IF(K1409&lt;&gt;"Yes","",IFERROR(INDEX(cr_Rate,MATCH(J1409&amp;"|"&amp;D1409,cr_Key,0)),INDEX(rt_Rate,MATCH(D1409,rt_Code,0))))</f>
        <v/>
      </c>
      <c r="M1409" s="25" t="str">
        <f aca="false">IF(L1409="","",ROUND(N(E1409)*L1409,2))</f>
        <v/>
      </c>
      <c r="N1409" s="39" t="n">
        <f aca="false">IF(OR(A1409="",B1409=""),"",SUMIFS(tl_Hours,tl_StaffID,I1409,tl_Date,A1409))</f>
        <v>8</v>
      </c>
      <c r="O1409" s="40" t="str">
        <f aca="false">IF(A1409&amp;B1409&amp;D1409="","",IF(OR(A1409="",B1409="",D1409="",E1409=""),"Incomplete",IF(K1409="Unknown","Unknown code",IF(AND(K1409="Yes",C1409=""),"Billable, needs client",IF(N1409&gt;MaxDayHours,"Over "&amp;MaxDayHours&amp;" hours that day","")))))</f>
        <v/>
      </c>
    </row>
    <row r="1410" customFormat="false" ht="15" hidden="false" customHeight="false" outlineLevel="0" collapsed="false">
      <c r="A1410" s="31" t="n">
        <v>46279</v>
      </c>
      <c r="B1410" s="32" t="s">
        <v>101</v>
      </c>
      <c r="C1410" s="32"/>
      <c r="D1410" s="33" t="s">
        <v>109</v>
      </c>
      <c r="E1410" s="34" t="n">
        <v>8</v>
      </c>
      <c r="F1410" s="32"/>
      <c r="G1410" s="35" t="n">
        <f aca="false">IF(A1410="","",A1410+7-WEEKDAY(A1410))</f>
        <v>46284</v>
      </c>
      <c r="H1410" s="36" t="n">
        <f aca="false">IF(A1410="","",DATE(YEAR(A1410),MONTH(A1410),1))</f>
        <v>46266</v>
      </c>
      <c r="I1410" s="37" t="str">
        <f aca="false">IF(B1410="","",IFERROR(INDEX(st_ID,MATCH(B1410,st_Name,0)),"Unknown"))</f>
        <v>QP-04</v>
      </c>
      <c r="J1410" s="37" t="str">
        <f aca="false">IF(C1410="","",IFERROR(INDEX(cl_Code,MATCH(C1410,cl_Name,0)),"Unknown"))</f>
        <v/>
      </c>
      <c r="K1410" s="37" t="str">
        <f aca="false">IF(D1410="","",IFERROR(INDEX(rt_Billable,MATCH(D1410,rt_Code,0)),"Unknown"))</f>
        <v>No</v>
      </c>
      <c r="L1410" s="38" t="str">
        <f aca="false">IF(K1410&lt;&gt;"Yes","",IFERROR(INDEX(cr_Rate,MATCH(J1410&amp;"|"&amp;D1410,cr_Key,0)),INDEX(rt_Rate,MATCH(D1410,rt_Code,0))))</f>
        <v/>
      </c>
      <c r="M1410" s="25" t="str">
        <f aca="false">IF(L1410="","",ROUND(N(E1410)*L1410,2))</f>
        <v/>
      </c>
      <c r="N1410" s="39" t="n">
        <f aca="false">IF(OR(A1410="",B1410=""),"",SUMIFS(tl_Hours,tl_StaffID,I1410,tl_Date,A1410))</f>
        <v>8</v>
      </c>
      <c r="O1410" s="40" t="str">
        <f aca="false">IF(A1410&amp;B1410&amp;D1410="","",IF(OR(A1410="",B1410="",D1410="",E1410=""),"Incomplete",IF(K1410="Unknown","Unknown code",IF(AND(K1410="Yes",C1410=""),"Billable, needs client",IF(N1410&gt;MaxDayHours,"Over "&amp;MaxDayHours&amp;" hours that day","")))))</f>
        <v/>
      </c>
    </row>
    <row r="1411" customFormat="false" ht="15" hidden="false" customHeight="false" outlineLevel="0" collapsed="false">
      <c r="A1411" s="31" t="n">
        <v>46279</v>
      </c>
      <c r="B1411" s="32" t="s">
        <v>103</v>
      </c>
      <c r="C1411" s="32" t="s">
        <v>90</v>
      </c>
      <c r="D1411" s="33" t="s">
        <v>91</v>
      </c>
      <c r="E1411" s="34" t="n">
        <v>1.75</v>
      </c>
      <c r="F1411" s="32"/>
      <c r="G1411" s="35" t="n">
        <f aca="false">IF(A1411="","",A1411+7-WEEKDAY(A1411))</f>
        <v>46284</v>
      </c>
      <c r="H1411" s="36" t="n">
        <f aca="false">IF(A1411="","",DATE(YEAR(A1411),MONTH(A1411),1))</f>
        <v>46266</v>
      </c>
      <c r="I1411" s="37" t="str">
        <f aca="false">IF(B1411="","",IFERROR(INDEX(st_ID,MATCH(B1411,st_Name,0)),"Unknown"))</f>
        <v>QP-05</v>
      </c>
      <c r="J1411" s="37" t="str">
        <f aca="false">IF(C1411="","",IFERROR(INDEX(cl_Code,MATCH(C1411,cl_Name,0)),"Unknown"))</f>
        <v>BSE</v>
      </c>
      <c r="K1411" s="37" t="str">
        <f aca="false">IF(D1411="","",IFERROR(INDEX(rt_Billable,MATCH(D1411,rt_Code,0)),"Unknown"))</f>
        <v>Yes</v>
      </c>
      <c r="L1411" s="38" t="n">
        <f aca="false">IF(K1411&lt;&gt;"Yes","",IFERROR(INDEX(cr_Rate,MATCH(J1411&amp;"|"&amp;D1411,cr_Key,0)),INDEX(rt_Rate,MATCH(D1411,rt_Code,0))))</f>
        <v>100</v>
      </c>
      <c r="M1411" s="25" t="n">
        <f aca="false">IF(L1411="","",ROUND(N(E1411)*L1411,2))</f>
        <v>175</v>
      </c>
      <c r="N1411" s="39" t="n">
        <f aca="false">IF(OR(A1411="",B1411=""),"",SUMIFS(tl_Hours,tl_StaffID,I1411,tl_Date,A1411))</f>
        <v>8</v>
      </c>
      <c r="O1411" s="40" t="str">
        <f aca="false">IF(A1411&amp;B1411&amp;D1411="","",IF(OR(A1411="",B1411="",D1411="",E1411=""),"Incomplete",IF(K1411="Unknown","Unknown code",IF(AND(K1411="Yes",C1411=""),"Billable, needs client",IF(N1411&gt;MaxDayHours,"Over "&amp;MaxDayHours&amp;" hours that day","")))))</f>
        <v/>
      </c>
    </row>
    <row r="1412" customFormat="false" ht="15" hidden="false" customHeight="false" outlineLevel="0" collapsed="false">
      <c r="A1412" s="31" t="n">
        <v>46279</v>
      </c>
      <c r="B1412" s="32" t="s">
        <v>103</v>
      </c>
      <c r="C1412" s="32" t="s">
        <v>90</v>
      </c>
      <c r="D1412" s="33" t="s">
        <v>104</v>
      </c>
      <c r="E1412" s="34" t="n">
        <v>1</v>
      </c>
      <c r="F1412" s="32"/>
      <c r="G1412" s="35" t="n">
        <f aca="false">IF(A1412="","",A1412+7-WEEKDAY(A1412))</f>
        <v>46284</v>
      </c>
      <c r="H1412" s="36" t="n">
        <f aca="false">IF(A1412="","",DATE(YEAR(A1412),MONTH(A1412),1))</f>
        <v>46266</v>
      </c>
      <c r="I1412" s="37" t="str">
        <f aca="false">IF(B1412="","",IFERROR(INDEX(st_ID,MATCH(B1412,st_Name,0)),"Unknown"))</f>
        <v>QP-05</v>
      </c>
      <c r="J1412" s="37" t="str">
        <f aca="false">IF(C1412="","",IFERROR(INDEX(cl_Code,MATCH(C1412,cl_Name,0)),"Unknown"))</f>
        <v>BSE</v>
      </c>
      <c r="K1412" s="37" t="str">
        <f aca="false">IF(D1412="","",IFERROR(INDEX(rt_Billable,MATCH(D1412,rt_Code,0)),"Unknown"))</f>
        <v>Yes</v>
      </c>
      <c r="L1412" s="38" t="n">
        <f aca="false">IF(K1412&lt;&gt;"Yes","",IFERROR(INDEX(cr_Rate,MATCH(J1412&amp;"|"&amp;D1412,cr_Key,0)),INDEX(rt_Rate,MATCH(D1412,rt_Code,0))))</f>
        <v>70</v>
      </c>
      <c r="M1412" s="25" t="n">
        <f aca="false">IF(L1412="","",ROUND(N(E1412)*L1412,2))</f>
        <v>70</v>
      </c>
      <c r="N1412" s="39" t="n">
        <f aca="false">IF(OR(A1412="",B1412=""),"",SUMIFS(tl_Hours,tl_StaffID,I1412,tl_Date,A1412))</f>
        <v>8</v>
      </c>
      <c r="O1412" s="40" t="str">
        <f aca="false">IF(A1412&amp;B1412&amp;D1412="","",IF(OR(A1412="",B1412="",D1412="",E1412=""),"Incomplete",IF(K1412="Unknown","Unknown code",IF(AND(K1412="Yes",C1412=""),"Billable, needs client",IF(N1412&gt;MaxDayHours,"Over "&amp;MaxDayHours&amp;" hours that day","")))))</f>
        <v/>
      </c>
    </row>
    <row r="1413" customFormat="false" ht="15" hidden="false" customHeight="false" outlineLevel="0" collapsed="false">
      <c r="A1413" s="31" t="n">
        <v>46279</v>
      </c>
      <c r="B1413" s="32" t="s">
        <v>103</v>
      </c>
      <c r="C1413" s="32" t="s">
        <v>87</v>
      </c>
      <c r="D1413" s="33" t="s">
        <v>104</v>
      </c>
      <c r="E1413" s="34" t="n">
        <v>2</v>
      </c>
      <c r="F1413" s="32"/>
      <c r="G1413" s="35" t="n">
        <f aca="false">IF(A1413="","",A1413+7-WEEKDAY(A1413))</f>
        <v>46284</v>
      </c>
      <c r="H1413" s="36" t="n">
        <f aca="false">IF(A1413="","",DATE(YEAR(A1413),MONTH(A1413),1))</f>
        <v>46266</v>
      </c>
      <c r="I1413" s="37" t="str">
        <f aca="false">IF(B1413="","",IFERROR(INDEX(st_ID,MATCH(B1413,st_Name,0)),"Unknown"))</f>
        <v>QP-05</v>
      </c>
      <c r="J1413" s="37" t="str">
        <f aca="false">IF(C1413="","",IFERROR(INDEX(cl_Code,MATCH(C1413,cl_Name,0)),"Unknown"))</f>
        <v>HCS</v>
      </c>
      <c r="K1413" s="37" t="str">
        <f aca="false">IF(D1413="","",IFERROR(INDEX(rt_Billable,MATCH(D1413,rt_Code,0)),"Unknown"))</f>
        <v>Yes</v>
      </c>
      <c r="L1413" s="38" t="n">
        <f aca="false">IF(K1413&lt;&gt;"Yes","",IFERROR(INDEX(cr_Rate,MATCH(J1413&amp;"|"&amp;D1413,cr_Key,0)),INDEX(rt_Rate,MATCH(D1413,rt_Code,0))))</f>
        <v>62</v>
      </c>
      <c r="M1413" s="25" t="n">
        <f aca="false">IF(L1413="","",ROUND(N(E1413)*L1413,2))</f>
        <v>124</v>
      </c>
      <c r="N1413" s="39" t="n">
        <f aca="false">IF(OR(A1413="",B1413=""),"",SUMIFS(tl_Hours,tl_StaffID,I1413,tl_Date,A1413))</f>
        <v>8</v>
      </c>
      <c r="O1413" s="40" t="str">
        <f aca="false">IF(A1413&amp;B1413&amp;D1413="","",IF(OR(A1413="",B1413="",D1413="",E1413=""),"Incomplete",IF(K1413="Unknown","Unknown code",IF(AND(K1413="Yes",C1413=""),"Billable, needs client",IF(N1413&gt;MaxDayHours,"Over "&amp;MaxDayHours&amp;" hours that day","")))))</f>
        <v/>
      </c>
    </row>
    <row r="1414" customFormat="false" ht="15" hidden="false" customHeight="false" outlineLevel="0" collapsed="false">
      <c r="A1414" s="31" t="n">
        <v>46279</v>
      </c>
      <c r="B1414" s="32" t="s">
        <v>103</v>
      </c>
      <c r="C1414" s="32" t="s">
        <v>87</v>
      </c>
      <c r="D1414" s="33" t="s">
        <v>89</v>
      </c>
      <c r="E1414" s="34" t="n">
        <v>0.75</v>
      </c>
      <c r="F1414" s="32"/>
      <c r="G1414" s="35" t="n">
        <f aca="false">IF(A1414="","",A1414+7-WEEKDAY(A1414))</f>
        <v>46284</v>
      </c>
      <c r="H1414" s="36" t="n">
        <f aca="false">IF(A1414="","",DATE(YEAR(A1414),MONTH(A1414),1))</f>
        <v>46266</v>
      </c>
      <c r="I1414" s="37" t="str">
        <f aca="false">IF(B1414="","",IFERROR(INDEX(st_ID,MATCH(B1414,st_Name,0)),"Unknown"))</f>
        <v>QP-05</v>
      </c>
      <c r="J1414" s="37" t="str">
        <f aca="false">IF(C1414="","",IFERROR(INDEX(cl_Code,MATCH(C1414,cl_Name,0)),"Unknown"))</f>
        <v>HCS</v>
      </c>
      <c r="K1414" s="37" t="str">
        <f aca="false">IF(D1414="","",IFERROR(INDEX(rt_Billable,MATCH(D1414,rt_Code,0)),"Unknown"))</f>
        <v>Yes</v>
      </c>
      <c r="L1414" s="38" t="n">
        <f aca="false">IF(K1414&lt;&gt;"Yes","",IFERROR(INDEX(cr_Rate,MATCH(J1414&amp;"|"&amp;D1414,cr_Key,0)),INDEX(rt_Rate,MATCH(D1414,rt_Code,0))))</f>
        <v>88</v>
      </c>
      <c r="M1414" s="25" t="n">
        <f aca="false">IF(L1414="","",ROUND(N(E1414)*L1414,2))</f>
        <v>66</v>
      </c>
      <c r="N1414" s="39" t="n">
        <f aca="false">IF(OR(A1414="",B1414=""),"",SUMIFS(tl_Hours,tl_StaffID,I1414,tl_Date,A1414))</f>
        <v>8</v>
      </c>
      <c r="O1414" s="40" t="str">
        <f aca="false">IF(A1414&amp;B1414&amp;D1414="","",IF(OR(A1414="",B1414="",D1414="",E1414=""),"Incomplete",IF(K1414="Unknown","Unknown code",IF(AND(K1414="Yes",C1414=""),"Billable, needs client",IF(N1414&gt;MaxDayHours,"Over "&amp;MaxDayHours&amp;" hours that day","")))))</f>
        <v/>
      </c>
    </row>
    <row r="1415" customFormat="false" ht="15" hidden="false" customHeight="false" outlineLevel="0" collapsed="false">
      <c r="A1415" s="31" t="n">
        <v>46279</v>
      </c>
      <c r="B1415" s="32" t="s">
        <v>103</v>
      </c>
      <c r="C1415" s="32"/>
      <c r="D1415" s="33" t="s">
        <v>93</v>
      </c>
      <c r="E1415" s="34" t="n">
        <v>0.5</v>
      </c>
      <c r="F1415" s="32"/>
      <c r="G1415" s="35" t="n">
        <f aca="false">IF(A1415="","",A1415+7-WEEKDAY(A1415))</f>
        <v>46284</v>
      </c>
      <c r="H1415" s="36" t="n">
        <f aca="false">IF(A1415="","",DATE(YEAR(A1415),MONTH(A1415),1))</f>
        <v>46266</v>
      </c>
      <c r="I1415" s="37" t="str">
        <f aca="false">IF(B1415="","",IFERROR(INDEX(st_ID,MATCH(B1415,st_Name,0)),"Unknown"))</f>
        <v>QP-05</v>
      </c>
      <c r="J1415" s="37" t="str">
        <f aca="false">IF(C1415="","",IFERROR(INDEX(cl_Code,MATCH(C1415,cl_Name,0)),"Unknown"))</f>
        <v/>
      </c>
      <c r="K1415" s="37" t="str">
        <f aca="false">IF(D1415="","",IFERROR(INDEX(rt_Billable,MATCH(D1415,rt_Code,0)),"Unknown"))</f>
        <v>No</v>
      </c>
      <c r="L1415" s="38" t="str">
        <f aca="false">IF(K1415&lt;&gt;"Yes","",IFERROR(INDEX(cr_Rate,MATCH(J1415&amp;"|"&amp;D1415,cr_Key,0)),INDEX(rt_Rate,MATCH(D1415,rt_Code,0))))</f>
        <v/>
      </c>
      <c r="M1415" s="25" t="str">
        <f aca="false">IF(L1415="","",ROUND(N(E1415)*L1415,2))</f>
        <v/>
      </c>
      <c r="N1415" s="39" t="n">
        <f aca="false">IF(OR(A1415="",B1415=""),"",SUMIFS(tl_Hours,tl_StaffID,I1415,tl_Date,A1415))</f>
        <v>8</v>
      </c>
      <c r="O1415" s="40" t="str">
        <f aca="false">IF(A1415&amp;B1415&amp;D1415="","",IF(OR(A1415="",B1415="",D1415="",E1415=""),"Incomplete",IF(K1415="Unknown","Unknown code",IF(AND(K1415="Yes",C1415=""),"Billable, needs client",IF(N1415&gt;MaxDayHours,"Over "&amp;MaxDayHours&amp;" hours that day","")))))</f>
        <v/>
      </c>
    </row>
    <row r="1416" customFormat="false" ht="15" hidden="false" customHeight="false" outlineLevel="0" collapsed="false">
      <c r="A1416" s="31" t="n">
        <v>46279</v>
      </c>
      <c r="B1416" s="32" t="s">
        <v>103</v>
      </c>
      <c r="C1416" s="32"/>
      <c r="D1416" s="33" t="s">
        <v>96</v>
      </c>
      <c r="E1416" s="34" t="n">
        <v>2</v>
      </c>
      <c r="F1416" s="32"/>
      <c r="G1416" s="35" t="n">
        <f aca="false">IF(A1416="","",A1416+7-WEEKDAY(A1416))</f>
        <v>46284</v>
      </c>
      <c r="H1416" s="36" t="n">
        <f aca="false">IF(A1416="","",DATE(YEAR(A1416),MONTH(A1416),1))</f>
        <v>46266</v>
      </c>
      <c r="I1416" s="37" t="str">
        <f aca="false">IF(B1416="","",IFERROR(INDEX(st_ID,MATCH(B1416,st_Name,0)),"Unknown"))</f>
        <v>QP-05</v>
      </c>
      <c r="J1416" s="37" t="str">
        <f aca="false">IF(C1416="","",IFERROR(INDEX(cl_Code,MATCH(C1416,cl_Name,0)),"Unknown"))</f>
        <v/>
      </c>
      <c r="K1416" s="37" t="str">
        <f aca="false">IF(D1416="","",IFERROR(INDEX(rt_Billable,MATCH(D1416,rt_Code,0)),"Unknown"))</f>
        <v>No</v>
      </c>
      <c r="L1416" s="38" t="str">
        <f aca="false">IF(K1416&lt;&gt;"Yes","",IFERROR(INDEX(cr_Rate,MATCH(J1416&amp;"|"&amp;D1416,cr_Key,0)),INDEX(rt_Rate,MATCH(D1416,rt_Code,0))))</f>
        <v/>
      </c>
      <c r="M1416" s="25" t="str">
        <f aca="false">IF(L1416="","",ROUND(N(E1416)*L1416,2))</f>
        <v/>
      </c>
      <c r="N1416" s="39" t="n">
        <f aca="false">IF(OR(A1416="",B1416=""),"",SUMIFS(tl_Hours,tl_StaffID,I1416,tl_Date,A1416))</f>
        <v>8</v>
      </c>
      <c r="O1416" s="40" t="str">
        <f aca="false">IF(A1416&amp;B1416&amp;D1416="","",IF(OR(A1416="",B1416="",D1416="",E1416=""),"Incomplete",IF(K1416="Unknown","Unknown code",IF(AND(K1416="Yes",C1416=""),"Billable, needs client",IF(N1416&gt;MaxDayHours,"Over "&amp;MaxDayHours&amp;" hours that day","")))))</f>
        <v/>
      </c>
    </row>
    <row r="1417" customFormat="false" ht="15" hidden="false" customHeight="false" outlineLevel="0" collapsed="false">
      <c r="A1417" s="31" t="n">
        <v>46279</v>
      </c>
      <c r="B1417" s="32" t="s">
        <v>105</v>
      </c>
      <c r="C1417" s="32" t="s">
        <v>90</v>
      </c>
      <c r="D1417" s="33" t="s">
        <v>88</v>
      </c>
      <c r="E1417" s="34" t="n">
        <v>4.5</v>
      </c>
      <c r="F1417" s="32"/>
      <c r="G1417" s="35" t="n">
        <f aca="false">IF(A1417="","",A1417+7-WEEKDAY(A1417))</f>
        <v>46284</v>
      </c>
      <c r="H1417" s="36" t="n">
        <f aca="false">IF(A1417="","",DATE(YEAR(A1417),MONTH(A1417),1))</f>
        <v>46266</v>
      </c>
      <c r="I1417" s="37" t="str">
        <f aca="false">IF(B1417="","",IFERROR(INDEX(st_ID,MATCH(B1417,st_Name,0)),"Unknown"))</f>
        <v>QP-06</v>
      </c>
      <c r="J1417" s="37" t="str">
        <f aca="false">IF(C1417="","",IFERROR(INDEX(cl_Code,MATCH(C1417,cl_Name,0)),"Unknown"))</f>
        <v>BSE</v>
      </c>
      <c r="K1417" s="37" t="str">
        <f aca="false">IF(D1417="","",IFERROR(INDEX(rt_Billable,MATCH(D1417,rt_Code,0)),"Unknown"))</f>
        <v>Yes</v>
      </c>
      <c r="L1417" s="38" t="n">
        <f aca="false">IF(K1417&lt;&gt;"Yes","",IFERROR(INDEX(cr_Rate,MATCH(J1417&amp;"|"&amp;D1417,cr_Key,0)),INDEX(rt_Rate,MATCH(D1417,rt_Code,0))))</f>
        <v>104</v>
      </c>
      <c r="M1417" s="25" t="n">
        <f aca="false">IF(L1417="","",ROUND(N(E1417)*L1417,2))</f>
        <v>468</v>
      </c>
      <c r="N1417" s="39" t="n">
        <f aca="false">IF(OR(A1417="",B1417=""),"",SUMIFS(tl_Hours,tl_StaffID,I1417,tl_Date,A1417))</f>
        <v>8</v>
      </c>
      <c r="O1417" s="40" t="str">
        <f aca="false">IF(A1417&amp;B1417&amp;D1417="","",IF(OR(A1417="",B1417="",D1417="",E1417=""),"Incomplete",IF(K1417="Unknown","Unknown code",IF(AND(K1417="Yes",C1417=""),"Billable, needs client",IF(N1417&gt;MaxDayHours,"Over "&amp;MaxDayHours&amp;" hours that day","")))))</f>
        <v/>
      </c>
    </row>
    <row r="1418" customFormat="false" ht="15" hidden="false" customHeight="false" outlineLevel="0" collapsed="false">
      <c r="A1418" s="31" t="n">
        <v>46279</v>
      </c>
      <c r="B1418" s="32" t="s">
        <v>105</v>
      </c>
      <c r="C1418" s="32" t="s">
        <v>90</v>
      </c>
      <c r="D1418" s="33" t="s">
        <v>92</v>
      </c>
      <c r="E1418" s="34" t="n">
        <v>1.5</v>
      </c>
      <c r="F1418" s="32"/>
      <c r="G1418" s="35" t="n">
        <f aca="false">IF(A1418="","",A1418+7-WEEKDAY(A1418))</f>
        <v>46284</v>
      </c>
      <c r="H1418" s="36" t="n">
        <f aca="false">IF(A1418="","",DATE(YEAR(A1418),MONTH(A1418),1))</f>
        <v>46266</v>
      </c>
      <c r="I1418" s="37" t="str">
        <f aca="false">IF(B1418="","",IFERROR(INDEX(st_ID,MATCH(B1418,st_Name,0)),"Unknown"))</f>
        <v>QP-06</v>
      </c>
      <c r="J1418" s="37" t="str">
        <f aca="false">IF(C1418="","",IFERROR(INDEX(cl_Code,MATCH(C1418,cl_Name,0)),"Unknown"))</f>
        <v>BSE</v>
      </c>
      <c r="K1418" s="37" t="str">
        <f aca="false">IF(D1418="","",IFERROR(INDEX(rt_Billable,MATCH(D1418,rt_Code,0)),"Unknown"))</f>
        <v>Yes</v>
      </c>
      <c r="L1418" s="38" t="n">
        <f aca="false">IF(K1418&lt;&gt;"Yes","",IFERROR(INDEX(cr_Rate,MATCH(J1418&amp;"|"&amp;D1418,cr_Key,0)),INDEX(rt_Rate,MATCH(D1418,rt_Code,0))))</f>
        <v>145</v>
      </c>
      <c r="M1418" s="25" t="n">
        <f aca="false">IF(L1418="","",ROUND(N(E1418)*L1418,2))</f>
        <v>217.5</v>
      </c>
      <c r="N1418" s="39" t="n">
        <f aca="false">IF(OR(A1418="",B1418=""),"",SUMIFS(tl_Hours,tl_StaffID,I1418,tl_Date,A1418))</f>
        <v>8</v>
      </c>
      <c r="O1418" s="40" t="str">
        <f aca="false">IF(A1418&amp;B1418&amp;D1418="","",IF(OR(A1418="",B1418="",D1418="",E1418=""),"Incomplete",IF(K1418="Unknown","Unknown code",IF(AND(K1418="Yes",C1418=""),"Billable, needs client",IF(N1418&gt;MaxDayHours,"Over "&amp;MaxDayHours&amp;" hours that day","")))))</f>
        <v/>
      </c>
    </row>
    <row r="1419" customFormat="false" ht="15" hidden="false" customHeight="false" outlineLevel="0" collapsed="false">
      <c r="A1419" s="31" t="n">
        <v>46279</v>
      </c>
      <c r="B1419" s="32" t="s">
        <v>105</v>
      </c>
      <c r="C1419" s="32"/>
      <c r="D1419" s="33" t="s">
        <v>96</v>
      </c>
      <c r="E1419" s="34" t="n">
        <v>2</v>
      </c>
      <c r="F1419" s="32"/>
      <c r="G1419" s="35" t="n">
        <f aca="false">IF(A1419="","",A1419+7-WEEKDAY(A1419))</f>
        <v>46284</v>
      </c>
      <c r="H1419" s="36" t="n">
        <f aca="false">IF(A1419="","",DATE(YEAR(A1419),MONTH(A1419),1))</f>
        <v>46266</v>
      </c>
      <c r="I1419" s="37" t="str">
        <f aca="false">IF(B1419="","",IFERROR(INDEX(st_ID,MATCH(B1419,st_Name,0)),"Unknown"))</f>
        <v>QP-06</v>
      </c>
      <c r="J1419" s="37" t="str">
        <f aca="false">IF(C1419="","",IFERROR(INDEX(cl_Code,MATCH(C1419,cl_Name,0)),"Unknown"))</f>
        <v/>
      </c>
      <c r="K1419" s="37" t="str">
        <f aca="false">IF(D1419="","",IFERROR(INDEX(rt_Billable,MATCH(D1419,rt_Code,0)),"Unknown"))</f>
        <v>No</v>
      </c>
      <c r="L1419" s="38" t="str">
        <f aca="false">IF(K1419&lt;&gt;"Yes","",IFERROR(INDEX(cr_Rate,MATCH(J1419&amp;"|"&amp;D1419,cr_Key,0)),INDEX(rt_Rate,MATCH(D1419,rt_Code,0))))</f>
        <v/>
      </c>
      <c r="M1419" s="25" t="str">
        <f aca="false">IF(L1419="","",ROUND(N(E1419)*L1419,2))</f>
        <v/>
      </c>
      <c r="N1419" s="39" t="n">
        <f aca="false">IF(OR(A1419="",B1419=""),"",SUMIFS(tl_Hours,tl_StaffID,I1419,tl_Date,A1419))</f>
        <v>8</v>
      </c>
      <c r="O1419" s="40" t="str">
        <f aca="false">IF(A1419&amp;B1419&amp;D1419="","",IF(OR(A1419="",B1419="",D1419="",E1419=""),"Incomplete",IF(K1419="Unknown","Unknown code",IF(AND(K1419="Yes",C1419=""),"Billable, needs client",IF(N1419&gt;MaxDayHours,"Over "&amp;MaxDayHours&amp;" hours that day","")))))</f>
        <v/>
      </c>
    </row>
    <row r="1420" customFormat="false" ht="15" hidden="false" customHeight="false" outlineLevel="0" collapsed="false">
      <c r="A1420" s="31" t="n">
        <v>46279</v>
      </c>
      <c r="B1420" s="32" t="s">
        <v>106</v>
      </c>
      <c r="C1420" s="32" t="s">
        <v>102</v>
      </c>
      <c r="D1420" s="33" t="s">
        <v>88</v>
      </c>
      <c r="E1420" s="34" t="n">
        <v>4</v>
      </c>
      <c r="F1420" s="32"/>
      <c r="G1420" s="35" t="n">
        <f aca="false">IF(A1420="","",A1420+7-WEEKDAY(A1420))</f>
        <v>46284</v>
      </c>
      <c r="H1420" s="36" t="n">
        <f aca="false">IF(A1420="","",DATE(YEAR(A1420),MONTH(A1420),1))</f>
        <v>46266</v>
      </c>
      <c r="I1420" s="37" t="str">
        <f aca="false">IF(B1420="","",IFERROR(INDEX(st_ID,MATCH(B1420,st_Name,0)),"Unknown"))</f>
        <v>QP-07</v>
      </c>
      <c r="J1420" s="37" t="str">
        <f aca="false">IF(C1420="","",IFERROR(INDEX(cl_Code,MATCH(C1420,cl_Name,0)),"Unknown"))</f>
        <v>CLH</v>
      </c>
      <c r="K1420" s="37" t="str">
        <f aca="false">IF(D1420="","",IFERROR(INDEX(rt_Billable,MATCH(D1420,rt_Code,0)),"Unknown"))</f>
        <v>Yes</v>
      </c>
      <c r="L1420" s="38" t="n">
        <f aca="false">IF(K1420&lt;&gt;"Yes","",IFERROR(INDEX(cr_Rate,MATCH(J1420&amp;"|"&amp;D1420,cr_Key,0)),INDEX(rt_Rate,MATCH(D1420,rt_Code,0))))</f>
        <v>110</v>
      </c>
      <c r="M1420" s="25" t="n">
        <f aca="false">IF(L1420="","",ROUND(N(E1420)*L1420,2))</f>
        <v>440</v>
      </c>
      <c r="N1420" s="39" t="n">
        <f aca="false">IF(OR(A1420="",B1420=""),"",SUMIFS(tl_Hours,tl_StaffID,I1420,tl_Date,A1420))</f>
        <v>8</v>
      </c>
      <c r="O1420" s="40" t="str">
        <f aca="false">IF(A1420&amp;B1420&amp;D1420="","",IF(OR(A1420="",B1420="",D1420="",E1420=""),"Incomplete",IF(K1420="Unknown","Unknown code",IF(AND(K1420="Yes",C1420=""),"Billable, needs client",IF(N1420&gt;MaxDayHours,"Over "&amp;MaxDayHours&amp;" hours that day","")))))</f>
        <v/>
      </c>
    </row>
    <row r="1421" customFormat="false" ht="15" hidden="false" customHeight="false" outlineLevel="0" collapsed="false">
      <c r="A1421" s="31" t="n">
        <v>46279</v>
      </c>
      <c r="B1421" s="32" t="s">
        <v>106</v>
      </c>
      <c r="C1421" s="32" t="s">
        <v>102</v>
      </c>
      <c r="D1421" s="33" t="s">
        <v>104</v>
      </c>
      <c r="E1421" s="34" t="n">
        <v>2</v>
      </c>
      <c r="F1421" s="32"/>
      <c r="G1421" s="35" t="n">
        <f aca="false">IF(A1421="","",A1421+7-WEEKDAY(A1421))</f>
        <v>46284</v>
      </c>
      <c r="H1421" s="36" t="n">
        <f aca="false">IF(A1421="","",DATE(YEAR(A1421),MONTH(A1421),1))</f>
        <v>46266</v>
      </c>
      <c r="I1421" s="37" t="str">
        <f aca="false">IF(B1421="","",IFERROR(INDEX(st_ID,MATCH(B1421,st_Name,0)),"Unknown"))</f>
        <v>QP-07</v>
      </c>
      <c r="J1421" s="37" t="str">
        <f aca="false">IF(C1421="","",IFERROR(INDEX(cl_Code,MATCH(C1421,cl_Name,0)),"Unknown"))</f>
        <v>CLH</v>
      </c>
      <c r="K1421" s="37" t="str">
        <f aca="false">IF(D1421="","",IFERROR(INDEX(rt_Billable,MATCH(D1421,rt_Code,0)),"Unknown"))</f>
        <v>Yes</v>
      </c>
      <c r="L1421" s="38" t="n">
        <f aca="false">IF(K1421&lt;&gt;"Yes","",IFERROR(INDEX(cr_Rate,MATCH(J1421&amp;"|"&amp;D1421,cr_Key,0)),INDEX(rt_Rate,MATCH(D1421,rt_Code,0))))</f>
        <v>65</v>
      </c>
      <c r="M1421" s="25" t="n">
        <f aca="false">IF(L1421="","",ROUND(N(E1421)*L1421,2))</f>
        <v>130</v>
      </c>
      <c r="N1421" s="39" t="n">
        <f aca="false">IF(OR(A1421="",B1421=""),"",SUMIFS(tl_Hours,tl_StaffID,I1421,tl_Date,A1421))</f>
        <v>8</v>
      </c>
      <c r="O1421" s="40" t="str">
        <f aca="false">IF(A1421&amp;B1421&amp;D1421="","",IF(OR(A1421="",B1421="",D1421="",E1421=""),"Incomplete",IF(K1421="Unknown","Unknown code",IF(AND(K1421="Yes",C1421=""),"Billable, needs client",IF(N1421&gt;MaxDayHours,"Over "&amp;MaxDayHours&amp;" hours that day","")))))</f>
        <v/>
      </c>
    </row>
    <row r="1422" customFormat="false" ht="15" hidden="false" customHeight="false" outlineLevel="0" collapsed="false">
      <c r="A1422" s="31" t="n">
        <v>46279</v>
      </c>
      <c r="B1422" s="32" t="s">
        <v>106</v>
      </c>
      <c r="C1422" s="32"/>
      <c r="D1422" s="33" t="s">
        <v>94</v>
      </c>
      <c r="E1422" s="34" t="n">
        <v>1.5</v>
      </c>
      <c r="F1422" s="32" t="s">
        <v>95</v>
      </c>
      <c r="G1422" s="35" t="n">
        <f aca="false">IF(A1422="","",A1422+7-WEEKDAY(A1422))</f>
        <v>46284</v>
      </c>
      <c r="H1422" s="36" t="n">
        <f aca="false">IF(A1422="","",DATE(YEAR(A1422),MONTH(A1422),1))</f>
        <v>46266</v>
      </c>
      <c r="I1422" s="37" t="str">
        <f aca="false">IF(B1422="","",IFERROR(INDEX(st_ID,MATCH(B1422,st_Name,0)),"Unknown"))</f>
        <v>QP-07</v>
      </c>
      <c r="J1422" s="37" t="str">
        <f aca="false">IF(C1422="","",IFERROR(INDEX(cl_Code,MATCH(C1422,cl_Name,0)),"Unknown"))</f>
        <v/>
      </c>
      <c r="K1422" s="37" t="str">
        <f aca="false">IF(D1422="","",IFERROR(INDEX(rt_Billable,MATCH(D1422,rt_Code,0)),"Unknown"))</f>
        <v>No</v>
      </c>
      <c r="L1422" s="38" t="str">
        <f aca="false">IF(K1422&lt;&gt;"Yes","",IFERROR(INDEX(cr_Rate,MATCH(J1422&amp;"|"&amp;D1422,cr_Key,0)),INDEX(rt_Rate,MATCH(D1422,rt_Code,0))))</f>
        <v/>
      </c>
      <c r="M1422" s="25" t="str">
        <f aca="false">IF(L1422="","",ROUND(N(E1422)*L1422,2))</f>
        <v/>
      </c>
      <c r="N1422" s="39" t="n">
        <f aca="false">IF(OR(A1422="",B1422=""),"",SUMIFS(tl_Hours,tl_StaffID,I1422,tl_Date,A1422))</f>
        <v>8</v>
      </c>
      <c r="O1422" s="40" t="str">
        <f aca="false">IF(A1422&amp;B1422&amp;D1422="","",IF(OR(A1422="",B1422="",D1422="",E1422=""),"Incomplete",IF(K1422="Unknown","Unknown code",IF(AND(K1422="Yes",C1422=""),"Billable, needs client",IF(N1422&gt;MaxDayHours,"Over "&amp;MaxDayHours&amp;" hours that day","")))))</f>
        <v/>
      </c>
    </row>
    <row r="1423" customFormat="false" ht="15" hidden="false" customHeight="false" outlineLevel="0" collapsed="false">
      <c r="A1423" s="31" t="n">
        <v>46279</v>
      </c>
      <c r="B1423" s="32" t="s">
        <v>106</v>
      </c>
      <c r="C1423" s="32"/>
      <c r="D1423" s="33" t="s">
        <v>96</v>
      </c>
      <c r="E1423" s="34" t="n">
        <v>0.5</v>
      </c>
      <c r="F1423" s="32"/>
      <c r="G1423" s="35" t="n">
        <f aca="false">IF(A1423="","",A1423+7-WEEKDAY(A1423))</f>
        <v>46284</v>
      </c>
      <c r="H1423" s="36" t="n">
        <f aca="false">IF(A1423="","",DATE(YEAR(A1423),MONTH(A1423),1))</f>
        <v>46266</v>
      </c>
      <c r="I1423" s="37" t="str">
        <f aca="false">IF(B1423="","",IFERROR(INDEX(st_ID,MATCH(B1423,st_Name,0)),"Unknown"))</f>
        <v>QP-07</v>
      </c>
      <c r="J1423" s="37" t="str">
        <f aca="false">IF(C1423="","",IFERROR(INDEX(cl_Code,MATCH(C1423,cl_Name,0)),"Unknown"))</f>
        <v/>
      </c>
      <c r="K1423" s="37" t="str">
        <f aca="false">IF(D1423="","",IFERROR(INDEX(rt_Billable,MATCH(D1423,rt_Code,0)),"Unknown"))</f>
        <v>No</v>
      </c>
      <c r="L1423" s="38" t="str">
        <f aca="false">IF(K1423&lt;&gt;"Yes","",IFERROR(INDEX(cr_Rate,MATCH(J1423&amp;"|"&amp;D1423,cr_Key,0)),INDEX(rt_Rate,MATCH(D1423,rt_Code,0))))</f>
        <v/>
      </c>
      <c r="M1423" s="25" t="str">
        <f aca="false">IF(L1423="","",ROUND(N(E1423)*L1423,2))</f>
        <v/>
      </c>
      <c r="N1423" s="39" t="n">
        <f aca="false">IF(OR(A1423="",B1423=""),"",SUMIFS(tl_Hours,tl_StaffID,I1423,tl_Date,A1423))</f>
        <v>8</v>
      </c>
      <c r="O1423" s="40" t="str">
        <f aca="false">IF(A1423&amp;B1423&amp;D1423="","",IF(OR(A1423="",B1423="",D1423="",E1423=""),"Incomplete",IF(K1423="Unknown","Unknown code",IF(AND(K1423="Yes",C1423=""),"Billable, needs client",IF(N1423&gt;MaxDayHours,"Over "&amp;MaxDayHours&amp;" hours that day","")))))</f>
        <v/>
      </c>
    </row>
    <row r="1424" customFormat="false" ht="15" hidden="false" customHeight="false" outlineLevel="0" collapsed="false">
      <c r="A1424" s="31" t="n">
        <v>46279</v>
      </c>
      <c r="B1424" s="32" t="s">
        <v>107</v>
      </c>
      <c r="C1424" s="32"/>
      <c r="D1424" s="33" t="s">
        <v>108</v>
      </c>
      <c r="E1424" s="34" t="n">
        <v>6.5</v>
      </c>
      <c r="F1424" s="32"/>
      <c r="G1424" s="35" t="n">
        <f aca="false">IF(A1424="","",A1424+7-WEEKDAY(A1424))</f>
        <v>46284</v>
      </c>
      <c r="H1424" s="36" t="n">
        <f aca="false">IF(A1424="","",DATE(YEAR(A1424),MONTH(A1424),1))</f>
        <v>46266</v>
      </c>
      <c r="I1424" s="37" t="str">
        <f aca="false">IF(B1424="","",IFERROR(INDEX(st_ID,MATCH(B1424,st_Name,0)),"Unknown"))</f>
        <v>QP-08</v>
      </c>
      <c r="J1424" s="37" t="str">
        <f aca="false">IF(C1424="","",IFERROR(INDEX(cl_Code,MATCH(C1424,cl_Name,0)),"Unknown"))</f>
        <v/>
      </c>
      <c r="K1424" s="37" t="str">
        <f aca="false">IF(D1424="","",IFERROR(INDEX(rt_Billable,MATCH(D1424,rt_Code,0)),"Unknown"))</f>
        <v>No</v>
      </c>
      <c r="L1424" s="38" t="str">
        <f aca="false">IF(K1424&lt;&gt;"Yes","",IFERROR(INDEX(cr_Rate,MATCH(J1424&amp;"|"&amp;D1424,cr_Key,0)),INDEX(rt_Rate,MATCH(D1424,rt_Code,0))))</f>
        <v/>
      </c>
      <c r="M1424" s="25" t="str">
        <f aca="false">IF(L1424="","",ROUND(N(E1424)*L1424,2))</f>
        <v/>
      </c>
      <c r="N1424" s="39" t="n">
        <f aca="false">IF(OR(A1424="",B1424=""),"",SUMIFS(tl_Hours,tl_StaffID,I1424,tl_Date,A1424))</f>
        <v>8</v>
      </c>
      <c r="O1424" s="40" t="str">
        <f aca="false">IF(A1424&amp;B1424&amp;D1424="","",IF(OR(A1424="",B1424="",D1424="",E1424=""),"Incomplete",IF(K1424="Unknown","Unknown code",IF(AND(K1424="Yes",C1424=""),"Billable, needs client",IF(N1424&gt;MaxDayHours,"Over "&amp;MaxDayHours&amp;" hours that day","")))))</f>
        <v/>
      </c>
    </row>
    <row r="1425" customFormat="false" ht="15" hidden="false" customHeight="false" outlineLevel="0" collapsed="false">
      <c r="A1425" s="31" t="n">
        <v>46279</v>
      </c>
      <c r="B1425" s="32" t="s">
        <v>107</v>
      </c>
      <c r="C1425" s="32"/>
      <c r="D1425" s="33" t="s">
        <v>98</v>
      </c>
      <c r="E1425" s="34" t="n">
        <v>1.5</v>
      </c>
      <c r="F1425" s="32"/>
      <c r="G1425" s="35" t="n">
        <f aca="false">IF(A1425="","",A1425+7-WEEKDAY(A1425))</f>
        <v>46284</v>
      </c>
      <c r="H1425" s="36" t="n">
        <f aca="false">IF(A1425="","",DATE(YEAR(A1425),MONTH(A1425),1))</f>
        <v>46266</v>
      </c>
      <c r="I1425" s="37" t="str">
        <f aca="false">IF(B1425="","",IFERROR(INDEX(st_ID,MATCH(B1425,st_Name,0)),"Unknown"))</f>
        <v>QP-08</v>
      </c>
      <c r="J1425" s="37" t="str">
        <f aca="false">IF(C1425="","",IFERROR(INDEX(cl_Code,MATCH(C1425,cl_Name,0)),"Unknown"))</f>
        <v/>
      </c>
      <c r="K1425" s="37" t="str">
        <f aca="false">IF(D1425="","",IFERROR(INDEX(rt_Billable,MATCH(D1425,rt_Code,0)),"Unknown"))</f>
        <v>No</v>
      </c>
      <c r="L1425" s="38" t="str">
        <f aca="false">IF(K1425&lt;&gt;"Yes","",IFERROR(INDEX(cr_Rate,MATCH(J1425&amp;"|"&amp;D1425,cr_Key,0)),INDEX(rt_Rate,MATCH(D1425,rt_Code,0))))</f>
        <v/>
      </c>
      <c r="M1425" s="25" t="str">
        <f aca="false">IF(L1425="","",ROUND(N(E1425)*L1425,2))</f>
        <v/>
      </c>
      <c r="N1425" s="39" t="n">
        <f aca="false">IF(OR(A1425="",B1425=""),"",SUMIFS(tl_Hours,tl_StaffID,I1425,tl_Date,A1425))</f>
        <v>8</v>
      </c>
      <c r="O1425" s="40" t="str">
        <f aca="false">IF(A1425&amp;B1425&amp;D1425="","",IF(OR(A1425="",B1425="",D1425="",E1425=""),"Incomplete",IF(K1425="Unknown","Unknown code",IF(AND(K1425="Yes",C1425=""),"Billable, needs client",IF(N1425&gt;MaxDayHours,"Over "&amp;MaxDayHours&amp;" hours that day","")))))</f>
        <v/>
      </c>
    </row>
    <row r="1426" customFormat="false" ht="15" hidden="false" customHeight="false" outlineLevel="0" collapsed="false">
      <c r="A1426" s="31" t="n">
        <v>46280</v>
      </c>
      <c r="B1426" s="32" t="s">
        <v>86</v>
      </c>
      <c r="C1426" s="32" t="s">
        <v>112</v>
      </c>
      <c r="D1426" s="33" t="s">
        <v>104</v>
      </c>
      <c r="E1426" s="34" t="n">
        <v>5.5</v>
      </c>
      <c r="F1426" s="32"/>
      <c r="G1426" s="35" t="n">
        <f aca="false">IF(A1426="","",A1426+7-WEEKDAY(A1426))</f>
        <v>46284</v>
      </c>
      <c r="H1426" s="36" t="n">
        <f aca="false">IF(A1426="","",DATE(YEAR(A1426),MONTH(A1426),1))</f>
        <v>46266</v>
      </c>
      <c r="I1426" s="37" t="str">
        <f aca="false">IF(B1426="","",IFERROR(INDEX(st_ID,MATCH(B1426,st_Name,0)),"Unknown"))</f>
        <v>QP-01</v>
      </c>
      <c r="J1426" s="37" t="str">
        <f aca="false">IF(C1426="","",IFERROR(INDEX(cl_Code,MATCH(C1426,cl_Name,0)),"Unknown"))</f>
        <v>PCA</v>
      </c>
      <c r="K1426" s="37" t="str">
        <f aca="false">IF(D1426="","",IFERROR(INDEX(rt_Billable,MATCH(D1426,rt_Code,0)),"Unknown"))</f>
        <v>Yes</v>
      </c>
      <c r="L1426" s="38" t="n">
        <f aca="false">IF(K1426&lt;&gt;"Yes","",IFERROR(INDEX(cr_Rate,MATCH(J1426&amp;"|"&amp;D1426,cr_Key,0)),INDEX(rt_Rate,MATCH(D1426,rt_Code,0))))</f>
        <v>70</v>
      </c>
      <c r="M1426" s="25" t="n">
        <f aca="false">IF(L1426="","",ROUND(N(E1426)*L1426,2))</f>
        <v>385</v>
      </c>
      <c r="N1426" s="39" t="n">
        <f aca="false">IF(OR(A1426="",B1426=""),"",SUMIFS(tl_Hours,tl_StaffID,I1426,tl_Date,A1426))</f>
        <v>8.5</v>
      </c>
      <c r="O1426" s="40" t="str">
        <f aca="false">IF(A1426&amp;B1426&amp;D1426="","",IF(OR(A1426="",B1426="",D1426="",E1426=""),"Incomplete",IF(K1426="Unknown","Unknown code",IF(AND(K1426="Yes",C1426=""),"Billable, needs client",IF(N1426&gt;MaxDayHours,"Over "&amp;MaxDayHours&amp;" hours that day","")))))</f>
        <v/>
      </c>
    </row>
    <row r="1427" customFormat="false" ht="15" hidden="false" customHeight="false" outlineLevel="0" collapsed="false">
      <c r="A1427" s="31" t="n">
        <v>46280</v>
      </c>
      <c r="B1427" s="32" t="s">
        <v>86</v>
      </c>
      <c r="C1427" s="32" t="s">
        <v>112</v>
      </c>
      <c r="D1427" s="33" t="s">
        <v>89</v>
      </c>
      <c r="E1427" s="34" t="n">
        <v>1</v>
      </c>
      <c r="F1427" s="32"/>
      <c r="G1427" s="35" t="n">
        <f aca="false">IF(A1427="","",A1427+7-WEEKDAY(A1427))</f>
        <v>46284</v>
      </c>
      <c r="H1427" s="36" t="n">
        <f aca="false">IF(A1427="","",DATE(YEAR(A1427),MONTH(A1427),1))</f>
        <v>46266</v>
      </c>
      <c r="I1427" s="37" t="str">
        <f aca="false">IF(B1427="","",IFERROR(INDEX(st_ID,MATCH(B1427,st_Name,0)),"Unknown"))</f>
        <v>QP-01</v>
      </c>
      <c r="J1427" s="37" t="str">
        <f aca="false">IF(C1427="","",IFERROR(INDEX(cl_Code,MATCH(C1427,cl_Name,0)),"Unknown"))</f>
        <v>PCA</v>
      </c>
      <c r="K1427" s="37" t="str">
        <f aca="false">IF(D1427="","",IFERROR(INDEX(rt_Billable,MATCH(D1427,rt_Code,0)),"Unknown"))</f>
        <v>Yes</v>
      </c>
      <c r="L1427" s="38" t="n">
        <f aca="false">IF(K1427&lt;&gt;"Yes","",IFERROR(INDEX(cr_Rate,MATCH(J1427&amp;"|"&amp;D1427,cr_Key,0)),INDEX(rt_Rate,MATCH(D1427,rt_Code,0))))</f>
        <v>95</v>
      </c>
      <c r="M1427" s="25" t="n">
        <f aca="false">IF(L1427="","",ROUND(N(E1427)*L1427,2))</f>
        <v>95</v>
      </c>
      <c r="N1427" s="39" t="n">
        <f aca="false">IF(OR(A1427="",B1427=""),"",SUMIFS(tl_Hours,tl_StaffID,I1427,tl_Date,A1427))</f>
        <v>8.5</v>
      </c>
      <c r="O1427" s="40" t="str">
        <f aca="false">IF(A1427&amp;B1427&amp;D1427="","",IF(OR(A1427="",B1427="",D1427="",E1427=""),"Incomplete",IF(K1427="Unknown","Unknown code",IF(AND(K1427="Yes",C1427=""),"Billable, needs client",IF(N1427&gt;MaxDayHours,"Over "&amp;MaxDayHours&amp;" hours that day","")))))</f>
        <v/>
      </c>
    </row>
    <row r="1428" customFormat="false" ht="15" hidden="false" customHeight="false" outlineLevel="0" collapsed="false">
      <c r="A1428" s="31" t="n">
        <v>46280</v>
      </c>
      <c r="B1428" s="32" t="s">
        <v>86</v>
      </c>
      <c r="C1428" s="32"/>
      <c r="D1428" s="33" t="s">
        <v>94</v>
      </c>
      <c r="E1428" s="34" t="n">
        <v>1.5</v>
      </c>
      <c r="F1428" s="32" t="s">
        <v>95</v>
      </c>
      <c r="G1428" s="35" t="n">
        <f aca="false">IF(A1428="","",A1428+7-WEEKDAY(A1428))</f>
        <v>46284</v>
      </c>
      <c r="H1428" s="36" t="n">
        <f aca="false">IF(A1428="","",DATE(YEAR(A1428),MONTH(A1428),1))</f>
        <v>46266</v>
      </c>
      <c r="I1428" s="37" t="str">
        <f aca="false">IF(B1428="","",IFERROR(INDEX(st_ID,MATCH(B1428,st_Name,0)),"Unknown"))</f>
        <v>QP-01</v>
      </c>
      <c r="J1428" s="37" t="str">
        <f aca="false">IF(C1428="","",IFERROR(INDEX(cl_Code,MATCH(C1428,cl_Name,0)),"Unknown"))</f>
        <v/>
      </c>
      <c r="K1428" s="37" t="str">
        <f aca="false">IF(D1428="","",IFERROR(INDEX(rt_Billable,MATCH(D1428,rt_Code,0)),"Unknown"))</f>
        <v>No</v>
      </c>
      <c r="L1428" s="38" t="str">
        <f aca="false">IF(K1428&lt;&gt;"Yes","",IFERROR(INDEX(cr_Rate,MATCH(J1428&amp;"|"&amp;D1428,cr_Key,0)),INDEX(rt_Rate,MATCH(D1428,rt_Code,0))))</f>
        <v/>
      </c>
      <c r="M1428" s="25" t="str">
        <f aca="false">IF(L1428="","",ROUND(N(E1428)*L1428,2))</f>
        <v/>
      </c>
      <c r="N1428" s="39" t="n">
        <f aca="false">IF(OR(A1428="",B1428=""),"",SUMIFS(tl_Hours,tl_StaffID,I1428,tl_Date,A1428))</f>
        <v>8.5</v>
      </c>
      <c r="O1428" s="40" t="str">
        <f aca="false">IF(A1428&amp;B1428&amp;D1428="","",IF(OR(A1428="",B1428="",D1428="",E1428=""),"Incomplete",IF(K1428="Unknown","Unknown code",IF(AND(K1428="Yes",C1428=""),"Billable, needs client",IF(N1428&gt;MaxDayHours,"Over "&amp;MaxDayHours&amp;" hours that day","")))))</f>
        <v/>
      </c>
    </row>
    <row r="1429" customFormat="false" ht="15" hidden="false" customHeight="false" outlineLevel="0" collapsed="false">
      <c r="A1429" s="31" t="n">
        <v>46280</v>
      </c>
      <c r="B1429" s="32" t="s">
        <v>86</v>
      </c>
      <c r="C1429" s="32"/>
      <c r="D1429" s="33" t="s">
        <v>96</v>
      </c>
      <c r="E1429" s="34" t="n">
        <v>0.5</v>
      </c>
      <c r="F1429" s="32"/>
      <c r="G1429" s="35" t="n">
        <f aca="false">IF(A1429="","",A1429+7-WEEKDAY(A1429))</f>
        <v>46284</v>
      </c>
      <c r="H1429" s="36" t="n">
        <f aca="false">IF(A1429="","",DATE(YEAR(A1429),MONTH(A1429),1))</f>
        <v>46266</v>
      </c>
      <c r="I1429" s="37" t="str">
        <f aca="false">IF(B1429="","",IFERROR(INDEX(st_ID,MATCH(B1429,st_Name,0)),"Unknown"))</f>
        <v>QP-01</v>
      </c>
      <c r="J1429" s="37" t="str">
        <f aca="false">IF(C1429="","",IFERROR(INDEX(cl_Code,MATCH(C1429,cl_Name,0)),"Unknown"))</f>
        <v/>
      </c>
      <c r="K1429" s="37" t="str">
        <f aca="false">IF(D1429="","",IFERROR(INDEX(rt_Billable,MATCH(D1429,rt_Code,0)),"Unknown"))</f>
        <v>No</v>
      </c>
      <c r="L1429" s="38" t="str">
        <f aca="false">IF(K1429&lt;&gt;"Yes","",IFERROR(INDEX(cr_Rate,MATCH(J1429&amp;"|"&amp;D1429,cr_Key,0)),INDEX(rt_Rate,MATCH(D1429,rt_Code,0))))</f>
        <v/>
      </c>
      <c r="M1429" s="25" t="str">
        <f aca="false">IF(L1429="","",ROUND(N(E1429)*L1429,2))</f>
        <v/>
      </c>
      <c r="N1429" s="39" t="n">
        <f aca="false">IF(OR(A1429="",B1429=""),"",SUMIFS(tl_Hours,tl_StaffID,I1429,tl_Date,A1429))</f>
        <v>8.5</v>
      </c>
      <c r="O1429" s="40" t="str">
        <f aca="false">IF(A1429&amp;B1429&amp;D1429="","",IF(OR(A1429="",B1429="",D1429="",E1429=""),"Incomplete",IF(K1429="Unknown","Unknown code",IF(AND(K1429="Yes",C1429=""),"Billable, needs client",IF(N1429&gt;MaxDayHours,"Over "&amp;MaxDayHours&amp;" hours that day","")))))</f>
        <v/>
      </c>
    </row>
    <row r="1430" customFormat="false" ht="15" hidden="false" customHeight="false" outlineLevel="0" collapsed="false">
      <c r="A1430" s="31" t="n">
        <v>46280</v>
      </c>
      <c r="B1430" s="32" t="s">
        <v>97</v>
      </c>
      <c r="C1430" s="32" t="s">
        <v>111</v>
      </c>
      <c r="D1430" s="33" t="s">
        <v>88</v>
      </c>
      <c r="E1430" s="34" t="n">
        <v>4.5</v>
      </c>
      <c r="F1430" s="32"/>
      <c r="G1430" s="35" t="n">
        <f aca="false">IF(A1430="","",A1430+7-WEEKDAY(A1430))</f>
        <v>46284</v>
      </c>
      <c r="H1430" s="36" t="n">
        <f aca="false">IF(A1430="","",DATE(YEAR(A1430),MONTH(A1430),1))</f>
        <v>46266</v>
      </c>
      <c r="I1430" s="37" t="str">
        <f aca="false">IF(B1430="","",IFERROR(INDEX(st_ID,MATCH(B1430,st_Name,0)),"Unknown"))</f>
        <v>QP-02</v>
      </c>
      <c r="J1430" s="37" t="str">
        <f aca="false">IF(C1430="","",IFERROR(INDEX(cl_Code,MATCH(C1430,cl_Name,0)),"Unknown"))</f>
        <v>WMS</v>
      </c>
      <c r="K1430" s="37" t="str">
        <f aca="false">IF(D1430="","",IFERROR(INDEX(rt_Billable,MATCH(D1430,rt_Code,0)),"Unknown"))</f>
        <v>Yes</v>
      </c>
      <c r="L1430" s="38" t="n">
        <f aca="false">IF(K1430&lt;&gt;"Yes","",IFERROR(INDEX(cr_Rate,MATCH(J1430&amp;"|"&amp;D1430,cr_Key,0)),INDEX(rt_Rate,MATCH(D1430,rt_Code,0))))</f>
        <v>110</v>
      </c>
      <c r="M1430" s="25" t="n">
        <f aca="false">IF(L1430="","",ROUND(N(E1430)*L1430,2))</f>
        <v>495</v>
      </c>
      <c r="N1430" s="39" t="n">
        <f aca="false">IF(OR(A1430="",B1430=""),"",SUMIFS(tl_Hours,tl_StaffID,I1430,tl_Date,A1430))</f>
        <v>8</v>
      </c>
      <c r="O1430" s="40" t="str">
        <f aca="false">IF(A1430&amp;B1430&amp;D1430="","",IF(OR(A1430="",B1430="",D1430="",E1430=""),"Incomplete",IF(K1430="Unknown","Unknown code",IF(AND(K1430="Yes",C1430=""),"Billable, needs client",IF(N1430&gt;MaxDayHours,"Over "&amp;MaxDayHours&amp;" hours that day","")))))</f>
        <v/>
      </c>
    </row>
    <row r="1431" customFormat="false" ht="15" hidden="false" customHeight="false" outlineLevel="0" collapsed="false">
      <c r="A1431" s="31" t="n">
        <v>46280</v>
      </c>
      <c r="B1431" s="32" t="s">
        <v>97</v>
      </c>
      <c r="C1431" s="32" t="s">
        <v>111</v>
      </c>
      <c r="D1431" s="33" t="s">
        <v>89</v>
      </c>
      <c r="E1431" s="34" t="n">
        <v>1.25</v>
      </c>
      <c r="F1431" s="32"/>
      <c r="G1431" s="35" t="n">
        <f aca="false">IF(A1431="","",A1431+7-WEEKDAY(A1431))</f>
        <v>46284</v>
      </c>
      <c r="H1431" s="36" t="n">
        <f aca="false">IF(A1431="","",DATE(YEAR(A1431),MONTH(A1431),1))</f>
        <v>46266</v>
      </c>
      <c r="I1431" s="37" t="str">
        <f aca="false">IF(B1431="","",IFERROR(INDEX(st_ID,MATCH(B1431,st_Name,0)),"Unknown"))</f>
        <v>QP-02</v>
      </c>
      <c r="J1431" s="37" t="str">
        <f aca="false">IF(C1431="","",IFERROR(INDEX(cl_Code,MATCH(C1431,cl_Name,0)),"Unknown"))</f>
        <v>WMS</v>
      </c>
      <c r="K1431" s="37" t="str">
        <f aca="false">IF(D1431="","",IFERROR(INDEX(rt_Billable,MATCH(D1431,rt_Code,0)),"Unknown"))</f>
        <v>Yes</v>
      </c>
      <c r="L1431" s="38" t="n">
        <f aca="false">IF(K1431&lt;&gt;"Yes","",IFERROR(INDEX(cr_Rate,MATCH(J1431&amp;"|"&amp;D1431,cr_Key,0)),INDEX(rt_Rate,MATCH(D1431,rt_Code,0))))</f>
        <v>95</v>
      </c>
      <c r="M1431" s="25" t="n">
        <f aca="false">IF(L1431="","",ROUND(N(E1431)*L1431,2))</f>
        <v>118.75</v>
      </c>
      <c r="N1431" s="39" t="n">
        <f aca="false">IF(OR(A1431="",B1431=""),"",SUMIFS(tl_Hours,tl_StaffID,I1431,tl_Date,A1431))</f>
        <v>8</v>
      </c>
      <c r="O1431" s="40" t="str">
        <f aca="false">IF(A1431&amp;B1431&amp;D1431="","",IF(OR(A1431="",B1431="",D1431="",E1431=""),"Incomplete",IF(K1431="Unknown","Unknown code",IF(AND(K1431="Yes",C1431=""),"Billable, needs client",IF(N1431&gt;MaxDayHours,"Over "&amp;MaxDayHours&amp;" hours that day","")))))</f>
        <v/>
      </c>
    </row>
    <row r="1432" customFormat="false" ht="15" hidden="false" customHeight="false" outlineLevel="0" collapsed="false">
      <c r="A1432" s="31" t="n">
        <v>46280</v>
      </c>
      <c r="B1432" s="32" t="s">
        <v>97</v>
      </c>
      <c r="C1432" s="32"/>
      <c r="D1432" s="33" t="s">
        <v>96</v>
      </c>
      <c r="E1432" s="34" t="n">
        <v>2.25</v>
      </c>
      <c r="F1432" s="32"/>
      <c r="G1432" s="35" t="n">
        <f aca="false">IF(A1432="","",A1432+7-WEEKDAY(A1432))</f>
        <v>46284</v>
      </c>
      <c r="H1432" s="36" t="n">
        <f aca="false">IF(A1432="","",DATE(YEAR(A1432),MONTH(A1432),1))</f>
        <v>46266</v>
      </c>
      <c r="I1432" s="37" t="str">
        <f aca="false">IF(B1432="","",IFERROR(INDEX(st_ID,MATCH(B1432,st_Name,0)),"Unknown"))</f>
        <v>QP-02</v>
      </c>
      <c r="J1432" s="37" t="str">
        <f aca="false">IF(C1432="","",IFERROR(INDEX(cl_Code,MATCH(C1432,cl_Name,0)),"Unknown"))</f>
        <v/>
      </c>
      <c r="K1432" s="37" t="str">
        <f aca="false">IF(D1432="","",IFERROR(INDEX(rt_Billable,MATCH(D1432,rt_Code,0)),"Unknown"))</f>
        <v>No</v>
      </c>
      <c r="L1432" s="38" t="str">
        <f aca="false">IF(K1432&lt;&gt;"Yes","",IFERROR(INDEX(cr_Rate,MATCH(J1432&amp;"|"&amp;D1432,cr_Key,0)),INDEX(rt_Rate,MATCH(D1432,rt_Code,0))))</f>
        <v/>
      </c>
      <c r="M1432" s="25" t="str">
        <f aca="false">IF(L1432="","",ROUND(N(E1432)*L1432,2))</f>
        <v/>
      </c>
      <c r="N1432" s="39" t="n">
        <f aca="false">IF(OR(A1432="",B1432=""),"",SUMIFS(tl_Hours,tl_StaffID,I1432,tl_Date,A1432))</f>
        <v>8</v>
      </c>
      <c r="O1432" s="40" t="str">
        <f aca="false">IF(A1432&amp;B1432&amp;D1432="","",IF(OR(A1432="",B1432="",D1432="",E1432=""),"Incomplete",IF(K1432="Unknown","Unknown code",IF(AND(K1432="Yes",C1432=""),"Billable, needs client",IF(N1432&gt;MaxDayHours,"Over "&amp;MaxDayHours&amp;" hours that day","")))))</f>
        <v/>
      </c>
    </row>
    <row r="1433" customFormat="false" ht="15" hidden="false" customHeight="false" outlineLevel="0" collapsed="false">
      <c r="A1433" s="31" t="n">
        <v>46280</v>
      </c>
      <c r="B1433" s="32" t="s">
        <v>100</v>
      </c>
      <c r="C1433" s="32" t="s">
        <v>102</v>
      </c>
      <c r="D1433" s="33" t="s">
        <v>104</v>
      </c>
      <c r="E1433" s="34" t="n">
        <v>2</v>
      </c>
      <c r="F1433" s="32"/>
      <c r="G1433" s="35" t="n">
        <f aca="false">IF(A1433="","",A1433+7-WEEKDAY(A1433))</f>
        <v>46284</v>
      </c>
      <c r="H1433" s="36" t="n">
        <f aca="false">IF(A1433="","",DATE(YEAR(A1433),MONTH(A1433),1))</f>
        <v>46266</v>
      </c>
      <c r="I1433" s="37" t="str">
        <f aca="false">IF(B1433="","",IFERROR(INDEX(st_ID,MATCH(B1433,st_Name,0)),"Unknown"))</f>
        <v>QP-03</v>
      </c>
      <c r="J1433" s="37" t="str">
        <f aca="false">IF(C1433="","",IFERROR(INDEX(cl_Code,MATCH(C1433,cl_Name,0)),"Unknown"))</f>
        <v>CLH</v>
      </c>
      <c r="K1433" s="37" t="str">
        <f aca="false">IF(D1433="","",IFERROR(INDEX(rt_Billable,MATCH(D1433,rt_Code,0)),"Unknown"))</f>
        <v>Yes</v>
      </c>
      <c r="L1433" s="38" t="n">
        <f aca="false">IF(K1433&lt;&gt;"Yes","",IFERROR(INDEX(cr_Rate,MATCH(J1433&amp;"|"&amp;D1433,cr_Key,0)),INDEX(rt_Rate,MATCH(D1433,rt_Code,0))))</f>
        <v>65</v>
      </c>
      <c r="M1433" s="25" t="n">
        <f aca="false">IF(L1433="","",ROUND(N(E1433)*L1433,2))</f>
        <v>130</v>
      </c>
      <c r="N1433" s="39" t="n">
        <f aca="false">IF(OR(A1433="",B1433=""),"",SUMIFS(tl_Hours,tl_StaffID,I1433,tl_Date,A1433))</f>
        <v>8</v>
      </c>
      <c r="O1433" s="40" t="str">
        <f aca="false">IF(A1433&amp;B1433&amp;D1433="","",IF(OR(A1433="",B1433="",D1433="",E1433=""),"Incomplete",IF(K1433="Unknown","Unknown code",IF(AND(K1433="Yes",C1433=""),"Billable, needs client",IF(N1433&gt;MaxDayHours,"Over "&amp;MaxDayHours&amp;" hours that day","")))))</f>
        <v/>
      </c>
    </row>
    <row r="1434" customFormat="false" ht="15" hidden="false" customHeight="false" outlineLevel="0" collapsed="false">
      <c r="A1434" s="31" t="n">
        <v>46280</v>
      </c>
      <c r="B1434" s="32" t="s">
        <v>100</v>
      </c>
      <c r="C1434" s="32" t="s">
        <v>102</v>
      </c>
      <c r="D1434" s="33" t="s">
        <v>92</v>
      </c>
      <c r="E1434" s="34" t="n">
        <v>0.75</v>
      </c>
      <c r="F1434" s="32"/>
      <c r="G1434" s="35" t="n">
        <f aca="false">IF(A1434="","",A1434+7-WEEKDAY(A1434))</f>
        <v>46284</v>
      </c>
      <c r="H1434" s="36" t="n">
        <f aca="false">IF(A1434="","",DATE(YEAR(A1434),MONTH(A1434),1))</f>
        <v>46266</v>
      </c>
      <c r="I1434" s="37" t="str">
        <f aca="false">IF(B1434="","",IFERROR(INDEX(st_ID,MATCH(B1434,st_Name,0)),"Unknown"))</f>
        <v>QP-03</v>
      </c>
      <c r="J1434" s="37" t="str">
        <f aca="false">IF(C1434="","",IFERROR(INDEX(cl_Code,MATCH(C1434,cl_Name,0)),"Unknown"))</f>
        <v>CLH</v>
      </c>
      <c r="K1434" s="37" t="str">
        <f aca="false">IF(D1434="","",IFERROR(INDEX(rt_Billable,MATCH(D1434,rt_Code,0)),"Unknown"))</f>
        <v>Yes</v>
      </c>
      <c r="L1434" s="38" t="n">
        <f aca="false">IF(K1434&lt;&gt;"Yes","",IFERROR(INDEX(cr_Rate,MATCH(J1434&amp;"|"&amp;D1434,cr_Key,0)),INDEX(rt_Rate,MATCH(D1434,rt_Code,0))))</f>
        <v>150</v>
      </c>
      <c r="M1434" s="25" t="n">
        <f aca="false">IF(L1434="","",ROUND(N(E1434)*L1434,2))</f>
        <v>112.5</v>
      </c>
      <c r="N1434" s="39" t="n">
        <f aca="false">IF(OR(A1434="",B1434=""),"",SUMIFS(tl_Hours,tl_StaffID,I1434,tl_Date,A1434))</f>
        <v>8</v>
      </c>
      <c r="O1434" s="40" t="str">
        <f aca="false">IF(A1434&amp;B1434&amp;D1434="","",IF(OR(A1434="",B1434="",D1434="",E1434=""),"Incomplete",IF(K1434="Unknown","Unknown code",IF(AND(K1434="Yes",C1434=""),"Billable, needs client",IF(N1434&gt;MaxDayHours,"Over "&amp;MaxDayHours&amp;" hours that day","")))))</f>
        <v/>
      </c>
    </row>
    <row r="1435" customFormat="false" ht="15" hidden="false" customHeight="false" outlineLevel="0" collapsed="false">
      <c r="A1435" s="31" t="n">
        <v>46280</v>
      </c>
      <c r="B1435" s="32" t="s">
        <v>100</v>
      </c>
      <c r="C1435" s="32" t="s">
        <v>90</v>
      </c>
      <c r="D1435" s="33" t="s">
        <v>88</v>
      </c>
      <c r="E1435" s="34" t="n">
        <v>2</v>
      </c>
      <c r="F1435" s="32"/>
      <c r="G1435" s="35" t="n">
        <f aca="false">IF(A1435="","",A1435+7-WEEKDAY(A1435))</f>
        <v>46284</v>
      </c>
      <c r="H1435" s="36" t="n">
        <f aca="false">IF(A1435="","",DATE(YEAR(A1435),MONTH(A1435),1))</f>
        <v>46266</v>
      </c>
      <c r="I1435" s="37" t="str">
        <f aca="false">IF(B1435="","",IFERROR(INDEX(st_ID,MATCH(B1435,st_Name,0)),"Unknown"))</f>
        <v>QP-03</v>
      </c>
      <c r="J1435" s="37" t="str">
        <f aca="false">IF(C1435="","",IFERROR(INDEX(cl_Code,MATCH(C1435,cl_Name,0)),"Unknown"))</f>
        <v>BSE</v>
      </c>
      <c r="K1435" s="37" t="str">
        <f aca="false">IF(D1435="","",IFERROR(INDEX(rt_Billable,MATCH(D1435,rt_Code,0)),"Unknown"))</f>
        <v>Yes</v>
      </c>
      <c r="L1435" s="38" t="n">
        <f aca="false">IF(K1435&lt;&gt;"Yes","",IFERROR(INDEX(cr_Rate,MATCH(J1435&amp;"|"&amp;D1435,cr_Key,0)),INDEX(rt_Rate,MATCH(D1435,rt_Code,0))))</f>
        <v>104</v>
      </c>
      <c r="M1435" s="25" t="n">
        <f aca="false">IF(L1435="","",ROUND(N(E1435)*L1435,2))</f>
        <v>208</v>
      </c>
      <c r="N1435" s="39" t="n">
        <f aca="false">IF(OR(A1435="",B1435=""),"",SUMIFS(tl_Hours,tl_StaffID,I1435,tl_Date,A1435))</f>
        <v>8</v>
      </c>
      <c r="O1435" s="40" t="str">
        <f aca="false">IF(A1435&amp;B1435&amp;D1435="","",IF(OR(A1435="",B1435="",D1435="",E1435=""),"Incomplete",IF(K1435="Unknown","Unknown code",IF(AND(K1435="Yes",C1435=""),"Billable, needs client",IF(N1435&gt;MaxDayHours,"Over "&amp;MaxDayHours&amp;" hours that day","")))))</f>
        <v/>
      </c>
    </row>
    <row r="1436" customFormat="false" ht="15" hidden="false" customHeight="false" outlineLevel="0" collapsed="false">
      <c r="A1436" s="31" t="n">
        <v>46280</v>
      </c>
      <c r="B1436" s="32" t="s">
        <v>100</v>
      </c>
      <c r="C1436" s="32" t="s">
        <v>90</v>
      </c>
      <c r="D1436" s="33" t="s">
        <v>104</v>
      </c>
      <c r="E1436" s="34" t="n">
        <v>0.75</v>
      </c>
      <c r="F1436" s="32"/>
      <c r="G1436" s="35" t="n">
        <f aca="false">IF(A1436="","",A1436+7-WEEKDAY(A1436))</f>
        <v>46284</v>
      </c>
      <c r="H1436" s="36" t="n">
        <f aca="false">IF(A1436="","",DATE(YEAR(A1436),MONTH(A1436),1))</f>
        <v>46266</v>
      </c>
      <c r="I1436" s="37" t="str">
        <f aca="false">IF(B1436="","",IFERROR(INDEX(st_ID,MATCH(B1436,st_Name,0)),"Unknown"))</f>
        <v>QP-03</v>
      </c>
      <c r="J1436" s="37" t="str">
        <f aca="false">IF(C1436="","",IFERROR(INDEX(cl_Code,MATCH(C1436,cl_Name,0)),"Unknown"))</f>
        <v>BSE</v>
      </c>
      <c r="K1436" s="37" t="str">
        <f aca="false">IF(D1436="","",IFERROR(INDEX(rt_Billable,MATCH(D1436,rt_Code,0)),"Unknown"))</f>
        <v>Yes</v>
      </c>
      <c r="L1436" s="38" t="n">
        <f aca="false">IF(K1436&lt;&gt;"Yes","",IFERROR(INDEX(cr_Rate,MATCH(J1436&amp;"|"&amp;D1436,cr_Key,0)),INDEX(rt_Rate,MATCH(D1436,rt_Code,0))))</f>
        <v>70</v>
      </c>
      <c r="M1436" s="25" t="n">
        <f aca="false">IF(L1436="","",ROUND(N(E1436)*L1436,2))</f>
        <v>52.5</v>
      </c>
      <c r="N1436" s="39" t="n">
        <f aca="false">IF(OR(A1436="",B1436=""),"",SUMIFS(tl_Hours,tl_StaffID,I1436,tl_Date,A1436))</f>
        <v>8</v>
      </c>
      <c r="O1436" s="40" t="str">
        <f aca="false">IF(A1436&amp;B1436&amp;D1436="","",IF(OR(A1436="",B1436="",D1436="",E1436=""),"Incomplete",IF(K1436="Unknown","Unknown code",IF(AND(K1436="Yes",C1436=""),"Billable, needs client",IF(N1436&gt;MaxDayHours,"Over "&amp;MaxDayHours&amp;" hours that day","")))))</f>
        <v/>
      </c>
    </row>
    <row r="1437" customFormat="false" ht="15" hidden="false" customHeight="false" outlineLevel="0" collapsed="false">
      <c r="A1437" s="31" t="n">
        <v>46280</v>
      </c>
      <c r="B1437" s="32" t="s">
        <v>100</v>
      </c>
      <c r="C1437" s="32"/>
      <c r="D1437" s="33" t="s">
        <v>93</v>
      </c>
      <c r="E1437" s="34" t="n">
        <v>0.5</v>
      </c>
      <c r="F1437" s="32"/>
      <c r="G1437" s="35" t="n">
        <f aca="false">IF(A1437="","",A1437+7-WEEKDAY(A1437))</f>
        <v>46284</v>
      </c>
      <c r="H1437" s="36" t="n">
        <f aca="false">IF(A1437="","",DATE(YEAR(A1437),MONTH(A1437),1))</f>
        <v>46266</v>
      </c>
      <c r="I1437" s="37" t="str">
        <f aca="false">IF(B1437="","",IFERROR(INDEX(st_ID,MATCH(B1437,st_Name,0)),"Unknown"))</f>
        <v>QP-03</v>
      </c>
      <c r="J1437" s="37" t="str">
        <f aca="false">IF(C1437="","",IFERROR(INDEX(cl_Code,MATCH(C1437,cl_Name,0)),"Unknown"))</f>
        <v/>
      </c>
      <c r="K1437" s="37" t="str">
        <f aca="false">IF(D1437="","",IFERROR(INDEX(rt_Billable,MATCH(D1437,rt_Code,0)),"Unknown"))</f>
        <v>No</v>
      </c>
      <c r="L1437" s="38" t="str">
        <f aca="false">IF(K1437&lt;&gt;"Yes","",IFERROR(INDEX(cr_Rate,MATCH(J1437&amp;"|"&amp;D1437,cr_Key,0)),INDEX(rt_Rate,MATCH(D1437,rt_Code,0))))</f>
        <v/>
      </c>
      <c r="M1437" s="25" t="str">
        <f aca="false">IF(L1437="","",ROUND(N(E1437)*L1437,2))</f>
        <v/>
      </c>
      <c r="N1437" s="39" t="n">
        <f aca="false">IF(OR(A1437="",B1437=""),"",SUMIFS(tl_Hours,tl_StaffID,I1437,tl_Date,A1437))</f>
        <v>8</v>
      </c>
      <c r="O1437" s="40" t="str">
        <f aca="false">IF(A1437&amp;B1437&amp;D1437="","",IF(OR(A1437="",B1437="",D1437="",E1437=""),"Incomplete",IF(K1437="Unknown","Unknown code",IF(AND(K1437="Yes",C1437=""),"Billable, needs client",IF(N1437&gt;MaxDayHours,"Over "&amp;MaxDayHours&amp;" hours that day","")))))</f>
        <v/>
      </c>
    </row>
    <row r="1438" customFormat="false" ht="15" hidden="false" customHeight="false" outlineLevel="0" collapsed="false">
      <c r="A1438" s="31" t="n">
        <v>46280</v>
      </c>
      <c r="B1438" s="32" t="s">
        <v>100</v>
      </c>
      <c r="C1438" s="32"/>
      <c r="D1438" s="33" t="s">
        <v>96</v>
      </c>
      <c r="E1438" s="34" t="n">
        <v>2</v>
      </c>
      <c r="F1438" s="32"/>
      <c r="G1438" s="35" t="n">
        <f aca="false">IF(A1438="","",A1438+7-WEEKDAY(A1438))</f>
        <v>46284</v>
      </c>
      <c r="H1438" s="36" t="n">
        <f aca="false">IF(A1438="","",DATE(YEAR(A1438),MONTH(A1438),1))</f>
        <v>46266</v>
      </c>
      <c r="I1438" s="37" t="str">
        <f aca="false">IF(B1438="","",IFERROR(INDEX(st_ID,MATCH(B1438,st_Name,0)),"Unknown"))</f>
        <v>QP-03</v>
      </c>
      <c r="J1438" s="37" t="str">
        <f aca="false">IF(C1438="","",IFERROR(INDEX(cl_Code,MATCH(C1438,cl_Name,0)),"Unknown"))</f>
        <v/>
      </c>
      <c r="K1438" s="37" t="str">
        <f aca="false">IF(D1438="","",IFERROR(INDEX(rt_Billable,MATCH(D1438,rt_Code,0)),"Unknown"))</f>
        <v>No</v>
      </c>
      <c r="L1438" s="38" t="str">
        <f aca="false">IF(K1438&lt;&gt;"Yes","",IFERROR(INDEX(cr_Rate,MATCH(J1438&amp;"|"&amp;D1438,cr_Key,0)),INDEX(rt_Rate,MATCH(D1438,rt_Code,0))))</f>
        <v/>
      </c>
      <c r="M1438" s="25" t="str">
        <f aca="false">IF(L1438="","",ROUND(N(E1438)*L1438,2))</f>
        <v/>
      </c>
      <c r="N1438" s="39" t="n">
        <f aca="false">IF(OR(A1438="",B1438=""),"",SUMIFS(tl_Hours,tl_StaffID,I1438,tl_Date,A1438))</f>
        <v>8</v>
      </c>
      <c r="O1438" s="40" t="str">
        <f aca="false">IF(A1438&amp;B1438&amp;D1438="","",IF(OR(A1438="",B1438="",D1438="",E1438=""),"Incomplete",IF(K1438="Unknown","Unknown code",IF(AND(K1438="Yes",C1438=""),"Billable, needs client",IF(N1438&gt;MaxDayHours,"Over "&amp;MaxDayHours&amp;" hours that day","")))))</f>
        <v/>
      </c>
    </row>
    <row r="1439" customFormat="false" ht="15" hidden="false" customHeight="false" outlineLevel="0" collapsed="false">
      <c r="A1439" s="31" t="n">
        <v>46280</v>
      </c>
      <c r="B1439" s="32" t="s">
        <v>101</v>
      </c>
      <c r="C1439" s="32" t="s">
        <v>112</v>
      </c>
      <c r="D1439" s="33" t="s">
        <v>104</v>
      </c>
      <c r="E1439" s="34" t="n">
        <v>3.5</v>
      </c>
      <c r="F1439" s="32"/>
      <c r="G1439" s="35" t="n">
        <f aca="false">IF(A1439="","",A1439+7-WEEKDAY(A1439))</f>
        <v>46284</v>
      </c>
      <c r="H1439" s="36" t="n">
        <f aca="false">IF(A1439="","",DATE(YEAR(A1439),MONTH(A1439),1))</f>
        <v>46266</v>
      </c>
      <c r="I1439" s="37" t="str">
        <f aca="false">IF(B1439="","",IFERROR(INDEX(st_ID,MATCH(B1439,st_Name,0)),"Unknown"))</f>
        <v>QP-04</v>
      </c>
      <c r="J1439" s="37" t="str">
        <f aca="false">IF(C1439="","",IFERROR(INDEX(cl_Code,MATCH(C1439,cl_Name,0)),"Unknown"))</f>
        <v>PCA</v>
      </c>
      <c r="K1439" s="37" t="str">
        <f aca="false">IF(D1439="","",IFERROR(INDEX(rt_Billable,MATCH(D1439,rt_Code,0)),"Unknown"))</f>
        <v>Yes</v>
      </c>
      <c r="L1439" s="38" t="n">
        <f aca="false">IF(K1439&lt;&gt;"Yes","",IFERROR(INDEX(cr_Rate,MATCH(J1439&amp;"|"&amp;D1439,cr_Key,0)),INDEX(rt_Rate,MATCH(D1439,rt_Code,0))))</f>
        <v>70</v>
      </c>
      <c r="M1439" s="25" t="n">
        <f aca="false">IF(L1439="","",ROUND(N(E1439)*L1439,2))</f>
        <v>245</v>
      </c>
      <c r="N1439" s="39" t="n">
        <f aca="false">IF(OR(A1439="",B1439=""),"",SUMIFS(tl_Hours,tl_StaffID,I1439,tl_Date,A1439))</f>
        <v>8</v>
      </c>
      <c r="O1439" s="40" t="str">
        <f aca="false">IF(A1439&amp;B1439&amp;D1439="","",IF(OR(A1439="",B1439="",D1439="",E1439=""),"Incomplete",IF(K1439="Unknown","Unknown code",IF(AND(K1439="Yes",C1439=""),"Billable, needs client",IF(N1439&gt;MaxDayHours,"Over "&amp;MaxDayHours&amp;" hours that day","")))))</f>
        <v/>
      </c>
    </row>
    <row r="1440" customFormat="false" ht="15" hidden="false" customHeight="false" outlineLevel="0" collapsed="false">
      <c r="A1440" s="31" t="n">
        <v>46280</v>
      </c>
      <c r="B1440" s="32" t="s">
        <v>101</v>
      </c>
      <c r="C1440" s="32" t="s">
        <v>112</v>
      </c>
      <c r="D1440" s="33" t="s">
        <v>88</v>
      </c>
      <c r="E1440" s="34" t="n">
        <v>2.25</v>
      </c>
      <c r="F1440" s="32"/>
      <c r="G1440" s="35" t="n">
        <f aca="false">IF(A1440="","",A1440+7-WEEKDAY(A1440))</f>
        <v>46284</v>
      </c>
      <c r="H1440" s="36" t="n">
        <f aca="false">IF(A1440="","",DATE(YEAR(A1440),MONTH(A1440),1))</f>
        <v>46266</v>
      </c>
      <c r="I1440" s="37" t="str">
        <f aca="false">IF(B1440="","",IFERROR(INDEX(st_ID,MATCH(B1440,st_Name,0)),"Unknown"))</f>
        <v>QP-04</v>
      </c>
      <c r="J1440" s="37" t="str">
        <f aca="false">IF(C1440="","",IFERROR(INDEX(cl_Code,MATCH(C1440,cl_Name,0)),"Unknown"))</f>
        <v>PCA</v>
      </c>
      <c r="K1440" s="37" t="str">
        <f aca="false">IF(D1440="","",IFERROR(INDEX(rt_Billable,MATCH(D1440,rt_Code,0)),"Unknown"))</f>
        <v>Yes</v>
      </c>
      <c r="L1440" s="38" t="n">
        <f aca="false">IF(K1440&lt;&gt;"Yes","",IFERROR(INDEX(cr_Rate,MATCH(J1440&amp;"|"&amp;D1440,cr_Key,0)),INDEX(rt_Rate,MATCH(D1440,rt_Code,0))))</f>
        <v>110</v>
      </c>
      <c r="M1440" s="25" t="n">
        <f aca="false">IF(L1440="","",ROUND(N(E1440)*L1440,2))</f>
        <v>247.5</v>
      </c>
      <c r="N1440" s="39" t="n">
        <f aca="false">IF(OR(A1440="",B1440=""),"",SUMIFS(tl_Hours,tl_StaffID,I1440,tl_Date,A1440))</f>
        <v>8</v>
      </c>
      <c r="O1440" s="40" t="str">
        <f aca="false">IF(A1440&amp;B1440&amp;D1440="","",IF(OR(A1440="",B1440="",D1440="",E1440=""),"Incomplete",IF(K1440="Unknown","Unknown code",IF(AND(K1440="Yes",C1440=""),"Billable, needs client",IF(N1440&gt;MaxDayHours,"Over "&amp;MaxDayHours&amp;" hours that day","")))))</f>
        <v/>
      </c>
    </row>
    <row r="1441" customFormat="false" ht="15" hidden="false" customHeight="false" outlineLevel="0" collapsed="false">
      <c r="A1441" s="31" t="n">
        <v>46280</v>
      </c>
      <c r="B1441" s="32" t="s">
        <v>101</v>
      </c>
      <c r="C1441" s="32"/>
      <c r="D1441" s="33" t="s">
        <v>96</v>
      </c>
      <c r="E1441" s="34" t="n">
        <v>2.25</v>
      </c>
      <c r="F1441" s="32"/>
      <c r="G1441" s="35" t="n">
        <f aca="false">IF(A1441="","",A1441+7-WEEKDAY(A1441))</f>
        <v>46284</v>
      </c>
      <c r="H1441" s="36" t="n">
        <f aca="false">IF(A1441="","",DATE(YEAR(A1441),MONTH(A1441),1))</f>
        <v>46266</v>
      </c>
      <c r="I1441" s="37" t="str">
        <f aca="false">IF(B1441="","",IFERROR(INDEX(st_ID,MATCH(B1441,st_Name,0)),"Unknown"))</f>
        <v>QP-04</v>
      </c>
      <c r="J1441" s="37" t="str">
        <f aca="false">IF(C1441="","",IFERROR(INDEX(cl_Code,MATCH(C1441,cl_Name,0)),"Unknown"))</f>
        <v/>
      </c>
      <c r="K1441" s="37" t="str">
        <f aca="false">IF(D1441="","",IFERROR(INDEX(rt_Billable,MATCH(D1441,rt_Code,0)),"Unknown"))</f>
        <v>No</v>
      </c>
      <c r="L1441" s="38" t="str">
        <f aca="false">IF(K1441&lt;&gt;"Yes","",IFERROR(INDEX(cr_Rate,MATCH(J1441&amp;"|"&amp;D1441,cr_Key,0)),INDEX(rt_Rate,MATCH(D1441,rt_Code,0))))</f>
        <v/>
      </c>
      <c r="M1441" s="25" t="str">
        <f aca="false">IF(L1441="","",ROUND(N(E1441)*L1441,2))</f>
        <v/>
      </c>
      <c r="N1441" s="39" t="n">
        <f aca="false">IF(OR(A1441="",B1441=""),"",SUMIFS(tl_Hours,tl_StaffID,I1441,tl_Date,A1441))</f>
        <v>8</v>
      </c>
      <c r="O1441" s="40" t="str">
        <f aca="false">IF(A1441&amp;B1441&amp;D1441="","",IF(OR(A1441="",B1441="",D1441="",E1441=""),"Incomplete",IF(K1441="Unknown","Unknown code",IF(AND(K1441="Yes",C1441=""),"Billable, needs client",IF(N1441&gt;MaxDayHours,"Over "&amp;MaxDayHours&amp;" hours that day","")))))</f>
        <v/>
      </c>
    </row>
    <row r="1442" customFormat="false" ht="15" hidden="false" customHeight="false" outlineLevel="0" collapsed="false">
      <c r="A1442" s="31" t="n">
        <v>46280</v>
      </c>
      <c r="B1442" s="32" t="s">
        <v>103</v>
      </c>
      <c r="C1442" s="32"/>
      <c r="D1442" s="33" t="s">
        <v>109</v>
      </c>
      <c r="E1442" s="34" t="n">
        <v>8</v>
      </c>
      <c r="F1442" s="32"/>
      <c r="G1442" s="35" t="n">
        <f aca="false">IF(A1442="","",A1442+7-WEEKDAY(A1442))</f>
        <v>46284</v>
      </c>
      <c r="H1442" s="36" t="n">
        <f aca="false">IF(A1442="","",DATE(YEAR(A1442),MONTH(A1442),1))</f>
        <v>46266</v>
      </c>
      <c r="I1442" s="37" t="str">
        <f aca="false">IF(B1442="","",IFERROR(INDEX(st_ID,MATCH(B1442,st_Name,0)),"Unknown"))</f>
        <v>QP-05</v>
      </c>
      <c r="J1442" s="37" t="str">
        <f aca="false">IF(C1442="","",IFERROR(INDEX(cl_Code,MATCH(C1442,cl_Name,0)),"Unknown"))</f>
        <v/>
      </c>
      <c r="K1442" s="37" t="str">
        <f aca="false">IF(D1442="","",IFERROR(INDEX(rt_Billable,MATCH(D1442,rt_Code,0)),"Unknown"))</f>
        <v>No</v>
      </c>
      <c r="L1442" s="38" t="str">
        <f aca="false">IF(K1442&lt;&gt;"Yes","",IFERROR(INDEX(cr_Rate,MATCH(J1442&amp;"|"&amp;D1442,cr_Key,0)),INDEX(rt_Rate,MATCH(D1442,rt_Code,0))))</f>
        <v/>
      </c>
      <c r="M1442" s="25" t="str">
        <f aca="false">IF(L1442="","",ROUND(N(E1442)*L1442,2))</f>
        <v/>
      </c>
      <c r="N1442" s="39" t="n">
        <f aca="false">IF(OR(A1442="",B1442=""),"",SUMIFS(tl_Hours,tl_StaffID,I1442,tl_Date,A1442))</f>
        <v>8</v>
      </c>
      <c r="O1442" s="40" t="str">
        <f aca="false">IF(A1442&amp;B1442&amp;D1442="","",IF(OR(A1442="",B1442="",D1442="",E1442=""),"Incomplete",IF(K1442="Unknown","Unknown code",IF(AND(K1442="Yes",C1442=""),"Billable, needs client",IF(N1442&gt;MaxDayHours,"Over "&amp;MaxDayHours&amp;" hours that day","")))))</f>
        <v/>
      </c>
    </row>
    <row r="1443" customFormat="false" ht="15" hidden="false" customHeight="false" outlineLevel="0" collapsed="false">
      <c r="A1443" s="31" t="n">
        <v>46280</v>
      </c>
      <c r="B1443" s="32" t="s">
        <v>105</v>
      </c>
      <c r="C1443" s="32" t="s">
        <v>87</v>
      </c>
      <c r="D1443" s="33" t="s">
        <v>104</v>
      </c>
      <c r="E1443" s="34" t="n">
        <v>4.25</v>
      </c>
      <c r="F1443" s="32"/>
      <c r="G1443" s="35" t="n">
        <f aca="false">IF(A1443="","",A1443+7-WEEKDAY(A1443))</f>
        <v>46284</v>
      </c>
      <c r="H1443" s="36" t="n">
        <f aca="false">IF(A1443="","",DATE(YEAR(A1443),MONTH(A1443),1))</f>
        <v>46266</v>
      </c>
      <c r="I1443" s="37" t="str">
        <f aca="false">IF(B1443="","",IFERROR(INDEX(st_ID,MATCH(B1443,st_Name,0)),"Unknown"))</f>
        <v>QP-06</v>
      </c>
      <c r="J1443" s="37" t="str">
        <f aca="false">IF(C1443="","",IFERROR(INDEX(cl_Code,MATCH(C1443,cl_Name,0)),"Unknown"))</f>
        <v>HCS</v>
      </c>
      <c r="K1443" s="37" t="str">
        <f aca="false">IF(D1443="","",IFERROR(INDEX(rt_Billable,MATCH(D1443,rt_Code,0)),"Unknown"))</f>
        <v>Yes</v>
      </c>
      <c r="L1443" s="38" t="n">
        <f aca="false">IF(K1443&lt;&gt;"Yes","",IFERROR(INDEX(cr_Rate,MATCH(J1443&amp;"|"&amp;D1443,cr_Key,0)),INDEX(rt_Rate,MATCH(D1443,rt_Code,0))))</f>
        <v>62</v>
      </c>
      <c r="M1443" s="25" t="n">
        <f aca="false">IF(L1443="","",ROUND(N(E1443)*L1443,2))</f>
        <v>263.5</v>
      </c>
      <c r="N1443" s="39" t="n">
        <f aca="false">IF(OR(A1443="",B1443=""),"",SUMIFS(tl_Hours,tl_StaffID,I1443,tl_Date,A1443))</f>
        <v>8</v>
      </c>
      <c r="O1443" s="40" t="str">
        <f aca="false">IF(A1443&amp;B1443&amp;D1443="","",IF(OR(A1443="",B1443="",D1443="",E1443=""),"Incomplete",IF(K1443="Unknown","Unknown code",IF(AND(K1443="Yes",C1443=""),"Billable, needs client",IF(N1443&gt;MaxDayHours,"Over "&amp;MaxDayHours&amp;" hours that day","")))))</f>
        <v/>
      </c>
    </row>
    <row r="1444" customFormat="false" ht="15" hidden="false" customHeight="false" outlineLevel="0" collapsed="false">
      <c r="A1444" s="31" t="n">
        <v>46280</v>
      </c>
      <c r="B1444" s="32" t="s">
        <v>105</v>
      </c>
      <c r="C1444" s="32" t="s">
        <v>87</v>
      </c>
      <c r="D1444" s="33" t="s">
        <v>89</v>
      </c>
      <c r="E1444" s="34" t="n">
        <v>2</v>
      </c>
      <c r="F1444" s="32"/>
      <c r="G1444" s="35" t="n">
        <f aca="false">IF(A1444="","",A1444+7-WEEKDAY(A1444))</f>
        <v>46284</v>
      </c>
      <c r="H1444" s="36" t="n">
        <f aca="false">IF(A1444="","",DATE(YEAR(A1444),MONTH(A1444),1))</f>
        <v>46266</v>
      </c>
      <c r="I1444" s="37" t="str">
        <f aca="false">IF(B1444="","",IFERROR(INDEX(st_ID,MATCH(B1444,st_Name,0)),"Unknown"))</f>
        <v>QP-06</v>
      </c>
      <c r="J1444" s="37" t="str">
        <f aca="false">IF(C1444="","",IFERROR(INDEX(cl_Code,MATCH(C1444,cl_Name,0)),"Unknown"))</f>
        <v>HCS</v>
      </c>
      <c r="K1444" s="37" t="str">
        <f aca="false">IF(D1444="","",IFERROR(INDEX(rt_Billable,MATCH(D1444,rt_Code,0)),"Unknown"))</f>
        <v>Yes</v>
      </c>
      <c r="L1444" s="38" t="n">
        <f aca="false">IF(K1444&lt;&gt;"Yes","",IFERROR(INDEX(cr_Rate,MATCH(J1444&amp;"|"&amp;D1444,cr_Key,0)),INDEX(rt_Rate,MATCH(D1444,rt_Code,0))))</f>
        <v>88</v>
      </c>
      <c r="M1444" s="25" t="n">
        <f aca="false">IF(L1444="","",ROUND(N(E1444)*L1444,2))</f>
        <v>176</v>
      </c>
      <c r="N1444" s="39" t="n">
        <f aca="false">IF(OR(A1444="",B1444=""),"",SUMIFS(tl_Hours,tl_StaffID,I1444,tl_Date,A1444))</f>
        <v>8</v>
      </c>
      <c r="O1444" s="40" t="str">
        <f aca="false">IF(A1444&amp;B1444&amp;D1444="","",IF(OR(A1444="",B1444="",D1444="",E1444=""),"Incomplete",IF(K1444="Unknown","Unknown code",IF(AND(K1444="Yes",C1444=""),"Billable, needs client",IF(N1444&gt;MaxDayHours,"Over "&amp;MaxDayHours&amp;" hours that day","")))))</f>
        <v/>
      </c>
    </row>
    <row r="1445" customFormat="false" ht="15" hidden="false" customHeight="false" outlineLevel="0" collapsed="false">
      <c r="A1445" s="31" t="n">
        <v>46280</v>
      </c>
      <c r="B1445" s="32" t="s">
        <v>105</v>
      </c>
      <c r="C1445" s="32"/>
      <c r="D1445" s="33" t="s">
        <v>96</v>
      </c>
      <c r="E1445" s="34" t="n">
        <v>1.75</v>
      </c>
      <c r="F1445" s="32"/>
      <c r="G1445" s="35" t="n">
        <f aca="false">IF(A1445="","",A1445+7-WEEKDAY(A1445))</f>
        <v>46284</v>
      </c>
      <c r="H1445" s="36" t="n">
        <f aca="false">IF(A1445="","",DATE(YEAR(A1445),MONTH(A1445),1))</f>
        <v>46266</v>
      </c>
      <c r="I1445" s="37" t="str">
        <f aca="false">IF(B1445="","",IFERROR(INDEX(st_ID,MATCH(B1445,st_Name,0)),"Unknown"))</f>
        <v>QP-06</v>
      </c>
      <c r="J1445" s="37" t="str">
        <f aca="false">IF(C1445="","",IFERROR(INDEX(cl_Code,MATCH(C1445,cl_Name,0)),"Unknown"))</f>
        <v/>
      </c>
      <c r="K1445" s="37" t="str">
        <f aca="false">IF(D1445="","",IFERROR(INDEX(rt_Billable,MATCH(D1445,rt_Code,0)),"Unknown"))</f>
        <v>No</v>
      </c>
      <c r="L1445" s="38" t="str">
        <f aca="false">IF(K1445&lt;&gt;"Yes","",IFERROR(INDEX(cr_Rate,MATCH(J1445&amp;"|"&amp;D1445,cr_Key,0)),INDEX(rt_Rate,MATCH(D1445,rt_Code,0))))</f>
        <v/>
      </c>
      <c r="M1445" s="25" t="str">
        <f aca="false">IF(L1445="","",ROUND(N(E1445)*L1445,2))</f>
        <v/>
      </c>
      <c r="N1445" s="39" t="n">
        <f aca="false">IF(OR(A1445="",B1445=""),"",SUMIFS(tl_Hours,tl_StaffID,I1445,tl_Date,A1445))</f>
        <v>8</v>
      </c>
      <c r="O1445" s="40" t="str">
        <f aca="false">IF(A1445&amp;B1445&amp;D1445="","",IF(OR(A1445="",B1445="",D1445="",E1445=""),"Incomplete",IF(K1445="Unknown","Unknown code",IF(AND(K1445="Yes",C1445=""),"Billable, needs client",IF(N1445&gt;MaxDayHours,"Over "&amp;MaxDayHours&amp;" hours that day","")))))</f>
        <v/>
      </c>
    </row>
    <row r="1446" customFormat="false" ht="15" hidden="false" customHeight="false" outlineLevel="0" collapsed="false">
      <c r="A1446" s="31" t="n">
        <v>46280</v>
      </c>
      <c r="B1446" s="32" t="s">
        <v>106</v>
      </c>
      <c r="C1446" s="32" t="s">
        <v>102</v>
      </c>
      <c r="D1446" s="33" t="s">
        <v>88</v>
      </c>
      <c r="E1446" s="34" t="n">
        <v>4.25</v>
      </c>
      <c r="F1446" s="32"/>
      <c r="G1446" s="35" t="n">
        <f aca="false">IF(A1446="","",A1446+7-WEEKDAY(A1446))</f>
        <v>46284</v>
      </c>
      <c r="H1446" s="36" t="n">
        <f aca="false">IF(A1446="","",DATE(YEAR(A1446),MONTH(A1446),1))</f>
        <v>46266</v>
      </c>
      <c r="I1446" s="37" t="str">
        <f aca="false">IF(B1446="","",IFERROR(INDEX(st_ID,MATCH(B1446,st_Name,0)),"Unknown"))</f>
        <v>QP-07</v>
      </c>
      <c r="J1446" s="37" t="str">
        <f aca="false">IF(C1446="","",IFERROR(INDEX(cl_Code,MATCH(C1446,cl_Name,0)),"Unknown"))</f>
        <v>CLH</v>
      </c>
      <c r="K1446" s="37" t="str">
        <f aca="false">IF(D1446="","",IFERROR(INDEX(rt_Billable,MATCH(D1446,rt_Code,0)),"Unknown"))</f>
        <v>Yes</v>
      </c>
      <c r="L1446" s="38" t="n">
        <f aca="false">IF(K1446&lt;&gt;"Yes","",IFERROR(INDEX(cr_Rate,MATCH(J1446&amp;"|"&amp;D1446,cr_Key,0)),INDEX(rt_Rate,MATCH(D1446,rt_Code,0))))</f>
        <v>110</v>
      </c>
      <c r="M1446" s="25" t="n">
        <f aca="false">IF(L1446="","",ROUND(N(E1446)*L1446,2))</f>
        <v>467.5</v>
      </c>
      <c r="N1446" s="39" t="n">
        <f aca="false">IF(OR(A1446="",B1446=""),"",SUMIFS(tl_Hours,tl_StaffID,I1446,tl_Date,A1446))</f>
        <v>8</v>
      </c>
      <c r="O1446" s="40" t="str">
        <f aca="false">IF(A1446&amp;B1446&amp;D1446="","",IF(OR(A1446="",B1446="",D1446="",E1446=""),"Incomplete",IF(K1446="Unknown","Unknown code",IF(AND(K1446="Yes",C1446=""),"Billable, needs client",IF(N1446&gt;MaxDayHours,"Over "&amp;MaxDayHours&amp;" hours that day","")))))</f>
        <v/>
      </c>
    </row>
    <row r="1447" customFormat="false" ht="15" hidden="false" customHeight="false" outlineLevel="0" collapsed="false">
      <c r="A1447" s="31" t="n">
        <v>46280</v>
      </c>
      <c r="B1447" s="32" t="s">
        <v>106</v>
      </c>
      <c r="C1447" s="32" t="s">
        <v>102</v>
      </c>
      <c r="D1447" s="33" t="s">
        <v>89</v>
      </c>
      <c r="E1447" s="34" t="n">
        <v>1.5</v>
      </c>
      <c r="F1447" s="32"/>
      <c r="G1447" s="35" t="n">
        <f aca="false">IF(A1447="","",A1447+7-WEEKDAY(A1447))</f>
        <v>46284</v>
      </c>
      <c r="H1447" s="36" t="n">
        <f aca="false">IF(A1447="","",DATE(YEAR(A1447),MONTH(A1447),1))</f>
        <v>46266</v>
      </c>
      <c r="I1447" s="37" t="str">
        <f aca="false">IF(B1447="","",IFERROR(INDEX(st_ID,MATCH(B1447,st_Name,0)),"Unknown"))</f>
        <v>QP-07</v>
      </c>
      <c r="J1447" s="37" t="str">
        <f aca="false">IF(C1447="","",IFERROR(INDEX(cl_Code,MATCH(C1447,cl_Name,0)),"Unknown"))</f>
        <v>CLH</v>
      </c>
      <c r="K1447" s="37" t="str">
        <f aca="false">IF(D1447="","",IFERROR(INDEX(rt_Billable,MATCH(D1447,rt_Code,0)),"Unknown"))</f>
        <v>Yes</v>
      </c>
      <c r="L1447" s="38" t="n">
        <f aca="false">IF(K1447&lt;&gt;"Yes","",IFERROR(INDEX(cr_Rate,MATCH(J1447&amp;"|"&amp;D1447,cr_Key,0)),INDEX(rt_Rate,MATCH(D1447,rt_Code,0))))</f>
        <v>95</v>
      </c>
      <c r="M1447" s="25" t="n">
        <f aca="false">IF(L1447="","",ROUND(N(E1447)*L1447,2))</f>
        <v>142.5</v>
      </c>
      <c r="N1447" s="39" t="n">
        <f aca="false">IF(OR(A1447="",B1447=""),"",SUMIFS(tl_Hours,tl_StaffID,I1447,tl_Date,A1447))</f>
        <v>8</v>
      </c>
      <c r="O1447" s="40" t="str">
        <f aca="false">IF(A1447&amp;B1447&amp;D1447="","",IF(OR(A1447="",B1447="",D1447="",E1447=""),"Incomplete",IF(K1447="Unknown","Unknown code",IF(AND(K1447="Yes",C1447=""),"Billable, needs client",IF(N1447&gt;MaxDayHours,"Over "&amp;MaxDayHours&amp;" hours that day","")))))</f>
        <v/>
      </c>
    </row>
    <row r="1448" customFormat="false" ht="15" hidden="false" customHeight="false" outlineLevel="0" collapsed="false">
      <c r="A1448" s="31" t="n">
        <v>46280</v>
      </c>
      <c r="B1448" s="32" t="s">
        <v>106</v>
      </c>
      <c r="C1448" s="32"/>
      <c r="D1448" s="33" t="s">
        <v>96</v>
      </c>
      <c r="E1448" s="34" t="n">
        <v>2.25</v>
      </c>
      <c r="F1448" s="32"/>
      <c r="G1448" s="35" t="n">
        <f aca="false">IF(A1448="","",A1448+7-WEEKDAY(A1448))</f>
        <v>46284</v>
      </c>
      <c r="H1448" s="36" t="n">
        <f aca="false">IF(A1448="","",DATE(YEAR(A1448),MONTH(A1448),1))</f>
        <v>46266</v>
      </c>
      <c r="I1448" s="37" t="str">
        <f aca="false">IF(B1448="","",IFERROR(INDEX(st_ID,MATCH(B1448,st_Name,0)),"Unknown"))</f>
        <v>QP-07</v>
      </c>
      <c r="J1448" s="37" t="str">
        <f aca="false">IF(C1448="","",IFERROR(INDEX(cl_Code,MATCH(C1448,cl_Name,0)),"Unknown"))</f>
        <v/>
      </c>
      <c r="K1448" s="37" t="str">
        <f aca="false">IF(D1448="","",IFERROR(INDEX(rt_Billable,MATCH(D1448,rt_Code,0)),"Unknown"))</f>
        <v>No</v>
      </c>
      <c r="L1448" s="38" t="str">
        <f aca="false">IF(K1448&lt;&gt;"Yes","",IFERROR(INDEX(cr_Rate,MATCH(J1448&amp;"|"&amp;D1448,cr_Key,0)),INDEX(rt_Rate,MATCH(D1448,rt_Code,0))))</f>
        <v/>
      </c>
      <c r="M1448" s="25" t="str">
        <f aca="false">IF(L1448="","",ROUND(N(E1448)*L1448,2))</f>
        <v/>
      </c>
      <c r="N1448" s="39" t="n">
        <f aca="false">IF(OR(A1448="",B1448=""),"",SUMIFS(tl_Hours,tl_StaffID,I1448,tl_Date,A1448))</f>
        <v>8</v>
      </c>
      <c r="O1448" s="40" t="str">
        <f aca="false">IF(A1448&amp;B1448&amp;D1448="","",IF(OR(A1448="",B1448="",D1448="",E1448=""),"Incomplete",IF(K1448="Unknown","Unknown code",IF(AND(K1448="Yes",C1448=""),"Billable, needs client",IF(N1448&gt;MaxDayHours,"Over "&amp;MaxDayHours&amp;" hours that day","")))))</f>
        <v/>
      </c>
    </row>
    <row r="1449" customFormat="false" ht="15" hidden="false" customHeight="false" outlineLevel="0" collapsed="false">
      <c r="A1449" s="31" t="n">
        <v>46280</v>
      </c>
      <c r="B1449" s="32" t="s">
        <v>107</v>
      </c>
      <c r="C1449" s="32"/>
      <c r="D1449" s="33" t="s">
        <v>108</v>
      </c>
      <c r="E1449" s="34" t="n">
        <v>7</v>
      </c>
      <c r="F1449" s="32"/>
      <c r="G1449" s="35" t="n">
        <f aca="false">IF(A1449="","",A1449+7-WEEKDAY(A1449))</f>
        <v>46284</v>
      </c>
      <c r="H1449" s="36" t="n">
        <f aca="false">IF(A1449="","",DATE(YEAR(A1449),MONTH(A1449),1))</f>
        <v>46266</v>
      </c>
      <c r="I1449" s="37" t="str">
        <f aca="false">IF(B1449="","",IFERROR(INDEX(st_ID,MATCH(B1449,st_Name,0)),"Unknown"))</f>
        <v>QP-08</v>
      </c>
      <c r="J1449" s="37" t="str">
        <f aca="false">IF(C1449="","",IFERROR(INDEX(cl_Code,MATCH(C1449,cl_Name,0)),"Unknown"))</f>
        <v/>
      </c>
      <c r="K1449" s="37" t="str">
        <f aca="false">IF(D1449="","",IFERROR(INDEX(rt_Billable,MATCH(D1449,rt_Code,0)),"Unknown"))</f>
        <v>No</v>
      </c>
      <c r="L1449" s="38" t="str">
        <f aca="false">IF(K1449&lt;&gt;"Yes","",IFERROR(INDEX(cr_Rate,MATCH(J1449&amp;"|"&amp;D1449,cr_Key,0)),INDEX(rt_Rate,MATCH(D1449,rt_Code,0))))</f>
        <v/>
      </c>
      <c r="M1449" s="25" t="str">
        <f aca="false">IF(L1449="","",ROUND(N(E1449)*L1449,2))</f>
        <v/>
      </c>
      <c r="N1449" s="39" t="n">
        <f aca="false">IF(OR(A1449="",B1449=""),"",SUMIFS(tl_Hours,tl_StaffID,I1449,tl_Date,A1449))</f>
        <v>8</v>
      </c>
      <c r="O1449" s="40" t="str">
        <f aca="false">IF(A1449&amp;B1449&amp;D1449="","",IF(OR(A1449="",B1449="",D1449="",E1449=""),"Incomplete",IF(K1449="Unknown","Unknown code",IF(AND(K1449="Yes",C1449=""),"Billable, needs client",IF(N1449&gt;MaxDayHours,"Over "&amp;MaxDayHours&amp;" hours that day","")))))</f>
        <v/>
      </c>
    </row>
    <row r="1450" customFormat="false" ht="15" hidden="false" customHeight="false" outlineLevel="0" collapsed="false">
      <c r="A1450" s="31" t="n">
        <v>46280</v>
      </c>
      <c r="B1450" s="32" t="s">
        <v>107</v>
      </c>
      <c r="C1450" s="32"/>
      <c r="D1450" s="33" t="s">
        <v>98</v>
      </c>
      <c r="E1450" s="34" t="n">
        <v>1</v>
      </c>
      <c r="F1450" s="32"/>
      <c r="G1450" s="35" t="n">
        <f aca="false">IF(A1450="","",A1450+7-WEEKDAY(A1450))</f>
        <v>46284</v>
      </c>
      <c r="H1450" s="36" t="n">
        <f aca="false">IF(A1450="","",DATE(YEAR(A1450),MONTH(A1450),1))</f>
        <v>46266</v>
      </c>
      <c r="I1450" s="37" t="str">
        <f aca="false">IF(B1450="","",IFERROR(INDEX(st_ID,MATCH(B1450,st_Name,0)),"Unknown"))</f>
        <v>QP-08</v>
      </c>
      <c r="J1450" s="37" t="str">
        <f aca="false">IF(C1450="","",IFERROR(INDEX(cl_Code,MATCH(C1450,cl_Name,0)),"Unknown"))</f>
        <v/>
      </c>
      <c r="K1450" s="37" t="str">
        <f aca="false">IF(D1450="","",IFERROR(INDEX(rt_Billable,MATCH(D1450,rt_Code,0)),"Unknown"))</f>
        <v>No</v>
      </c>
      <c r="L1450" s="38" t="str">
        <f aca="false">IF(K1450&lt;&gt;"Yes","",IFERROR(INDEX(cr_Rate,MATCH(J1450&amp;"|"&amp;D1450,cr_Key,0)),INDEX(rt_Rate,MATCH(D1450,rt_Code,0))))</f>
        <v/>
      </c>
      <c r="M1450" s="25" t="str">
        <f aca="false">IF(L1450="","",ROUND(N(E1450)*L1450,2))</f>
        <v/>
      </c>
      <c r="N1450" s="39" t="n">
        <f aca="false">IF(OR(A1450="",B1450=""),"",SUMIFS(tl_Hours,tl_StaffID,I1450,tl_Date,A1450))</f>
        <v>8</v>
      </c>
      <c r="O1450" s="40" t="str">
        <f aca="false">IF(A1450&amp;B1450&amp;D1450="","",IF(OR(A1450="",B1450="",D1450="",E1450=""),"Incomplete",IF(K1450="Unknown","Unknown code",IF(AND(K1450="Yes",C1450=""),"Billable, needs client",IF(N1450&gt;MaxDayHours,"Over "&amp;MaxDayHours&amp;" hours that day","")))))</f>
        <v/>
      </c>
    </row>
    <row r="1451" customFormat="false" ht="15" hidden="false" customHeight="false" outlineLevel="0" collapsed="false">
      <c r="A1451" s="31" t="n">
        <v>46281</v>
      </c>
      <c r="B1451" s="32" t="s">
        <v>86</v>
      </c>
      <c r="C1451" s="32" t="s">
        <v>112</v>
      </c>
      <c r="D1451" s="33" t="s">
        <v>88</v>
      </c>
      <c r="E1451" s="34" t="n">
        <v>2</v>
      </c>
      <c r="F1451" s="32"/>
      <c r="G1451" s="35" t="n">
        <f aca="false">IF(A1451="","",A1451+7-WEEKDAY(A1451))</f>
        <v>46284</v>
      </c>
      <c r="H1451" s="36" t="n">
        <f aca="false">IF(A1451="","",DATE(YEAR(A1451),MONTH(A1451),1))</f>
        <v>46266</v>
      </c>
      <c r="I1451" s="37" t="str">
        <f aca="false">IF(B1451="","",IFERROR(INDEX(st_ID,MATCH(B1451,st_Name,0)),"Unknown"))</f>
        <v>QP-01</v>
      </c>
      <c r="J1451" s="37" t="str">
        <f aca="false">IF(C1451="","",IFERROR(INDEX(cl_Code,MATCH(C1451,cl_Name,0)),"Unknown"))</f>
        <v>PCA</v>
      </c>
      <c r="K1451" s="37" t="str">
        <f aca="false">IF(D1451="","",IFERROR(INDEX(rt_Billable,MATCH(D1451,rt_Code,0)),"Unknown"))</f>
        <v>Yes</v>
      </c>
      <c r="L1451" s="38" t="n">
        <f aca="false">IF(K1451&lt;&gt;"Yes","",IFERROR(INDEX(cr_Rate,MATCH(J1451&amp;"|"&amp;D1451,cr_Key,0)),INDEX(rt_Rate,MATCH(D1451,rt_Code,0))))</f>
        <v>110</v>
      </c>
      <c r="M1451" s="25" t="n">
        <f aca="false">IF(L1451="","",ROUND(N(E1451)*L1451,2))</f>
        <v>220</v>
      </c>
      <c r="N1451" s="39" t="n">
        <f aca="false">IF(OR(A1451="",B1451=""),"",SUMIFS(tl_Hours,tl_StaffID,I1451,tl_Date,A1451))</f>
        <v>8</v>
      </c>
      <c r="O1451" s="40" t="str">
        <f aca="false">IF(A1451&amp;B1451&amp;D1451="","",IF(OR(A1451="",B1451="",D1451="",E1451=""),"Incomplete",IF(K1451="Unknown","Unknown code",IF(AND(K1451="Yes",C1451=""),"Billable, needs client",IF(N1451&gt;MaxDayHours,"Over "&amp;MaxDayHours&amp;" hours that day","")))))</f>
        <v/>
      </c>
    </row>
    <row r="1452" customFormat="false" ht="15" hidden="false" customHeight="false" outlineLevel="0" collapsed="false">
      <c r="A1452" s="31" t="n">
        <v>46281</v>
      </c>
      <c r="B1452" s="32" t="s">
        <v>86</v>
      </c>
      <c r="C1452" s="32" t="s">
        <v>112</v>
      </c>
      <c r="D1452" s="33" t="s">
        <v>92</v>
      </c>
      <c r="E1452" s="34" t="n">
        <v>0.75</v>
      </c>
      <c r="F1452" s="32"/>
      <c r="G1452" s="35" t="n">
        <f aca="false">IF(A1452="","",A1452+7-WEEKDAY(A1452))</f>
        <v>46284</v>
      </c>
      <c r="H1452" s="36" t="n">
        <f aca="false">IF(A1452="","",DATE(YEAR(A1452),MONTH(A1452),1))</f>
        <v>46266</v>
      </c>
      <c r="I1452" s="37" t="str">
        <f aca="false">IF(B1452="","",IFERROR(INDEX(st_ID,MATCH(B1452,st_Name,0)),"Unknown"))</f>
        <v>QP-01</v>
      </c>
      <c r="J1452" s="37" t="str">
        <f aca="false">IF(C1452="","",IFERROR(INDEX(cl_Code,MATCH(C1452,cl_Name,0)),"Unknown"))</f>
        <v>PCA</v>
      </c>
      <c r="K1452" s="37" t="str">
        <f aca="false">IF(D1452="","",IFERROR(INDEX(rt_Billable,MATCH(D1452,rt_Code,0)),"Unknown"))</f>
        <v>Yes</v>
      </c>
      <c r="L1452" s="38" t="n">
        <f aca="false">IF(K1452&lt;&gt;"Yes","",IFERROR(INDEX(cr_Rate,MATCH(J1452&amp;"|"&amp;D1452,cr_Key,0)),INDEX(rt_Rate,MATCH(D1452,rt_Code,0))))</f>
        <v>150</v>
      </c>
      <c r="M1452" s="25" t="n">
        <f aca="false">IF(L1452="","",ROUND(N(E1452)*L1452,2))</f>
        <v>112.5</v>
      </c>
      <c r="N1452" s="39" t="n">
        <f aca="false">IF(OR(A1452="",B1452=""),"",SUMIFS(tl_Hours,tl_StaffID,I1452,tl_Date,A1452))</f>
        <v>8</v>
      </c>
      <c r="O1452" s="40" t="str">
        <f aca="false">IF(A1452&amp;B1452&amp;D1452="","",IF(OR(A1452="",B1452="",D1452="",E1452=""),"Incomplete",IF(K1452="Unknown","Unknown code",IF(AND(K1452="Yes",C1452=""),"Billable, needs client",IF(N1452&gt;MaxDayHours,"Over "&amp;MaxDayHours&amp;" hours that day","")))))</f>
        <v/>
      </c>
    </row>
    <row r="1453" customFormat="false" ht="15" hidden="false" customHeight="false" outlineLevel="0" collapsed="false">
      <c r="A1453" s="31" t="n">
        <v>46281</v>
      </c>
      <c r="B1453" s="32" t="s">
        <v>86</v>
      </c>
      <c r="C1453" s="32" t="s">
        <v>90</v>
      </c>
      <c r="D1453" s="33" t="s">
        <v>88</v>
      </c>
      <c r="E1453" s="34" t="n">
        <v>2.25</v>
      </c>
      <c r="F1453" s="32"/>
      <c r="G1453" s="35" t="n">
        <f aca="false">IF(A1453="","",A1453+7-WEEKDAY(A1453))</f>
        <v>46284</v>
      </c>
      <c r="H1453" s="36" t="n">
        <f aca="false">IF(A1453="","",DATE(YEAR(A1453),MONTH(A1453),1))</f>
        <v>46266</v>
      </c>
      <c r="I1453" s="37" t="str">
        <f aca="false">IF(B1453="","",IFERROR(INDEX(st_ID,MATCH(B1453,st_Name,0)),"Unknown"))</f>
        <v>QP-01</v>
      </c>
      <c r="J1453" s="37" t="str">
        <f aca="false">IF(C1453="","",IFERROR(INDEX(cl_Code,MATCH(C1453,cl_Name,0)),"Unknown"))</f>
        <v>BSE</v>
      </c>
      <c r="K1453" s="37" t="str">
        <f aca="false">IF(D1453="","",IFERROR(INDEX(rt_Billable,MATCH(D1453,rt_Code,0)),"Unknown"))</f>
        <v>Yes</v>
      </c>
      <c r="L1453" s="38" t="n">
        <f aca="false">IF(K1453&lt;&gt;"Yes","",IFERROR(INDEX(cr_Rate,MATCH(J1453&amp;"|"&amp;D1453,cr_Key,0)),INDEX(rt_Rate,MATCH(D1453,rt_Code,0))))</f>
        <v>104</v>
      </c>
      <c r="M1453" s="25" t="n">
        <f aca="false">IF(L1453="","",ROUND(N(E1453)*L1453,2))</f>
        <v>234</v>
      </c>
      <c r="N1453" s="39" t="n">
        <f aca="false">IF(OR(A1453="",B1453=""),"",SUMIFS(tl_Hours,tl_StaffID,I1453,tl_Date,A1453))</f>
        <v>8</v>
      </c>
      <c r="O1453" s="40" t="str">
        <f aca="false">IF(A1453&amp;B1453&amp;D1453="","",IF(OR(A1453="",B1453="",D1453="",E1453=""),"Incomplete",IF(K1453="Unknown","Unknown code",IF(AND(K1453="Yes",C1453=""),"Billable, needs client",IF(N1453&gt;MaxDayHours,"Over "&amp;MaxDayHours&amp;" hours that day","")))))</f>
        <v/>
      </c>
    </row>
    <row r="1454" customFormat="false" ht="15" hidden="false" customHeight="false" outlineLevel="0" collapsed="false">
      <c r="A1454" s="31" t="n">
        <v>46281</v>
      </c>
      <c r="B1454" s="32" t="s">
        <v>86</v>
      </c>
      <c r="C1454" s="32" t="s">
        <v>90</v>
      </c>
      <c r="D1454" s="33" t="s">
        <v>89</v>
      </c>
      <c r="E1454" s="34" t="n">
        <v>0.5</v>
      </c>
      <c r="F1454" s="32"/>
      <c r="G1454" s="35" t="n">
        <f aca="false">IF(A1454="","",A1454+7-WEEKDAY(A1454))</f>
        <v>46284</v>
      </c>
      <c r="H1454" s="36" t="n">
        <f aca="false">IF(A1454="","",DATE(YEAR(A1454),MONTH(A1454),1))</f>
        <v>46266</v>
      </c>
      <c r="I1454" s="37" t="str">
        <f aca="false">IF(B1454="","",IFERROR(INDEX(st_ID,MATCH(B1454,st_Name,0)),"Unknown"))</f>
        <v>QP-01</v>
      </c>
      <c r="J1454" s="37" t="str">
        <f aca="false">IF(C1454="","",IFERROR(INDEX(cl_Code,MATCH(C1454,cl_Name,0)),"Unknown"))</f>
        <v>BSE</v>
      </c>
      <c r="K1454" s="37" t="str">
        <f aca="false">IF(D1454="","",IFERROR(INDEX(rt_Billable,MATCH(D1454,rt_Code,0)),"Unknown"))</f>
        <v>Yes</v>
      </c>
      <c r="L1454" s="38" t="n">
        <f aca="false">IF(K1454&lt;&gt;"Yes","",IFERROR(INDEX(cr_Rate,MATCH(J1454&amp;"|"&amp;D1454,cr_Key,0)),INDEX(rt_Rate,MATCH(D1454,rt_Code,0))))</f>
        <v>95</v>
      </c>
      <c r="M1454" s="25" t="n">
        <f aca="false">IF(L1454="","",ROUND(N(E1454)*L1454,2))</f>
        <v>47.5</v>
      </c>
      <c r="N1454" s="39" t="n">
        <f aca="false">IF(OR(A1454="",B1454=""),"",SUMIFS(tl_Hours,tl_StaffID,I1454,tl_Date,A1454))</f>
        <v>8</v>
      </c>
      <c r="O1454" s="40" t="str">
        <f aca="false">IF(A1454&amp;B1454&amp;D1454="","",IF(OR(A1454="",B1454="",D1454="",E1454=""),"Incomplete",IF(K1454="Unknown","Unknown code",IF(AND(K1454="Yes",C1454=""),"Billable, needs client",IF(N1454&gt;MaxDayHours,"Over "&amp;MaxDayHours&amp;" hours that day","")))))</f>
        <v/>
      </c>
    </row>
    <row r="1455" customFormat="false" ht="15" hidden="false" customHeight="false" outlineLevel="0" collapsed="false">
      <c r="A1455" s="31" t="n">
        <v>46281</v>
      </c>
      <c r="B1455" s="32" t="s">
        <v>86</v>
      </c>
      <c r="C1455" s="32"/>
      <c r="D1455" s="33" t="s">
        <v>93</v>
      </c>
      <c r="E1455" s="34" t="n">
        <v>0.5</v>
      </c>
      <c r="F1455" s="32"/>
      <c r="G1455" s="35" t="n">
        <f aca="false">IF(A1455="","",A1455+7-WEEKDAY(A1455))</f>
        <v>46284</v>
      </c>
      <c r="H1455" s="36" t="n">
        <f aca="false">IF(A1455="","",DATE(YEAR(A1455),MONTH(A1455),1))</f>
        <v>46266</v>
      </c>
      <c r="I1455" s="37" t="str">
        <f aca="false">IF(B1455="","",IFERROR(INDEX(st_ID,MATCH(B1455,st_Name,0)),"Unknown"))</f>
        <v>QP-01</v>
      </c>
      <c r="J1455" s="37" t="str">
        <f aca="false">IF(C1455="","",IFERROR(INDEX(cl_Code,MATCH(C1455,cl_Name,0)),"Unknown"))</f>
        <v/>
      </c>
      <c r="K1455" s="37" t="str">
        <f aca="false">IF(D1455="","",IFERROR(INDEX(rt_Billable,MATCH(D1455,rt_Code,0)),"Unknown"))</f>
        <v>No</v>
      </c>
      <c r="L1455" s="38" t="str">
        <f aca="false">IF(K1455&lt;&gt;"Yes","",IFERROR(INDEX(cr_Rate,MATCH(J1455&amp;"|"&amp;D1455,cr_Key,0)),INDEX(rt_Rate,MATCH(D1455,rt_Code,0))))</f>
        <v/>
      </c>
      <c r="M1455" s="25" t="str">
        <f aca="false">IF(L1455="","",ROUND(N(E1455)*L1455,2))</f>
        <v/>
      </c>
      <c r="N1455" s="39" t="n">
        <f aca="false">IF(OR(A1455="",B1455=""),"",SUMIFS(tl_Hours,tl_StaffID,I1455,tl_Date,A1455))</f>
        <v>8</v>
      </c>
      <c r="O1455" s="40" t="str">
        <f aca="false">IF(A1455&amp;B1455&amp;D1455="","",IF(OR(A1455="",B1455="",D1455="",E1455=""),"Incomplete",IF(K1455="Unknown","Unknown code",IF(AND(K1455="Yes",C1455=""),"Billable, needs client",IF(N1455&gt;MaxDayHours,"Over "&amp;MaxDayHours&amp;" hours that day","")))))</f>
        <v/>
      </c>
    </row>
    <row r="1456" customFormat="false" ht="15" hidden="false" customHeight="false" outlineLevel="0" collapsed="false">
      <c r="A1456" s="31" t="n">
        <v>46281</v>
      </c>
      <c r="B1456" s="32" t="s">
        <v>86</v>
      </c>
      <c r="C1456" s="32"/>
      <c r="D1456" s="33" t="s">
        <v>98</v>
      </c>
      <c r="E1456" s="34" t="n">
        <v>1</v>
      </c>
      <c r="F1456" s="32" t="s">
        <v>99</v>
      </c>
      <c r="G1456" s="35" t="n">
        <f aca="false">IF(A1456="","",A1456+7-WEEKDAY(A1456))</f>
        <v>46284</v>
      </c>
      <c r="H1456" s="36" t="n">
        <f aca="false">IF(A1456="","",DATE(YEAR(A1456),MONTH(A1456),1))</f>
        <v>46266</v>
      </c>
      <c r="I1456" s="37" t="str">
        <f aca="false">IF(B1456="","",IFERROR(INDEX(st_ID,MATCH(B1456,st_Name,0)),"Unknown"))</f>
        <v>QP-01</v>
      </c>
      <c r="J1456" s="37" t="str">
        <f aca="false">IF(C1456="","",IFERROR(INDEX(cl_Code,MATCH(C1456,cl_Name,0)),"Unknown"))</f>
        <v/>
      </c>
      <c r="K1456" s="37" t="str">
        <f aca="false">IF(D1456="","",IFERROR(INDEX(rt_Billable,MATCH(D1456,rt_Code,0)),"Unknown"))</f>
        <v>No</v>
      </c>
      <c r="L1456" s="38" t="str">
        <f aca="false">IF(K1456&lt;&gt;"Yes","",IFERROR(INDEX(cr_Rate,MATCH(J1456&amp;"|"&amp;D1456,cr_Key,0)),INDEX(rt_Rate,MATCH(D1456,rt_Code,0))))</f>
        <v/>
      </c>
      <c r="M1456" s="25" t="str">
        <f aca="false">IF(L1456="","",ROUND(N(E1456)*L1456,2))</f>
        <v/>
      </c>
      <c r="N1456" s="39" t="n">
        <f aca="false">IF(OR(A1456="",B1456=""),"",SUMIFS(tl_Hours,tl_StaffID,I1456,tl_Date,A1456))</f>
        <v>8</v>
      </c>
      <c r="O1456" s="40" t="str">
        <f aca="false">IF(A1456&amp;B1456&amp;D1456="","",IF(OR(A1456="",B1456="",D1456="",E1456=""),"Incomplete",IF(K1456="Unknown","Unknown code",IF(AND(K1456="Yes",C1456=""),"Billable, needs client",IF(N1456&gt;MaxDayHours,"Over "&amp;MaxDayHours&amp;" hours that day","")))))</f>
        <v/>
      </c>
    </row>
    <row r="1457" customFormat="false" ht="15" hidden="false" customHeight="false" outlineLevel="0" collapsed="false">
      <c r="A1457" s="31" t="n">
        <v>46281</v>
      </c>
      <c r="B1457" s="32" t="s">
        <v>86</v>
      </c>
      <c r="C1457" s="32"/>
      <c r="D1457" s="33" t="s">
        <v>96</v>
      </c>
      <c r="E1457" s="34" t="n">
        <v>1</v>
      </c>
      <c r="F1457" s="32"/>
      <c r="G1457" s="35" t="n">
        <f aca="false">IF(A1457="","",A1457+7-WEEKDAY(A1457))</f>
        <v>46284</v>
      </c>
      <c r="H1457" s="36" t="n">
        <f aca="false">IF(A1457="","",DATE(YEAR(A1457),MONTH(A1457),1))</f>
        <v>46266</v>
      </c>
      <c r="I1457" s="37" t="str">
        <f aca="false">IF(B1457="","",IFERROR(INDEX(st_ID,MATCH(B1457,st_Name,0)),"Unknown"))</f>
        <v>QP-01</v>
      </c>
      <c r="J1457" s="37" t="str">
        <f aca="false">IF(C1457="","",IFERROR(INDEX(cl_Code,MATCH(C1457,cl_Name,0)),"Unknown"))</f>
        <v/>
      </c>
      <c r="K1457" s="37" t="str">
        <f aca="false">IF(D1457="","",IFERROR(INDEX(rt_Billable,MATCH(D1457,rt_Code,0)),"Unknown"))</f>
        <v>No</v>
      </c>
      <c r="L1457" s="38" t="str">
        <f aca="false">IF(K1457&lt;&gt;"Yes","",IFERROR(INDEX(cr_Rate,MATCH(J1457&amp;"|"&amp;D1457,cr_Key,0)),INDEX(rt_Rate,MATCH(D1457,rt_Code,0))))</f>
        <v/>
      </c>
      <c r="M1457" s="25" t="str">
        <f aca="false">IF(L1457="","",ROUND(N(E1457)*L1457,2))</f>
        <v/>
      </c>
      <c r="N1457" s="39" t="n">
        <f aca="false">IF(OR(A1457="",B1457=""),"",SUMIFS(tl_Hours,tl_StaffID,I1457,tl_Date,A1457))</f>
        <v>8</v>
      </c>
      <c r="O1457" s="40" t="str">
        <f aca="false">IF(A1457&amp;B1457&amp;D1457="","",IF(OR(A1457="",B1457="",D1457="",E1457=""),"Incomplete",IF(K1457="Unknown","Unknown code",IF(AND(K1457="Yes",C1457=""),"Billable, needs client",IF(N1457&gt;MaxDayHours,"Over "&amp;MaxDayHours&amp;" hours that day","")))))</f>
        <v/>
      </c>
    </row>
    <row r="1458" customFormat="false" ht="15" hidden="false" customHeight="false" outlineLevel="0" collapsed="false">
      <c r="A1458" s="31" t="n">
        <v>46281</v>
      </c>
      <c r="B1458" s="32" t="s">
        <v>97</v>
      </c>
      <c r="C1458" s="32" t="s">
        <v>111</v>
      </c>
      <c r="D1458" s="33" t="s">
        <v>104</v>
      </c>
      <c r="E1458" s="34" t="n">
        <v>4</v>
      </c>
      <c r="F1458" s="32"/>
      <c r="G1458" s="35" t="n">
        <f aca="false">IF(A1458="","",A1458+7-WEEKDAY(A1458))</f>
        <v>46284</v>
      </c>
      <c r="H1458" s="36" t="n">
        <f aca="false">IF(A1458="","",DATE(YEAR(A1458),MONTH(A1458),1))</f>
        <v>46266</v>
      </c>
      <c r="I1458" s="37" t="str">
        <f aca="false">IF(B1458="","",IFERROR(INDEX(st_ID,MATCH(B1458,st_Name,0)),"Unknown"))</f>
        <v>QP-02</v>
      </c>
      <c r="J1458" s="37" t="str">
        <f aca="false">IF(C1458="","",IFERROR(INDEX(cl_Code,MATCH(C1458,cl_Name,0)),"Unknown"))</f>
        <v>WMS</v>
      </c>
      <c r="K1458" s="37" t="str">
        <f aca="false">IF(D1458="","",IFERROR(INDEX(rt_Billable,MATCH(D1458,rt_Code,0)),"Unknown"))</f>
        <v>Yes</v>
      </c>
      <c r="L1458" s="38" t="n">
        <f aca="false">IF(K1458&lt;&gt;"Yes","",IFERROR(INDEX(cr_Rate,MATCH(J1458&amp;"|"&amp;D1458,cr_Key,0)),INDEX(rt_Rate,MATCH(D1458,rt_Code,0))))</f>
        <v>70</v>
      </c>
      <c r="M1458" s="25" t="n">
        <f aca="false">IF(L1458="","",ROUND(N(E1458)*L1458,2))</f>
        <v>280</v>
      </c>
      <c r="N1458" s="39" t="n">
        <f aca="false">IF(OR(A1458="",B1458=""),"",SUMIFS(tl_Hours,tl_StaffID,I1458,tl_Date,A1458))</f>
        <v>8</v>
      </c>
      <c r="O1458" s="40" t="str">
        <f aca="false">IF(A1458&amp;B1458&amp;D1458="","",IF(OR(A1458="",B1458="",D1458="",E1458=""),"Incomplete",IF(K1458="Unknown","Unknown code",IF(AND(K1458="Yes",C1458=""),"Billable, needs client",IF(N1458&gt;MaxDayHours,"Over "&amp;MaxDayHours&amp;" hours that day","")))))</f>
        <v/>
      </c>
    </row>
    <row r="1459" customFormat="false" ht="15" hidden="false" customHeight="false" outlineLevel="0" collapsed="false">
      <c r="A1459" s="31" t="n">
        <v>46281</v>
      </c>
      <c r="B1459" s="32" t="s">
        <v>97</v>
      </c>
      <c r="C1459" s="32" t="s">
        <v>111</v>
      </c>
      <c r="D1459" s="33" t="s">
        <v>113</v>
      </c>
      <c r="E1459" s="34" t="n">
        <v>1.75</v>
      </c>
      <c r="F1459" s="32"/>
      <c r="G1459" s="35" t="n">
        <f aca="false">IF(A1459="","",A1459+7-WEEKDAY(A1459))</f>
        <v>46284</v>
      </c>
      <c r="H1459" s="36" t="n">
        <f aca="false">IF(A1459="","",DATE(YEAR(A1459),MONTH(A1459),1))</f>
        <v>46266</v>
      </c>
      <c r="I1459" s="37" t="str">
        <f aca="false">IF(B1459="","",IFERROR(INDEX(st_ID,MATCH(B1459,st_Name,0)),"Unknown"))</f>
        <v>QP-02</v>
      </c>
      <c r="J1459" s="37" t="str">
        <f aca="false">IF(C1459="","",IFERROR(INDEX(cl_Code,MATCH(C1459,cl_Name,0)),"Unknown"))</f>
        <v>WMS</v>
      </c>
      <c r="K1459" s="37" t="str">
        <f aca="false">IF(D1459="","",IFERROR(INDEX(rt_Billable,MATCH(D1459,rt_Code,0)),"Unknown"))</f>
        <v>Yes</v>
      </c>
      <c r="L1459" s="38" t="n">
        <f aca="false">IF(K1459&lt;&gt;"Yes","",IFERROR(INDEX(cr_Rate,MATCH(J1459&amp;"|"&amp;D1459,cr_Key,0)),INDEX(rt_Rate,MATCH(D1459,rt_Code,0))))</f>
        <v>85</v>
      </c>
      <c r="M1459" s="25" t="n">
        <f aca="false">IF(L1459="","",ROUND(N(E1459)*L1459,2))</f>
        <v>148.75</v>
      </c>
      <c r="N1459" s="39" t="n">
        <f aca="false">IF(OR(A1459="",B1459=""),"",SUMIFS(tl_Hours,tl_StaffID,I1459,tl_Date,A1459))</f>
        <v>8</v>
      </c>
      <c r="O1459" s="40" t="str">
        <f aca="false">IF(A1459&amp;B1459&amp;D1459="","",IF(OR(A1459="",B1459="",D1459="",E1459=""),"Incomplete",IF(K1459="Unknown","Unknown code",IF(AND(K1459="Yes",C1459=""),"Billable, needs client",IF(N1459&gt;MaxDayHours,"Over "&amp;MaxDayHours&amp;" hours that day","")))))</f>
        <v/>
      </c>
    </row>
    <row r="1460" customFormat="false" ht="15" hidden="false" customHeight="false" outlineLevel="0" collapsed="false">
      <c r="A1460" s="31" t="n">
        <v>46281</v>
      </c>
      <c r="B1460" s="32" t="s">
        <v>97</v>
      </c>
      <c r="C1460" s="32"/>
      <c r="D1460" s="33" t="s">
        <v>98</v>
      </c>
      <c r="E1460" s="34" t="n">
        <v>1</v>
      </c>
      <c r="F1460" s="32" t="s">
        <v>99</v>
      </c>
      <c r="G1460" s="35" t="n">
        <f aca="false">IF(A1460="","",A1460+7-WEEKDAY(A1460))</f>
        <v>46284</v>
      </c>
      <c r="H1460" s="36" t="n">
        <f aca="false">IF(A1460="","",DATE(YEAR(A1460),MONTH(A1460),1))</f>
        <v>46266</v>
      </c>
      <c r="I1460" s="37" t="str">
        <f aca="false">IF(B1460="","",IFERROR(INDEX(st_ID,MATCH(B1460,st_Name,0)),"Unknown"))</f>
        <v>QP-02</v>
      </c>
      <c r="J1460" s="37" t="str">
        <f aca="false">IF(C1460="","",IFERROR(INDEX(cl_Code,MATCH(C1460,cl_Name,0)),"Unknown"))</f>
        <v/>
      </c>
      <c r="K1460" s="37" t="str">
        <f aca="false">IF(D1460="","",IFERROR(INDEX(rt_Billable,MATCH(D1460,rt_Code,0)),"Unknown"))</f>
        <v>No</v>
      </c>
      <c r="L1460" s="38" t="str">
        <f aca="false">IF(K1460&lt;&gt;"Yes","",IFERROR(INDEX(cr_Rate,MATCH(J1460&amp;"|"&amp;D1460,cr_Key,0)),INDEX(rt_Rate,MATCH(D1460,rt_Code,0))))</f>
        <v/>
      </c>
      <c r="M1460" s="25" t="str">
        <f aca="false">IF(L1460="","",ROUND(N(E1460)*L1460,2))</f>
        <v/>
      </c>
      <c r="N1460" s="39" t="n">
        <f aca="false">IF(OR(A1460="",B1460=""),"",SUMIFS(tl_Hours,tl_StaffID,I1460,tl_Date,A1460))</f>
        <v>8</v>
      </c>
      <c r="O1460" s="40" t="str">
        <f aca="false">IF(A1460&amp;B1460&amp;D1460="","",IF(OR(A1460="",B1460="",D1460="",E1460=""),"Incomplete",IF(K1460="Unknown","Unknown code",IF(AND(K1460="Yes",C1460=""),"Billable, needs client",IF(N1460&gt;MaxDayHours,"Over "&amp;MaxDayHours&amp;" hours that day","")))))</f>
        <v/>
      </c>
    </row>
    <row r="1461" customFormat="false" ht="15" hidden="false" customHeight="false" outlineLevel="0" collapsed="false">
      <c r="A1461" s="31" t="n">
        <v>46281</v>
      </c>
      <c r="B1461" s="32" t="s">
        <v>97</v>
      </c>
      <c r="C1461" s="32"/>
      <c r="D1461" s="33" t="s">
        <v>96</v>
      </c>
      <c r="E1461" s="34" t="n">
        <v>1.25</v>
      </c>
      <c r="F1461" s="32"/>
      <c r="G1461" s="35" t="n">
        <f aca="false">IF(A1461="","",A1461+7-WEEKDAY(A1461))</f>
        <v>46284</v>
      </c>
      <c r="H1461" s="36" t="n">
        <f aca="false">IF(A1461="","",DATE(YEAR(A1461),MONTH(A1461),1))</f>
        <v>46266</v>
      </c>
      <c r="I1461" s="37" t="str">
        <f aca="false">IF(B1461="","",IFERROR(INDEX(st_ID,MATCH(B1461,st_Name,0)),"Unknown"))</f>
        <v>QP-02</v>
      </c>
      <c r="J1461" s="37" t="str">
        <f aca="false">IF(C1461="","",IFERROR(INDEX(cl_Code,MATCH(C1461,cl_Name,0)),"Unknown"))</f>
        <v/>
      </c>
      <c r="K1461" s="37" t="str">
        <f aca="false">IF(D1461="","",IFERROR(INDEX(rt_Billable,MATCH(D1461,rt_Code,0)),"Unknown"))</f>
        <v>No</v>
      </c>
      <c r="L1461" s="38" t="str">
        <f aca="false">IF(K1461&lt;&gt;"Yes","",IFERROR(INDEX(cr_Rate,MATCH(J1461&amp;"|"&amp;D1461,cr_Key,0)),INDEX(rt_Rate,MATCH(D1461,rt_Code,0))))</f>
        <v/>
      </c>
      <c r="M1461" s="25" t="str">
        <f aca="false">IF(L1461="","",ROUND(N(E1461)*L1461,2))</f>
        <v/>
      </c>
      <c r="N1461" s="39" t="n">
        <f aca="false">IF(OR(A1461="",B1461=""),"",SUMIFS(tl_Hours,tl_StaffID,I1461,tl_Date,A1461))</f>
        <v>8</v>
      </c>
      <c r="O1461" s="40" t="str">
        <f aca="false">IF(A1461&amp;B1461&amp;D1461="","",IF(OR(A1461="",B1461="",D1461="",E1461=""),"Incomplete",IF(K1461="Unknown","Unknown code",IF(AND(K1461="Yes",C1461=""),"Billable, needs client",IF(N1461&gt;MaxDayHours,"Over "&amp;MaxDayHours&amp;" hours that day","")))))</f>
        <v/>
      </c>
    </row>
    <row r="1462" customFormat="false" ht="15" hidden="false" customHeight="false" outlineLevel="0" collapsed="false">
      <c r="A1462" s="31" t="n">
        <v>46281</v>
      </c>
      <c r="B1462" s="32" t="s">
        <v>100</v>
      </c>
      <c r="C1462" s="32" t="s">
        <v>102</v>
      </c>
      <c r="D1462" s="33" t="s">
        <v>88</v>
      </c>
      <c r="E1462" s="34" t="n">
        <v>1.75</v>
      </c>
      <c r="F1462" s="32"/>
      <c r="G1462" s="35" t="n">
        <f aca="false">IF(A1462="","",A1462+7-WEEKDAY(A1462))</f>
        <v>46284</v>
      </c>
      <c r="H1462" s="36" t="n">
        <f aca="false">IF(A1462="","",DATE(YEAR(A1462),MONTH(A1462),1))</f>
        <v>46266</v>
      </c>
      <c r="I1462" s="37" t="str">
        <f aca="false">IF(B1462="","",IFERROR(INDEX(st_ID,MATCH(B1462,st_Name,0)),"Unknown"))</f>
        <v>QP-03</v>
      </c>
      <c r="J1462" s="37" t="str">
        <f aca="false">IF(C1462="","",IFERROR(INDEX(cl_Code,MATCH(C1462,cl_Name,0)),"Unknown"))</f>
        <v>CLH</v>
      </c>
      <c r="K1462" s="37" t="str">
        <f aca="false">IF(D1462="","",IFERROR(INDEX(rt_Billable,MATCH(D1462,rt_Code,0)),"Unknown"))</f>
        <v>Yes</v>
      </c>
      <c r="L1462" s="38" t="n">
        <f aca="false">IF(K1462&lt;&gt;"Yes","",IFERROR(INDEX(cr_Rate,MATCH(J1462&amp;"|"&amp;D1462,cr_Key,0)),INDEX(rt_Rate,MATCH(D1462,rt_Code,0))))</f>
        <v>110</v>
      </c>
      <c r="M1462" s="25" t="n">
        <f aca="false">IF(L1462="","",ROUND(N(E1462)*L1462,2))</f>
        <v>192.5</v>
      </c>
      <c r="N1462" s="39" t="n">
        <f aca="false">IF(OR(A1462="",B1462=""),"",SUMIFS(tl_Hours,tl_StaffID,I1462,tl_Date,A1462))</f>
        <v>8</v>
      </c>
      <c r="O1462" s="40" t="str">
        <f aca="false">IF(A1462&amp;B1462&amp;D1462="","",IF(OR(A1462="",B1462="",D1462="",E1462=""),"Incomplete",IF(K1462="Unknown","Unknown code",IF(AND(K1462="Yes",C1462=""),"Billable, needs client",IF(N1462&gt;MaxDayHours,"Over "&amp;MaxDayHours&amp;" hours that day","")))))</f>
        <v/>
      </c>
    </row>
    <row r="1463" customFormat="false" ht="15" hidden="false" customHeight="false" outlineLevel="0" collapsed="false">
      <c r="A1463" s="31" t="n">
        <v>46281</v>
      </c>
      <c r="B1463" s="32" t="s">
        <v>100</v>
      </c>
      <c r="C1463" s="32" t="s">
        <v>102</v>
      </c>
      <c r="D1463" s="33" t="s">
        <v>89</v>
      </c>
      <c r="E1463" s="34" t="n">
        <v>0.5</v>
      </c>
      <c r="F1463" s="32"/>
      <c r="G1463" s="35" t="n">
        <f aca="false">IF(A1463="","",A1463+7-WEEKDAY(A1463))</f>
        <v>46284</v>
      </c>
      <c r="H1463" s="36" t="n">
        <f aca="false">IF(A1463="","",DATE(YEAR(A1463),MONTH(A1463),1))</f>
        <v>46266</v>
      </c>
      <c r="I1463" s="37" t="str">
        <f aca="false">IF(B1463="","",IFERROR(INDEX(st_ID,MATCH(B1463,st_Name,0)),"Unknown"))</f>
        <v>QP-03</v>
      </c>
      <c r="J1463" s="37" t="str">
        <f aca="false">IF(C1463="","",IFERROR(INDEX(cl_Code,MATCH(C1463,cl_Name,0)),"Unknown"))</f>
        <v>CLH</v>
      </c>
      <c r="K1463" s="37" t="str">
        <f aca="false">IF(D1463="","",IFERROR(INDEX(rt_Billable,MATCH(D1463,rt_Code,0)),"Unknown"))</f>
        <v>Yes</v>
      </c>
      <c r="L1463" s="38" t="n">
        <f aca="false">IF(K1463&lt;&gt;"Yes","",IFERROR(INDEX(cr_Rate,MATCH(J1463&amp;"|"&amp;D1463,cr_Key,0)),INDEX(rt_Rate,MATCH(D1463,rt_Code,0))))</f>
        <v>95</v>
      </c>
      <c r="M1463" s="25" t="n">
        <f aca="false">IF(L1463="","",ROUND(N(E1463)*L1463,2))</f>
        <v>47.5</v>
      </c>
      <c r="N1463" s="39" t="n">
        <f aca="false">IF(OR(A1463="",B1463=""),"",SUMIFS(tl_Hours,tl_StaffID,I1463,tl_Date,A1463))</f>
        <v>8</v>
      </c>
      <c r="O1463" s="40" t="str">
        <f aca="false">IF(A1463&amp;B1463&amp;D1463="","",IF(OR(A1463="",B1463="",D1463="",E1463=""),"Incomplete",IF(K1463="Unknown","Unknown code",IF(AND(K1463="Yes",C1463=""),"Billable, needs client",IF(N1463&gt;MaxDayHours,"Over "&amp;MaxDayHours&amp;" hours that day","")))))</f>
        <v/>
      </c>
    </row>
    <row r="1464" customFormat="false" ht="15" hidden="false" customHeight="false" outlineLevel="0" collapsed="false">
      <c r="A1464" s="31" t="n">
        <v>46281</v>
      </c>
      <c r="B1464" s="32" t="s">
        <v>100</v>
      </c>
      <c r="C1464" s="32" t="s">
        <v>90</v>
      </c>
      <c r="D1464" s="33" t="s">
        <v>88</v>
      </c>
      <c r="E1464" s="34" t="n">
        <v>1.5</v>
      </c>
      <c r="F1464" s="32"/>
      <c r="G1464" s="35" t="n">
        <f aca="false">IF(A1464="","",A1464+7-WEEKDAY(A1464))</f>
        <v>46284</v>
      </c>
      <c r="H1464" s="36" t="n">
        <f aca="false">IF(A1464="","",DATE(YEAR(A1464),MONTH(A1464),1))</f>
        <v>46266</v>
      </c>
      <c r="I1464" s="37" t="str">
        <f aca="false">IF(B1464="","",IFERROR(INDEX(st_ID,MATCH(B1464,st_Name,0)),"Unknown"))</f>
        <v>QP-03</v>
      </c>
      <c r="J1464" s="37" t="str">
        <f aca="false">IF(C1464="","",IFERROR(INDEX(cl_Code,MATCH(C1464,cl_Name,0)),"Unknown"))</f>
        <v>BSE</v>
      </c>
      <c r="K1464" s="37" t="str">
        <f aca="false">IF(D1464="","",IFERROR(INDEX(rt_Billable,MATCH(D1464,rt_Code,0)),"Unknown"))</f>
        <v>Yes</v>
      </c>
      <c r="L1464" s="38" t="n">
        <f aca="false">IF(K1464&lt;&gt;"Yes","",IFERROR(INDEX(cr_Rate,MATCH(J1464&amp;"|"&amp;D1464,cr_Key,0)),INDEX(rt_Rate,MATCH(D1464,rt_Code,0))))</f>
        <v>104</v>
      </c>
      <c r="M1464" s="25" t="n">
        <f aca="false">IF(L1464="","",ROUND(N(E1464)*L1464,2))</f>
        <v>156</v>
      </c>
      <c r="N1464" s="39" t="n">
        <f aca="false">IF(OR(A1464="",B1464=""),"",SUMIFS(tl_Hours,tl_StaffID,I1464,tl_Date,A1464))</f>
        <v>8</v>
      </c>
      <c r="O1464" s="40" t="str">
        <f aca="false">IF(A1464&amp;B1464&amp;D1464="","",IF(OR(A1464="",B1464="",D1464="",E1464=""),"Incomplete",IF(K1464="Unknown","Unknown code",IF(AND(K1464="Yes",C1464=""),"Billable, needs client",IF(N1464&gt;MaxDayHours,"Over "&amp;MaxDayHours&amp;" hours that day","")))))</f>
        <v/>
      </c>
    </row>
    <row r="1465" customFormat="false" ht="15" hidden="false" customHeight="false" outlineLevel="0" collapsed="false">
      <c r="A1465" s="31" t="n">
        <v>46281</v>
      </c>
      <c r="B1465" s="32" t="s">
        <v>100</v>
      </c>
      <c r="C1465" s="32" t="s">
        <v>90</v>
      </c>
      <c r="D1465" s="33" t="s">
        <v>104</v>
      </c>
      <c r="E1465" s="34" t="n">
        <v>0.75</v>
      </c>
      <c r="F1465" s="32"/>
      <c r="G1465" s="35" t="n">
        <f aca="false">IF(A1465="","",A1465+7-WEEKDAY(A1465))</f>
        <v>46284</v>
      </c>
      <c r="H1465" s="36" t="n">
        <f aca="false">IF(A1465="","",DATE(YEAR(A1465),MONTH(A1465),1))</f>
        <v>46266</v>
      </c>
      <c r="I1465" s="37" t="str">
        <f aca="false">IF(B1465="","",IFERROR(INDEX(st_ID,MATCH(B1465,st_Name,0)),"Unknown"))</f>
        <v>QP-03</v>
      </c>
      <c r="J1465" s="37" t="str">
        <f aca="false">IF(C1465="","",IFERROR(INDEX(cl_Code,MATCH(C1465,cl_Name,0)),"Unknown"))</f>
        <v>BSE</v>
      </c>
      <c r="K1465" s="37" t="str">
        <f aca="false">IF(D1465="","",IFERROR(INDEX(rt_Billable,MATCH(D1465,rt_Code,0)),"Unknown"))</f>
        <v>Yes</v>
      </c>
      <c r="L1465" s="38" t="n">
        <f aca="false">IF(K1465&lt;&gt;"Yes","",IFERROR(INDEX(cr_Rate,MATCH(J1465&amp;"|"&amp;D1465,cr_Key,0)),INDEX(rt_Rate,MATCH(D1465,rt_Code,0))))</f>
        <v>70</v>
      </c>
      <c r="M1465" s="25" t="n">
        <f aca="false">IF(L1465="","",ROUND(N(E1465)*L1465,2))</f>
        <v>52.5</v>
      </c>
      <c r="N1465" s="39" t="n">
        <f aca="false">IF(OR(A1465="",B1465=""),"",SUMIFS(tl_Hours,tl_StaffID,I1465,tl_Date,A1465))</f>
        <v>8</v>
      </c>
      <c r="O1465" s="40" t="str">
        <f aca="false">IF(A1465&amp;B1465&amp;D1465="","",IF(OR(A1465="",B1465="",D1465="",E1465=""),"Incomplete",IF(K1465="Unknown","Unknown code",IF(AND(K1465="Yes",C1465=""),"Billable, needs client",IF(N1465&gt;MaxDayHours,"Over "&amp;MaxDayHours&amp;" hours that day","")))))</f>
        <v/>
      </c>
    </row>
    <row r="1466" customFormat="false" ht="15" hidden="false" customHeight="false" outlineLevel="0" collapsed="false">
      <c r="A1466" s="31" t="n">
        <v>46281</v>
      </c>
      <c r="B1466" s="32" t="s">
        <v>100</v>
      </c>
      <c r="C1466" s="32"/>
      <c r="D1466" s="33" t="s">
        <v>93</v>
      </c>
      <c r="E1466" s="34" t="n">
        <v>0.5</v>
      </c>
      <c r="F1466" s="32"/>
      <c r="G1466" s="35" t="n">
        <f aca="false">IF(A1466="","",A1466+7-WEEKDAY(A1466))</f>
        <v>46284</v>
      </c>
      <c r="H1466" s="36" t="n">
        <f aca="false">IF(A1466="","",DATE(YEAR(A1466),MONTH(A1466),1))</f>
        <v>46266</v>
      </c>
      <c r="I1466" s="37" t="str">
        <f aca="false">IF(B1466="","",IFERROR(INDEX(st_ID,MATCH(B1466,st_Name,0)),"Unknown"))</f>
        <v>QP-03</v>
      </c>
      <c r="J1466" s="37" t="str">
        <f aca="false">IF(C1466="","",IFERROR(INDEX(cl_Code,MATCH(C1466,cl_Name,0)),"Unknown"))</f>
        <v/>
      </c>
      <c r="K1466" s="37" t="str">
        <f aca="false">IF(D1466="","",IFERROR(INDEX(rt_Billable,MATCH(D1466,rt_Code,0)),"Unknown"))</f>
        <v>No</v>
      </c>
      <c r="L1466" s="38" t="str">
        <f aca="false">IF(K1466&lt;&gt;"Yes","",IFERROR(INDEX(cr_Rate,MATCH(J1466&amp;"|"&amp;D1466,cr_Key,0)),INDEX(rt_Rate,MATCH(D1466,rt_Code,0))))</f>
        <v/>
      </c>
      <c r="M1466" s="25" t="str">
        <f aca="false">IF(L1466="","",ROUND(N(E1466)*L1466,2))</f>
        <v/>
      </c>
      <c r="N1466" s="39" t="n">
        <f aca="false">IF(OR(A1466="",B1466=""),"",SUMIFS(tl_Hours,tl_StaffID,I1466,tl_Date,A1466))</f>
        <v>8</v>
      </c>
      <c r="O1466" s="40" t="str">
        <f aca="false">IF(A1466&amp;B1466&amp;D1466="","",IF(OR(A1466="",B1466="",D1466="",E1466=""),"Incomplete",IF(K1466="Unknown","Unknown code",IF(AND(K1466="Yes",C1466=""),"Billable, needs client",IF(N1466&gt;MaxDayHours,"Over "&amp;MaxDayHours&amp;" hours that day","")))))</f>
        <v/>
      </c>
    </row>
    <row r="1467" customFormat="false" ht="15" hidden="false" customHeight="false" outlineLevel="0" collapsed="false">
      <c r="A1467" s="31" t="n">
        <v>46281</v>
      </c>
      <c r="B1467" s="32" t="s">
        <v>100</v>
      </c>
      <c r="C1467" s="32"/>
      <c r="D1467" s="33" t="s">
        <v>96</v>
      </c>
      <c r="E1467" s="34" t="n">
        <v>3</v>
      </c>
      <c r="F1467" s="32"/>
      <c r="G1467" s="35" t="n">
        <f aca="false">IF(A1467="","",A1467+7-WEEKDAY(A1467))</f>
        <v>46284</v>
      </c>
      <c r="H1467" s="36" t="n">
        <f aca="false">IF(A1467="","",DATE(YEAR(A1467),MONTH(A1467),1))</f>
        <v>46266</v>
      </c>
      <c r="I1467" s="37" t="str">
        <f aca="false">IF(B1467="","",IFERROR(INDEX(st_ID,MATCH(B1467,st_Name,0)),"Unknown"))</f>
        <v>QP-03</v>
      </c>
      <c r="J1467" s="37" t="str">
        <f aca="false">IF(C1467="","",IFERROR(INDEX(cl_Code,MATCH(C1467,cl_Name,0)),"Unknown"))</f>
        <v/>
      </c>
      <c r="K1467" s="37" t="str">
        <f aca="false">IF(D1467="","",IFERROR(INDEX(rt_Billable,MATCH(D1467,rt_Code,0)),"Unknown"))</f>
        <v>No</v>
      </c>
      <c r="L1467" s="38" t="str">
        <f aca="false">IF(K1467&lt;&gt;"Yes","",IFERROR(INDEX(cr_Rate,MATCH(J1467&amp;"|"&amp;D1467,cr_Key,0)),INDEX(rt_Rate,MATCH(D1467,rt_Code,0))))</f>
        <v/>
      </c>
      <c r="M1467" s="25" t="str">
        <f aca="false">IF(L1467="","",ROUND(N(E1467)*L1467,2))</f>
        <v/>
      </c>
      <c r="N1467" s="39" t="n">
        <f aca="false">IF(OR(A1467="",B1467=""),"",SUMIFS(tl_Hours,tl_StaffID,I1467,tl_Date,A1467))</f>
        <v>8</v>
      </c>
      <c r="O1467" s="40" t="str">
        <f aca="false">IF(A1467&amp;B1467&amp;D1467="","",IF(OR(A1467="",B1467="",D1467="",E1467=""),"Incomplete",IF(K1467="Unknown","Unknown code",IF(AND(K1467="Yes",C1467=""),"Billable, needs client",IF(N1467&gt;MaxDayHours,"Over "&amp;MaxDayHours&amp;" hours that day","")))))</f>
        <v/>
      </c>
    </row>
    <row r="1468" customFormat="false" ht="15" hidden="false" customHeight="false" outlineLevel="0" collapsed="false">
      <c r="A1468" s="31" t="n">
        <v>46281</v>
      </c>
      <c r="B1468" s="32" t="s">
        <v>101</v>
      </c>
      <c r="C1468" s="32" t="s">
        <v>87</v>
      </c>
      <c r="D1468" s="33" t="s">
        <v>88</v>
      </c>
      <c r="E1468" s="34" t="n">
        <v>4.25</v>
      </c>
      <c r="F1468" s="32"/>
      <c r="G1468" s="35" t="n">
        <f aca="false">IF(A1468="","",A1468+7-WEEKDAY(A1468))</f>
        <v>46284</v>
      </c>
      <c r="H1468" s="36" t="n">
        <f aca="false">IF(A1468="","",DATE(YEAR(A1468),MONTH(A1468),1))</f>
        <v>46266</v>
      </c>
      <c r="I1468" s="37" t="str">
        <f aca="false">IF(B1468="","",IFERROR(INDEX(st_ID,MATCH(B1468,st_Name,0)),"Unknown"))</f>
        <v>QP-04</v>
      </c>
      <c r="J1468" s="37" t="str">
        <f aca="false">IF(C1468="","",IFERROR(INDEX(cl_Code,MATCH(C1468,cl_Name,0)),"Unknown"))</f>
        <v>HCS</v>
      </c>
      <c r="K1468" s="37" t="str">
        <f aca="false">IF(D1468="","",IFERROR(INDEX(rt_Billable,MATCH(D1468,rt_Code,0)),"Unknown"))</f>
        <v>Yes</v>
      </c>
      <c r="L1468" s="38" t="n">
        <f aca="false">IF(K1468&lt;&gt;"Yes","",IFERROR(INDEX(cr_Rate,MATCH(J1468&amp;"|"&amp;D1468,cr_Key,0)),INDEX(rt_Rate,MATCH(D1468,rt_Code,0))))</f>
        <v>98</v>
      </c>
      <c r="M1468" s="25" t="n">
        <f aca="false">IF(L1468="","",ROUND(N(E1468)*L1468,2))</f>
        <v>416.5</v>
      </c>
      <c r="N1468" s="39" t="n">
        <f aca="false">IF(OR(A1468="",B1468=""),"",SUMIFS(tl_Hours,tl_StaffID,I1468,tl_Date,A1468))</f>
        <v>8</v>
      </c>
      <c r="O1468" s="40" t="str">
        <f aca="false">IF(A1468&amp;B1468&amp;D1468="","",IF(OR(A1468="",B1468="",D1468="",E1468=""),"Incomplete",IF(K1468="Unknown","Unknown code",IF(AND(K1468="Yes",C1468=""),"Billable, needs client",IF(N1468&gt;MaxDayHours,"Over "&amp;MaxDayHours&amp;" hours that day","")))))</f>
        <v/>
      </c>
    </row>
    <row r="1469" customFormat="false" ht="15" hidden="false" customHeight="false" outlineLevel="0" collapsed="false">
      <c r="A1469" s="31" t="n">
        <v>46281</v>
      </c>
      <c r="B1469" s="32" t="s">
        <v>101</v>
      </c>
      <c r="C1469" s="32" t="s">
        <v>87</v>
      </c>
      <c r="D1469" s="33" t="s">
        <v>92</v>
      </c>
      <c r="E1469" s="34" t="n">
        <v>2.5</v>
      </c>
      <c r="F1469" s="32"/>
      <c r="G1469" s="35" t="n">
        <f aca="false">IF(A1469="","",A1469+7-WEEKDAY(A1469))</f>
        <v>46284</v>
      </c>
      <c r="H1469" s="36" t="n">
        <f aca="false">IF(A1469="","",DATE(YEAR(A1469),MONTH(A1469),1))</f>
        <v>46266</v>
      </c>
      <c r="I1469" s="37" t="str">
        <f aca="false">IF(B1469="","",IFERROR(INDEX(st_ID,MATCH(B1469,st_Name,0)),"Unknown"))</f>
        <v>QP-04</v>
      </c>
      <c r="J1469" s="37" t="str">
        <f aca="false">IF(C1469="","",IFERROR(INDEX(cl_Code,MATCH(C1469,cl_Name,0)),"Unknown"))</f>
        <v>HCS</v>
      </c>
      <c r="K1469" s="37" t="str">
        <f aca="false">IF(D1469="","",IFERROR(INDEX(rt_Billable,MATCH(D1469,rt_Code,0)),"Unknown"))</f>
        <v>Yes</v>
      </c>
      <c r="L1469" s="38" t="n">
        <f aca="false">IF(K1469&lt;&gt;"Yes","",IFERROR(INDEX(cr_Rate,MATCH(J1469&amp;"|"&amp;D1469,cr_Key,0)),INDEX(rt_Rate,MATCH(D1469,rt_Code,0))))</f>
        <v>140</v>
      </c>
      <c r="M1469" s="25" t="n">
        <f aca="false">IF(L1469="","",ROUND(N(E1469)*L1469,2))</f>
        <v>350</v>
      </c>
      <c r="N1469" s="39" t="n">
        <f aca="false">IF(OR(A1469="",B1469=""),"",SUMIFS(tl_Hours,tl_StaffID,I1469,tl_Date,A1469))</f>
        <v>8</v>
      </c>
      <c r="O1469" s="40" t="str">
        <f aca="false">IF(A1469&amp;B1469&amp;D1469="","",IF(OR(A1469="",B1469="",D1469="",E1469=""),"Incomplete",IF(K1469="Unknown","Unknown code",IF(AND(K1469="Yes",C1469=""),"Billable, needs client",IF(N1469&gt;MaxDayHours,"Over "&amp;MaxDayHours&amp;" hours that day","")))))</f>
        <v/>
      </c>
    </row>
    <row r="1470" customFormat="false" ht="15" hidden="false" customHeight="false" outlineLevel="0" collapsed="false">
      <c r="A1470" s="31" t="n">
        <v>46281</v>
      </c>
      <c r="B1470" s="32" t="s">
        <v>101</v>
      </c>
      <c r="C1470" s="32"/>
      <c r="D1470" s="33" t="s">
        <v>96</v>
      </c>
      <c r="E1470" s="34" t="n">
        <v>1.25</v>
      </c>
      <c r="F1470" s="32"/>
      <c r="G1470" s="35" t="n">
        <f aca="false">IF(A1470="","",A1470+7-WEEKDAY(A1470))</f>
        <v>46284</v>
      </c>
      <c r="H1470" s="36" t="n">
        <f aca="false">IF(A1470="","",DATE(YEAR(A1470),MONTH(A1470),1))</f>
        <v>46266</v>
      </c>
      <c r="I1470" s="37" t="str">
        <f aca="false">IF(B1470="","",IFERROR(INDEX(st_ID,MATCH(B1470,st_Name,0)),"Unknown"))</f>
        <v>QP-04</v>
      </c>
      <c r="J1470" s="37" t="str">
        <f aca="false">IF(C1470="","",IFERROR(INDEX(cl_Code,MATCH(C1470,cl_Name,0)),"Unknown"))</f>
        <v/>
      </c>
      <c r="K1470" s="37" t="str">
        <f aca="false">IF(D1470="","",IFERROR(INDEX(rt_Billable,MATCH(D1470,rt_Code,0)),"Unknown"))</f>
        <v>No</v>
      </c>
      <c r="L1470" s="38" t="str">
        <f aca="false">IF(K1470&lt;&gt;"Yes","",IFERROR(INDEX(cr_Rate,MATCH(J1470&amp;"|"&amp;D1470,cr_Key,0)),INDEX(rt_Rate,MATCH(D1470,rt_Code,0))))</f>
        <v/>
      </c>
      <c r="M1470" s="25" t="str">
        <f aca="false">IF(L1470="","",ROUND(N(E1470)*L1470,2))</f>
        <v/>
      </c>
      <c r="N1470" s="39" t="n">
        <f aca="false">IF(OR(A1470="",B1470=""),"",SUMIFS(tl_Hours,tl_StaffID,I1470,tl_Date,A1470))</f>
        <v>8</v>
      </c>
      <c r="O1470" s="40" t="str">
        <f aca="false">IF(A1470&amp;B1470&amp;D1470="","",IF(OR(A1470="",B1470="",D1470="",E1470=""),"Incomplete",IF(K1470="Unknown","Unknown code",IF(AND(K1470="Yes",C1470=""),"Billable, needs client",IF(N1470&gt;MaxDayHours,"Over "&amp;MaxDayHours&amp;" hours that day","")))))</f>
        <v/>
      </c>
    </row>
    <row r="1471" customFormat="false" ht="15" hidden="false" customHeight="false" outlineLevel="0" collapsed="false">
      <c r="A1471" s="31" t="n">
        <v>46281</v>
      </c>
      <c r="B1471" s="32" t="s">
        <v>103</v>
      </c>
      <c r="C1471" s="32" t="s">
        <v>90</v>
      </c>
      <c r="D1471" s="33" t="s">
        <v>91</v>
      </c>
      <c r="E1471" s="34" t="n">
        <v>4</v>
      </c>
      <c r="F1471" s="32"/>
      <c r="G1471" s="35" t="n">
        <f aca="false">IF(A1471="","",A1471+7-WEEKDAY(A1471))</f>
        <v>46284</v>
      </c>
      <c r="H1471" s="36" t="n">
        <f aca="false">IF(A1471="","",DATE(YEAR(A1471),MONTH(A1471),1))</f>
        <v>46266</v>
      </c>
      <c r="I1471" s="37" t="str">
        <f aca="false">IF(B1471="","",IFERROR(INDEX(st_ID,MATCH(B1471,st_Name,0)),"Unknown"))</f>
        <v>QP-05</v>
      </c>
      <c r="J1471" s="37" t="str">
        <f aca="false">IF(C1471="","",IFERROR(INDEX(cl_Code,MATCH(C1471,cl_Name,0)),"Unknown"))</f>
        <v>BSE</v>
      </c>
      <c r="K1471" s="37" t="str">
        <f aca="false">IF(D1471="","",IFERROR(INDEX(rt_Billable,MATCH(D1471,rt_Code,0)),"Unknown"))</f>
        <v>Yes</v>
      </c>
      <c r="L1471" s="38" t="n">
        <f aca="false">IF(K1471&lt;&gt;"Yes","",IFERROR(INDEX(cr_Rate,MATCH(J1471&amp;"|"&amp;D1471,cr_Key,0)),INDEX(rt_Rate,MATCH(D1471,rt_Code,0))))</f>
        <v>100</v>
      </c>
      <c r="M1471" s="25" t="n">
        <f aca="false">IF(L1471="","",ROUND(N(E1471)*L1471,2))</f>
        <v>400</v>
      </c>
      <c r="N1471" s="39" t="n">
        <f aca="false">IF(OR(A1471="",B1471=""),"",SUMIFS(tl_Hours,tl_StaffID,I1471,tl_Date,A1471))</f>
        <v>8</v>
      </c>
      <c r="O1471" s="40" t="str">
        <f aca="false">IF(A1471&amp;B1471&amp;D1471="","",IF(OR(A1471="",B1471="",D1471="",E1471=""),"Incomplete",IF(K1471="Unknown","Unknown code",IF(AND(K1471="Yes",C1471=""),"Billable, needs client",IF(N1471&gt;MaxDayHours,"Over "&amp;MaxDayHours&amp;" hours that day","")))))</f>
        <v/>
      </c>
    </row>
    <row r="1472" customFormat="false" ht="15" hidden="false" customHeight="false" outlineLevel="0" collapsed="false">
      <c r="A1472" s="31" t="n">
        <v>46281</v>
      </c>
      <c r="B1472" s="32" t="s">
        <v>103</v>
      </c>
      <c r="C1472" s="32" t="s">
        <v>90</v>
      </c>
      <c r="D1472" s="33" t="s">
        <v>89</v>
      </c>
      <c r="E1472" s="34" t="n">
        <v>1.5</v>
      </c>
      <c r="F1472" s="32"/>
      <c r="G1472" s="35" t="n">
        <f aca="false">IF(A1472="","",A1472+7-WEEKDAY(A1472))</f>
        <v>46284</v>
      </c>
      <c r="H1472" s="36" t="n">
        <f aca="false">IF(A1472="","",DATE(YEAR(A1472),MONTH(A1472),1))</f>
        <v>46266</v>
      </c>
      <c r="I1472" s="37" t="str">
        <f aca="false">IF(B1472="","",IFERROR(INDEX(st_ID,MATCH(B1472,st_Name,0)),"Unknown"))</f>
        <v>QP-05</v>
      </c>
      <c r="J1472" s="37" t="str">
        <f aca="false">IF(C1472="","",IFERROR(INDEX(cl_Code,MATCH(C1472,cl_Name,0)),"Unknown"))</f>
        <v>BSE</v>
      </c>
      <c r="K1472" s="37" t="str">
        <f aca="false">IF(D1472="","",IFERROR(INDEX(rt_Billable,MATCH(D1472,rt_Code,0)),"Unknown"))</f>
        <v>Yes</v>
      </c>
      <c r="L1472" s="38" t="n">
        <f aca="false">IF(K1472&lt;&gt;"Yes","",IFERROR(INDEX(cr_Rate,MATCH(J1472&amp;"|"&amp;D1472,cr_Key,0)),INDEX(rt_Rate,MATCH(D1472,rt_Code,0))))</f>
        <v>95</v>
      </c>
      <c r="M1472" s="25" t="n">
        <f aca="false">IF(L1472="","",ROUND(N(E1472)*L1472,2))</f>
        <v>142.5</v>
      </c>
      <c r="N1472" s="39" t="n">
        <f aca="false">IF(OR(A1472="",B1472=""),"",SUMIFS(tl_Hours,tl_StaffID,I1472,tl_Date,A1472))</f>
        <v>8</v>
      </c>
      <c r="O1472" s="40" t="str">
        <f aca="false">IF(A1472&amp;B1472&amp;D1472="","",IF(OR(A1472="",B1472="",D1472="",E1472=""),"Incomplete",IF(K1472="Unknown","Unknown code",IF(AND(K1472="Yes",C1472=""),"Billable, needs client",IF(N1472&gt;MaxDayHours,"Over "&amp;MaxDayHours&amp;" hours that day","")))))</f>
        <v/>
      </c>
    </row>
    <row r="1473" customFormat="false" ht="15" hidden="false" customHeight="false" outlineLevel="0" collapsed="false">
      <c r="A1473" s="31" t="n">
        <v>46281</v>
      </c>
      <c r="B1473" s="32" t="s">
        <v>103</v>
      </c>
      <c r="C1473" s="32"/>
      <c r="D1473" s="33" t="s">
        <v>98</v>
      </c>
      <c r="E1473" s="34" t="n">
        <v>1</v>
      </c>
      <c r="F1473" s="32" t="s">
        <v>99</v>
      </c>
      <c r="G1473" s="35" t="n">
        <f aca="false">IF(A1473="","",A1473+7-WEEKDAY(A1473))</f>
        <v>46284</v>
      </c>
      <c r="H1473" s="36" t="n">
        <f aca="false">IF(A1473="","",DATE(YEAR(A1473),MONTH(A1473),1))</f>
        <v>46266</v>
      </c>
      <c r="I1473" s="37" t="str">
        <f aca="false">IF(B1473="","",IFERROR(INDEX(st_ID,MATCH(B1473,st_Name,0)),"Unknown"))</f>
        <v>QP-05</v>
      </c>
      <c r="J1473" s="37" t="str">
        <f aca="false">IF(C1473="","",IFERROR(INDEX(cl_Code,MATCH(C1473,cl_Name,0)),"Unknown"))</f>
        <v/>
      </c>
      <c r="K1473" s="37" t="str">
        <f aca="false">IF(D1473="","",IFERROR(INDEX(rt_Billable,MATCH(D1473,rt_Code,0)),"Unknown"))</f>
        <v>No</v>
      </c>
      <c r="L1473" s="38" t="str">
        <f aca="false">IF(K1473&lt;&gt;"Yes","",IFERROR(INDEX(cr_Rate,MATCH(J1473&amp;"|"&amp;D1473,cr_Key,0)),INDEX(rt_Rate,MATCH(D1473,rt_Code,0))))</f>
        <v/>
      </c>
      <c r="M1473" s="25" t="str">
        <f aca="false">IF(L1473="","",ROUND(N(E1473)*L1473,2))</f>
        <v/>
      </c>
      <c r="N1473" s="39" t="n">
        <f aca="false">IF(OR(A1473="",B1473=""),"",SUMIFS(tl_Hours,tl_StaffID,I1473,tl_Date,A1473))</f>
        <v>8</v>
      </c>
      <c r="O1473" s="40" t="str">
        <f aca="false">IF(A1473&amp;B1473&amp;D1473="","",IF(OR(A1473="",B1473="",D1473="",E1473=""),"Incomplete",IF(K1473="Unknown","Unknown code",IF(AND(K1473="Yes",C1473=""),"Billable, needs client",IF(N1473&gt;MaxDayHours,"Over "&amp;MaxDayHours&amp;" hours that day","")))))</f>
        <v/>
      </c>
    </row>
    <row r="1474" customFormat="false" ht="15" hidden="false" customHeight="false" outlineLevel="0" collapsed="false">
      <c r="A1474" s="31" t="n">
        <v>46281</v>
      </c>
      <c r="B1474" s="32" t="s">
        <v>103</v>
      </c>
      <c r="C1474" s="32"/>
      <c r="D1474" s="33" t="s">
        <v>96</v>
      </c>
      <c r="E1474" s="34" t="n">
        <v>1.5</v>
      </c>
      <c r="F1474" s="32"/>
      <c r="G1474" s="35" t="n">
        <f aca="false">IF(A1474="","",A1474+7-WEEKDAY(A1474))</f>
        <v>46284</v>
      </c>
      <c r="H1474" s="36" t="n">
        <f aca="false">IF(A1474="","",DATE(YEAR(A1474),MONTH(A1474),1))</f>
        <v>46266</v>
      </c>
      <c r="I1474" s="37" t="str">
        <f aca="false">IF(B1474="","",IFERROR(INDEX(st_ID,MATCH(B1474,st_Name,0)),"Unknown"))</f>
        <v>QP-05</v>
      </c>
      <c r="J1474" s="37" t="str">
        <f aca="false">IF(C1474="","",IFERROR(INDEX(cl_Code,MATCH(C1474,cl_Name,0)),"Unknown"))</f>
        <v/>
      </c>
      <c r="K1474" s="37" t="str">
        <f aca="false">IF(D1474="","",IFERROR(INDEX(rt_Billable,MATCH(D1474,rt_Code,0)),"Unknown"))</f>
        <v>No</v>
      </c>
      <c r="L1474" s="38" t="str">
        <f aca="false">IF(K1474&lt;&gt;"Yes","",IFERROR(INDEX(cr_Rate,MATCH(J1474&amp;"|"&amp;D1474,cr_Key,0)),INDEX(rt_Rate,MATCH(D1474,rt_Code,0))))</f>
        <v/>
      </c>
      <c r="M1474" s="25" t="str">
        <f aca="false">IF(L1474="","",ROUND(N(E1474)*L1474,2))</f>
        <v/>
      </c>
      <c r="N1474" s="39" t="n">
        <f aca="false">IF(OR(A1474="",B1474=""),"",SUMIFS(tl_Hours,tl_StaffID,I1474,tl_Date,A1474))</f>
        <v>8</v>
      </c>
      <c r="O1474" s="40" t="str">
        <f aca="false">IF(A1474&amp;B1474&amp;D1474="","",IF(OR(A1474="",B1474="",D1474="",E1474=""),"Incomplete",IF(K1474="Unknown","Unknown code",IF(AND(K1474="Yes",C1474=""),"Billable, needs client",IF(N1474&gt;MaxDayHours,"Over "&amp;MaxDayHours&amp;" hours that day","")))))</f>
        <v/>
      </c>
    </row>
    <row r="1475" customFormat="false" ht="15" hidden="false" customHeight="false" outlineLevel="0" collapsed="false">
      <c r="A1475" s="31" t="n">
        <v>46281</v>
      </c>
      <c r="B1475" s="32" t="s">
        <v>105</v>
      </c>
      <c r="C1475" s="32" t="s">
        <v>87</v>
      </c>
      <c r="D1475" s="33" t="s">
        <v>104</v>
      </c>
      <c r="E1475" s="34" t="n">
        <v>4</v>
      </c>
      <c r="F1475" s="32"/>
      <c r="G1475" s="35" t="n">
        <f aca="false">IF(A1475="","",A1475+7-WEEKDAY(A1475))</f>
        <v>46284</v>
      </c>
      <c r="H1475" s="36" t="n">
        <f aca="false">IF(A1475="","",DATE(YEAR(A1475),MONTH(A1475),1))</f>
        <v>46266</v>
      </c>
      <c r="I1475" s="37" t="str">
        <f aca="false">IF(B1475="","",IFERROR(INDEX(st_ID,MATCH(B1475,st_Name,0)),"Unknown"))</f>
        <v>QP-06</v>
      </c>
      <c r="J1475" s="37" t="str">
        <f aca="false">IF(C1475="","",IFERROR(INDEX(cl_Code,MATCH(C1475,cl_Name,0)),"Unknown"))</f>
        <v>HCS</v>
      </c>
      <c r="K1475" s="37" t="str">
        <f aca="false">IF(D1475="","",IFERROR(INDEX(rt_Billable,MATCH(D1475,rt_Code,0)),"Unknown"))</f>
        <v>Yes</v>
      </c>
      <c r="L1475" s="38" t="n">
        <f aca="false">IF(K1475&lt;&gt;"Yes","",IFERROR(INDEX(cr_Rate,MATCH(J1475&amp;"|"&amp;D1475,cr_Key,0)),INDEX(rt_Rate,MATCH(D1475,rt_Code,0))))</f>
        <v>62</v>
      </c>
      <c r="M1475" s="25" t="n">
        <f aca="false">IF(L1475="","",ROUND(N(E1475)*L1475,2))</f>
        <v>248</v>
      </c>
      <c r="N1475" s="39" t="n">
        <f aca="false">IF(OR(A1475="",B1475=""),"",SUMIFS(tl_Hours,tl_StaffID,I1475,tl_Date,A1475))</f>
        <v>8</v>
      </c>
      <c r="O1475" s="40" t="str">
        <f aca="false">IF(A1475&amp;B1475&amp;D1475="","",IF(OR(A1475="",B1475="",D1475="",E1475=""),"Incomplete",IF(K1475="Unknown","Unknown code",IF(AND(K1475="Yes",C1475=""),"Billable, needs client",IF(N1475&gt;MaxDayHours,"Over "&amp;MaxDayHours&amp;" hours that day","")))))</f>
        <v/>
      </c>
    </row>
    <row r="1476" customFormat="false" ht="15" hidden="false" customHeight="false" outlineLevel="0" collapsed="false">
      <c r="A1476" s="31" t="n">
        <v>46281</v>
      </c>
      <c r="B1476" s="32" t="s">
        <v>105</v>
      </c>
      <c r="C1476" s="32" t="s">
        <v>87</v>
      </c>
      <c r="D1476" s="33" t="s">
        <v>89</v>
      </c>
      <c r="E1476" s="34" t="n">
        <v>2.25</v>
      </c>
      <c r="F1476" s="32"/>
      <c r="G1476" s="35" t="n">
        <f aca="false">IF(A1476="","",A1476+7-WEEKDAY(A1476))</f>
        <v>46284</v>
      </c>
      <c r="H1476" s="36" t="n">
        <f aca="false">IF(A1476="","",DATE(YEAR(A1476),MONTH(A1476),1))</f>
        <v>46266</v>
      </c>
      <c r="I1476" s="37" t="str">
        <f aca="false">IF(B1476="","",IFERROR(INDEX(st_ID,MATCH(B1476,st_Name,0)),"Unknown"))</f>
        <v>QP-06</v>
      </c>
      <c r="J1476" s="37" t="str">
        <f aca="false">IF(C1476="","",IFERROR(INDEX(cl_Code,MATCH(C1476,cl_Name,0)),"Unknown"))</f>
        <v>HCS</v>
      </c>
      <c r="K1476" s="37" t="str">
        <f aca="false">IF(D1476="","",IFERROR(INDEX(rt_Billable,MATCH(D1476,rt_Code,0)),"Unknown"))</f>
        <v>Yes</v>
      </c>
      <c r="L1476" s="38" t="n">
        <f aca="false">IF(K1476&lt;&gt;"Yes","",IFERROR(INDEX(cr_Rate,MATCH(J1476&amp;"|"&amp;D1476,cr_Key,0)),INDEX(rt_Rate,MATCH(D1476,rt_Code,0))))</f>
        <v>88</v>
      </c>
      <c r="M1476" s="25" t="n">
        <f aca="false">IF(L1476="","",ROUND(N(E1476)*L1476,2))</f>
        <v>198</v>
      </c>
      <c r="N1476" s="39" t="n">
        <f aca="false">IF(OR(A1476="",B1476=""),"",SUMIFS(tl_Hours,tl_StaffID,I1476,tl_Date,A1476))</f>
        <v>8</v>
      </c>
      <c r="O1476" s="40" t="str">
        <f aca="false">IF(A1476&amp;B1476&amp;D1476="","",IF(OR(A1476="",B1476="",D1476="",E1476=""),"Incomplete",IF(K1476="Unknown","Unknown code",IF(AND(K1476="Yes",C1476=""),"Billable, needs client",IF(N1476&gt;MaxDayHours,"Over "&amp;MaxDayHours&amp;" hours that day","")))))</f>
        <v/>
      </c>
    </row>
    <row r="1477" customFormat="false" ht="15" hidden="false" customHeight="false" outlineLevel="0" collapsed="false">
      <c r="A1477" s="31" t="n">
        <v>46281</v>
      </c>
      <c r="B1477" s="32" t="s">
        <v>105</v>
      </c>
      <c r="C1477" s="32"/>
      <c r="D1477" s="33" t="s">
        <v>98</v>
      </c>
      <c r="E1477" s="34" t="n">
        <v>1</v>
      </c>
      <c r="F1477" s="32" t="s">
        <v>99</v>
      </c>
      <c r="G1477" s="35" t="n">
        <f aca="false">IF(A1477="","",A1477+7-WEEKDAY(A1477))</f>
        <v>46284</v>
      </c>
      <c r="H1477" s="36" t="n">
        <f aca="false">IF(A1477="","",DATE(YEAR(A1477),MONTH(A1477),1))</f>
        <v>46266</v>
      </c>
      <c r="I1477" s="37" t="str">
        <f aca="false">IF(B1477="","",IFERROR(INDEX(st_ID,MATCH(B1477,st_Name,0)),"Unknown"))</f>
        <v>QP-06</v>
      </c>
      <c r="J1477" s="37" t="str">
        <f aca="false">IF(C1477="","",IFERROR(INDEX(cl_Code,MATCH(C1477,cl_Name,0)),"Unknown"))</f>
        <v/>
      </c>
      <c r="K1477" s="37" t="str">
        <f aca="false">IF(D1477="","",IFERROR(INDEX(rt_Billable,MATCH(D1477,rt_Code,0)),"Unknown"))</f>
        <v>No</v>
      </c>
      <c r="L1477" s="38" t="str">
        <f aca="false">IF(K1477&lt;&gt;"Yes","",IFERROR(INDEX(cr_Rate,MATCH(J1477&amp;"|"&amp;D1477,cr_Key,0)),INDEX(rt_Rate,MATCH(D1477,rt_Code,0))))</f>
        <v/>
      </c>
      <c r="M1477" s="25" t="str">
        <f aca="false">IF(L1477="","",ROUND(N(E1477)*L1477,2))</f>
        <v/>
      </c>
      <c r="N1477" s="39" t="n">
        <f aca="false">IF(OR(A1477="",B1477=""),"",SUMIFS(tl_Hours,tl_StaffID,I1477,tl_Date,A1477))</f>
        <v>8</v>
      </c>
      <c r="O1477" s="40" t="str">
        <f aca="false">IF(A1477&amp;B1477&amp;D1477="","",IF(OR(A1477="",B1477="",D1477="",E1477=""),"Incomplete",IF(K1477="Unknown","Unknown code",IF(AND(K1477="Yes",C1477=""),"Billable, needs client",IF(N1477&gt;MaxDayHours,"Over "&amp;MaxDayHours&amp;" hours that day","")))))</f>
        <v/>
      </c>
    </row>
    <row r="1478" customFormat="false" ht="15" hidden="false" customHeight="false" outlineLevel="0" collapsed="false">
      <c r="A1478" s="31" t="n">
        <v>46281</v>
      </c>
      <c r="B1478" s="32" t="s">
        <v>105</v>
      </c>
      <c r="C1478" s="32"/>
      <c r="D1478" s="33" t="s">
        <v>96</v>
      </c>
      <c r="E1478" s="34" t="n">
        <v>0.75</v>
      </c>
      <c r="F1478" s="32"/>
      <c r="G1478" s="35" t="n">
        <f aca="false">IF(A1478="","",A1478+7-WEEKDAY(A1478))</f>
        <v>46284</v>
      </c>
      <c r="H1478" s="36" t="n">
        <f aca="false">IF(A1478="","",DATE(YEAR(A1478),MONTH(A1478),1))</f>
        <v>46266</v>
      </c>
      <c r="I1478" s="37" t="str">
        <f aca="false">IF(B1478="","",IFERROR(INDEX(st_ID,MATCH(B1478,st_Name,0)),"Unknown"))</f>
        <v>QP-06</v>
      </c>
      <c r="J1478" s="37" t="str">
        <f aca="false">IF(C1478="","",IFERROR(INDEX(cl_Code,MATCH(C1478,cl_Name,0)),"Unknown"))</f>
        <v/>
      </c>
      <c r="K1478" s="37" t="str">
        <f aca="false">IF(D1478="","",IFERROR(INDEX(rt_Billable,MATCH(D1478,rt_Code,0)),"Unknown"))</f>
        <v>No</v>
      </c>
      <c r="L1478" s="38" t="str">
        <f aca="false">IF(K1478&lt;&gt;"Yes","",IFERROR(INDEX(cr_Rate,MATCH(J1478&amp;"|"&amp;D1478,cr_Key,0)),INDEX(rt_Rate,MATCH(D1478,rt_Code,0))))</f>
        <v/>
      </c>
      <c r="M1478" s="25" t="str">
        <f aca="false">IF(L1478="","",ROUND(N(E1478)*L1478,2))</f>
        <v/>
      </c>
      <c r="N1478" s="39" t="n">
        <f aca="false">IF(OR(A1478="",B1478=""),"",SUMIFS(tl_Hours,tl_StaffID,I1478,tl_Date,A1478))</f>
        <v>8</v>
      </c>
      <c r="O1478" s="40" t="str">
        <f aca="false">IF(A1478&amp;B1478&amp;D1478="","",IF(OR(A1478="",B1478="",D1478="",E1478=""),"Incomplete",IF(K1478="Unknown","Unknown code",IF(AND(K1478="Yes",C1478=""),"Billable, needs client",IF(N1478&gt;MaxDayHours,"Over "&amp;MaxDayHours&amp;" hours that day","")))))</f>
        <v/>
      </c>
    </row>
    <row r="1479" customFormat="false" ht="15" hidden="false" customHeight="false" outlineLevel="0" collapsed="false">
      <c r="A1479" s="31" t="n">
        <v>46281</v>
      </c>
      <c r="B1479" s="32" t="s">
        <v>106</v>
      </c>
      <c r="C1479" s="32" t="s">
        <v>112</v>
      </c>
      <c r="D1479" s="33" t="s">
        <v>88</v>
      </c>
      <c r="E1479" s="34" t="n">
        <v>5.5</v>
      </c>
      <c r="F1479" s="32"/>
      <c r="G1479" s="35" t="n">
        <f aca="false">IF(A1479="","",A1479+7-WEEKDAY(A1479))</f>
        <v>46284</v>
      </c>
      <c r="H1479" s="36" t="n">
        <f aca="false">IF(A1479="","",DATE(YEAR(A1479),MONTH(A1479),1))</f>
        <v>46266</v>
      </c>
      <c r="I1479" s="37" t="str">
        <f aca="false">IF(B1479="","",IFERROR(INDEX(st_ID,MATCH(B1479,st_Name,0)),"Unknown"))</f>
        <v>QP-07</v>
      </c>
      <c r="J1479" s="37" t="str">
        <f aca="false">IF(C1479="","",IFERROR(INDEX(cl_Code,MATCH(C1479,cl_Name,0)),"Unknown"))</f>
        <v>PCA</v>
      </c>
      <c r="K1479" s="37" t="str">
        <f aca="false">IF(D1479="","",IFERROR(INDEX(rt_Billable,MATCH(D1479,rt_Code,0)),"Unknown"))</f>
        <v>Yes</v>
      </c>
      <c r="L1479" s="38" t="n">
        <f aca="false">IF(K1479&lt;&gt;"Yes","",IFERROR(INDEX(cr_Rate,MATCH(J1479&amp;"|"&amp;D1479,cr_Key,0)),INDEX(rt_Rate,MATCH(D1479,rt_Code,0))))</f>
        <v>110</v>
      </c>
      <c r="M1479" s="25" t="n">
        <f aca="false">IF(L1479="","",ROUND(N(E1479)*L1479,2))</f>
        <v>605</v>
      </c>
      <c r="N1479" s="39" t="n">
        <f aca="false">IF(OR(A1479="",B1479=""),"",SUMIFS(tl_Hours,tl_StaffID,I1479,tl_Date,A1479))</f>
        <v>8</v>
      </c>
      <c r="O1479" s="40" t="str">
        <f aca="false">IF(A1479&amp;B1479&amp;D1479="","",IF(OR(A1479="",B1479="",D1479="",E1479=""),"Incomplete",IF(K1479="Unknown","Unknown code",IF(AND(K1479="Yes",C1479=""),"Billable, needs client",IF(N1479&gt;MaxDayHours,"Over "&amp;MaxDayHours&amp;" hours that day","")))))</f>
        <v/>
      </c>
    </row>
    <row r="1480" customFormat="false" ht="15" hidden="false" customHeight="false" outlineLevel="0" collapsed="false">
      <c r="A1480" s="31" t="n">
        <v>46281</v>
      </c>
      <c r="B1480" s="32" t="s">
        <v>106</v>
      </c>
      <c r="C1480" s="32" t="s">
        <v>112</v>
      </c>
      <c r="D1480" s="33" t="s">
        <v>104</v>
      </c>
      <c r="E1480" s="34" t="n">
        <v>1.25</v>
      </c>
      <c r="F1480" s="32"/>
      <c r="G1480" s="35" t="n">
        <f aca="false">IF(A1480="","",A1480+7-WEEKDAY(A1480))</f>
        <v>46284</v>
      </c>
      <c r="H1480" s="36" t="n">
        <f aca="false">IF(A1480="","",DATE(YEAR(A1480),MONTH(A1480),1))</f>
        <v>46266</v>
      </c>
      <c r="I1480" s="37" t="str">
        <f aca="false">IF(B1480="","",IFERROR(INDEX(st_ID,MATCH(B1480,st_Name,0)),"Unknown"))</f>
        <v>QP-07</v>
      </c>
      <c r="J1480" s="37" t="str">
        <f aca="false">IF(C1480="","",IFERROR(INDEX(cl_Code,MATCH(C1480,cl_Name,0)),"Unknown"))</f>
        <v>PCA</v>
      </c>
      <c r="K1480" s="37" t="str">
        <f aca="false">IF(D1480="","",IFERROR(INDEX(rt_Billable,MATCH(D1480,rt_Code,0)),"Unknown"))</f>
        <v>Yes</v>
      </c>
      <c r="L1480" s="38" t="n">
        <f aca="false">IF(K1480&lt;&gt;"Yes","",IFERROR(INDEX(cr_Rate,MATCH(J1480&amp;"|"&amp;D1480,cr_Key,0)),INDEX(rt_Rate,MATCH(D1480,rt_Code,0))))</f>
        <v>70</v>
      </c>
      <c r="M1480" s="25" t="n">
        <f aca="false">IF(L1480="","",ROUND(N(E1480)*L1480,2))</f>
        <v>87.5</v>
      </c>
      <c r="N1480" s="39" t="n">
        <f aca="false">IF(OR(A1480="",B1480=""),"",SUMIFS(tl_Hours,tl_StaffID,I1480,tl_Date,A1480))</f>
        <v>8</v>
      </c>
      <c r="O1480" s="40" t="str">
        <f aca="false">IF(A1480&amp;B1480&amp;D1480="","",IF(OR(A1480="",B1480="",D1480="",E1480=""),"Incomplete",IF(K1480="Unknown","Unknown code",IF(AND(K1480="Yes",C1480=""),"Billable, needs client",IF(N1480&gt;MaxDayHours,"Over "&amp;MaxDayHours&amp;" hours that day","")))))</f>
        <v/>
      </c>
    </row>
    <row r="1481" customFormat="false" ht="15" hidden="false" customHeight="false" outlineLevel="0" collapsed="false">
      <c r="A1481" s="31" t="n">
        <v>46281</v>
      </c>
      <c r="B1481" s="32" t="s">
        <v>106</v>
      </c>
      <c r="C1481" s="32"/>
      <c r="D1481" s="33" t="s">
        <v>96</v>
      </c>
      <c r="E1481" s="34" t="n">
        <v>1.25</v>
      </c>
      <c r="F1481" s="32"/>
      <c r="G1481" s="35" t="n">
        <f aca="false">IF(A1481="","",A1481+7-WEEKDAY(A1481))</f>
        <v>46284</v>
      </c>
      <c r="H1481" s="36" t="n">
        <f aca="false">IF(A1481="","",DATE(YEAR(A1481),MONTH(A1481),1))</f>
        <v>46266</v>
      </c>
      <c r="I1481" s="37" t="str">
        <f aca="false">IF(B1481="","",IFERROR(INDEX(st_ID,MATCH(B1481,st_Name,0)),"Unknown"))</f>
        <v>QP-07</v>
      </c>
      <c r="J1481" s="37" t="str">
        <f aca="false">IF(C1481="","",IFERROR(INDEX(cl_Code,MATCH(C1481,cl_Name,0)),"Unknown"))</f>
        <v/>
      </c>
      <c r="K1481" s="37" t="str">
        <f aca="false">IF(D1481="","",IFERROR(INDEX(rt_Billable,MATCH(D1481,rt_Code,0)),"Unknown"))</f>
        <v>No</v>
      </c>
      <c r="L1481" s="38" t="str">
        <f aca="false">IF(K1481&lt;&gt;"Yes","",IFERROR(INDEX(cr_Rate,MATCH(J1481&amp;"|"&amp;D1481,cr_Key,0)),INDEX(rt_Rate,MATCH(D1481,rt_Code,0))))</f>
        <v/>
      </c>
      <c r="M1481" s="25" t="str">
        <f aca="false">IF(L1481="","",ROUND(N(E1481)*L1481,2))</f>
        <v/>
      </c>
      <c r="N1481" s="39" t="n">
        <f aca="false">IF(OR(A1481="",B1481=""),"",SUMIFS(tl_Hours,tl_StaffID,I1481,tl_Date,A1481))</f>
        <v>8</v>
      </c>
      <c r="O1481" s="40" t="str">
        <f aca="false">IF(A1481&amp;B1481&amp;D1481="","",IF(OR(A1481="",B1481="",D1481="",E1481=""),"Incomplete",IF(K1481="Unknown","Unknown code",IF(AND(K1481="Yes",C1481=""),"Billable, needs client",IF(N1481&gt;MaxDayHours,"Over "&amp;MaxDayHours&amp;" hours that day","")))))</f>
        <v/>
      </c>
    </row>
    <row r="1482" customFormat="false" ht="15" hidden="false" customHeight="false" outlineLevel="0" collapsed="false">
      <c r="A1482" s="31" t="n">
        <v>46281</v>
      </c>
      <c r="B1482" s="32" t="s">
        <v>107</v>
      </c>
      <c r="C1482" s="32"/>
      <c r="D1482" s="33" t="s">
        <v>108</v>
      </c>
      <c r="E1482" s="34" t="n">
        <v>6</v>
      </c>
      <c r="F1482" s="32"/>
      <c r="G1482" s="35" t="n">
        <f aca="false">IF(A1482="","",A1482+7-WEEKDAY(A1482))</f>
        <v>46284</v>
      </c>
      <c r="H1482" s="36" t="n">
        <f aca="false">IF(A1482="","",DATE(YEAR(A1482),MONTH(A1482),1))</f>
        <v>46266</v>
      </c>
      <c r="I1482" s="37" t="str">
        <f aca="false">IF(B1482="","",IFERROR(INDEX(st_ID,MATCH(B1482,st_Name,0)),"Unknown"))</f>
        <v>QP-08</v>
      </c>
      <c r="J1482" s="37" t="str">
        <f aca="false">IF(C1482="","",IFERROR(INDEX(cl_Code,MATCH(C1482,cl_Name,0)),"Unknown"))</f>
        <v/>
      </c>
      <c r="K1482" s="37" t="str">
        <f aca="false">IF(D1482="","",IFERROR(INDEX(rt_Billable,MATCH(D1482,rt_Code,0)),"Unknown"))</f>
        <v>No</v>
      </c>
      <c r="L1482" s="38" t="str">
        <f aca="false">IF(K1482&lt;&gt;"Yes","",IFERROR(INDEX(cr_Rate,MATCH(J1482&amp;"|"&amp;D1482,cr_Key,0)),INDEX(rt_Rate,MATCH(D1482,rt_Code,0))))</f>
        <v/>
      </c>
      <c r="M1482" s="25" t="str">
        <f aca="false">IF(L1482="","",ROUND(N(E1482)*L1482,2))</f>
        <v/>
      </c>
      <c r="N1482" s="39" t="n">
        <f aca="false">IF(OR(A1482="",B1482=""),"",SUMIFS(tl_Hours,tl_StaffID,I1482,tl_Date,A1482))</f>
        <v>8</v>
      </c>
      <c r="O1482" s="40" t="str">
        <f aca="false">IF(A1482&amp;B1482&amp;D1482="","",IF(OR(A1482="",B1482="",D1482="",E1482=""),"Incomplete",IF(K1482="Unknown","Unknown code",IF(AND(K1482="Yes",C1482=""),"Billable, needs client",IF(N1482&gt;MaxDayHours,"Over "&amp;MaxDayHours&amp;" hours that day","")))))</f>
        <v/>
      </c>
    </row>
    <row r="1483" customFormat="false" ht="15" hidden="false" customHeight="false" outlineLevel="0" collapsed="false">
      <c r="A1483" s="31" t="n">
        <v>46281</v>
      </c>
      <c r="B1483" s="32" t="s">
        <v>107</v>
      </c>
      <c r="C1483" s="32"/>
      <c r="D1483" s="33" t="s">
        <v>98</v>
      </c>
      <c r="E1483" s="34" t="n">
        <v>2</v>
      </c>
      <c r="F1483" s="32"/>
      <c r="G1483" s="35" t="n">
        <f aca="false">IF(A1483="","",A1483+7-WEEKDAY(A1483))</f>
        <v>46284</v>
      </c>
      <c r="H1483" s="36" t="n">
        <f aca="false">IF(A1483="","",DATE(YEAR(A1483),MONTH(A1483),1))</f>
        <v>46266</v>
      </c>
      <c r="I1483" s="37" t="str">
        <f aca="false">IF(B1483="","",IFERROR(INDEX(st_ID,MATCH(B1483,st_Name,0)),"Unknown"))</f>
        <v>QP-08</v>
      </c>
      <c r="J1483" s="37" t="str">
        <f aca="false">IF(C1483="","",IFERROR(INDEX(cl_Code,MATCH(C1483,cl_Name,0)),"Unknown"))</f>
        <v/>
      </c>
      <c r="K1483" s="37" t="str">
        <f aca="false">IF(D1483="","",IFERROR(INDEX(rt_Billable,MATCH(D1483,rt_Code,0)),"Unknown"))</f>
        <v>No</v>
      </c>
      <c r="L1483" s="38" t="str">
        <f aca="false">IF(K1483&lt;&gt;"Yes","",IFERROR(INDEX(cr_Rate,MATCH(J1483&amp;"|"&amp;D1483,cr_Key,0)),INDEX(rt_Rate,MATCH(D1483,rt_Code,0))))</f>
        <v/>
      </c>
      <c r="M1483" s="25" t="str">
        <f aca="false">IF(L1483="","",ROUND(N(E1483)*L1483,2))</f>
        <v/>
      </c>
      <c r="N1483" s="39" t="n">
        <f aca="false">IF(OR(A1483="",B1483=""),"",SUMIFS(tl_Hours,tl_StaffID,I1483,tl_Date,A1483))</f>
        <v>8</v>
      </c>
      <c r="O1483" s="40" t="str">
        <f aca="false">IF(A1483&amp;B1483&amp;D1483="","",IF(OR(A1483="",B1483="",D1483="",E1483=""),"Incomplete",IF(K1483="Unknown","Unknown code",IF(AND(K1483="Yes",C1483=""),"Billable, needs client",IF(N1483&gt;MaxDayHours,"Over "&amp;MaxDayHours&amp;" hours that day","")))))</f>
        <v/>
      </c>
    </row>
    <row r="1484" customFormat="false" ht="15" hidden="false" customHeight="false" outlineLevel="0" collapsed="false">
      <c r="A1484" s="31" t="n">
        <v>46282</v>
      </c>
      <c r="B1484" s="32" t="s">
        <v>86</v>
      </c>
      <c r="C1484" s="32" t="s">
        <v>90</v>
      </c>
      <c r="D1484" s="33" t="s">
        <v>91</v>
      </c>
      <c r="E1484" s="34" t="n">
        <v>5</v>
      </c>
      <c r="F1484" s="32"/>
      <c r="G1484" s="35" t="n">
        <f aca="false">IF(A1484="","",A1484+7-WEEKDAY(A1484))</f>
        <v>46284</v>
      </c>
      <c r="H1484" s="36" t="n">
        <f aca="false">IF(A1484="","",DATE(YEAR(A1484),MONTH(A1484),1))</f>
        <v>46266</v>
      </c>
      <c r="I1484" s="37" t="str">
        <f aca="false">IF(B1484="","",IFERROR(INDEX(st_ID,MATCH(B1484,st_Name,0)),"Unknown"))</f>
        <v>QP-01</v>
      </c>
      <c r="J1484" s="37" t="str">
        <f aca="false">IF(C1484="","",IFERROR(INDEX(cl_Code,MATCH(C1484,cl_Name,0)),"Unknown"))</f>
        <v>BSE</v>
      </c>
      <c r="K1484" s="37" t="str">
        <f aca="false">IF(D1484="","",IFERROR(INDEX(rt_Billable,MATCH(D1484,rt_Code,0)),"Unknown"))</f>
        <v>Yes</v>
      </c>
      <c r="L1484" s="38" t="n">
        <f aca="false">IF(K1484&lt;&gt;"Yes","",IFERROR(INDEX(cr_Rate,MATCH(J1484&amp;"|"&amp;D1484,cr_Key,0)),INDEX(rt_Rate,MATCH(D1484,rt_Code,0))))</f>
        <v>100</v>
      </c>
      <c r="M1484" s="25" t="n">
        <f aca="false">IF(L1484="","",ROUND(N(E1484)*L1484,2))</f>
        <v>500</v>
      </c>
      <c r="N1484" s="39" t="n">
        <f aca="false">IF(OR(A1484="",B1484=""),"",SUMIFS(tl_Hours,tl_StaffID,I1484,tl_Date,A1484))</f>
        <v>8</v>
      </c>
      <c r="O1484" s="40" t="str">
        <f aca="false">IF(A1484&amp;B1484&amp;D1484="","",IF(OR(A1484="",B1484="",D1484="",E1484=""),"Incomplete",IF(K1484="Unknown","Unknown code",IF(AND(K1484="Yes",C1484=""),"Billable, needs client",IF(N1484&gt;MaxDayHours,"Over "&amp;MaxDayHours&amp;" hours that day","")))))</f>
        <v/>
      </c>
    </row>
    <row r="1485" customFormat="false" ht="15" hidden="false" customHeight="false" outlineLevel="0" collapsed="false">
      <c r="A1485" s="31" t="n">
        <v>46282</v>
      </c>
      <c r="B1485" s="32" t="s">
        <v>86</v>
      </c>
      <c r="C1485" s="32" t="s">
        <v>90</v>
      </c>
      <c r="D1485" s="33" t="s">
        <v>92</v>
      </c>
      <c r="E1485" s="34" t="n">
        <v>1.5</v>
      </c>
      <c r="F1485" s="32"/>
      <c r="G1485" s="35" t="n">
        <f aca="false">IF(A1485="","",A1485+7-WEEKDAY(A1485))</f>
        <v>46284</v>
      </c>
      <c r="H1485" s="36" t="n">
        <f aca="false">IF(A1485="","",DATE(YEAR(A1485),MONTH(A1485),1))</f>
        <v>46266</v>
      </c>
      <c r="I1485" s="37" t="str">
        <f aca="false">IF(B1485="","",IFERROR(INDEX(st_ID,MATCH(B1485,st_Name,0)),"Unknown"))</f>
        <v>QP-01</v>
      </c>
      <c r="J1485" s="37" t="str">
        <f aca="false">IF(C1485="","",IFERROR(INDEX(cl_Code,MATCH(C1485,cl_Name,0)),"Unknown"))</f>
        <v>BSE</v>
      </c>
      <c r="K1485" s="37" t="str">
        <f aca="false">IF(D1485="","",IFERROR(INDEX(rt_Billable,MATCH(D1485,rt_Code,0)),"Unknown"))</f>
        <v>Yes</v>
      </c>
      <c r="L1485" s="38" t="n">
        <f aca="false">IF(K1485&lt;&gt;"Yes","",IFERROR(INDEX(cr_Rate,MATCH(J1485&amp;"|"&amp;D1485,cr_Key,0)),INDEX(rt_Rate,MATCH(D1485,rt_Code,0))))</f>
        <v>145</v>
      </c>
      <c r="M1485" s="25" t="n">
        <f aca="false">IF(L1485="","",ROUND(N(E1485)*L1485,2))</f>
        <v>217.5</v>
      </c>
      <c r="N1485" s="39" t="n">
        <f aca="false">IF(OR(A1485="",B1485=""),"",SUMIFS(tl_Hours,tl_StaffID,I1485,tl_Date,A1485))</f>
        <v>8</v>
      </c>
      <c r="O1485" s="40" t="str">
        <f aca="false">IF(A1485&amp;B1485&amp;D1485="","",IF(OR(A1485="",B1485="",D1485="",E1485=""),"Incomplete",IF(K1485="Unknown","Unknown code",IF(AND(K1485="Yes",C1485=""),"Billable, needs client",IF(N1485&gt;MaxDayHours,"Over "&amp;MaxDayHours&amp;" hours that day","")))))</f>
        <v/>
      </c>
    </row>
    <row r="1486" customFormat="false" ht="15" hidden="false" customHeight="false" outlineLevel="0" collapsed="false">
      <c r="A1486" s="31" t="n">
        <v>46282</v>
      </c>
      <c r="B1486" s="32" t="s">
        <v>86</v>
      </c>
      <c r="C1486" s="32"/>
      <c r="D1486" s="33" t="s">
        <v>96</v>
      </c>
      <c r="E1486" s="34" t="n">
        <v>1.5</v>
      </c>
      <c r="F1486" s="32"/>
      <c r="G1486" s="35" t="n">
        <f aca="false">IF(A1486="","",A1486+7-WEEKDAY(A1486))</f>
        <v>46284</v>
      </c>
      <c r="H1486" s="36" t="n">
        <f aca="false">IF(A1486="","",DATE(YEAR(A1486),MONTH(A1486),1))</f>
        <v>46266</v>
      </c>
      <c r="I1486" s="37" t="str">
        <f aca="false">IF(B1486="","",IFERROR(INDEX(st_ID,MATCH(B1486,st_Name,0)),"Unknown"))</f>
        <v>QP-01</v>
      </c>
      <c r="J1486" s="37" t="str">
        <f aca="false">IF(C1486="","",IFERROR(INDEX(cl_Code,MATCH(C1486,cl_Name,0)),"Unknown"))</f>
        <v/>
      </c>
      <c r="K1486" s="37" t="str">
        <f aca="false">IF(D1486="","",IFERROR(INDEX(rt_Billable,MATCH(D1486,rt_Code,0)),"Unknown"))</f>
        <v>No</v>
      </c>
      <c r="L1486" s="38" t="str">
        <f aca="false">IF(K1486&lt;&gt;"Yes","",IFERROR(INDEX(cr_Rate,MATCH(J1486&amp;"|"&amp;D1486,cr_Key,0)),INDEX(rt_Rate,MATCH(D1486,rt_Code,0))))</f>
        <v/>
      </c>
      <c r="M1486" s="25" t="str">
        <f aca="false">IF(L1486="","",ROUND(N(E1486)*L1486,2))</f>
        <v/>
      </c>
      <c r="N1486" s="39" t="n">
        <f aca="false">IF(OR(A1486="",B1486=""),"",SUMIFS(tl_Hours,tl_StaffID,I1486,tl_Date,A1486))</f>
        <v>8</v>
      </c>
      <c r="O1486" s="40" t="str">
        <f aca="false">IF(A1486&amp;B1486&amp;D1486="","",IF(OR(A1486="",B1486="",D1486="",E1486=""),"Incomplete",IF(K1486="Unknown","Unknown code",IF(AND(K1486="Yes",C1486=""),"Billable, needs client",IF(N1486&gt;MaxDayHours,"Over "&amp;MaxDayHours&amp;" hours that day","")))))</f>
        <v/>
      </c>
    </row>
    <row r="1487" customFormat="false" ht="15" hidden="false" customHeight="false" outlineLevel="0" collapsed="false">
      <c r="A1487" s="31" t="n">
        <v>46282</v>
      </c>
      <c r="B1487" s="32" t="s">
        <v>97</v>
      </c>
      <c r="C1487" s="32" t="s">
        <v>90</v>
      </c>
      <c r="D1487" s="33" t="s">
        <v>88</v>
      </c>
      <c r="E1487" s="34" t="n">
        <v>1.75</v>
      </c>
      <c r="F1487" s="32"/>
      <c r="G1487" s="35" t="n">
        <f aca="false">IF(A1487="","",A1487+7-WEEKDAY(A1487))</f>
        <v>46284</v>
      </c>
      <c r="H1487" s="36" t="n">
        <f aca="false">IF(A1487="","",DATE(YEAR(A1487),MONTH(A1487),1))</f>
        <v>46266</v>
      </c>
      <c r="I1487" s="37" t="str">
        <f aca="false">IF(B1487="","",IFERROR(INDEX(st_ID,MATCH(B1487,st_Name,0)),"Unknown"))</f>
        <v>QP-02</v>
      </c>
      <c r="J1487" s="37" t="str">
        <f aca="false">IF(C1487="","",IFERROR(INDEX(cl_Code,MATCH(C1487,cl_Name,0)),"Unknown"))</f>
        <v>BSE</v>
      </c>
      <c r="K1487" s="37" t="str">
        <f aca="false">IF(D1487="","",IFERROR(INDEX(rt_Billable,MATCH(D1487,rt_Code,0)),"Unknown"))</f>
        <v>Yes</v>
      </c>
      <c r="L1487" s="38" t="n">
        <f aca="false">IF(K1487&lt;&gt;"Yes","",IFERROR(INDEX(cr_Rate,MATCH(J1487&amp;"|"&amp;D1487,cr_Key,0)),INDEX(rt_Rate,MATCH(D1487,rt_Code,0))))</f>
        <v>104</v>
      </c>
      <c r="M1487" s="25" t="n">
        <f aca="false">IF(L1487="","",ROUND(N(E1487)*L1487,2))</f>
        <v>182</v>
      </c>
      <c r="N1487" s="39" t="n">
        <f aca="false">IF(OR(A1487="",B1487=""),"",SUMIFS(tl_Hours,tl_StaffID,I1487,tl_Date,A1487))</f>
        <v>8</v>
      </c>
      <c r="O1487" s="40" t="str">
        <f aca="false">IF(A1487&amp;B1487&amp;D1487="","",IF(OR(A1487="",B1487="",D1487="",E1487=""),"Incomplete",IF(K1487="Unknown","Unknown code",IF(AND(K1487="Yes",C1487=""),"Billable, needs client",IF(N1487&gt;MaxDayHours,"Over "&amp;MaxDayHours&amp;" hours that day","")))))</f>
        <v/>
      </c>
    </row>
    <row r="1488" customFormat="false" ht="15" hidden="false" customHeight="false" outlineLevel="0" collapsed="false">
      <c r="A1488" s="31" t="n">
        <v>46282</v>
      </c>
      <c r="B1488" s="32" t="s">
        <v>97</v>
      </c>
      <c r="C1488" s="32" t="s">
        <v>90</v>
      </c>
      <c r="D1488" s="33" t="s">
        <v>104</v>
      </c>
      <c r="E1488" s="34" t="n">
        <v>1</v>
      </c>
      <c r="F1488" s="32"/>
      <c r="G1488" s="35" t="n">
        <f aca="false">IF(A1488="","",A1488+7-WEEKDAY(A1488))</f>
        <v>46284</v>
      </c>
      <c r="H1488" s="36" t="n">
        <f aca="false">IF(A1488="","",DATE(YEAR(A1488),MONTH(A1488),1))</f>
        <v>46266</v>
      </c>
      <c r="I1488" s="37" t="str">
        <f aca="false">IF(B1488="","",IFERROR(INDEX(st_ID,MATCH(B1488,st_Name,0)),"Unknown"))</f>
        <v>QP-02</v>
      </c>
      <c r="J1488" s="37" t="str">
        <f aca="false">IF(C1488="","",IFERROR(INDEX(cl_Code,MATCH(C1488,cl_Name,0)),"Unknown"))</f>
        <v>BSE</v>
      </c>
      <c r="K1488" s="37" t="str">
        <f aca="false">IF(D1488="","",IFERROR(INDEX(rt_Billable,MATCH(D1488,rt_Code,0)),"Unknown"))</f>
        <v>Yes</v>
      </c>
      <c r="L1488" s="38" t="n">
        <f aca="false">IF(K1488&lt;&gt;"Yes","",IFERROR(INDEX(cr_Rate,MATCH(J1488&amp;"|"&amp;D1488,cr_Key,0)),INDEX(rt_Rate,MATCH(D1488,rt_Code,0))))</f>
        <v>70</v>
      </c>
      <c r="M1488" s="25" t="n">
        <f aca="false">IF(L1488="","",ROUND(N(E1488)*L1488,2))</f>
        <v>70</v>
      </c>
      <c r="N1488" s="39" t="n">
        <f aca="false">IF(OR(A1488="",B1488=""),"",SUMIFS(tl_Hours,tl_StaffID,I1488,tl_Date,A1488))</f>
        <v>8</v>
      </c>
      <c r="O1488" s="40" t="str">
        <f aca="false">IF(A1488&amp;B1488&amp;D1488="","",IF(OR(A1488="",B1488="",D1488="",E1488=""),"Incomplete",IF(K1488="Unknown","Unknown code",IF(AND(K1488="Yes",C1488=""),"Billable, needs client",IF(N1488&gt;MaxDayHours,"Over "&amp;MaxDayHours&amp;" hours that day","")))))</f>
        <v/>
      </c>
    </row>
    <row r="1489" customFormat="false" ht="15" hidden="false" customHeight="false" outlineLevel="0" collapsed="false">
      <c r="A1489" s="31" t="n">
        <v>46282</v>
      </c>
      <c r="B1489" s="32" t="s">
        <v>97</v>
      </c>
      <c r="C1489" s="32" t="s">
        <v>111</v>
      </c>
      <c r="D1489" s="33" t="s">
        <v>88</v>
      </c>
      <c r="E1489" s="34" t="n">
        <v>2.25</v>
      </c>
      <c r="F1489" s="32"/>
      <c r="G1489" s="35" t="n">
        <f aca="false">IF(A1489="","",A1489+7-WEEKDAY(A1489))</f>
        <v>46284</v>
      </c>
      <c r="H1489" s="36" t="n">
        <f aca="false">IF(A1489="","",DATE(YEAR(A1489),MONTH(A1489),1))</f>
        <v>46266</v>
      </c>
      <c r="I1489" s="37" t="str">
        <f aca="false">IF(B1489="","",IFERROR(INDEX(st_ID,MATCH(B1489,st_Name,0)),"Unknown"))</f>
        <v>QP-02</v>
      </c>
      <c r="J1489" s="37" t="str">
        <f aca="false">IF(C1489="","",IFERROR(INDEX(cl_Code,MATCH(C1489,cl_Name,0)),"Unknown"))</f>
        <v>WMS</v>
      </c>
      <c r="K1489" s="37" t="str">
        <f aca="false">IF(D1489="","",IFERROR(INDEX(rt_Billable,MATCH(D1489,rt_Code,0)),"Unknown"))</f>
        <v>Yes</v>
      </c>
      <c r="L1489" s="38" t="n">
        <f aca="false">IF(K1489&lt;&gt;"Yes","",IFERROR(INDEX(cr_Rate,MATCH(J1489&amp;"|"&amp;D1489,cr_Key,0)),INDEX(rt_Rate,MATCH(D1489,rt_Code,0))))</f>
        <v>110</v>
      </c>
      <c r="M1489" s="25" t="n">
        <f aca="false">IF(L1489="","",ROUND(N(E1489)*L1489,2))</f>
        <v>247.5</v>
      </c>
      <c r="N1489" s="39" t="n">
        <f aca="false">IF(OR(A1489="",B1489=""),"",SUMIFS(tl_Hours,tl_StaffID,I1489,tl_Date,A1489))</f>
        <v>8</v>
      </c>
      <c r="O1489" s="40" t="str">
        <f aca="false">IF(A1489&amp;B1489&amp;D1489="","",IF(OR(A1489="",B1489="",D1489="",E1489=""),"Incomplete",IF(K1489="Unknown","Unknown code",IF(AND(K1489="Yes",C1489=""),"Billable, needs client",IF(N1489&gt;MaxDayHours,"Over "&amp;MaxDayHours&amp;" hours that day","")))))</f>
        <v/>
      </c>
    </row>
    <row r="1490" customFormat="false" ht="15" hidden="false" customHeight="false" outlineLevel="0" collapsed="false">
      <c r="A1490" s="31" t="n">
        <v>46282</v>
      </c>
      <c r="B1490" s="32" t="s">
        <v>97</v>
      </c>
      <c r="C1490" s="32" t="s">
        <v>111</v>
      </c>
      <c r="D1490" s="33" t="s">
        <v>89</v>
      </c>
      <c r="E1490" s="34" t="n">
        <v>0.5</v>
      </c>
      <c r="F1490" s="32"/>
      <c r="G1490" s="35" t="n">
        <f aca="false">IF(A1490="","",A1490+7-WEEKDAY(A1490))</f>
        <v>46284</v>
      </c>
      <c r="H1490" s="36" t="n">
        <f aca="false">IF(A1490="","",DATE(YEAR(A1490),MONTH(A1490),1))</f>
        <v>46266</v>
      </c>
      <c r="I1490" s="37" t="str">
        <f aca="false">IF(B1490="","",IFERROR(INDEX(st_ID,MATCH(B1490,st_Name,0)),"Unknown"))</f>
        <v>QP-02</v>
      </c>
      <c r="J1490" s="37" t="str">
        <f aca="false">IF(C1490="","",IFERROR(INDEX(cl_Code,MATCH(C1490,cl_Name,0)),"Unknown"))</f>
        <v>WMS</v>
      </c>
      <c r="K1490" s="37" t="str">
        <f aca="false">IF(D1490="","",IFERROR(INDEX(rt_Billable,MATCH(D1490,rt_Code,0)),"Unknown"))</f>
        <v>Yes</v>
      </c>
      <c r="L1490" s="38" t="n">
        <f aca="false">IF(K1490&lt;&gt;"Yes","",IFERROR(INDEX(cr_Rate,MATCH(J1490&amp;"|"&amp;D1490,cr_Key,0)),INDEX(rt_Rate,MATCH(D1490,rt_Code,0))))</f>
        <v>95</v>
      </c>
      <c r="M1490" s="25" t="n">
        <f aca="false">IF(L1490="","",ROUND(N(E1490)*L1490,2))</f>
        <v>47.5</v>
      </c>
      <c r="N1490" s="39" t="n">
        <f aca="false">IF(OR(A1490="",B1490=""),"",SUMIFS(tl_Hours,tl_StaffID,I1490,tl_Date,A1490))</f>
        <v>8</v>
      </c>
      <c r="O1490" s="40" t="str">
        <f aca="false">IF(A1490&amp;B1490&amp;D1490="","",IF(OR(A1490="",B1490="",D1490="",E1490=""),"Incomplete",IF(K1490="Unknown","Unknown code",IF(AND(K1490="Yes",C1490=""),"Billable, needs client",IF(N1490&gt;MaxDayHours,"Over "&amp;MaxDayHours&amp;" hours that day","")))))</f>
        <v/>
      </c>
    </row>
    <row r="1491" customFormat="false" ht="15" hidden="false" customHeight="false" outlineLevel="0" collapsed="false">
      <c r="A1491" s="31" t="n">
        <v>46282</v>
      </c>
      <c r="B1491" s="32" t="s">
        <v>97</v>
      </c>
      <c r="C1491" s="32"/>
      <c r="D1491" s="33" t="s">
        <v>93</v>
      </c>
      <c r="E1491" s="34" t="n">
        <v>0.5</v>
      </c>
      <c r="F1491" s="32"/>
      <c r="G1491" s="35" t="n">
        <f aca="false">IF(A1491="","",A1491+7-WEEKDAY(A1491))</f>
        <v>46284</v>
      </c>
      <c r="H1491" s="36" t="n">
        <f aca="false">IF(A1491="","",DATE(YEAR(A1491),MONTH(A1491),1))</f>
        <v>46266</v>
      </c>
      <c r="I1491" s="37" t="str">
        <f aca="false">IF(B1491="","",IFERROR(INDEX(st_ID,MATCH(B1491,st_Name,0)),"Unknown"))</f>
        <v>QP-02</v>
      </c>
      <c r="J1491" s="37" t="str">
        <f aca="false">IF(C1491="","",IFERROR(INDEX(cl_Code,MATCH(C1491,cl_Name,0)),"Unknown"))</f>
        <v/>
      </c>
      <c r="K1491" s="37" t="str">
        <f aca="false">IF(D1491="","",IFERROR(INDEX(rt_Billable,MATCH(D1491,rt_Code,0)),"Unknown"))</f>
        <v>No</v>
      </c>
      <c r="L1491" s="38" t="str">
        <f aca="false">IF(K1491&lt;&gt;"Yes","",IFERROR(INDEX(cr_Rate,MATCH(J1491&amp;"|"&amp;D1491,cr_Key,0)),INDEX(rt_Rate,MATCH(D1491,rt_Code,0))))</f>
        <v/>
      </c>
      <c r="M1491" s="25" t="str">
        <f aca="false">IF(L1491="","",ROUND(N(E1491)*L1491,2))</f>
        <v/>
      </c>
      <c r="N1491" s="39" t="n">
        <f aca="false">IF(OR(A1491="",B1491=""),"",SUMIFS(tl_Hours,tl_StaffID,I1491,tl_Date,A1491))</f>
        <v>8</v>
      </c>
      <c r="O1491" s="40" t="str">
        <f aca="false">IF(A1491&amp;B1491&amp;D1491="","",IF(OR(A1491="",B1491="",D1491="",E1491=""),"Incomplete",IF(K1491="Unknown","Unknown code",IF(AND(K1491="Yes",C1491=""),"Billable, needs client",IF(N1491&gt;MaxDayHours,"Over "&amp;MaxDayHours&amp;" hours that day","")))))</f>
        <v/>
      </c>
    </row>
    <row r="1492" customFormat="false" ht="15" hidden="false" customHeight="false" outlineLevel="0" collapsed="false">
      <c r="A1492" s="31" t="n">
        <v>46282</v>
      </c>
      <c r="B1492" s="32" t="s">
        <v>97</v>
      </c>
      <c r="C1492" s="32"/>
      <c r="D1492" s="33" t="s">
        <v>96</v>
      </c>
      <c r="E1492" s="34" t="n">
        <v>2</v>
      </c>
      <c r="F1492" s="32"/>
      <c r="G1492" s="35" t="n">
        <f aca="false">IF(A1492="","",A1492+7-WEEKDAY(A1492))</f>
        <v>46284</v>
      </c>
      <c r="H1492" s="36" t="n">
        <f aca="false">IF(A1492="","",DATE(YEAR(A1492),MONTH(A1492),1))</f>
        <v>46266</v>
      </c>
      <c r="I1492" s="37" t="str">
        <f aca="false">IF(B1492="","",IFERROR(INDEX(st_ID,MATCH(B1492,st_Name,0)),"Unknown"))</f>
        <v>QP-02</v>
      </c>
      <c r="J1492" s="37" t="str">
        <f aca="false">IF(C1492="","",IFERROR(INDEX(cl_Code,MATCH(C1492,cl_Name,0)),"Unknown"))</f>
        <v/>
      </c>
      <c r="K1492" s="37" t="str">
        <f aca="false">IF(D1492="","",IFERROR(INDEX(rt_Billable,MATCH(D1492,rt_Code,0)),"Unknown"))</f>
        <v>No</v>
      </c>
      <c r="L1492" s="38" t="str">
        <f aca="false">IF(K1492&lt;&gt;"Yes","",IFERROR(INDEX(cr_Rate,MATCH(J1492&amp;"|"&amp;D1492,cr_Key,0)),INDEX(rt_Rate,MATCH(D1492,rt_Code,0))))</f>
        <v/>
      </c>
      <c r="M1492" s="25" t="str">
        <f aca="false">IF(L1492="","",ROUND(N(E1492)*L1492,2))</f>
        <v/>
      </c>
      <c r="N1492" s="39" t="n">
        <f aca="false">IF(OR(A1492="",B1492=""),"",SUMIFS(tl_Hours,tl_StaffID,I1492,tl_Date,A1492))</f>
        <v>8</v>
      </c>
      <c r="O1492" s="40" t="str">
        <f aca="false">IF(A1492&amp;B1492&amp;D1492="","",IF(OR(A1492="",B1492="",D1492="",E1492=""),"Incomplete",IF(K1492="Unknown","Unknown code",IF(AND(K1492="Yes",C1492=""),"Billable, needs client",IF(N1492&gt;MaxDayHours,"Over "&amp;MaxDayHours&amp;" hours that day","")))))</f>
        <v/>
      </c>
    </row>
    <row r="1493" customFormat="false" ht="15" hidden="false" customHeight="false" outlineLevel="0" collapsed="false">
      <c r="A1493" s="31" t="n">
        <v>46282</v>
      </c>
      <c r="B1493" s="32" t="s">
        <v>100</v>
      </c>
      <c r="C1493" s="32" t="s">
        <v>102</v>
      </c>
      <c r="D1493" s="33" t="s">
        <v>88</v>
      </c>
      <c r="E1493" s="34" t="n">
        <v>2</v>
      </c>
      <c r="F1493" s="32"/>
      <c r="G1493" s="35" t="n">
        <f aca="false">IF(A1493="","",A1493+7-WEEKDAY(A1493))</f>
        <v>46284</v>
      </c>
      <c r="H1493" s="36" t="n">
        <f aca="false">IF(A1493="","",DATE(YEAR(A1493),MONTH(A1493),1))</f>
        <v>46266</v>
      </c>
      <c r="I1493" s="37" t="str">
        <f aca="false">IF(B1493="","",IFERROR(INDEX(st_ID,MATCH(B1493,st_Name,0)),"Unknown"))</f>
        <v>QP-03</v>
      </c>
      <c r="J1493" s="37" t="str">
        <f aca="false">IF(C1493="","",IFERROR(INDEX(cl_Code,MATCH(C1493,cl_Name,0)),"Unknown"))</f>
        <v>CLH</v>
      </c>
      <c r="K1493" s="37" t="str">
        <f aca="false">IF(D1493="","",IFERROR(INDEX(rt_Billable,MATCH(D1493,rt_Code,0)),"Unknown"))</f>
        <v>Yes</v>
      </c>
      <c r="L1493" s="38" t="n">
        <f aca="false">IF(K1493&lt;&gt;"Yes","",IFERROR(INDEX(cr_Rate,MATCH(J1493&amp;"|"&amp;D1493,cr_Key,0)),INDEX(rt_Rate,MATCH(D1493,rt_Code,0))))</f>
        <v>110</v>
      </c>
      <c r="M1493" s="25" t="n">
        <f aca="false">IF(L1493="","",ROUND(N(E1493)*L1493,2))</f>
        <v>220</v>
      </c>
      <c r="N1493" s="39" t="n">
        <f aca="false">IF(OR(A1493="",B1493=""),"",SUMIFS(tl_Hours,tl_StaffID,I1493,tl_Date,A1493))</f>
        <v>8</v>
      </c>
      <c r="O1493" s="40" t="str">
        <f aca="false">IF(A1493&amp;B1493&amp;D1493="","",IF(OR(A1493="",B1493="",D1493="",E1493=""),"Incomplete",IF(K1493="Unknown","Unknown code",IF(AND(K1493="Yes",C1493=""),"Billable, needs client",IF(N1493&gt;MaxDayHours,"Over "&amp;MaxDayHours&amp;" hours that day","")))))</f>
        <v/>
      </c>
    </row>
    <row r="1494" customFormat="false" ht="15" hidden="false" customHeight="false" outlineLevel="0" collapsed="false">
      <c r="A1494" s="31" t="n">
        <v>46282</v>
      </c>
      <c r="B1494" s="32" t="s">
        <v>100</v>
      </c>
      <c r="C1494" s="32" t="s">
        <v>102</v>
      </c>
      <c r="D1494" s="33" t="s">
        <v>104</v>
      </c>
      <c r="E1494" s="34" t="n">
        <v>0.75</v>
      </c>
      <c r="F1494" s="32"/>
      <c r="G1494" s="35" t="n">
        <f aca="false">IF(A1494="","",A1494+7-WEEKDAY(A1494))</f>
        <v>46284</v>
      </c>
      <c r="H1494" s="36" t="n">
        <f aca="false">IF(A1494="","",DATE(YEAR(A1494),MONTH(A1494),1))</f>
        <v>46266</v>
      </c>
      <c r="I1494" s="37" t="str">
        <f aca="false">IF(B1494="","",IFERROR(INDEX(st_ID,MATCH(B1494,st_Name,0)),"Unknown"))</f>
        <v>QP-03</v>
      </c>
      <c r="J1494" s="37" t="str">
        <f aca="false">IF(C1494="","",IFERROR(INDEX(cl_Code,MATCH(C1494,cl_Name,0)),"Unknown"))</f>
        <v>CLH</v>
      </c>
      <c r="K1494" s="37" t="str">
        <f aca="false">IF(D1494="","",IFERROR(INDEX(rt_Billable,MATCH(D1494,rt_Code,0)),"Unknown"))</f>
        <v>Yes</v>
      </c>
      <c r="L1494" s="38" t="n">
        <f aca="false">IF(K1494&lt;&gt;"Yes","",IFERROR(INDEX(cr_Rate,MATCH(J1494&amp;"|"&amp;D1494,cr_Key,0)),INDEX(rt_Rate,MATCH(D1494,rt_Code,0))))</f>
        <v>65</v>
      </c>
      <c r="M1494" s="25" t="n">
        <f aca="false">IF(L1494="","",ROUND(N(E1494)*L1494,2))</f>
        <v>48.75</v>
      </c>
      <c r="N1494" s="39" t="n">
        <f aca="false">IF(OR(A1494="",B1494=""),"",SUMIFS(tl_Hours,tl_StaffID,I1494,tl_Date,A1494))</f>
        <v>8</v>
      </c>
      <c r="O1494" s="40" t="str">
        <f aca="false">IF(A1494&amp;B1494&amp;D1494="","",IF(OR(A1494="",B1494="",D1494="",E1494=""),"Incomplete",IF(K1494="Unknown","Unknown code",IF(AND(K1494="Yes",C1494=""),"Billable, needs client",IF(N1494&gt;MaxDayHours,"Over "&amp;MaxDayHours&amp;" hours that day","")))))</f>
        <v/>
      </c>
    </row>
    <row r="1495" customFormat="false" ht="15" hidden="false" customHeight="false" outlineLevel="0" collapsed="false">
      <c r="A1495" s="31" t="n">
        <v>46282</v>
      </c>
      <c r="B1495" s="32" t="s">
        <v>100</v>
      </c>
      <c r="C1495" s="32" t="s">
        <v>90</v>
      </c>
      <c r="D1495" s="33" t="s">
        <v>91</v>
      </c>
      <c r="E1495" s="34" t="n">
        <v>1.75</v>
      </c>
      <c r="F1495" s="32"/>
      <c r="G1495" s="35" t="n">
        <f aca="false">IF(A1495="","",A1495+7-WEEKDAY(A1495))</f>
        <v>46284</v>
      </c>
      <c r="H1495" s="36" t="n">
        <f aca="false">IF(A1495="","",DATE(YEAR(A1495),MONTH(A1495),1))</f>
        <v>46266</v>
      </c>
      <c r="I1495" s="37" t="str">
        <f aca="false">IF(B1495="","",IFERROR(INDEX(st_ID,MATCH(B1495,st_Name,0)),"Unknown"))</f>
        <v>QP-03</v>
      </c>
      <c r="J1495" s="37" t="str">
        <f aca="false">IF(C1495="","",IFERROR(INDEX(cl_Code,MATCH(C1495,cl_Name,0)),"Unknown"))</f>
        <v>BSE</v>
      </c>
      <c r="K1495" s="37" t="str">
        <f aca="false">IF(D1495="","",IFERROR(INDEX(rt_Billable,MATCH(D1495,rt_Code,0)),"Unknown"))</f>
        <v>Yes</v>
      </c>
      <c r="L1495" s="38" t="n">
        <f aca="false">IF(K1495&lt;&gt;"Yes","",IFERROR(INDEX(cr_Rate,MATCH(J1495&amp;"|"&amp;D1495,cr_Key,0)),INDEX(rt_Rate,MATCH(D1495,rt_Code,0))))</f>
        <v>100</v>
      </c>
      <c r="M1495" s="25" t="n">
        <f aca="false">IF(L1495="","",ROUND(N(E1495)*L1495,2))</f>
        <v>175</v>
      </c>
      <c r="N1495" s="39" t="n">
        <f aca="false">IF(OR(A1495="",B1495=""),"",SUMIFS(tl_Hours,tl_StaffID,I1495,tl_Date,A1495))</f>
        <v>8</v>
      </c>
      <c r="O1495" s="40" t="str">
        <f aca="false">IF(A1495&amp;B1495&amp;D1495="","",IF(OR(A1495="",B1495="",D1495="",E1495=""),"Incomplete",IF(K1495="Unknown","Unknown code",IF(AND(K1495="Yes",C1495=""),"Billable, needs client",IF(N1495&gt;MaxDayHours,"Over "&amp;MaxDayHours&amp;" hours that day","")))))</f>
        <v/>
      </c>
    </row>
    <row r="1496" customFormat="false" ht="15" hidden="false" customHeight="false" outlineLevel="0" collapsed="false">
      <c r="A1496" s="31" t="n">
        <v>46282</v>
      </c>
      <c r="B1496" s="32" t="s">
        <v>100</v>
      </c>
      <c r="C1496" s="32" t="s">
        <v>90</v>
      </c>
      <c r="D1496" s="33" t="s">
        <v>92</v>
      </c>
      <c r="E1496" s="34" t="n">
        <v>1</v>
      </c>
      <c r="F1496" s="32"/>
      <c r="G1496" s="35" t="n">
        <f aca="false">IF(A1496="","",A1496+7-WEEKDAY(A1496))</f>
        <v>46284</v>
      </c>
      <c r="H1496" s="36" t="n">
        <f aca="false">IF(A1496="","",DATE(YEAR(A1496),MONTH(A1496),1))</f>
        <v>46266</v>
      </c>
      <c r="I1496" s="37" t="str">
        <f aca="false">IF(B1496="","",IFERROR(INDEX(st_ID,MATCH(B1496,st_Name,0)),"Unknown"))</f>
        <v>QP-03</v>
      </c>
      <c r="J1496" s="37" t="str">
        <f aca="false">IF(C1496="","",IFERROR(INDEX(cl_Code,MATCH(C1496,cl_Name,0)),"Unknown"))</f>
        <v>BSE</v>
      </c>
      <c r="K1496" s="37" t="str">
        <f aca="false">IF(D1496="","",IFERROR(INDEX(rt_Billable,MATCH(D1496,rt_Code,0)),"Unknown"))</f>
        <v>Yes</v>
      </c>
      <c r="L1496" s="38" t="n">
        <f aca="false">IF(K1496&lt;&gt;"Yes","",IFERROR(INDEX(cr_Rate,MATCH(J1496&amp;"|"&amp;D1496,cr_Key,0)),INDEX(rt_Rate,MATCH(D1496,rt_Code,0))))</f>
        <v>145</v>
      </c>
      <c r="M1496" s="25" t="n">
        <f aca="false">IF(L1496="","",ROUND(N(E1496)*L1496,2))</f>
        <v>145</v>
      </c>
      <c r="N1496" s="39" t="n">
        <f aca="false">IF(OR(A1496="",B1496=""),"",SUMIFS(tl_Hours,tl_StaffID,I1496,tl_Date,A1496))</f>
        <v>8</v>
      </c>
      <c r="O1496" s="40" t="str">
        <f aca="false">IF(A1496&amp;B1496&amp;D1496="","",IF(OR(A1496="",B1496="",D1496="",E1496=""),"Incomplete",IF(K1496="Unknown","Unknown code",IF(AND(K1496="Yes",C1496=""),"Billable, needs client",IF(N1496&gt;MaxDayHours,"Over "&amp;MaxDayHours&amp;" hours that day","")))))</f>
        <v/>
      </c>
    </row>
    <row r="1497" customFormat="false" ht="15" hidden="false" customHeight="false" outlineLevel="0" collapsed="false">
      <c r="A1497" s="31" t="n">
        <v>46282</v>
      </c>
      <c r="B1497" s="32" t="s">
        <v>100</v>
      </c>
      <c r="C1497" s="32"/>
      <c r="D1497" s="33" t="s">
        <v>93</v>
      </c>
      <c r="E1497" s="34" t="n">
        <v>0.5</v>
      </c>
      <c r="F1497" s="32"/>
      <c r="G1497" s="35" t="n">
        <f aca="false">IF(A1497="","",A1497+7-WEEKDAY(A1497))</f>
        <v>46284</v>
      </c>
      <c r="H1497" s="36" t="n">
        <f aca="false">IF(A1497="","",DATE(YEAR(A1497),MONTH(A1497),1))</f>
        <v>46266</v>
      </c>
      <c r="I1497" s="37" t="str">
        <f aca="false">IF(B1497="","",IFERROR(INDEX(st_ID,MATCH(B1497,st_Name,0)),"Unknown"))</f>
        <v>QP-03</v>
      </c>
      <c r="J1497" s="37" t="str">
        <f aca="false">IF(C1497="","",IFERROR(INDEX(cl_Code,MATCH(C1497,cl_Name,0)),"Unknown"))</f>
        <v/>
      </c>
      <c r="K1497" s="37" t="str">
        <f aca="false">IF(D1497="","",IFERROR(INDEX(rt_Billable,MATCH(D1497,rt_Code,0)),"Unknown"))</f>
        <v>No</v>
      </c>
      <c r="L1497" s="38" t="str">
        <f aca="false">IF(K1497&lt;&gt;"Yes","",IFERROR(INDEX(cr_Rate,MATCH(J1497&amp;"|"&amp;D1497,cr_Key,0)),INDEX(rt_Rate,MATCH(D1497,rt_Code,0))))</f>
        <v/>
      </c>
      <c r="M1497" s="25" t="str">
        <f aca="false">IF(L1497="","",ROUND(N(E1497)*L1497,2))</f>
        <v/>
      </c>
      <c r="N1497" s="39" t="n">
        <f aca="false">IF(OR(A1497="",B1497=""),"",SUMIFS(tl_Hours,tl_StaffID,I1497,tl_Date,A1497))</f>
        <v>8</v>
      </c>
      <c r="O1497" s="40" t="str">
        <f aca="false">IF(A1497&amp;B1497&amp;D1497="","",IF(OR(A1497="",B1497="",D1497="",E1497=""),"Incomplete",IF(K1497="Unknown","Unknown code",IF(AND(K1497="Yes",C1497=""),"Billable, needs client",IF(N1497&gt;MaxDayHours,"Over "&amp;MaxDayHours&amp;" hours that day","")))))</f>
        <v/>
      </c>
    </row>
    <row r="1498" customFormat="false" ht="15" hidden="false" customHeight="false" outlineLevel="0" collapsed="false">
      <c r="A1498" s="31" t="n">
        <v>46282</v>
      </c>
      <c r="B1498" s="32" t="s">
        <v>100</v>
      </c>
      <c r="C1498" s="32"/>
      <c r="D1498" s="33" t="s">
        <v>96</v>
      </c>
      <c r="E1498" s="34" t="n">
        <v>2</v>
      </c>
      <c r="F1498" s="32"/>
      <c r="G1498" s="35" t="n">
        <f aca="false">IF(A1498="","",A1498+7-WEEKDAY(A1498))</f>
        <v>46284</v>
      </c>
      <c r="H1498" s="36" t="n">
        <f aca="false">IF(A1498="","",DATE(YEAR(A1498),MONTH(A1498),1))</f>
        <v>46266</v>
      </c>
      <c r="I1498" s="37" t="str">
        <f aca="false">IF(B1498="","",IFERROR(INDEX(st_ID,MATCH(B1498,st_Name,0)),"Unknown"))</f>
        <v>QP-03</v>
      </c>
      <c r="J1498" s="37" t="str">
        <f aca="false">IF(C1498="","",IFERROR(INDEX(cl_Code,MATCH(C1498,cl_Name,0)),"Unknown"))</f>
        <v/>
      </c>
      <c r="K1498" s="37" t="str">
        <f aca="false">IF(D1498="","",IFERROR(INDEX(rt_Billable,MATCH(D1498,rt_Code,0)),"Unknown"))</f>
        <v>No</v>
      </c>
      <c r="L1498" s="38" t="str">
        <f aca="false">IF(K1498&lt;&gt;"Yes","",IFERROR(INDEX(cr_Rate,MATCH(J1498&amp;"|"&amp;D1498,cr_Key,0)),INDEX(rt_Rate,MATCH(D1498,rt_Code,0))))</f>
        <v/>
      </c>
      <c r="M1498" s="25" t="str">
        <f aca="false">IF(L1498="","",ROUND(N(E1498)*L1498,2))</f>
        <v/>
      </c>
      <c r="N1498" s="39" t="n">
        <f aca="false">IF(OR(A1498="",B1498=""),"",SUMIFS(tl_Hours,tl_StaffID,I1498,tl_Date,A1498))</f>
        <v>8</v>
      </c>
      <c r="O1498" s="40" t="str">
        <f aca="false">IF(A1498&amp;B1498&amp;D1498="","",IF(OR(A1498="",B1498="",D1498="",E1498=""),"Incomplete",IF(K1498="Unknown","Unknown code",IF(AND(K1498="Yes",C1498=""),"Billable, needs client",IF(N1498&gt;MaxDayHours,"Over "&amp;MaxDayHours&amp;" hours that day","")))))</f>
        <v/>
      </c>
    </row>
    <row r="1499" customFormat="false" ht="15" hidden="false" customHeight="false" outlineLevel="0" collapsed="false">
      <c r="A1499" s="31" t="n">
        <v>46282</v>
      </c>
      <c r="B1499" s="32" t="s">
        <v>101</v>
      </c>
      <c r="C1499" s="32" t="s">
        <v>112</v>
      </c>
      <c r="D1499" s="33" t="s">
        <v>104</v>
      </c>
      <c r="E1499" s="34" t="n">
        <v>3.75</v>
      </c>
      <c r="F1499" s="32"/>
      <c r="G1499" s="35" t="n">
        <f aca="false">IF(A1499="","",A1499+7-WEEKDAY(A1499))</f>
        <v>46284</v>
      </c>
      <c r="H1499" s="36" t="n">
        <f aca="false">IF(A1499="","",DATE(YEAR(A1499),MONTH(A1499),1))</f>
        <v>46266</v>
      </c>
      <c r="I1499" s="37" t="str">
        <f aca="false">IF(B1499="","",IFERROR(INDEX(st_ID,MATCH(B1499,st_Name,0)),"Unknown"))</f>
        <v>QP-04</v>
      </c>
      <c r="J1499" s="37" t="str">
        <f aca="false">IF(C1499="","",IFERROR(INDEX(cl_Code,MATCH(C1499,cl_Name,0)),"Unknown"))</f>
        <v>PCA</v>
      </c>
      <c r="K1499" s="37" t="str">
        <f aca="false">IF(D1499="","",IFERROR(INDEX(rt_Billable,MATCH(D1499,rt_Code,0)),"Unknown"))</f>
        <v>Yes</v>
      </c>
      <c r="L1499" s="38" t="n">
        <f aca="false">IF(K1499&lt;&gt;"Yes","",IFERROR(INDEX(cr_Rate,MATCH(J1499&amp;"|"&amp;D1499,cr_Key,0)),INDEX(rt_Rate,MATCH(D1499,rt_Code,0))))</f>
        <v>70</v>
      </c>
      <c r="M1499" s="25" t="n">
        <f aca="false">IF(L1499="","",ROUND(N(E1499)*L1499,2))</f>
        <v>262.5</v>
      </c>
      <c r="N1499" s="39" t="n">
        <f aca="false">IF(OR(A1499="",B1499=""),"",SUMIFS(tl_Hours,tl_StaffID,I1499,tl_Date,A1499))</f>
        <v>8</v>
      </c>
      <c r="O1499" s="40" t="str">
        <f aca="false">IF(A1499&amp;B1499&amp;D1499="","",IF(OR(A1499="",B1499="",D1499="",E1499=""),"Incomplete",IF(K1499="Unknown","Unknown code",IF(AND(K1499="Yes",C1499=""),"Billable, needs client",IF(N1499&gt;MaxDayHours,"Over "&amp;MaxDayHours&amp;" hours that day","")))))</f>
        <v/>
      </c>
    </row>
    <row r="1500" customFormat="false" ht="15" hidden="false" customHeight="false" outlineLevel="0" collapsed="false">
      <c r="A1500" s="31" t="n">
        <v>46282</v>
      </c>
      <c r="B1500" s="32" t="s">
        <v>101</v>
      </c>
      <c r="C1500" s="32" t="s">
        <v>112</v>
      </c>
      <c r="D1500" s="33" t="s">
        <v>88</v>
      </c>
      <c r="E1500" s="34" t="n">
        <v>2.25</v>
      </c>
      <c r="F1500" s="32"/>
      <c r="G1500" s="35" t="n">
        <f aca="false">IF(A1500="","",A1500+7-WEEKDAY(A1500))</f>
        <v>46284</v>
      </c>
      <c r="H1500" s="36" t="n">
        <f aca="false">IF(A1500="","",DATE(YEAR(A1500),MONTH(A1500),1))</f>
        <v>46266</v>
      </c>
      <c r="I1500" s="37" t="str">
        <f aca="false">IF(B1500="","",IFERROR(INDEX(st_ID,MATCH(B1500,st_Name,0)),"Unknown"))</f>
        <v>QP-04</v>
      </c>
      <c r="J1500" s="37" t="str">
        <f aca="false">IF(C1500="","",IFERROR(INDEX(cl_Code,MATCH(C1500,cl_Name,0)),"Unknown"))</f>
        <v>PCA</v>
      </c>
      <c r="K1500" s="37" t="str">
        <f aca="false">IF(D1500="","",IFERROR(INDEX(rt_Billable,MATCH(D1500,rt_Code,0)),"Unknown"))</f>
        <v>Yes</v>
      </c>
      <c r="L1500" s="38" t="n">
        <f aca="false">IF(K1500&lt;&gt;"Yes","",IFERROR(INDEX(cr_Rate,MATCH(J1500&amp;"|"&amp;D1500,cr_Key,0)),INDEX(rt_Rate,MATCH(D1500,rt_Code,0))))</f>
        <v>110</v>
      </c>
      <c r="M1500" s="25" t="n">
        <f aca="false">IF(L1500="","",ROUND(N(E1500)*L1500,2))</f>
        <v>247.5</v>
      </c>
      <c r="N1500" s="39" t="n">
        <f aca="false">IF(OR(A1500="",B1500=""),"",SUMIFS(tl_Hours,tl_StaffID,I1500,tl_Date,A1500))</f>
        <v>8</v>
      </c>
      <c r="O1500" s="40" t="str">
        <f aca="false">IF(A1500&amp;B1500&amp;D1500="","",IF(OR(A1500="",B1500="",D1500="",E1500=""),"Incomplete",IF(K1500="Unknown","Unknown code",IF(AND(K1500="Yes",C1500=""),"Billable, needs client",IF(N1500&gt;MaxDayHours,"Over "&amp;MaxDayHours&amp;" hours that day","")))))</f>
        <v/>
      </c>
    </row>
    <row r="1501" customFormat="false" ht="15" hidden="false" customHeight="false" outlineLevel="0" collapsed="false">
      <c r="A1501" s="31" t="n">
        <v>46282</v>
      </c>
      <c r="B1501" s="32" t="s">
        <v>101</v>
      </c>
      <c r="C1501" s="32"/>
      <c r="D1501" s="33" t="s">
        <v>96</v>
      </c>
      <c r="E1501" s="34" t="n">
        <v>2</v>
      </c>
      <c r="F1501" s="32"/>
      <c r="G1501" s="35" t="n">
        <f aca="false">IF(A1501="","",A1501+7-WEEKDAY(A1501))</f>
        <v>46284</v>
      </c>
      <c r="H1501" s="36" t="n">
        <f aca="false">IF(A1501="","",DATE(YEAR(A1501),MONTH(A1501),1))</f>
        <v>46266</v>
      </c>
      <c r="I1501" s="37" t="str">
        <f aca="false">IF(B1501="","",IFERROR(INDEX(st_ID,MATCH(B1501,st_Name,0)),"Unknown"))</f>
        <v>QP-04</v>
      </c>
      <c r="J1501" s="37" t="str">
        <f aca="false">IF(C1501="","",IFERROR(INDEX(cl_Code,MATCH(C1501,cl_Name,0)),"Unknown"))</f>
        <v/>
      </c>
      <c r="K1501" s="37" t="str">
        <f aca="false">IF(D1501="","",IFERROR(INDEX(rt_Billable,MATCH(D1501,rt_Code,0)),"Unknown"))</f>
        <v>No</v>
      </c>
      <c r="L1501" s="38" t="str">
        <f aca="false">IF(K1501&lt;&gt;"Yes","",IFERROR(INDEX(cr_Rate,MATCH(J1501&amp;"|"&amp;D1501,cr_Key,0)),INDEX(rt_Rate,MATCH(D1501,rt_Code,0))))</f>
        <v/>
      </c>
      <c r="M1501" s="25" t="str">
        <f aca="false">IF(L1501="","",ROUND(N(E1501)*L1501,2))</f>
        <v/>
      </c>
      <c r="N1501" s="39" t="n">
        <f aca="false">IF(OR(A1501="",B1501=""),"",SUMIFS(tl_Hours,tl_StaffID,I1501,tl_Date,A1501))</f>
        <v>8</v>
      </c>
      <c r="O1501" s="40" t="str">
        <f aca="false">IF(A1501&amp;B1501&amp;D1501="","",IF(OR(A1501="",B1501="",D1501="",E1501=""),"Incomplete",IF(K1501="Unknown","Unknown code",IF(AND(K1501="Yes",C1501=""),"Billable, needs client",IF(N1501&gt;MaxDayHours,"Over "&amp;MaxDayHours&amp;" hours that day","")))))</f>
        <v/>
      </c>
    </row>
    <row r="1502" customFormat="false" ht="15" hidden="false" customHeight="false" outlineLevel="0" collapsed="false">
      <c r="A1502" s="31" t="n">
        <v>46282</v>
      </c>
      <c r="B1502" s="32" t="s">
        <v>103</v>
      </c>
      <c r="C1502" s="32" t="s">
        <v>90</v>
      </c>
      <c r="D1502" s="33" t="s">
        <v>91</v>
      </c>
      <c r="E1502" s="34" t="n">
        <v>4.5</v>
      </c>
      <c r="F1502" s="32"/>
      <c r="G1502" s="35" t="n">
        <f aca="false">IF(A1502="","",A1502+7-WEEKDAY(A1502))</f>
        <v>46284</v>
      </c>
      <c r="H1502" s="36" t="n">
        <f aca="false">IF(A1502="","",DATE(YEAR(A1502),MONTH(A1502),1))</f>
        <v>46266</v>
      </c>
      <c r="I1502" s="37" t="str">
        <f aca="false">IF(B1502="","",IFERROR(INDEX(st_ID,MATCH(B1502,st_Name,0)),"Unknown"))</f>
        <v>QP-05</v>
      </c>
      <c r="J1502" s="37" t="str">
        <f aca="false">IF(C1502="","",IFERROR(INDEX(cl_Code,MATCH(C1502,cl_Name,0)),"Unknown"))</f>
        <v>BSE</v>
      </c>
      <c r="K1502" s="37" t="str">
        <f aca="false">IF(D1502="","",IFERROR(INDEX(rt_Billable,MATCH(D1502,rt_Code,0)),"Unknown"))</f>
        <v>Yes</v>
      </c>
      <c r="L1502" s="38" t="n">
        <f aca="false">IF(K1502&lt;&gt;"Yes","",IFERROR(INDEX(cr_Rate,MATCH(J1502&amp;"|"&amp;D1502,cr_Key,0)),INDEX(rt_Rate,MATCH(D1502,rt_Code,0))))</f>
        <v>100</v>
      </c>
      <c r="M1502" s="25" t="n">
        <f aca="false">IF(L1502="","",ROUND(N(E1502)*L1502,2))</f>
        <v>450</v>
      </c>
      <c r="N1502" s="39" t="n">
        <f aca="false">IF(OR(A1502="",B1502=""),"",SUMIFS(tl_Hours,tl_StaffID,I1502,tl_Date,A1502))</f>
        <v>8</v>
      </c>
      <c r="O1502" s="40" t="str">
        <f aca="false">IF(A1502&amp;B1502&amp;D1502="","",IF(OR(A1502="",B1502="",D1502="",E1502=""),"Incomplete",IF(K1502="Unknown","Unknown code",IF(AND(K1502="Yes",C1502=""),"Billable, needs client",IF(N1502&gt;MaxDayHours,"Over "&amp;MaxDayHours&amp;" hours that day","")))))</f>
        <v/>
      </c>
    </row>
    <row r="1503" customFormat="false" ht="15" hidden="false" customHeight="false" outlineLevel="0" collapsed="false">
      <c r="A1503" s="31" t="n">
        <v>46282</v>
      </c>
      <c r="B1503" s="32" t="s">
        <v>103</v>
      </c>
      <c r="C1503" s="32" t="s">
        <v>90</v>
      </c>
      <c r="D1503" s="33" t="s">
        <v>88</v>
      </c>
      <c r="E1503" s="34" t="n">
        <v>0.75</v>
      </c>
      <c r="F1503" s="32"/>
      <c r="G1503" s="35" t="n">
        <f aca="false">IF(A1503="","",A1503+7-WEEKDAY(A1503))</f>
        <v>46284</v>
      </c>
      <c r="H1503" s="36" t="n">
        <f aca="false">IF(A1503="","",DATE(YEAR(A1503),MONTH(A1503),1))</f>
        <v>46266</v>
      </c>
      <c r="I1503" s="37" t="str">
        <f aca="false">IF(B1503="","",IFERROR(INDEX(st_ID,MATCH(B1503,st_Name,0)),"Unknown"))</f>
        <v>QP-05</v>
      </c>
      <c r="J1503" s="37" t="str">
        <f aca="false">IF(C1503="","",IFERROR(INDEX(cl_Code,MATCH(C1503,cl_Name,0)),"Unknown"))</f>
        <v>BSE</v>
      </c>
      <c r="K1503" s="37" t="str">
        <f aca="false">IF(D1503="","",IFERROR(INDEX(rt_Billable,MATCH(D1503,rt_Code,0)),"Unknown"))</f>
        <v>Yes</v>
      </c>
      <c r="L1503" s="38" t="n">
        <f aca="false">IF(K1503&lt;&gt;"Yes","",IFERROR(INDEX(cr_Rate,MATCH(J1503&amp;"|"&amp;D1503,cr_Key,0)),INDEX(rt_Rate,MATCH(D1503,rt_Code,0))))</f>
        <v>104</v>
      </c>
      <c r="M1503" s="25" t="n">
        <f aca="false">IF(L1503="","",ROUND(N(E1503)*L1503,2))</f>
        <v>78</v>
      </c>
      <c r="N1503" s="39" t="n">
        <f aca="false">IF(OR(A1503="",B1503=""),"",SUMIFS(tl_Hours,tl_StaffID,I1503,tl_Date,A1503))</f>
        <v>8</v>
      </c>
      <c r="O1503" s="40" t="str">
        <f aca="false">IF(A1503&amp;B1503&amp;D1503="","",IF(OR(A1503="",B1503="",D1503="",E1503=""),"Incomplete",IF(K1503="Unknown","Unknown code",IF(AND(K1503="Yes",C1503=""),"Billable, needs client",IF(N1503&gt;MaxDayHours,"Over "&amp;MaxDayHours&amp;" hours that day","")))))</f>
        <v/>
      </c>
    </row>
    <row r="1504" customFormat="false" ht="15" hidden="false" customHeight="false" outlineLevel="0" collapsed="false">
      <c r="A1504" s="31" t="n">
        <v>46282</v>
      </c>
      <c r="B1504" s="32" t="s">
        <v>103</v>
      </c>
      <c r="C1504" s="32"/>
      <c r="D1504" s="33" t="s">
        <v>96</v>
      </c>
      <c r="E1504" s="34" t="n">
        <v>2.75</v>
      </c>
      <c r="F1504" s="32"/>
      <c r="G1504" s="35" t="n">
        <f aca="false">IF(A1504="","",A1504+7-WEEKDAY(A1504))</f>
        <v>46284</v>
      </c>
      <c r="H1504" s="36" t="n">
        <f aca="false">IF(A1504="","",DATE(YEAR(A1504),MONTH(A1504),1))</f>
        <v>46266</v>
      </c>
      <c r="I1504" s="37" t="str">
        <f aca="false">IF(B1504="","",IFERROR(INDEX(st_ID,MATCH(B1504,st_Name,0)),"Unknown"))</f>
        <v>QP-05</v>
      </c>
      <c r="J1504" s="37" t="str">
        <f aca="false">IF(C1504="","",IFERROR(INDEX(cl_Code,MATCH(C1504,cl_Name,0)),"Unknown"))</f>
        <v/>
      </c>
      <c r="K1504" s="37" t="str">
        <f aca="false">IF(D1504="","",IFERROR(INDEX(rt_Billable,MATCH(D1504,rt_Code,0)),"Unknown"))</f>
        <v>No</v>
      </c>
      <c r="L1504" s="38" t="str">
        <f aca="false">IF(K1504&lt;&gt;"Yes","",IFERROR(INDEX(cr_Rate,MATCH(J1504&amp;"|"&amp;D1504,cr_Key,0)),INDEX(rt_Rate,MATCH(D1504,rt_Code,0))))</f>
        <v/>
      </c>
      <c r="M1504" s="25" t="str">
        <f aca="false">IF(L1504="","",ROUND(N(E1504)*L1504,2))</f>
        <v/>
      </c>
      <c r="N1504" s="39" t="n">
        <f aca="false">IF(OR(A1504="",B1504=""),"",SUMIFS(tl_Hours,tl_StaffID,I1504,tl_Date,A1504))</f>
        <v>8</v>
      </c>
      <c r="O1504" s="40" t="str">
        <f aca="false">IF(A1504&amp;B1504&amp;D1504="","",IF(OR(A1504="",B1504="",D1504="",E1504=""),"Incomplete",IF(K1504="Unknown","Unknown code",IF(AND(K1504="Yes",C1504=""),"Billable, needs client",IF(N1504&gt;MaxDayHours,"Over "&amp;MaxDayHours&amp;" hours that day","")))))</f>
        <v/>
      </c>
    </row>
    <row r="1505" customFormat="false" ht="15" hidden="false" customHeight="false" outlineLevel="0" collapsed="false">
      <c r="A1505" s="31" t="n">
        <v>46282</v>
      </c>
      <c r="B1505" s="32" t="s">
        <v>105</v>
      </c>
      <c r="C1505" s="32" t="s">
        <v>87</v>
      </c>
      <c r="D1505" s="33" t="s">
        <v>104</v>
      </c>
      <c r="E1505" s="34" t="n">
        <v>4</v>
      </c>
      <c r="F1505" s="32"/>
      <c r="G1505" s="35" t="n">
        <f aca="false">IF(A1505="","",A1505+7-WEEKDAY(A1505))</f>
        <v>46284</v>
      </c>
      <c r="H1505" s="36" t="n">
        <f aca="false">IF(A1505="","",DATE(YEAR(A1505),MONTH(A1505),1))</f>
        <v>46266</v>
      </c>
      <c r="I1505" s="37" t="str">
        <f aca="false">IF(B1505="","",IFERROR(INDEX(st_ID,MATCH(B1505,st_Name,0)),"Unknown"))</f>
        <v>QP-06</v>
      </c>
      <c r="J1505" s="37" t="str">
        <f aca="false">IF(C1505="","",IFERROR(INDEX(cl_Code,MATCH(C1505,cl_Name,0)),"Unknown"))</f>
        <v>HCS</v>
      </c>
      <c r="K1505" s="37" t="str">
        <f aca="false">IF(D1505="","",IFERROR(INDEX(rt_Billable,MATCH(D1505,rt_Code,0)),"Unknown"))</f>
        <v>Yes</v>
      </c>
      <c r="L1505" s="38" t="n">
        <f aca="false">IF(K1505&lt;&gt;"Yes","",IFERROR(INDEX(cr_Rate,MATCH(J1505&amp;"|"&amp;D1505,cr_Key,0)),INDEX(rt_Rate,MATCH(D1505,rt_Code,0))))</f>
        <v>62</v>
      </c>
      <c r="M1505" s="25" t="n">
        <f aca="false">IF(L1505="","",ROUND(N(E1505)*L1505,2))</f>
        <v>248</v>
      </c>
      <c r="N1505" s="39" t="n">
        <f aca="false">IF(OR(A1505="",B1505=""),"",SUMIFS(tl_Hours,tl_StaffID,I1505,tl_Date,A1505))</f>
        <v>8</v>
      </c>
      <c r="O1505" s="40" t="str">
        <f aca="false">IF(A1505&amp;B1505&amp;D1505="","",IF(OR(A1505="",B1505="",D1505="",E1505=""),"Incomplete",IF(K1505="Unknown","Unknown code",IF(AND(K1505="Yes",C1505=""),"Billable, needs client",IF(N1505&gt;MaxDayHours,"Over "&amp;MaxDayHours&amp;" hours that day","")))))</f>
        <v/>
      </c>
    </row>
    <row r="1506" customFormat="false" ht="15" hidden="false" customHeight="false" outlineLevel="0" collapsed="false">
      <c r="A1506" s="31" t="n">
        <v>46282</v>
      </c>
      <c r="B1506" s="32" t="s">
        <v>105</v>
      </c>
      <c r="C1506" s="32" t="s">
        <v>87</v>
      </c>
      <c r="D1506" s="33" t="s">
        <v>89</v>
      </c>
      <c r="E1506" s="34" t="n">
        <v>1.75</v>
      </c>
      <c r="F1506" s="32"/>
      <c r="G1506" s="35" t="n">
        <f aca="false">IF(A1506="","",A1506+7-WEEKDAY(A1506))</f>
        <v>46284</v>
      </c>
      <c r="H1506" s="36" t="n">
        <f aca="false">IF(A1506="","",DATE(YEAR(A1506),MONTH(A1506),1))</f>
        <v>46266</v>
      </c>
      <c r="I1506" s="37" t="str">
        <f aca="false">IF(B1506="","",IFERROR(INDEX(st_ID,MATCH(B1506,st_Name,0)),"Unknown"))</f>
        <v>QP-06</v>
      </c>
      <c r="J1506" s="37" t="str">
        <f aca="false">IF(C1506="","",IFERROR(INDEX(cl_Code,MATCH(C1506,cl_Name,0)),"Unknown"))</f>
        <v>HCS</v>
      </c>
      <c r="K1506" s="37" t="str">
        <f aca="false">IF(D1506="","",IFERROR(INDEX(rt_Billable,MATCH(D1506,rt_Code,0)),"Unknown"))</f>
        <v>Yes</v>
      </c>
      <c r="L1506" s="38" t="n">
        <f aca="false">IF(K1506&lt;&gt;"Yes","",IFERROR(INDEX(cr_Rate,MATCH(J1506&amp;"|"&amp;D1506,cr_Key,0)),INDEX(rt_Rate,MATCH(D1506,rt_Code,0))))</f>
        <v>88</v>
      </c>
      <c r="M1506" s="25" t="n">
        <f aca="false">IF(L1506="","",ROUND(N(E1506)*L1506,2))</f>
        <v>154</v>
      </c>
      <c r="N1506" s="39" t="n">
        <f aca="false">IF(OR(A1506="",B1506=""),"",SUMIFS(tl_Hours,tl_StaffID,I1506,tl_Date,A1506))</f>
        <v>8</v>
      </c>
      <c r="O1506" s="40" t="str">
        <f aca="false">IF(A1506&amp;B1506&amp;D1506="","",IF(OR(A1506="",B1506="",D1506="",E1506=""),"Incomplete",IF(K1506="Unknown","Unknown code",IF(AND(K1506="Yes",C1506=""),"Billable, needs client",IF(N1506&gt;MaxDayHours,"Over "&amp;MaxDayHours&amp;" hours that day","")))))</f>
        <v/>
      </c>
    </row>
    <row r="1507" customFormat="false" ht="15" hidden="false" customHeight="false" outlineLevel="0" collapsed="false">
      <c r="A1507" s="31" t="n">
        <v>46282</v>
      </c>
      <c r="B1507" s="32" t="s">
        <v>105</v>
      </c>
      <c r="C1507" s="32"/>
      <c r="D1507" s="33" t="s">
        <v>96</v>
      </c>
      <c r="E1507" s="34" t="n">
        <v>2.25</v>
      </c>
      <c r="F1507" s="32"/>
      <c r="G1507" s="35" t="n">
        <f aca="false">IF(A1507="","",A1507+7-WEEKDAY(A1507))</f>
        <v>46284</v>
      </c>
      <c r="H1507" s="36" t="n">
        <f aca="false">IF(A1507="","",DATE(YEAR(A1507),MONTH(A1507),1))</f>
        <v>46266</v>
      </c>
      <c r="I1507" s="37" t="str">
        <f aca="false">IF(B1507="","",IFERROR(INDEX(st_ID,MATCH(B1507,st_Name,0)),"Unknown"))</f>
        <v>QP-06</v>
      </c>
      <c r="J1507" s="37" t="str">
        <f aca="false">IF(C1507="","",IFERROR(INDEX(cl_Code,MATCH(C1507,cl_Name,0)),"Unknown"))</f>
        <v/>
      </c>
      <c r="K1507" s="37" t="str">
        <f aca="false">IF(D1507="","",IFERROR(INDEX(rt_Billable,MATCH(D1507,rt_Code,0)),"Unknown"))</f>
        <v>No</v>
      </c>
      <c r="L1507" s="38" t="str">
        <f aca="false">IF(K1507&lt;&gt;"Yes","",IFERROR(INDEX(cr_Rate,MATCH(J1507&amp;"|"&amp;D1507,cr_Key,0)),INDEX(rt_Rate,MATCH(D1507,rt_Code,0))))</f>
        <v/>
      </c>
      <c r="M1507" s="25" t="str">
        <f aca="false">IF(L1507="","",ROUND(N(E1507)*L1507,2))</f>
        <v/>
      </c>
      <c r="N1507" s="39" t="n">
        <f aca="false">IF(OR(A1507="",B1507=""),"",SUMIFS(tl_Hours,tl_StaffID,I1507,tl_Date,A1507))</f>
        <v>8</v>
      </c>
      <c r="O1507" s="40" t="str">
        <f aca="false">IF(A1507&amp;B1507&amp;D1507="","",IF(OR(A1507="",B1507="",D1507="",E1507=""),"Incomplete",IF(K1507="Unknown","Unknown code",IF(AND(K1507="Yes",C1507=""),"Billable, needs client",IF(N1507&gt;MaxDayHours,"Over "&amp;MaxDayHours&amp;" hours that day","")))))</f>
        <v/>
      </c>
    </row>
    <row r="1508" customFormat="false" ht="15" hidden="false" customHeight="false" outlineLevel="0" collapsed="false">
      <c r="A1508" s="31" t="n">
        <v>46282</v>
      </c>
      <c r="B1508" s="32" t="s">
        <v>106</v>
      </c>
      <c r="C1508" s="32" t="s">
        <v>112</v>
      </c>
      <c r="D1508" s="33" t="s">
        <v>88</v>
      </c>
      <c r="E1508" s="34" t="n">
        <v>4.5</v>
      </c>
      <c r="F1508" s="32"/>
      <c r="G1508" s="35" t="n">
        <f aca="false">IF(A1508="","",A1508+7-WEEKDAY(A1508))</f>
        <v>46284</v>
      </c>
      <c r="H1508" s="36" t="n">
        <f aca="false">IF(A1508="","",DATE(YEAR(A1508),MONTH(A1508),1))</f>
        <v>46266</v>
      </c>
      <c r="I1508" s="37" t="str">
        <f aca="false">IF(B1508="","",IFERROR(INDEX(st_ID,MATCH(B1508,st_Name,0)),"Unknown"))</f>
        <v>QP-07</v>
      </c>
      <c r="J1508" s="37" t="str">
        <f aca="false">IF(C1508="","",IFERROR(INDEX(cl_Code,MATCH(C1508,cl_Name,0)),"Unknown"))</f>
        <v>PCA</v>
      </c>
      <c r="K1508" s="37" t="str">
        <f aca="false">IF(D1508="","",IFERROR(INDEX(rt_Billable,MATCH(D1508,rt_Code,0)),"Unknown"))</f>
        <v>Yes</v>
      </c>
      <c r="L1508" s="38" t="n">
        <f aca="false">IF(K1508&lt;&gt;"Yes","",IFERROR(INDEX(cr_Rate,MATCH(J1508&amp;"|"&amp;D1508,cr_Key,0)),INDEX(rt_Rate,MATCH(D1508,rt_Code,0))))</f>
        <v>110</v>
      </c>
      <c r="M1508" s="25" t="n">
        <f aca="false">IF(L1508="","",ROUND(N(E1508)*L1508,2))</f>
        <v>495</v>
      </c>
      <c r="N1508" s="39" t="n">
        <f aca="false">IF(OR(A1508="",B1508=""),"",SUMIFS(tl_Hours,tl_StaffID,I1508,tl_Date,A1508))</f>
        <v>20</v>
      </c>
      <c r="O1508" s="40" t="str">
        <f aca="false">IF(A1508&amp;B1508&amp;D1508="","",IF(OR(A1508="",B1508="",D1508="",E1508=""),"Incomplete",IF(K1508="Unknown","Unknown code",IF(AND(K1508="Yes",C1508=""),"Billable, needs client",IF(N1508&gt;MaxDayHours,"Over "&amp;MaxDayHours&amp;" hours that day","")))))</f>
        <v>Over 10 hours that day</v>
      </c>
    </row>
    <row r="1509" customFormat="false" ht="15" hidden="false" customHeight="false" outlineLevel="0" collapsed="false">
      <c r="A1509" s="31" t="n">
        <v>46282</v>
      </c>
      <c r="B1509" s="32" t="s">
        <v>106</v>
      </c>
      <c r="C1509" s="32" t="s">
        <v>112</v>
      </c>
      <c r="D1509" s="33" t="s">
        <v>104</v>
      </c>
      <c r="E1509" s="34" t="n">
        <v>1.5</v>
      </c>
      <c r="F1509" s="32"/>
      <c r="G1509" s="35" t="n">
        <f aca="false">IF(A1509="","",A1509+7-WEEKDAY(A1509))</f>
        <v>46284</v>
      </c>
      <c r="H1509" s="36" t="n">
        <f aca="false">IF(A1509="","",DATE(YEAR(A1509),MONTH(A1509),1))</f>
        <v>46266</v>
      </c>
      <c r="I1509" s="37" t="str">
        <f aca="false">IF(B1509="","",IFERROR(INDEX(st_ID,MATCH(B1509,st_Name,0)),"Unknown"))</f>
        <v>QP-07</v>
      </c>
      <c r="J1509" s="37" t="str">
        <f aca="false">IF(C1509="","",IFERROR(INDEX(cl_Code,MATCH(C1509,cl_Name,0)),"Unknown"))</f>
        <v>PCA</v>
      </c>
      <c r="K1509" s="37" t="str">
        <f aca="false">IF(D1509="","",IFERROR(INDEX(rt_Billable,MATCH(D1509,rt_Code,0)),"Unknown"))</f>
        <v>Yes</v>
      </c>
      <c r="L1509" s="38" t="n">
        <f aca="false">IF(K1509&lt;&gt;"Yes","",IFERROR(INDEX(cr_Rate,MATCH(J1509&amp;"|"&amp;D1509,cr_Key,0)),INDEX(rt_Rate,MATCH(D1509,rt_Code,0))))</f>
        <v>70</v>
      </c>
      <c r="M1509" s="25" t="n">
        <f aca="false">IF(L1509="","",ROUND(N(E1509)*L1509,2))</f>
        <v>105</v>
      </c>
      <c r="N1509" s="39" t="n">
        <f aca="false">IF(OR(A1509="",B1509=""),"",SUMIFS(tl_Hours,tl_StaffID,I1509,tl_Date,A1509))</f>
        <v>20</v>
      </c>
      <c r="O1509" s="40" t="str">
        <f aca="false">IF(A1509&amp;B1509&amp;D1509="","",IF(OR(A1509="",B1509="",D1509="",E1509=""),"Incomplete",IF(K1509="Unknown","Unknown code",IF(AND(K1509="Yes",C1509=""),"Billable, needs client",IF(N1509&gt;MaxDayHours,"Over "&amp;MaxDayHours&amp;" hours that day","")))))</f>
        <v>Over 10 hours that day</v>
      </c>
    </row>
    <row r="1510" customFormat="false" ht="15" hidden="false" customHeight="false" outlineLevel="0" collapsed="false">
      <c r="A1510" s="31" t="n">
        <v>46282</v>
      </c>
      <c r="B1510" s="32" t="s">
        <v>106</v>
      </c>
      <c r="C1510" s="32"/>
      <c r="D1510" s="33" t="s">
        <v>96</v>
      </c>
      <c r="E1510" s="34" t="n">
        <v>14</v>
      </c>
      <c r="F1510" s="32"/>
      <c r="G1510" s="35" t="n">
        <f aca="false">IF(A1510="","",A1510+7-WEEKDAY(A1510))</f>
        <v>46284</v>
      </c>
      <c r="H1510" s="36" t="n">
        <f aca="false">IF(A1510="","",DATE(YEAR(A1510),MONTH(A1510),1))</f>
        <v>46266</v>
      </c>
      <c r="I1510" s="37" t="str">
        <f aca="false">IF(B1510="","",IFERROR(INDEX(st_ID,MATCH(B1510,st_Name,0)),"Unknown"))</f>
        <v>QP-07</v>
      </c>
      <c r="J1510" s="37" t="str">
        <f aca="false">IF(C1510="","",IFERROR(INDEX(cl_Code,MATCH(C1510,cl_Name,0)),"Unknown"))</f>
        <v/>
      </c>
      <c r="K1510" s="37" t="str">
        <f aca="false">IF(D1510="","",IFERROR(INDEX(rt_Billable,MATCH(D1510,rt_Code,0)),"Unknown"))</f>
        <v>No</v>
      </c>
      <c r="L1510" s="38" t="str">
        <f aca="false">IF(K1510&lt;&gt;"Yes","",IFERROR(INDEX(cr_Rate,MATCH(J1510&amp;"|"&amp;D1510,cr_Key,0)),INDEX(rt_Rate,MATCH(D1510,rt_Code,0))))</f>
        <v/>
      </c>
      <c r="M1510" s="25" t="str">
        <f aca="false">IF(L1510="","",ROUND(N(E1510)*L1510,2))</f>
        <v/>
      </c>
      <c r="N1510" s="39" t="n">
        <f aca="false">IF(OR(A1510="",B1510=""),"",SUMIFS(tl_Hours,tl_StaffID,I1510,tl_Date,A1510))</f>
        <v>20</v>
      </c>
      <c r="O1510" s="40" t="str">
        <f aca="false">IF(A1510&amp;B1510&amp;D1510="","",IF(OR(A1510="",B1510="",D1510="",E1510=""),"Incomplete",IF(K1510="Unknown","Unknown code",IF(AND(K1510="Yes",C1510=""),"Billable, needs client",IF(N1510&gt;MaxDayHours,"Over "&amp;MaxDayHours&amp;" hours that day","")))))</f>
        <v>Over 10 hours that day</v>
      </c>
    </row>
    <row r="1511" customFormat="false" ht="15" hidden="false" customHeight="false" outlineLevel="0" collapsed="false">
      <c r="A1511" s="31" t="n">
        <v>46282</v>
      </c>
      <c r="B1511" s="32" t="s">
        <v>107</v>
      </c>
      <c r="C1511" s="32"/>
      <c r="D1511" s="33" t="s">
        <v>108</v>
      </c>
      <c r="E1511" s="34" t="n">
        <v>6</v>
      </c>
      <c r="F1511" s="32"/>
      <c r="G1511" s="35" t="n">
        <f aca="false">IF(A1511="","",A1511+7-WEEKDAY(A1511))</f>
        <v>46284</v>
      </c>
      <c r="H1511" s="36" t="n">
        <f aca="false">IF(A1511="","",DATE(YEAR(A1511),MONTH(A1511),1))</f>
        <v>46266</v>
      </c>
      <c r="I1511" s="37" t="str">
        <f aca="false">IF(B1511="","",IFERROR(INDEX(st_ID,MATCH(B1511,st_Name,0)),"Unknown"))</f>
        <v>QP-08</v>
      </c>
      <c r="J1511" s="37" t="str">
        <f aca="false">IF(C1511="","",IFERROR(INDEX(cl_Code,MATCH(C1511,cl_Name,0)),"Unknown"))</f>
        <v/>
      </c>
      <c r="K1511" s="37" t="str">
        <f aca="false">IF(D1511="","",IFERROR(INDEX(rt_Billable,MATCH(D1511,rt_Code,0)),"Unknown"))</f>
        <v>No</v>
      </c>
      <c r="L1511" s="38" t="str">
        <f aca="false">IF(K1511&lt;&gt;"Yes","",IFERROR(INDEX(cr_Rate,MATCH(J1511&amp;"|"&amp;D1511,cr_Key,0)),INDEX(rt_Rate,MATCH(D1511,rt_Code,0))))</f>
        <v/>
      </c>
      <c r="M1511" s="25" t="str">
        <f aca="false">IF(L1511="","",ROUND(N(E1511)*L1511,2))</f>
        <v/>
      </c>
      <c r="N1511" s="39" t="n">
        <f aca="false">IF(OR(A1511="",B1511=""),"",SUMIFS(tl_Hours,tl_StaffID,I1511,tl_Date,A1511))</f>
        <v>8</v>
      </c>
      <c r="O1511" s="40" t="str">
        <f aca="false">IF(A1511&amp;B1511&amp;D1511="","",IF(OR(A1511="",B1511="",D1511="",E1511=""),"Incomplete",IF(K1511="Unknown","Unknown code",IF(AND(K1511="Yes",C1511=""),"Billable, needs client",IF(N1511&gt;MaxDayHours,"Over "&amp;MaxDayHours&amp;" hours that day","")))))</f>
        <v/>
      </c>
    </row>
    <row r="1512" customFormat="false" ht="15" hidden="false" customHeight="false" outlineLevel="0" collapsed="false">
      <c r="A1512" s="31" t="n">
        <v>46282</v>
      </c>
      <c r="B1512" s="32" t="s">
        <v>107</v>
      </c>
      <c r="C1512" s="32"/>
      <c r="D1512" s="33" t="s">
        <v>98</v>
      </c>
      <c r="E1512" s="34" t="n">
        <v>2</v>
      </c>
      <c r="F1512" s="32"/>
      <c r="G1512" s="35" t="n">
        <f aca="false">IF(A1512="","",A1512+7-WEEKDAY(A1512))</f>
        <v>46284</v>
      </c>
      <c r="H1512" s="36" t="n">
        <f aca="false">IF(A1512="","",DATE(YEAR(A1512),MONTH(A1512),1))</f>
        <v>46266</v>
      </c>
      <c r="I1512" s="37" t="str">
        <f aca="false">IF(B1512="","",IFERROR(INDEX(st_ID,MATCH(B1512,st_Name,0)),"Unknown"))</f>
        <v>QP-08</v>
      </c>
      <c r="J1512" s="37" t="str">
        <f aca="false">IF(C1512="","",IFERROR(INDEX(cl_Code,MATCH(C1512,cl_Name,0)),"Unknown"))</f>
        <v/>
      </c>
      <c r="K1512" s="37" t="str">
        <f aca="false">IF(D1512="","",IFERROR(INDEX(rt_Billable,MATCH(D1512,rt_Code,0)),"Unknown"))</f>
        <v>No</v>
      </c>
      <c r="L1512" s="38" t="str">
        <f aca="false">IF(K1512&lt;&gt;"Yes","",IFERROR(INDEX(cr_Rate,MATCH(J1512&amp;"|"&amp;D1512,cr_Key,0)),INDEX(rt_Rate,MATCH(D1512,rt_Code,0))))</f>
        <v/>
      </c>
      <c r="M1512" s="25" t="str">
        <f aca="false">IF(L1512="","",ROUND(N(E1512)*L1512,2))</f>
        <v/>
      </c>
      <c r="N1512" s="39" t="n">
        <f aca="false">IF(OR(A1512="",B1512=""),"",SUMIFS(tl_Hours,tl_StaffID,I1512,tl_Date,A1512))</f>
        <v>8</v>
      </c>
      <c r="O1512" s="40" t="str">
        <f aca="false">IF(A1512&amp;B1512&amp;D1512="","",IF(OR(A1512="",B1512="",D1512="",E1512=""),"Incomplete",IF(K1512="Unknown","Unknown code",IF(AND(K1512="Yes",C1512=""),"Billable, needs client",IF(N1512&gt;MaxDayHours,"Over "&amp;MaxDayHours&amp;" hours that day","")))))</f>
        <v/>
      </c>
    </row>
    <row r="1513" customFormat="false" ht="15" hidden="false" customHeight="false" outlineLevel="0" collapsed="false">
      <c r="A1513" s="31" t="n">
        <v>46283</v>
      </c>
      <c r="B1513" s="32" t="s">
        <v>86</v>
      </c>
      <c r="C1513" s="32" t="s">
        <v>112</v>
      </c>
      <c r="D1513" s="33" t="s">
        <v>88</v>
      </c>
      <c r="E1513" s="34" t="n">
        <v>4.5</v>
      </c>
      <c r="F1513" s="32"/>
      <c r="G1513" s="35" t="n">
        <f aca="false">IF(A1513="","",A1513+7-WEEKDAY(A1513))</f>
        <v>46284</v>
      </c>
      <c r="H1513" s="36" t="n">
        <f aca="false">IF(A1513="","",DATE(YEAR(A1513),MONTH(A1513),1))</f>
        <v>46266</v>
      </c>
      <c r="I1513" s="37" t="str">
        <f aca="false">IF(B1513="","",IFERROR(INDEX(st_ID,MATCH(B1513,st_Name,0)),"Unknown"))</f>
        <v>QP-01</v>
      </c>
      <c r="J1513" s="37" t="str">
        <f aca="false">IF(C1513="","",IFERROR(INDEX(cl_Code,MATCH(C1513,cl_Name,0)),"Unknown"))</f>
        <v>PCA</v>
      </c>
      <c r="K1513" s="37" t="str">
        <f aca="false">IF(D1513="","",IFERROR(INDEX(rt_Billable,MATCH(D1513,rt_Code,0)),"Unknown"))</f>
        <v>Yes</v>
      </c>
      <c r="L1513" s="38" t="n">
        <f aca="false">IF(K1513&lt;&gt;"Yes","",IFERROR(INDEX(cr_Rate,MATCH(J1513&amp;"|"&amp;D1513,cr_Key,0)),INDEX(rt_Rate,MATCH(D1513,rt_Code,0))))</f>
        <v>110</v>
      </c>
      <c r="M1513" s="25" t="n">
        <f aca="false">IF(L1513="","",ROUND(N(E1513)*L1513,2))</f>
        <v>495</v>
      </c>
      <c r="N1513" s="39" t="n">
        <f aca="false">IF(OR(A1513="",B1513=""),"",SUMIFS(tl_Hours,tl_StaffID,I1513,tl_Date,A1513))</f>
        <v>8</v>
      </c>
      <c r="O1513" s="40" t="str">
        <f aca="false">IF(A1513&amp;B1513&amp;D1513="","",IF(OR(A1513="",B1513="",D1513="",E1513=""),"Incomplete",IF(K1513="Unknown","Unknown code",IF(AND(K1513="Yes",C1513=""),"Billable, needs client",IF(N1513&gt;MaxDayHours,"Over "&amp;MaxDayHours&amp;" hours that day","")))))</f>
        <v/>
      </c>
    </row>
    <row r="1514" customFormat="false" ht="15" hidden="false" customHeight="false" outlineLevel="0" collapsed="false">
      <c r="A1514" s="31" t="n">
        <v>46283</v>
      </c>
      <c r="B1514" s="32" t="s">
        <v>86</v>
      </c>
      <c r="C1514" s="32" t="s">
        <v>112</v>
      </c>
      <c r="D1514" s="33" t="s">
        <v>113</v>
      </c>
      <c r="E1514" s="34" t="n">
        <v>2</v>
      </c>
      <c r="F1514" s="32"/>
      <c r="G1514" s="35" t="n">
        <f aca="false">IF(A1514="","",A1514+7-WEEKDAY(A1514))</f>
        <v>46284</v>
      </c>
      <c r="H1514" s="36" t="n">
        <f aca="false">IF(A1514="","",DATE(YEAR(A1514),MONTH(A1514),1))</f>
        <v>46266</v>
      </c>
      <c r="I1514" s="37" t="str">
        <f aca="false">IF(B1514="","",IFERROR(INDEX(st_ID,MATCH(B1514,st_Name,0)),"Unknown"))</f>
        <v>QP-01</v>
      </c>
      <c r="J1514" s="37" t="str">
        <f aca="false">IF(C1514="","",IFERROR(INDEX(cl_Code,MATCH(C1514,cl_Name,0)),"Unknown"))</f>
        <v>PCA</v>
      </c>
      <c r="K1514" s="37" t="str">
        <f aca="false">IF(D1514="","",IFERROR(INDEX(rt_Billable,MATCH(D1514,rt_Code,0)),"Unknown"))</f>
        <v>Yes</v>
      </c>
      <c r="L1514" s="38" t="n">
        <f aca="false">IF(K1514&lt;&gt;"Yes","",IFERROR(INDEX(cr_Rate,MATCH(J1514&amp;"|"&amp;D1514,cr_Key,0)),INDEX(rt_Rate,MATCH(D1514,rt_Code,0))))</f>
        <v>85</v>
      </c>
      <c r="M1514" s="25" t="n">
        <f aca="false">IF(L1514="","",ROUND(N(E1514)*L1514,2))</f>
        <v>170</v>
      </c>
      <c r="N1514" s="39" t="n">
        <f aca="false">IF(OR(A1514="",B1514=""),"",SUMIFS(tl_Hours,tl_StaffID,I1514,tl_Date,A1514))</f>
        <v>8</v>
      </c>
      <c r="O1514" s="40" t="str">
        <f aca="false">IF(A1514&amp;B1514&amp;D1514="","",IF(OR(A1514="",B1514="",D1514="",E1514=""),"Incomplete",IF(K1514="Unknown","Unknown code",IF(AND(K1514="Yes",C1514=""),"Billable, needs client",IF(N1514&gt;MaxDayHours,"Over "&amp;MaxDayHours&amp;" hours that day","")))))</f>
        <v/>
      </c>
    </row>
    <row r="1515" customFormat="false" ht="15" hidden="false" customHeight="false" outlineLevel="0" collapsed="false">
      <c r="A1515" s="31" t="n">
        <v>46283</v>
      </c>
      <c r="B1515" s="32" t="s">
        <v>86</v>
      </c>
      <c r="C1515" s="32"/>
      <c r="D1515" s="33" t="s">
        <v>96</v>
      </c>
      <c r="E1515" s="34" t="n">
        <v>1.5</v>
      </c>
      <c r="F1515" s="32"/>
      <c r="G1515" s="35" t="n">
        <f aca="false">IF(A1515="","",A1515+7-WEEKDAY(A1515))</f>
        <v>46284</v>
      </c>
      <c r="H1515" s="36" t="n">
        <f aca="false">IF(A1515="","",DATE(YEAR(A1515),MONTH(A1515),1))</f>
        <v>46266</v>
      </c>
      <c r="I1515" s="37" t="str">
        <f aca="false">IF(B1515="","",IFERROR(INDEX(st_ID,MATCH(B1515,st_Name,0)),"Unknown"))</f>
        <v>QP-01</v>
      </c>
      <c r="J1515" s="37" t="str">
        <f aca="false">IF(C1515="","",IFERROR(INDEX(cl_Code,MATCH(C1515,cl_Name,0)),"Unknown"))</f>
        <v/>
      </c>
      <c r="K1515" s="37" t="str">
        <f aca="false">IF(D1515="","",IFERROR(INDEX(rt_Billable,MATCH(D1515,rt_Code,0)),"Unknown"))</f>
        <v>No</v>
      </c>
      <c r="L1515" s="38" t="str">
        <f aca="false">IF(K1515&lt;&gt;"Yes","",IFERROR(INDEX(cr_Rate,MATCH(J1515&amp;"|"&amp;D1515,cr_Key,0)),INDEX(rt_Rate,MATCH(D1515,rt_Code,0))))</f>
        <v/>
      </c>
      <c r="M1515" s="25" t="str">
        <f aca="false">IF(L1515="","",ROUND(N(E1515)*L1515,2))</f>
        <v/>
      </c>
      <c r="N1515" s="39" t="n">
        <f aca="false">IF(OR(A1515="",B1515=""),"",SUMIFS(tl_Hours,tl_StaffID,I1515,tl_Date,A1515))</f>
        <v>8</v>
      </c>
      <c r="O1515" s="40" t="str">
        <f aca="false">IF(A1515&amp;B1515&amp;D1515="","",IF(OR(A1515="",B1515="",D1515="",E1515=""),"Incomplete",IF(K1515="Unknown","Unknown code",IF(AND(K1515="Yes",C1515=""),"Billable, needs client",IF(N1515&gt;MaxDayHours,"Over "&amp;MaxDayHours&amp;" hours that day","")))))</f>
        <v/>
      </c>
    </row>
    <row r="1516" customFormat="false" ht="15" hidden="false" customHeight="false" outlineLevel="0" collapsed="false">
      <c r="A1516" s="31" t="n">
        <v>46283</v>
      </c>
      <c r="B1516" s="32" t="s">
        <v>97</v>
      </c>
      <c r="C1516" s="32" t="s">
        <v>90</v>
      </c>
      <c r="D1516" s="33" t="s">
        <v>91</v>
      </c>
      <c r="E1516" s="34" t="n">
        <v>5.25</v>
      </c>
      <c r="F1516" s="32"/>
      <c r="G1516" s="35" t="n">
        <f aca="false">IF(A1516="","",A1516+7-WEEKDAY(A1516))</f>
        <v>46284</v>
      </c>
      <c r="H1516" s="36" t="n">
        <f aca="false">IF(A1516="","",DATE(YEAR(A1516),MONTH(A1516),1))</f>
        <v>46266</v>
      </c>
      <c r="I1516" s="37" t="str">
        <f aca="false">IF(B1516="","",IFERROR(INDEX(st_ID,MATCH(B1516,st_Name,0)),"Unknown"))</f>
        <v>QP-02</v>
      </c>
      <c r="J1516" s="37" t="str">
        <f aca="false">IF(C1516="","",IFERROR(INDEX(cl_Code,MATCH(C1516,cl_Name,0)),"Unknown"))</f>
        <v>BSE</v>
      </c>
      <c r="K1516" s="37" t="str">
        <f aca="false">IF(D1516="","",IFERROR(INDEX(rt_Billable,MATCH(D1516,rt_Code,0)),"Unknown"))</f>
        <v>Yes</v>
      </c>
      <c r="L1516" s="38" t="n">
        <f aca="false">IF(K1516&lt;&gt;"Yes","",IFERROR(INDEX(cr_Rate,MATCH(J1516&amp;"|"&amp;D1516,cr_Key,0)),INDEX(rt_Rate,MATCH(D1516,rt_Code,0))))</f>
        <v>100</v>
      </c>
      <c r="M1516" s="25" t="n">
        <f aca="false">IF(L1516="","",ROUND(N(E1516)*L1516,2))</f>
        <v>525</v>
      </c>
      <c r="N1516" s="39" t="n">
        <f aca="false">IF(OR(A1516="",B1516=""),"",SUMIFS(tl_Hours,tl_StaffID,I1516,tl_Date,A1516))</f>
        <v>8</v>
      </c>
      <c r="O1516" s="40" t="str">
        <f aca="false">IF(A1516&amp;B1516&amp;D1516="","",IF(OR(A1516="",B1516="",D1516="",E1516=""),"Incomplete",IF(K1516="Unknown","Unknown code",IF(AND(K1516="Yes",C1516=""),"Billable, needs client",IF(N1516&gt;MaxDayHours,"Over "&amp;MaxDayHours&amp;" hours that day","")))))</f>
        <v/>
      </c>
    </row>
    <row r="1517" customFormat="false" ht="15" hidden="false" customHeight="false" outlineLevel="0" collapsed="false">
      <c r="A1517" s="31" t="n">
        <v>46283</v>
      </c>
      <c r="B1517" s="32" t="s">
        <v>97</v>
      </c>
      <c r="C1517" s="32" t="s">
        <v>90</v>
      </c>
      <c r="D1517" s="33" t="s">
        <v>89</v>
      </c>
      <c r="E1517" s="34" t="n">
        <v>1</v>
      </c>
      <c r="F1517" s="32"/>
      <c r="G1517" s="35" t="n">
        <f aca="false">IF(A1517="","",A1517+7-WEEKDAY(A1517))</f>
        <v>46284</v>
      </c>
      <c r="H1517" s="36" t="n">
        <f aca="false">IF(A1517="","",DATE(YEAR(A1517),MONTH(A1517),1))</f>
        <v>46266</v>
      </c>
      <c r="I1517" s="37" t="str">
        <f aca="false">IF(B1517="","",IFERROR(INDEX(st_ID,MATCH(B1517,st_Name,0)),"Unknown"))</f>
        <v>QP-02</v>
      </c>
      <c r="J1517" s="37" t="str">
        <f aca="false">IF(C1517="","",IFERROR(INDEX(cl_Code,MATCH(C1517,cl_Name,0)),"Unknown"))</f>
        <v>BSE</v>
      </c>
      <c r="K1517" s="37" t="str">
        <f aca="false">IF(D1517="","",IFERROR(INDEX(rt_Billable,MATCH(D1517,rt_Code,0)),"Unknown"))</f>
        <v>Yes</v>
      </c>
      <c r="L1517" s="38" t="n">
        <f aca="false">IF(K1517&lt;&gt;"Yes","",IFERROR(INDEX(cr_Rate,MATCH(J1517&amp;"|"&amp;D1517,cr_Key,0)),INDEX(rt_Rate,MATCH(D1517,rt_Code,0))))</f>
        <v>95</v>
      </c>
      <c r="M1517" s="25" t="n">
        <f aca="false">IF(L1517="","",ROUND(N(E1517)*L1517,2))</f>
        <v>95</v>
      </c>
      <c r="N1517" s="39" t="n">
        <f aca="false">IF(OR(A1517="",B1517=""),"",SUMIFS(tl_Hours,tl_StaffID,I1517,tl_Date,A1517))</f>
        <v>8</v>
      </c>
      <c r="O1517" s="40" t="str">
        <f aca="false">IF(A1517&amp;B1517&amp;D1517="","",IF(OR(A1517="",B1517="",D1517="",E1517=""),"Incomplete",IF(K1517="Unknown","Unknown code",IF(AND(K1517="Yes",C1517=""),"Billable, needs client",IF(N1517&gt;MaxDayHours,"Over "&amp;MaxDayHours&amp;" hours that day","")))))</f>
        <v/>
      </c>
    </row>
    <row r="1518" customFormat="false" ht="15" hidden="false" customHeight="false" outlineLevel="0" collapsed="false">
      <c r="A1518" s="31" t="n">
        <v>46283</v>
      </c>
      <c r="B1518" s="32" t="s">
        <v>97</v>
      </c>
      <c r="C1518" s="32"/>
      <c r="D1518" s="33" t="s">
        <v>96</v>
      </c>
      <c r="E1518" s="34" t="n">
        <v>1.75</v>
      </c>
      <c r="F1518" s="32"/>
      <c r="G1518" s="35" t="n">
        <f aca="false">IF(A1518="","",A1518+7-WEEKDAY(A1518))</f>
        <v>46284</v>
      </c>
      <c r="H1518" s="36" t="n">
        <f aca="false">IF(A1518="","",DATE(YEAR(A1518),MONTH(A1518),1))</f>
        <v>46266</v>
      </c>
      <c r="I1518" s="37" t="str">
        <f aca="false">IF(B1518="","",IFERROR(INDEX(st_ID,MATCH(B1518,st_Name,0)),"Unknown"))</f>
        <v>QP-02</v>
      </c>
      <c r="J1518" s="37" t="str">
        <f aca="false">IF(C1518="","",IFERROR(INDEX(cl_Code,MATCH(C1518,cl_Name,0)),"Unknown"))</f>
        <v/>
      </c>
      <c r="K1518" s="37" t="str">
        <f aca="false">IF(D1518="","",IFERROR(INDEX(rt_Billable,MATCH(D1518,rt_Code,0)),"Unknown"))</f>
        <v>No</v>
      </c>
      <c r="L1518" s="38" t="str">
        <f aca="false">IF(K1518&lt;&gt;"Yes","",IFERROR(INDEX(cr_Rate,MATCH(J1518&amp;"|"&amp;D1518,cr_Key,0)),INDEX(rt_Rate,MATCH(D1518,rt_Code,0))))</f>
        <v/>
      </c>
      <c r="M1518" s="25" t="str">
        <f aca="false">IF(L1518="","",ROUND(N(E1518)*L1518,2))</f>
        <v/>
      </c>
      <c r="N1518" s="39" t="n">
        <f aca="false">IF(OR(A1518="",B1518=""),"",SUMIFS(tl_Hours,tl_StaffID,I1518,tl_Date,A1518))</f>
        <v>8</v>
      </c>
      <c r="O1518" s="40" t="str">
        <f aca="false">IF(A1518&amp;B1518&amp;D1518="","",IF(OR(A1518="",B1518="",D1518="",E1518=""),"Incomplete",IF(K1518="Unknown","Unknown code",IF(AND(K1518="Yes",C1518=""),"Billable, needs client",IF(N1518&gt;MaxDayHours,"Over "&amp;MaxDayHours&amp;" hours that day","")))))</f>
        <v/>
      </c>
    </row>
    <row r="1519" customFormat="false" ht="15" hidden="false" customHeight="false" outlineLevel="0" collapsed="false">
      <c r="A1519" s="31" t="n">
        <v>46283</v>
      </c>
      <c r="B1519" s="32" t="s">
        <v>101</v>
      </c>
      <c r="C1519" s="32" t="s">
        <v>102</v>
      </c>
      <c r="D1519" s="33" t="s">
        <v>88</v>
      </c>
      <c r="E1519" s="34" t="n">
        <v>3.5</v>
      </c>
      <c r="F1519" s="32"/>
      <c r="G1519" s="35" t="n">
        <f aca="false">IF(A1519="","",A1519+7-WEEKDAY(A1519))</f>
        <v>46284</v>
      </c>
      <c r="H1519" s="36" t="n">
        <f aca="false">IF(A1519="","",DATE(YEAR(A1519),MONTH(A1519),1))</f>
        <v>46266</v>
      </c>
      <c r="I1519" s="37" t="str">
        <f aca="false">IF(B1519="","",IFERROR(INDEX(st_ID,MATCH(B1519,st_Name,0)),"Unknown"))</f>
        <v>QP-04</v>
      </c>
      <c r="J1519" s="37" t="str">
        <f aca="false">IF(C1519="","",IFERROR(INDEX(cl_Code,MATCH(C1519,cl_Name,0)),"Unknown"))</f>
        <v>CLH</v>
      </c>
      <c r="K1519" s="37" t="str">
        <f aca="false">IF(D1519="","",IFERROR(INDEX(rt_Billable,MATCH(D1519,rt_Code,0)),"Unknown"))</f>
        <v>Yes</v>
      </c>
      <c r="L1519" s="38" t="n">
        <f aca="false">IF(K1519&lt;&gt;"Yes","",IFERROR(INDEX(cr_Rate,MATCH(J1519&amp;"|"&amp;D1519,cr_Key,0)),INDEX(rt_Rate,MATCH(D1519,rt_Code,0))))</f>
        <v>110</v>
      </c>
      <c r="M1519" s="25" t="n">
        <f aca="false">IF(L1519="","",ROUND(N(E1519)*L1519,2))</f>
        <v>385</v>
      </c>
      <c r="N1519" s="39" t="n">
        <f aca="false">IF(OR(A1519="",B1519=""),"",SUMIFS(tl_Hours,tl_StaffID,I1519,tl_Date,A1519))</f>
        <v>8</v>
      </c>
      <c r="O1519" s="40" t="str">
        <f aca="false">IF(A1519&amp;B1519&amp;D1519="","",IF(OR(A1519="",B1519="",D1519="",E1519=""),"Incomplete",IF(K1519="Unknown","Unknown code",IF(AND(K1519="Yes",C1519=""),"Billable, needs client",IF(N1519&gt;MaxDayHours,"Over "&amp;MaxDayHours&amp;" hours that day","")))))</f>
        <v/>
      </c>
    </row>
    <row r="1520" customFormat="false" ht="15" hidden="false" customHeight="false" outlineLevel="0" collapsed="false">
      <c r="A1520" s="31" t="n">
        <v>46283</v>
      </c>
      <c r="B1520" s="32" t="s">
        <v>101</v>
      </c>
      <c r="C1520" s="32" t="s">
        <v>102</v>
      </c>
      <c r="D1520" s="33" t="s">
        <v>113</v>
      </c>
      <c r="E1520" s="34" t="n">
        <v>2.25</v>
      </c>
      <c r="F1520" s="32"/>
      <c r="G1520" s="35" t="n">
        <f aca="false">IF(A1520="","",A1520+7-WEEKDAY(A1520))</f>
        <v>46284</v>
      </c>
      <c r="H1520" s="36" t="n">
        <f aca="false">IF(A1520="","",DATE(YEAR(A1520),MONTH(A1520),1))</f>
        <v>46266</v>
      </c>
      <c r="I1520" s="37" t="str">
        <f aca="false">IF(B1520="","",IFERROR(INDEX(st_ID,MATCH(B1520,st_Name,0)),"Unknown"))</f>
        <v>QP-04</v>
      </c>
      <c r="J1520" s="37" t="str">
        <f aca="false">IF(C1520="","",IFERROR(INDEX(cl_Code,MATCH(C1520,cl_Name,0)),"Unknown"))</f>
        <v>CLH</v>
      </c>
      <c r="K1520" s="37" t="str">
        <f aca="false">IF(D1520="","",IFERROR(INDEX(rt_Billable,MATCH(D1520,rt_Code,0)),"Unknown"))</f>
        <v>Yes</v>
      </c>
      <c r="L1520" s="38" t="n">
        <f aca="false">IF(K1520&lt;&gt;"Yes","",IFERROR(INDEX(cr_Rate,MATCH(J1520&amp;"|"&amp;D1520,cr_Key,0)),INDEX(rt_Rate,MATCH(D1520,rt_Code,0))))</f>
        <v>75</v>
      </c>
      <c r="M1520" s="25" t="n">
        <f aca="false">IF(L1520="","",ROUND(N(E1520)*L1520,2))</f>
        <v>168.75</v>
      </c>
      <c r="N1520" s="39" t="n">
        <f aca="false">IF(OR(A1520="",B1520=""),"",SUMIFS(tl_Hours,tl_StaffID,I1520,tl_Date,A1520))</f>
        <v>8</v>
      </c>
      <c r="O1520" s="40" t="str">
        <f aca="false">IF(A1520&amp;B1520&amp;D1520="","",IF(OR(A1520="",B1520="",D1520="",E1520=""),"Incomplete",IF(K1520="Unknown","Unknown code",IF(AND(K1520="Yes",C1520=""),"Billable, needs client",IF(N1520&gt;MaxDayHours,"Over "&amp;MaxDayHours&amp;" hours that day","")))))</f>
        <v/>
      </c>
    </row>
    <row r="1521" customFormat="false" ht="15" hidden="false" customHeight="false" outlineLevel="0" collapsed="false">
      <c r="A1521" s="31" t="n">
        <v>46283</v>
      </c>
      <c r="B1521" s="32" t="s">
        <v>101</v>
      </c>
      <c r="C1521" s="32"/>
      <c r="D1521" s="33" t="s">
        <v>96</v>
      </c>
      <c r="E1521" s="34" t="n">
        <v>2.25</v>
      </c>
      <c r="F1521" s="32"/>
      <c r="G1521" s="35" t="n">
        <f aca="false">IF(A1521="","",A1521+7-WEEKDAY(A1521))</f>
        <v>46284</v>
      </c>
      <c r="H1521" s="36" t="n">
        <f aca="false">IF(A1521="","",DATE(YEAR(A1521),MONTH(A1521),1))</f>
        <v>46266</v>
      </c>
      <c r="I1521" s="37" t="str">
        <f aca="false">IF(B1521="","",IFERROR(INDEX(st_ID,MATCH(B1521,st_Name,0)),"Unknown"))</f>
        <v>QP-04</v>
      </c>
      <c r="J1521" s="37" t="str">
        <f aca="false">IF(C1521="","",IFERROR(INDEX(cl_Code,MATCH(C1521,cl_Name,0)),"Unknown"))</f>
        <v/>
      </c>
      <c r="K1521" s="37" t="str">
        <f aca="false">IF(D1521="","",IFERROR(INDEX(rt_Billable,MATCH(D1521,rt_Code,0)),"Unknown"))</f>
        <v>No</v>
      </c>
      <c r="L1521" s="38" t="str">
        <f aca="false">IF(K1521&lt;&gt;"Yes","",IFERROR(INDEX(cr_Rate,MATCH(J1521&amp;"|"&amp;D1521,cr_Key,0)),INDEX(rt_Rate,MATCH(D1521,rt_Code,0))))</f>
        <v/>
      </c>
      <c r="M1521" s="25" t="str">
        <f aca="false">IF(L1521="","",ROUND(N(E1521)*L1521,2))</f>
        <v/>
      </c>
      <c r="N1521" s="39" t="n">
        <f aca="false">IF(OR(A1521="",B1521=""),"",SUMIFS(tl_Hours,tl_StaffID,I1521,tl_Date,A1521))</f>
        <v>8</v>
      </c>
      <c r="O1521" s="40" t="str">
        <f aca="false">IF(A1521&amp;B1521&amp;D1521="","",IF(OR(A1521="",B1521="",D1521="",E1521=""),"Incomplete",IF(K1521="Unknown","Unknown code",IF(AND(K1521="Yes",C1521=""),"Billable, needs client",IF(N1521&gt;MaxDayHours,"Over "&amp;MaxDayHours&amp;" hours that day","")))))</f>
        <v/>
      </c>
    </row>
    <row r="1522" customFormat="false" ht="15" hidden="false" customHeight="false" outlineLevel="0" collapsed="false">
      <c r="A1522" s="31" t="n">
        <v>46283</v>
      </c>
      <c r="B1522" s="32" t="s">
        <v>103</v>
      </c>
      <c r="C1522" s="32" t="s">
        <v>111</v>
      </c>
      <c r="D1522" s="33" t="s">
        <v>88</v>
      </c>
      <c r="E1522" s="34" t="n">
        <v>3.25</v>
      </c>
      <c r="F1522" s="32"/>
      <c r="G1522" s="35" t="n">
        <f aca="false">IF(A1522="","",A1522+7-WEEKDAY(A1522))</f>
        <v>46284</v>
      </c>
      <c r="H1522" s="36" t="n">
        <f aca="false">IF(A1522="","",DATE(YEAR(A1522),MONTH(A1522),1))</f>
        <v>46266</v>
      </c>
      <c r="I1522" s="37" t="str">
        <f aca="false">IF(B1522="","",IFERROR(INDEX(st_ID,MATCH(B1522,st_Name,0)),"Unknown"))</f>
        <v>QP-05</v>
      </c>
      <c r="J1522" s="37" t="str">
        <f aca="false">IF(C1522="","",IFERROR(INDEX(cl_Code,MATCH(C1522,cl_Name,0)),"Unknown"))</f>
        <v>WMS</v>
      </c>
      <c r="K1522" s="37" t="str">
        <f aca="false">IF(D1522="","",IFERROR(INDEX(rt_Billable,MATCH(D1522,rt_Code,0)),"Unknown"))</f>
        <v>Yes</v>
      </c>
      <c r="L1522" s="38" t="n">
        <f aca="false">IF(K1522&lt;&gt;"Yes","",IFERROR(INDEX(cr_Rate,MATCH(J1522&amp;"|"&amp;D1522,cr_Key,0)),INDEX(rt_Rate,MATCH(D1522,rt_Code,0))))</f>
        <v>110</v>
      </c>
      <c r="M1522" s="25" t="n">
        <f aca="false">IF(L1522="","",ROUND(N(E1522)*L1522,2))</f>
        <v>357.5</v>
      </c>
      <c r="N1522" s="39" t="n">
        <f aca="false">IF(OR(A1522="",B1522=""),"",SUMIFS(tl_Hours,tl_StaffID,I1522,tl_Date,A1522))</f>
        <v>8</v>
      </c>
      <c r="O1522" s="40" t="str">
        <f aca="false">IF(A1522&amp;B1522&amp;D1522="","",IF(OR(A1522="",B1522="",D1522="",E1522=""),"Incomplete",IF(K1522="Unknown","Unknown code",IF(AND(K1522="Yes",C1522=""),"Billable, needs client",IF(N1522&gt;MaxDayHours,"Over "&amp;MaxDayHours&amp;" hours that day","")))))</f>
        <v/>
      </c>
    </row>
    <row r="1523" customFormat="false" ht="15" hidden="false" customHeight="false" outlineLevel="0" collapsed="false">
      <c r="A1523" s="31" t="n">
        <v>46283</v>
      </c>
      <c r="B1523" s="32" t="s">
        <v>103</v>
      </c>
      <c r="C1523" s="32" t="s">
        <v>111</v>
      </c>
      <c r="D1523" s="33" t="s">
        <v>92</v>
      </c>
      <c r="E1523" s="34" t="n">
        <v>2</v>
      </c>
      <c r="F1523" s="32"/>
      <c r="G1523" s="35" t="n">
        <f aca="false">IF(A1523="","",A1523+7-WEEKDAY(A1523))</f>
        <v>46284</v>
      </c>
      <c r="H1523" s="36" t="n">
        <f aca="false">IF(A1523="","",DATE(YEAR(A1523),MONTH(A1523),1))</f>
        <v>46266</v>
      </c>
      <c r="I1523" s="37" t="str">
        <f aca="false">IF(B1523="","",IFERROR(INDEX(st_ID,MATCH(B1523,st_Name,0)),"Unknown"))</f>
        <v>QP-05</v>
      </c>
      <c r="J1523" s="37" t="str">
        <f aca="false">IF(C1523="","",IFERROR(INDEX(cl_Code,MATCH(C1523,cl_Name,0)),"Unknown"))</f>
        <v>WMS</v>
      </c>
      <c r="K1523" s="37" t="str">
        <f aca="false">IF(D1523="","",IFERROR(INDEX(rt_Billable,MATCH(D1523,rt_Code,0)),"Unknown"))</f>
        <v>Yes</v>
      </c>
      <c r="L1523" s="38" t="n">
        <f aca="false">IF(K1523&lt;&gt;"Yes","",IFERROR(INDEX(cr_Rate,MATCH(J1523&amp;"|"&amp;D1523,cr_Key,0)),INDEX(rt_Rate,MATCH(D1523,rt_Code,0))))</f>
        <v>150</v>
      </c>
      <c r="M1523" s="25" t="n">
        <f aca="false">IF(L1523="","",ROUND(N(E1523)*L1523,2))</f>
        <v>300</v>
      </c>
      <c r="N1523" s="39" t="n">
        <f aca="false">IF(OR(A1523="",B1523=""),"",SUMIFS(tl_Hours,tl_StaffID,I1523,tl_Date,A1523))</f>
        <v>8</v>
      </c>
      <c r="O1523" s="40" t="str">
        <f aca="false">IF(A1523&amp;B1523&amp;D1523="","",IF(OR(A1523="",B1523="",D1523="",E1523=""),"Incomplete",IF(K1523="Unknown","Unknown code",IF(AND(K1523="Yes",C1523=""),"Billable, needs client",IF(N1523&gt;MaxDayHours,"Over "&amp;MaxDayHours&amp;" hours that day","")))))</f>
        <v/>
      </c>
    </row>
    <row r="1524" customFormat="false" ht="15" hidden="false" customHeight="false" outlineLevel="0" collapsed="false">
      <c r="A1524" s="31" t="n">
        <v>46283</v>
      </c>
      <c r="B1524" s="32" t="s">
        <v>103</v>
      </c>
      <c r="C1524" s="32"/>
      <c r="D1524" s="33" t="s">
        <v>96</v>
      </c>
      <c r="E1524" s="34" t="n">
        <v>2.75</v>
      </c>
      <c r="F1524" s="32"/>
      <c r="G1524" s="35" t="n">
        <f aca="false">IF(A1524="","",A1524+7-WEEKDAY(A1524))</f>
        <v>46284</v>
      </c>
      <c r="H1524" s="36" t="n">
        <f aca="false">IF(A1524="","",DATE(YEAR(A1524),MONTH(A1524),1))</f>
        <v>46266</v>
      </c>
      <c r="I1524" s="37" t="str">
        <f aca="false">IF(B1524="","",IFERROR(INDEX(st_ID,MATCH(B1524,st_Name,0)),"Unknown"))</f>
        <v>QP-05</v>
      </c>
      <c r="J1524" s="37" t="str">
        <f aca="false">IF(C1524="","",IFERROR(INDEX(cl_Code,MATCH(C1524,cl_Name,0)),"Unknown"))</f>
        <v/>
      </c>
      <c r="K1524" s="37" t="str">
        <f aca="false">IF(D1524="","",IFERROR(INDEX(rt_Billable,MATCH(D1524,rt_Code,0)),"Unknown"))</f>
        <v>No</v>
      </c>
      <c r="L1524" s="38" t="str">
        <f aca="false">IF(K1524&lt;&gt;"Yes","",IFERROR(INDEX(cr_Rate,MATCH(J1524&amp;"|"&amp;D1524,cr_Key,0)),INDEX(rt_Rate,MATCH(D1524,rt_Code,0))))</f>
        <v/>
      </c>
      <c r="M1524" s="25" t="str">
        <f aca="false">IF(L1524="","",ROUND(N(E1524)*L1524,2))</f>
        <v/>
      </c>
      <c r="N1524" s="39" t="n">
        <f aca="false">IF(OR(A1524="",B1524=""),"",SUMIFS(tl_Hours,tl_StaffID,I1524,tl_Date,A1524))</f>
        <v>8</v>
      </c>
      <c r="O1524" s="40" t="str">
        <f aca="false">IF(A1524&amp;B1524&amp;D1524="","",IF(OR(A1524="",B1524="",D1524="",E1524=""),"Incomplete",IF(K1524="Unknown","Unknown code",IF(AND(K1524="Yes",C1524=""),"Billable, needs client",IF(N1524&gt;MaxDayHours,"Over "&amp;MaxDayHours&amp;" hours that day","")))))</f>
        <v/>
      </c>
    </row>
    <row r="1525" customFormat="false" ht="15" hidden="false" customHeight="false" outlineLevel="0" collapsed="false">
      <c r="A1525" s="31" t="n">
        <v>46283</v>
      </c>
      <c r="B1525" s="32" t="s">
        <v>105</v>
      </c>
      <c r="C1525" s="32" t="s">
        <v>90</v>
      </c>
      <c r="D1525" s="33" t="s">
        <v>88</v>
      </c>
      <c r="E1525" s="34" t="n">
        <v>4.5</v>
      </c>
      <c r="F1525" s="32"/>
      <c r="G1525" s="35" t="n">
        <f aca="false">IF(A1525="","",A1525+7-WEEKDAY(A1525))</f>
        <v>46284</v>
      </c>
      <c r="H1525" s="36" t="n">
        <f aca="false">IF(A1525="","",DATE(YEAR(A1525),MONTH(A1525),1))</f>
        <v>46266</v>
      </c>
      <c r="I1525" s="37" t="str">
        <f aca="false">IF(B1525="","",IFERROR(INDEX(st_ID,MATCH(B1525,st_Name,0)),"Unknown"))</f>
        <v>QP-06</v>
      </c>
      <c r="J1525" s="37" t="str">
        <f aca="false">IF(C1525="","",IFERROR(INDEX(cl_Code,MATCH(C1525,cl_Name,0)),"Unknown"))</f>
        <v>BSE</v>
      </c>
      <c r="K1525" s="37" t="str">
        <f aca="false">IF(D1525="","",IFERROR(INDEX(rt_Billable,MATCH(D1525,rt_Code,0)),"Unknown"))</f>
        <v>Yes</v>
      </c>
      <c r="L1525" s="38" t="n">
        <f aca="false">IF(K1525&lt;&gt;"Yes","",IFERROR(INDEX(cr_Rate,MATCH(J1525&amp;"|"&amp;D1525,cr_Key,0)),INDEX(rt_Rate,MATCH(D1525,rt_Code,0))))</f>
        <v>104</v>
      </c>
      <c r="M1525" s="25" t="n">
        <f aca="false">IF(L1525="","",ROUND(N(E1525)*L1525,2))</f>
        <v>468</v>
      </c>
      <c r="N1525" s="39" t="n">
        <f aca="false">IF(OR(A1525="",B1525=""),"",SUMIFS(tl_Hours,tl_StaffID,I1525,tl_Date,A1525))</f>
        <v>8</v>
      </c>
      <c r="O1525" s="40" t="str">
        <f aca="false">IF(A1525&amp;B1525&amp;D1525="","",IF(OR(A1525="",B1525="",D1525="",E1525=""),"Incomplete",IF(K1525="Unknown","Unknown code",IF(AND(K1525="Yes",C1525=""),"Billable, needs client",IF(N1525&gt;MaxDayHours,"Over "&amp;MaxDayHours&amp;" hours that day","")))))</f>
        <v/>
      </c>
    </row>
    <row r="1526" customFormat="false" ht="15" hidden="false" customHeight="false" outlineLevel="0" collapsed="false">
      <c r="A1526" s="31" t="n">
        <v>46283</v>
      </c>
      <c r="B1526" s="32" t="s">
        <v>105</v>
      </c>
      <c r="C1526" s="32" t="s">
        <v>90</v>
      </c>
      <c r="D1526" s="33" t="s">
        <v>89</v>
      </c>
      <c r="E1526" s="34" t="n">
        <v>1.75</v>
      </c>
      <c r="F1526" s="32"/>
      <c r="G1526" s="35" t="n">
        <f aca="false">IF(A1526="","",A1526+7-WEEKDAY(A1526))</f>
        <v>46284</v>
      </c>
      <c r="H1526" s="36" t="n">
        <f aca="false">IF(A1526="","",DATE(YEAR(A1526),MONTH(A1526),1))</f>
        <v>46266</v>
      </c>
      <c r="I1526" s="37" t="str">
        <f aca="false">IF(B1526="","",IFERROR(INDEX(st_ID,MATCH(B1526,st_Name,0)),"Unknown"))</f>
        <v>QP-06</v>
      </c>
      <c r="J1526" s="37" t="str">
        <f aca="false">IF(C1526="","",IFERROR(INDEX(cl_Code,MATCH(C1526,cl_Name,0)),"Unknown"))</f>
        <v>BSE</v>
      </c>
      <c r="K1526" s="37" t="str">
        <f aca="false">IF(D1526="","",IFERROR(INDEX(rt_Billable,MATCH(D1526,rt_Code,0)),"Unknown"))</f>
        <v>Yes</v>
      </c>
      <c r="L1526" s="38" t="n">
        <f aca="false">IF(K1526&lt;&gt;"Yes","",IFERROR(INDEX(cr_Rate,MATCH(J1526&amp;"|"&amp;D1526,cr_Key,0)),INDEX(rt_Rate,MATCH(D1526,rt_Code,0))))</f>
        <v>95</v>
      </c>
      <c r="M1526" s="25" t="n">
        <f aca="false">IF(L1526="","",ROUND(N(E1526)*L1526,2))</f>
        <v>166.25</v>
      </c>
      <c r="N1526" s="39" t="n">
        <f aca="false">IF(OR(A1526="",B1526=""),"",SUMIFS(tl_Hours,tl_StaffID,I1526,tl_Date,A1526))</f>
        <v>8</v>
      </c>
      <c r="O1526" s="40" t="str">
        <f aca="false">IF(A1526&amp;B1526&amp;D1526="","",IF(OR(A1526="",B1526="",D1526="",E1526=""),"Incomplete",IF(K1526="Unknown","Unknown code",IF(AND(K1526="Yes",C1526=""),"Billable, needs client",IF(N1526&gt;MaxDayHours,"Over "&amp;MaxDayHours&amp;" hours that day","")))))</f>
        <v/>
      </c>
    </row>
    <row r="1527" customFormat="false" ht="15" hidden="false" customHeight="false" outlineLevel="0" collapsed="false">
      <c r="A1527" s="31" t="n">
        <v>46283</v>
      </c>
      <c r="B1527" s="32" t="s">
        <v>105</v>
      </c>
      <c r="C1527" s="32"/>
      <c r="D1527" s="33" t="s">
        <v>96</v>
      </c>
      <c r="E1527" s="34" t="n">
        <v>1.75</v>
      </c>
      <c r="F1527" s="32"/>
      <c r="G1527" s="35" t="n">
        <f aca="false">IF(A1527="","",A1527+7-WEEKDAY(A1527))</f>
        <v>46284</v>
      </c>
      <c r="H1527" s="36" t="n">
        <f aca="false">IF(A1527="","",DATE(YEAR(A1527),MONTH(A1527),1))</f>
        <v>46266</v>
      </c>
      <c r="I1527" s="37" t="str">
        <f aca="false">IF(B1527="","",IFERROR(INDEX(st_ID,MATCH(B1527,st_Name,0)),"Unknown"))</f>
        <v>QP-06</v>
      </c>
      <c r="J1527" s="37" t="str">
        <f aca="false">IF(C1527="","",IFERROR(INDEX(cl_Code,MATCH(C1527,cl_Name,0)),"Unknown"))</f>
        <v/>
      </c>
      <c r="K1527" s="37" t="str">
        <f aca="false">IF(D1527="","",IFERROR(INDEX(rt_Billable,MATCH(D1527,rt_Code,0)),"Unknown"))</f>
        <v>No</v>
      </c>
      <c r="L1527" s="38" t="str">
        <f aca="false">IF(K1527&lt;&gt;"Yes","",IFERROR(INDEX(cr_Rate,MATCH(J1527&amp;"|"&amp;D1527,cr_Key,0)),INDEX(rt_Rate,MATCH(D1527,rt_Code,0))))</f>
        <v/>
      </c>
      <c r="M1527" s="25" t="str">
        <f aca="false">IF(L1527="","",ROUND(N(E1527)*L1527,2))</f>
        <v/>
      </c>
      <c r="N1527" s="39" t="n">
        <f aca="false">IF(OR(A1527="",B1527=""),"",SUMIFS(tl_Hours,tl_StaffID,I1527,tl_Date,A1527))</f>
        <v>8</v>
      </c>
      <c r="O1527" s="40" t="str">
        <f aca="false">IF(A1527&amp;B1527&amp;D1527="","",IF(OR(A1527="",B1527="",D1527="",E1527=""),"Incomplete",IF(K1527="Unknown","Unknown code",IF(AND(K1527="Yes",C1527=""),"Billable, needs client",IF(N1527&gt;MaxDayHours,"Over "&amp;MaxDayHours&amp;" hours that day","")))))</f>
        <v/>
      </c>
    </row>
    <row r="1528" customFormat="false" ht="15" hidden="false" customHeight="false" outlineLevel="0" collapsed="false">
      <c r="A1528" s="31" t="n">
        <v>46283</v>
      </c>
      <c r="B1528" s="32" t="s">
        <v>106</v>
      </c>
      <c r="C1528" s="32" t="s">
        <v>102</v>
      </c>
      <c r="D1528" s="33" t="s">
        <v>88</v>
      </c>
      <c r="E1528" s="34" t="n">
        <v>3.75</v>
      </c>
      <c r="F1528" s="32"/>
      <c r="G1528" s="35" t="n">
        <f aca="false">IF(A1528="","",A1528+7-WEEKDAY(A1528))</f>
        <v>46284</v>
      </c>
      <c r="H1528" s="36" t="n">
        <f aca="false">IF(A1528="","",DATE(YEAR(A1528),MONTH(A1528),1))</f>
        <v>46266</v>
      </c>
      <c r="I1528" s="37" t="str">
        <f aca="false">IF(B1528="","",IFERROR(INDEX(st_ID,MATCH(B1528,st_Name,0)),"Unknown"))</f>
        <v>QP-07</v>
      </c>
      <c r="J1528" s="37" t="str">
        <f aca="false">IF(C1528="","",IFERROR(INDEX(cl_Code,MATCH(C1528,cl_Name,0)),"Unknown"))</f>
        <v>CLH</v>
      </c>
      <c r="K1528" s="37" t="str">
        <f aca="false">IF(D1528="","",IFERROR(INDEX(rt_Billable,MATCH(D1528,rt_Code,0)),"Unknown"))</f>
        <v>Yes</v>
      </c>
      <c r="L1528" s="38" t="n">
        <f aca="false">IF(K1528&lt;&gt;"Yes","",IFERROR(INDEX(cr_Rate,MATCH(J1528&amp;"|"&amp;D1528,cr_Key,0)),INDEX(rt_Rate,MATCH(D1528,rt_Code,0))))</f>
        <v>110</v>
      </c>
      <c r="M1528" s="25" t="n">
        <f aca="false">IF(L1528="","",ROUND(N(E1528)*L1528,2))</f>
        <v>412.5</v>
      </c>
      <c r="N1528" s="39" t="n">
        <f aca="false">IF(OR(A1528="",B1528=""),"",SUMIFS(tl_Hours,tl_StaffID,I1528,tl_Date,A1528))</f>
        <v>8</v>
      </c>
      <c r="O1528" s="40" t="str">
        <f aca="false">IF(A1528&amp;B1528&amp;D1528="","",IF(OR(A1528="",B1528="",D1528="",E1528=""),"Incomplete",IF(K1528="Unknown","Unknown code",IF(AND(K1528="Yes",C1528=""),"Billable, needs client",IF(N1528&gt;MaxDayHours,"Over "&amp;MaxDayHours&amp;" hours that day","")))))</f>
        <v/>
      </c>
    </row>
    <row r="1529" customFormat="false" ht="15" hidden="false" customHeight="false" outlineLevel="0" collapsed="false">
      <c r="A1529" s="31" t="n">
        <v>46283</v>
      </c>
      <c r="B1529" s="32" t="s">
        <v>106</v>
      </c>
      <c r="C1529" s="32" t="s">
        <v>102</v>
      </c>
      <c r="D1529" s="33" t="s">
        <v>89</v>
      </c>
      <c r="E1529" s="34" t="n">
        <v>2.5</v>
      </c>
      <c r="F1529" s="32"/>
      <c r="G1529" s="35" t="n">
        <f aca="false">IF(A1529="","",A1529+7-WEEKDAY(A1529))</f>
        <v>46284</v>
      </c>
      <c r="H1529" s="36" t="n">
        <f aca="false">IF(A1529="","",DATE(YEAR(A1529),MONTH(A1529),1))</f>
        <v>46266</v>
      </c>
      <c r="I1529" s="37" t="str">
        <f aca="false">IF(B1529="","",IFERROR(INDEX(st_ID,MATCH(B1529,st_Name,0)),"Unknown"))</f>
        <v>QP-07</v>
      </c>
      <c r="J1529" s="37" t="str">
        <f aca="false">IF(C1529="","",IFERROR(INDEX(cl_Code,MATCH(C1529,cl_Name,0)),"Unknown"))</f>
        <v>CLH</v>
      </c>
      <c r="K1529" s="37" t="str">
        <f aca="false">IF(D1529="","",IFERROR(INDEX(rt_Billable,MATCH(D1529,rt_Code,0)),"Unknown"))</f>
        <v>Yes</v>
      </c>
      <c r="L1529" s="38" t="n">
        <f aca="false">IF(K1529&lt;&gt;"Yes","",IFERROR(INDEX(cr_Rate,MATCH(J1529&amp;"|"&amp;D1529,cr_Key,0)),INDEX(rt_Rate,MATCH(D1529,rt_Code,0))))</f>
        <v>95</v>
      </c>
      <c r="M1529" s="25" t="n">
        <f aca="false">IF(L1529="","",ROUND(N(E1529)*L1529,2))</f>
        <v>237.5</v>
      </c>
      <c r="N1529" s="39" t="n">
        <f aca="false">IF(OR(A1529="",B1529=""),"",SUMIFS(tl_Hours,tl_StaffID,I1529,tl_Date,A1529))</f>
        <v>8</v>
      </c>
      <c r="O1529" s="40" t="str">
        <f aca="false">IF(A1529&amp;B1529&amp;D1529="","",IF(OR(A1529="",B1529="",D1529="",E1529=""),"Incomplete",IF(K1529="Unknown","Unknown code",IF(AND(K1529="Yes",C1529=""),"Billable, needs client",IF(N1529&gt;MaxDayHours,"Over "&amp;MaxDayHours&amp;" hours that day","")))))</f>
        <v/>
      </c>
    </row>
    <row r="1530" customFormat="false" ht="15" hidden="false" customHeight="false" outlineLevel="0" collapsed="false">
      <c r="A1530" s="31" t="n">
        <v>46283</v>
      </c>
      <c r="B1530" s="32" t="s">
        <v>106</v>
      </c>
      <c r="C1530" s="32"/>
      <c r="D1530" s="33" t="s">
        <v>96</v>
      </c>
      <c r="E1530" s="34" t="n">
        <v>1.75</v>
      </c>
      <c r="F1530" s="32"/>
      <c r="G1530" s="35" t="n">
        <f aca="false">IF(A1530="","",A1530+7-WEEKDAY(A1530))</f>
        <v>46284</v>
      </c>
      <c r="H1530" s="36" t="n">
        <f aca="false">IF(A1530="","",DATE(YEAR(A1530),MONTH(A1530),1))</f>
        <v>46266</v>
      </c>
      <c r="I1530" s="37" t="str">
        <f aca="false">IF(B1530="","",IFERROR(INDEX(st_ID,MATCH(B1530,st_Name,0)),"Unknown"))</f>
        <v>QP-07</v>
      </c>
      <c r="J1530" s="37" t="str">
        <f aca="false">IF(C1530="","",IFERROR(INDEX(cl_Code,MATCH(C1530,cl_Name,0)),"Unknown"))</f>
        <v/>
      </c>
      <c r="K1530" s="37" t="str">
        <f aca="false">IF(D1530="","",IFERROR(INDEX(rt_Billable,MATCH(D1530,rt_Code,0)),"Unknown"))</f>
        <v>No</v>
      </c>
      <c r="L1530" s="38" t="str">
        <f aca="false">IF(K1530&lt;&gt;"Yes","",IFERROR(INDEX(cr_Rate,MATCH(J1530&amp;"|"&amp;D1530,cr_Key,0)),INDEX(rt_Rate,MATCH(D1530,rt_Code,0))))</f>
        <v/>
      </c>
      <c r="M1530" s="25" t="str">
        <f aca="false">IF(L1530="","",ROUND(N(E1530)*L1530,2))</f>
        <v/>
      </c>
      <c r="N1530" s="39" t="n">
        <f aca="false">IF(OR(A1530="",B1530=""),"",SUMIFS(tl_Hours,tl_StaffID,I1530,tl_Date,A1530))</f>
        <v>8</v>
      </c>
      <c r="O1530" s="40" t="str">
        <f aca="false">IF(A1530&amp;B1530&amp;D1530="","",IF(OR(A1530="",B1530="",D1530="",E1530=""),"Incomplete",IF(K1530="Unknown","Unknown code",IF(AND(K1530="Yes",C1530=""),"Billable, needs client",IF(N1530&gt;MaxDayHours,"Over "&amp;MaxDayHours&amp;" hours that day","")))))</f>
        <v/>
      </c>
    </row>
    <row r="1531" customFormat="false" ht="15" hidden="false" customHeight="false" outlineLevel="0" collapsed="false">
      <c r="A1531" s="31" t="n">
        <v>46283</v>
      </c>
      <c r="B1531" s="32" t="s">
        <v>107</v>
      </c>
      <c r="C1531" s="32"/>
      <c r="D1531" s="33" t="s">
        <v>108</v>
      </c>
      <c r="E1531" s="34" t="n">
        <v>6.5</v>
      </c>
      <c r="F1531" s="32"/>
      <c r="G1531" s="35" t="n">
        <f aca="false">IF(A1531="","",A1531+7-WEEKDAY(A1531))</f>
        <v>46284</v>
      </c>
      <c r="H1531" s="36" t="n">
        <f aca="false">IF(A1531="","",DATE(YEAR(A1531),MONTH(A1531),1))</f>
        <v>46266</v>
      </c>
      <c r="I1531" s="37" t="str">
        <f aca="false">IF(B1531="","",IFERROR(INDEX(st_ID,MATCH(B1531,st_Name,0)),"Unknown"))</f>
        <v>QP-08</v>
      </c>
      <c r="J1531" s="37" t="str">
        <f aca="false">IF(C1531="","",IFERROR(INDEX(cl_Code,MATCH(C1531,cl_Name,0)),"Unknown"))</f>
        <v/>
      </c>
      <c r="K1531" s="37" t="str">
        <f aca="false">IF(D1531="","",IFERROR(INDEX(rt_Billable,MATCH(D1531,rt_Code,0)),"Unknown"))</f>
        <v>No</v>
      </c>
      <c r="L1531" s="38" t="str">
        <f aca="false">IF(K1531&lt;&gt;"Yes","",IFERROR(INDEX(cr_Rate,MATCH(J1531&amp;"|"&amp;D1531,cr_Key,0)),INDEX(rt_Rate,MATCH(D1531,rt_Code,0))))</f>
        <v/>
      </c>
      <c r="M1531" s="25" t="str">
        <f aca="false">IF(L1531="","",ROUND(N(E1531)*L1531,2))</f>
        <v/>
      </c>
      <c r="N1531" s="39" t="n">
        <f aca="false">IF(OR(A1531="",B1531=""),"",SUMIFS(tl_Hours,tl_StaffID,I1531,tl_Date,A1531))</f>
        <v>8</v>
      </c>
      <c r="O1531" s="40" t="str">
        <f aca="false">IF(A1531&amp;B1531&amp;D1531="","",IF(OR(A1531="",B1531="",D1531="",E1531=""),"Incomplete",IF(K1531="Unknown","Unknown code",IF(AND(K1531="Yes",C1531=""),"Billable, needs client",IF(N1531&gt;MaxDayHours,"Over "&amp;MaxDayHours&amp;" hours that day","")))))</f>
        <v/>
      </c>
    </row>
    <row r="1532" customFormat="false" ht="15" hidden="false" customHeight="false" outlineLevel="0" collapsed="false">
      <c r="A1532" s="31" t="n">
        <v>46283</v>
      </c>
      <c r="B1532" s="32" t="s">
        <v>107</v>
      </c>
      <c r="C1532" s="32"/>
      <c r="D1532" s="33" t="s">
        <v>98</v>
      </c>
      <c r="E1532" s="34" t="n">
        <v>1.5</v>
      </c>
      <c r="F1532" s="32"/>
      <c r="G1532" s="35" t="n">
        <f aca="false">IF(A1532="","",A1532+7-WEEKDAY(A1532))</f>
        <v>46284</v>
      </c>
      <c r="H1532" s="36" t="n">
        <f aca="false">IF(A1532="","",DATE(YEAR(A1532),MONTH(A1532),1))</f>
        <v>46266</v>
      </c>
      <c r="I1532" s="37" t="str">
        <f aca="false">IF(B1532="","",IFERROR(INDEX(st_ID,MATCH(B1532,st_Name,0)),"Unknown"))</f>
        <v>QP-08</v>
      </c>
      <c r="J1532" s="37" t="str">
        <f aca="false">IF(C1532="","",IFERROR(INDEX(cl_Code,MATCH(C1532,cl_Name,0)),"Unknown"))</f>
        <v/>
      </c>
      <c r="K1532" s="37" t="str">
        <f aca="false">IF(D1532="","",IFERROR(INDEX(rt_Billable,MATCH(D1532,rt_Code,0)),"Unknown"))</f>
        <v>No</v>
      </c>
      <c r="L1532" s="38" t="str">
        <f aca="false">IF(K1532&lt;&gt;"Yes","",IFERROR(INDEX(cr_Rate,MATCH(J1532&amp;"|"&amp;D1532,cr_Key,0)),INDEX(rt_Rate,MATCH(D1532,rt_Code,0))))</f>
        <v/>
      </c>
      <c r="M1532" s="25" t="str">
        <f aca="false">IF(L1532="","",ROUND(N(E1532)*L1532,2))</f>
        <v/>
      </c>
      <c r="N1532" s="39" t="n">
        <f aca="false">IF(OR(A1532="",B1532=""),"",SUMIFS(tl_Hours,tl_StaffID,I1532,tl_Date,A1532))</f>
        <v>8</v>
      </c>
      <c r="O1532" s="40" t="str">
        <f aca="false">IF(A1532&amp;B1532&amp;D1532="","",IF(OR(A1532="",B1532="",D1532="",E1532=""),"Incomplete",IF(K1532="Unknown","Unknown code",IF(AND(K1532="Yes",C1532=""),"Billable, needs client",IF(N1532&gt;MaxDayHours,"Over "&amp;MaxDayHours&amp;" hours that day","")))))</f>
        <v/>
      </c>
    </row>
    <row r="1533" customFormat="false" ht="15" hidden="false" customHeight="false" outlineLevel="0" collapsed="false">
      <c r="A1533" s="31" t="n">
        <v>46286</v>
      </c>
      <c r="B1533" s="32" t="s">
        <v>86</v>
      </c>
      <c r="C1533" s="32" t="s">
        <v>90</v>
      </c>
      <c r="D1533" s="33" t="s">
        <v>91</v>
      </c>
      <c r="E1533" s="34" t="n">
        <v>4.5</v>
      </c>
      <c r="F1533" s="32"/>
      <c r="G1533" s="35" t="n">
        <f aca="false">IF(A1533="","",A1533+7-WEEKDAY(A1533))</f>
        <v>46291</v>
      </c>
      <c r="H1533" s="36" t="n">
        <f aca="false">IF(A1533="","",DATE(YEAR(A1533),MONTH(A1533),1))</f>
        <v>46266</v>
      </c>
      <c r="I1533" s="37" t="str">
        <f aca="false">IF(B1533="","",IFERROR(INDEX(st_ID,MATCH(B1533,st_Name,0)),"Unknown"))</f>
        <v>QP-01</v>
      </c>
      <c r="J1533" s="37" t="str">
        <f aca="false">IF(C1533="","",IFERROR(INDEX(cl_Code,MATCH(C1533,cl_Name,0)),"Unknown"))</f>
        <v>BSE</v>
      </c>
      <c r="K1533" s="37" t="str">
        <f aca="false">IF(D1533="","",IFERROR(INDEX(rt_Billable,MATCH(D1533,rt_Code,0)),"Unknown"))</f>
        <v>Yes</v>
      </c>
      <c r="L1533" s="38" t="n">
        <f aca="false">IF(K1533&lt;&gt;"Yes","",IFERROR(INDEX(cr_Rate,MATCH(J1533&amp;"|"&amp;D1533,cr_Key,0)),INDEX(rt_Rate,MATCH(D1533,rt_Code,0))))</f>
        <v>100</v>
      </c>
      <c r="M1533" s="25" t="n">
        <f aca="false">IF(L1533="","",ROUND(N(E1533)*L1533,2))</f>
        <v>450</v>
      </c>
      <c r="N1533" s="39" t="n">
        <f aca="false">IF(OR(A1533="",B1533=""),"",SUMIFS(tl_Hours,tl_StaffID,I1533,tl_Date,A1533))</f>
        <v>8</v>
      </c>
      <c r="O1533" s="40" t="str">
        <f aca="false">IF(A1533&amp;B1533&amp;D1533="","",IF(OR(A1533="",B1533="",D1533="",E1533=""),"Incomplete",IF(K1533="Unknown","Unknown code",IF(AND(K1533="Yes",C1533=""),"Billable, needs client",IF(N1533&gt;MaxDayHours,"Over "&amp;MaxDayHours&amp;" hours that day","")))))</f>
        <v/>
      </c>
    </row>
    <row r="1534" customFormat="false" ht="15" hidden="false" customHeight="false" outlineLevel="0" collapsed="false">
      <c r="A1534" s="31" t="n">
        <v>46286</v>
      </c>
      <c r="B1534" s="32" t="s">
        <v>86</v>
      </c>
      <c r="C1534" s="32" t="s">
        <v>90</v>
      </c>
      <c r="D1534" s="33" t="s">
        <v>89</v>
      </c>
      <c r="E1534" s="34" t="n">
        <v>1.75</v>
      </c>
      <c r="F1534" s="32"/>
      <c r="G1534" s="35" t="n">
        <f aca="false">IF(A1534="","",A1534+7-WEEKDAY(A1534))</f>
        <v>46291</v>
      </c>
      <c r="H1534" s="36" t="n">
        <f aca="false">IF(A1534="","",DATE(YEAR(A1534),MONTH(A1534),1))</f>
        <v>46266</v>
      </c>
      <c r="I1534" s="37" t="str">
        <f aca="false">IF(B1534="","",IFERROR(INDEX(st_ID,MATCH(B1534,st_Name,0)),"Unknown"))</f>
        <v>QP-01</v>
      </c>
      <c r="J1534" s="37" t="str">
        <f aca="false">IF(C1534="","",IFERROR(INDEX(cl_Code,MATCH(C1534,cl_Name,0)),"Unknown"))</f>
        <v>BSE</v>
      </c>
      <c r="K1534" s="37" t="str">
        <f aca="false">IF(D1534="","",IFERROR(INDEX(rt_Billable,MATCH(D1534,rt_Code,0)),"Unknown"))</f>
        <v>Yes</v>
      </c>
      <c r="L1534" s="38" t="n">
        <f aca="false">IF(K1534&lt;&gt;"Yes","",IFERROR(INDEX(cr_Rate,MATCH(J1534&amp;"|"&amp;D1534,cr_Key,0)),INDEX(rt_Rate,MATCH(D1534,rt_Code,0))))</f>
        <v>95</v>
      </c>
      <c r="M1534" s="25" t="n">
        <f aca="false">IF(L1534="","",ROUND(N(E1534)*L1534,2))</f>
        <v>166.25</v>
      </c>
      <c r="N1534" s="39" t="n">
        <f aca="false">IF(OR(A1534="",B1534=""),"",SUMIFS(tl_Hours,tl_StaffID,I1534,tl_Date,A1534))</f>
        <v>8</v>
      </c>
      <c r="O1534" s="40" t="str">
        <f aca="false">IF(A1534&amp;B1534&amp;D1534="","",IF(OR(A1534="",B1534="",D1534="",E1534=""),"Incomplete",IF(K1534="Unknown","Unknown code",IF(AND(K1534="Yes",C1534=""),"Billable, needs client",IF(N1534&gt;MaxDayHours,"Over "&amp;MaxDayHours&amp;" hours that day","")))))</f>
        <v/>
      </c>
    </row>
    <row r="1535" customFormat="false" ht="15" hidden="false" customHeight="false" outlineLevel="0" collapsed="false">
      <c r="A1535" s="31" t="n">
        <v>46286</v>
      </c>
      <c r="B1535" s="32" t="s">
        <v>86</v>
      </c>
      <c r="C1535" s="32"/>
      <c r="D1535" s="33" t="s">
        <v>96</v>
      </c>
      <c r="E1535" s="34" t="n">
        <v>1.75</v>
      </c>
      <c r="F1535" s="32"/>
      <c r="G1535" s="35" t="n">
        <f aca="false">IF(A1535="","",A1535+7-WEEKDAY(A1535))</f>
        <v>46291</v>
      </c>
      <c r="H1535" s="36" t="n">
        <f aca="false">IF(A1535="","",DATE(YEAR(A1535),MONTH(A1535),1))</f>
        <v>46266</v>
      </c>
      <c r="I1535" s="37" t="str">
        <f aca="false">IF(B1535="","",IFERROR(INDEX(st_ID,MATCH(B1535,st_Name,0)),"Unknown"))</f>
        <v>QP-01</v>
      </c>
      <c r="J1535" s="37" t="str">
        <f aca="false">IF(C1535="","",IFERROR(INDEX(cl_Code,MATCH(C1535,cl_Name,0)),"Unknown"))</f>
        <v/>
      </c>
      <c r="K1535" s="37" t="str">
        <f aca="false">IF(D1535="","",IFERROR(INDEX(rt_Billable,MATCH(D1535,rt_Code,0)),"Unknown"))</f>
        <v>No</v>
      </c>
      <c r="L1535" s="38" t="str">
        <f aca="false">IF(K1535&lt;&gt;"Yes","",IFERROR(INDEX(cr_Rate,MATCH(J1535&amp;"|"&amp;D1535,cr_Key,0)),INDEX(rt_Rate,MATCH(D1535,rt_Code,0))))</f>
        <v/>
      </c>
      <c r="M1535" s="25" t="str">
        <f aca="false">IF(L1535="","",ROUND(N(E1535)*L1535,2))</f>
        <v/>
      </c>
      <c r="N1535" s="39" t="n">
        <f aca="false">IF(OR(A1535="",B1535=""),"",SUMIFS(tl_Hours,tl_StaffID,I1535,tl_Date,A1535))</f>
        <v>8</v>
      </c>
      <c r="O1535" s="40" t="str">
        <f aca="false">IF(A1535&amp;B1535&amp;D1535="","",IF(OR(A1535="",B1535="",D1535="",E1535=""),"Incomplete",IF(K1535="Unknown","Unknown code",IF(AND(K1535="Yes",C1535=""),"Billable, needs client",IF(N1535&gt;MaxDayHours,"Over "&amp;MaxDayHours&amp;" hours that day","")))))</f>
        <v/>
      </c>
    </row>
    <row r="1536" customFormat="false" ht="15" hidden="false" customHeight="false" outlineLevel="0" collapsed="false">
      <c r="A1536" s="31" t="n">
        <v>46286</v>
      </c>
      <c r="B1536" s="32" t="s">
        <v>97</v>
      </c>
      <c r="C1536" s="32" t="s">
        <v>87</v>
      </c>
      <c r="D1536" s="33" t="s">
        <v>104</v>
      </c>
      <c r="E1536" s="34" t="n">
        <v>3.5</v>
      </c>
      <c r="F1536" s="32"/>
      <c r="G1536" s="35" t="n">
        <f aca="false">IF(A1536="","",A1536+7-WEEKDAY(A1536))</f>
        <v>46291</v>
      </c>
      <c r="H1536" s="36" t="n">
        <f aca="false">IF(A1536="","",DATE(YEAR(A1536),MONTH(A1536),1))</f>
        <v>46266</v>
      </c>
      <c r="I1536" s="37" t="str">
        <f aca="false">IF(B1536="","",IFERROR(INDEX(st_ID,MATCH(B1536,st_Name,0)),"Unknown"))</f>
        <v>QP-02</v>
      </c>
      <c r="J1536" s="37" t="str">
        <f aca="false">IF(C1536="","",IFERROR(INDEX(cl_Code,MATCH(C1536,cl_Name,0)),"Unknown"))</f>
        <v>HCS</v>
      </c>
      <c r="K1536" s="37" t="str">
        <f aca="false">IF(D1536="","",IFERROR(INDEX(rt_Billable,MATCH(D1536,rt_Code,0)),"Unknown"))</f>
        <v>Yes</v>
      </c>
      <c r="L1536" s="38" t="n">
        <f aca="false">IF(K1536&lt;&gt;"Yes","",IFERROR(INDEX(cr_Rate,MATCH(J1536&amp;"|"&amp;D1536,cr_Key,0)),INDEX(rt_Rate,MATCH(D1536,rt_Code,0))))</f>
        <v>62</v>
      </c>
      <c r="M1536" s="25" t="n">
        <f aca="false">IF(L1536="","",ROUND(N(E1536)*L1536,2))</f>
        <v>217</v>
      </c>
      <c r="N1536" s="39" t="n">
        <f aca="false">IF(OR(A1536="",B1536=""),"",SUMIFS(tl_Hours,tl_StaffID,I1536,tl_Date,A1536))</f>
        <v>8</v>
      </c>
      <c r="O1536" s="40" t="str">
        <f aca="false">IF(A1536&amp;B1536&amp;D1536="","",IF(OR(A1536="",B1536="",D1536="",E1536=""),"Incomplete",IF(K1536="Unknown","Unknown code",IF(AND(K1536="Yes",C1536=""),"Billable, needs client",IF(N1536&gt;MaxDayHours,"Over "&amp;MaxDayHours&amp;" hours that day","")))))</f>
        <v/>
      </c>
    </row>
    <row r="1537" customFormat="false" ht="15" hidden="false" customHeight="false" outlineLevel="0" collapsed="false">
      <c r="A1537" s="31" t="n">
        <v>46286</v>
      </c>
      <c r="B1537" s="32" t="s">
        <v>97</v>
      </c>
      <c r="C1537" s="32" t="s">
        <v>87</v>
      </c>
      <c r="D1537" s="33" t="s">
        <v>113</v>
      </c>
      <c r="E1537" s="34" t="n">
        <v>2</v>
      </c>
      <c r="F1537" s="32"/>
      <c r="G1537" s="35" t="n">
        <f aca="false">IF(A1537="","",A1537+7-WEEKDAY(A1537))</f>
        <v>46291</v>
      </c>
      <c r="H1537" s="36" t="n">
        <f aca="false">IF(A1537="","",DATE(YEAR(A1537),MONTH(A1537),1))</f>
        <v>46266</v>
      </c>
      <c r="I1537" s="37" t="str">
        <f aca="false">IF(B1537="","",IFERROR(INDEX(st_ID,MATCH(B1537,st_Name,0)),"Unknown"))</f>
        <v>QP-02</v>
      </c>
      <c r="J1537" s="37" t="str">
        <f aca="false">IF(C1537="","",IFERROR(INDEX(cl_Code,MATCH(C1537,cl_Name,0)),"Unknown"))</f>
        <v>HCS</v>
      </c>
      <c r="K1537" s="37" t="str">
        <f aca="false">IF(D1537="","",IFERROR(INDEX(rt_Billable,MATCH(D1537,rt_Code,0)),"Unknown"))</f>
        <v>Yes</v>
      </c>
      <c r="L1537" s="38" t="n">
        <f aca="false">IF(K1537&lt;&gt;"Yes","",IFERROR(INDEX(cr_Rate,MATCH(J1537&amp;"|"&amp;D1537,cr_Key,0)),INDEX(rt_Rate,MATCH(D1537,rt_Code,0))))</f>
        <v>85</v>
      </c>
      <c r="M1537" s="25" t="n">
        <f aca="false">IF(L1537="","",ROUND(N(E1537)*L1537,2))</f>
        <v>170</v>
      </c>
      <c r="N1537" s="39" t="n">
        <f aca="false">IF(OR(A1537="",B1537=""),"",SUMIFS(tl_Hours,tl_StaffID,I1537,tl_Date,A1537))</f>
        <v>8</v>
      </c>
      <c r="O1537" s="40" t="str">
        <f aca="false">IF(A1537&amp;B1537&amp;D1537="","",IF(OR(A1537="",B1537="",D1537="",E1537=""),"Incomplete",IF(K1537="Unknown","Unknown code",IF(AND(K1537="Yes",C1537=""),"Billable, needs client",IF(N1537&gt;MaxDayHours,"Over "&amp;MaxDayHours&amp;" hours that day","")))))</f>
        <v/>
      </c>
    </row>
    <row r="1538" customFormat="false" ht="15" hidden="false" customHeight="false" outlineLevel="0" collapsed="false">
      <c r="A1538" s="31" t="n">
        <v>46286</v>
      </c>
      <c r="B1538" s="32" t="s">
        <v>97</v>
      </c>
      <c r="C1538" s="32"/>
      <c r="D1538" s="33" t="s">
        <v>96</v>
      </c>
      <c r="E1538" s="34" t="n">
        <v>2.5</v>
      </c>
      <c r="F1538" s="32"/>
      <c r="G1538" s="35" t="n">
        <f aca="false">IF(A1538="","",A1538+7-WEEKDAY(A1538))</f>
        <v>46291</v>
      </c>
      <c r="H1538" s="36" t="n">
        <f aca="false">IF(A1538="","",DATE(YEAR(A1538),MONTH(A1538),1))</f>
        <v>46266</v>
      </c>
      <c r="I1538" s="37" t="str">
        <f aca="false">IF(B1538="","",IFERROR(INDEX(st_ID,MATCH(B1538,st_Name,0)),"Unknown"))</f>
        <v>QP-02</v>
      </c>
      <c r="J1538" s="37" t="str">
        <f aca="false">IF(C1538="","",IFERROR(INDEX(cl_Code,MATCH(C1538,cl_Name,0)),"Unknown"))</f>
        <v/>
      </c>
      <c r="K1538" s="37" t="str">
        <f aca="false">IF(D1538="","",IFERROR(INDEX(rt_Billable,MATCH(D1538,rt_Code,0)),"Unknown"))</f>
        <v>No</v>
      </c>
      <c r="L1538" s="38" t="str">
        <f aca="false">IF(K1538&lt;&gt;"Yes","",IFERROR(INDEX(cr_Rate,MATCH(J1538&amp;"|"&amp;D1538,cr_Key,0)),INDEX(rt_Rate,MATCH(D1538,rt_Code,0))))</f>
        <v/>
      </c>
      <c r="M1538" s="25" t="str">
        <f aca="false">IF(L1538="","",ROUND(N(E1538)*L1538,2))</f>
        <v/>
      </c>
      <c r="N1538" s="39" t="n">
        <f aca="false">IF(OR(A1538="",B1538=""),"",SUMIFS(tl_Hours,tl_StaffID,I1538,tl_Date,A1538))</f>
        <v>8</v>
      </c>
      <c r="O1538" s="40" t="str">
        <f aca="false">IF(A1538&amp;B1538&amp;D1538="","",IF(OR(A1538="",B1538="",D1538="",E1538=""),"Incomplete",IF(K1538="Unknown","Unknown code",IF(AND(K1538="Yes",C1538=""),"Billable, needs client",IF(N1538&gt;MaxDayHours,"Over "&amp;MaxDayHours&amp;" hours that day","")))))</f>
        <v/>
      </c>
    </row>
    <row r="1539" customFormat="false" ht="15" hidden="false" customHeight="false" outlineLevel="0" collapsed="false">
      <c r="A1539" s="31" t="n">
        <v>46286</v>
      </c>
      <c r="B1539" s="32" t="s">
        <v>101</v>
      </c>
      <c r="C1539" s="32" t="s">
        <v>87</v>
      </c>
      <c r="D1539" s="33" t="s">
        <v>88</v>
      </c>
      <c r="E1539" s="34" t="n">
        <v>2.5</v>
      </c>
      <c r="F1539" s="32"/>
      <c r="G1539" s="35" t="n">
        <f aca="false">IF(A1539="","",A1539+7-WEEKDAY(A1539))</f>
        <v>46291</v>
      </c>
      <c r="H1539" s="36" t="n">
        <f aca="false">IF(A1539="","",DATE(YEAR(A1539),MONTH(A1539),1))</f>
        <v>46266</v>
      </c>
      <c r="I1539" s="37" t="str">
        <f aca="false">IF(B1539="","",IFERROR(INDEX(st_ID,MATCH(B1539,st_Name,0)),"Unknown"))</f>
        <v>QP-04</v>
      </c>
      <c r="J1539" s="37" t="str">
        <f aca="false">IF(C1539="","",IFERROR(INDEX(cl_Code,MATCH(C1539,cl_Name,0)),"Unknown"))</f>
        <v>HCS</v>
      </c>
      <c r="K1539" s="37" t="str">
        <f aca="false">IF(D1539="","",IFERROR(INDEX(rt_Billable,MATCH(D1539,rt_Code,0)),"Unknown"))</f>
        <v>Yes</v>
      </c>
      <c r="L1539" s="38" t="n">
        <f aca="false">IF(K1539&lt;&gt;"Yes","",IFERROR(INDEX(cr_Rate,MATCH(J1539&amp;"|"&amp;D1539,cr_Key,0)),INDEX(rt_Rate,MATCH(D1539,rt_Code,0))))</f>
        <v>98</v>
      </c>
      <c r="M1539" s="25" t="n">
        <f aca="false">IF(L1539="","",ROUND(N(E1539)*L1539,2))</f>
        <v>245</v>
      </c>
      <c r="N1539" s="39" t="n">
        <f aca="false">IF(OR(A1539="",B1539=""),"",SUMIFS(tl_Hours,tl_StaffID,I1539,tl_Date,A1539))</f>
        <v>8</v>
      </c>
      <c r="O1539" s="40" t="str">
        <f aca="false">IF(A1539&amp;B1539&amp;D1539="","",IF(OR(A1539="",B1539="",D1539="",E1539=""),"Incomplete",IF(K1539="Unknown","Unknown code",IF(AND(K1539="Yes",C1539=""),"Billable, needs client",IF(N1539&gt;MaxDayHours,"Over "&amp;MaxDayHours&amp;" hours that day","")))))</f>
        <v/>
      </c>
    </row>
    <row r="1540" customFormat="false" ht="15" hidden="false" customHeight="false" outlineLevel="0" collapsed="false">
      <c r="A1540" s="31" t="n">
        <v>46286</v>
      </c>
      <c r="B1540" s="32" t="s">
        <v>101</v>
      </c>
      <c r="C1540" s="32" t="s">
        <v>87</v>
      </c>
      <c r="D1540" s="33" t="s">
        <v>89</v>
      </c>
      <c r="E1540" s="34" t="n">
        <v>0.75</v>
      </c>
      <c r="F1540" s="32"/>
      <c r="G1540" s="35" t="n">
        <f aca="false">IF(A1540="","",A1540+7-WEEKDAY(A1540))</f>
        <v>46291</v>
      </c>
      <c r="H1540" s="36" t="n">
        <f aca="false">IF(A1540="","",DATE(YEAR(A1540),MONTH(A1540),1))</f>
        <v>46266</v>
      </c>
      <c r="I1540" s="37" t="str">
        <f aca="false">IF(B1540="","",IFERROR(INDEX(st_ID,MATCH(B1540,st_Name,0)),"Unknown"))</f>
        <v>QP-04</v>
      </c>
      <c r="J1540" s="37" t="str">
        <f aca="false">IF(C1540="","",IFERROR(INDEX(cl_Code,MATCH(C1540,cl_Name,0)),"Unknown"))</f>
        <v>HCS</v>
      </c>
      <c r="K1540" s="37" t="str">
        <f aca="false">IF(D1540="","",IFERROR(INDEX(rt_Billable,MATCH(D1540,rt_Code,0)),"Unknown"))</f>
        <v>Yes</v>
      </c>
      <c r="L1540" s="38" t="n">
        <f aca="false">IF(K1540&lt;&gt;"Yes","",IFERROR(INDEX(cr_Rate,MATCH(J1540&amp;"|"&amp;D1540,cr_Key,0)),INDEX(rt_Rate,MATCH(D1540,rt_Code,0))))</f>
        <v>88</v>
      </c>
      <c r="M1540" s="25" t="n">
        <f aca="false">IF(L1540="","",ROUND(N(E1540)*L1540,2))</f>
        <v>66</v>
      </c>
      <c r="N1540" s="39" t="n">
        <f aca="false">IF(OR(A1540="",B1540=""),"",SUMIFS(tl_Hours,tl_StaffID,I1540,tl_Date,A1540))</f>
        <v>8</v>
      </c>
      <c r="O1540" s="40" t="str">
        <f aca="false">IF(A1540&amp;B1540&amp;D1540="","",IF(OR(A1540="",B1540="",D1540="",E1540=""),"Incomplete",IF(K1540="Unknown","Unknown code",IF(AND(K1540="Yes",C1540=""),"Billable, needs client",IF(N1540&gt;MaxDayHours,"Over "&amp;MaxDayHours&amp;" hours that day","")))))</f>
        <v/>
      </c>
    </row>
    <row r="1541" customFormat="false" ht="15" hidden="false" customHeight="false" outlineLevel="0" collapsed="false">
      <c r="A1541" s="31" t="n">
        <v>46286</v>
      </c>
      <c r="B1541" s="32" t="s">
        <v>101</v>
      </c>
      <c r="C1541" s="32" t="s">
        <v>112</v>
      </c>
      <c r="D1541" s="33" t="s">
        <v>104</v>
      </c>
      <c r="E1541" s="34" t="n">
        <v>2.5</v>
      </c>
      <c r="F1541" s="32"/>
      <c r="G1541" s="35" t="n">
        <f aca="false">IF(A1541="","",A1541+7-WEEKDAY(A1541))</f>
        <v>46291</v>
      </c>
      <c r="H1541" s="36" t="n">
        <f aca="false">IF(A1541="","",DATE(YEAR(A1541),MONTH(A1541),1))</f>
        <v>46266</v>
      </c>
      <c r="I1541" s="37" t="str">
        <f aca="false">IF(B1541="","",IFERROR(INDEX(st_ID,MATCH(B1541,st_Name,0)),"Unknown"))</f>
        <v>QP-04</v>
      </c>
      <c r="J1541" s="37" t="str">
        <f aca="false">IF(C1541="","",IFERROR(INDEX(cl_Code,MATCH(C1541,cl_Name,0)),"Unknown"))</f>
        <v>PCA</v>
      </c>
      <c r="K1541" s="37" t="str">
        <f aca="false">IF(D1541="","",IFERROR(INDEX(rt_Billable,MATCH(D1541,rt_Code,0)),"Unknown"))</f>
        <v>Yes</v>
      </c>
      <c r="L1541" s="38" t="n">
        <f aca="false">IF(K1541&lt;&gt;"Yes","",IFERROR(INDEX(cr_Rate,MATCH(J1541&amp;"|"&amp;D1541,cr_Key,0)),INDEX(rt_Rate,MATCH(D1541,rt_Code,0))))</f>
        <v>70</v>
      </c>
      <c r="M1541" s="25" t="n">
        <f aca="false">IF(L1541="","",ROUND(N(E1541)*L1541,2))</f>
        <v>175</v>
      </c>
      <c r="N1541" s="39" t="n">
        <f aca="false">IF(OR(A1541="",B1541=""),"",SUMIFS(tl_Hours,tl_StaffID,I1541,tl_Date,A1541))</f>
        <v>8</v>
      </c>
      <c r="O1541" s="40" t="str">
        <f aca="false">IF(A1541&amp;B1541&amp;D1541="","",IF(OR(A1541="",B1541="",D1541="",E1541=""),"Incomplete",IF(K1541="Unknown","Unknown code",IF(AND(K1541="Yes",C1541=""),"Billable, needs client",IF(N1541&gt;MaxDayHours,"Over "&amp;MaxDayHours&amp;" hours that day","")))))</f>
        <v/>
      </c>
    </row>
    <row r="1542" customFormat="false" ht="15" hidden="false" customHeight="false" outlineLevel="0" collapsed="false">
      <c r="A1542" s="31" t="n">
        <v>46286</v>
      </c>
      <c r="B1542" s="32" t="s">
        <v>101</v>
      </c>
      <c r="C1542" s="32" t="s">
        <v>112</v>
      </c>
      <c r="D1542" s="33" t="s">
        <v>92</v>
      </c>
      <c r="E1542" s="34" t="n">
        <v>0.75</v>
      </c>
      <c r="F1542" s="32"/>
      <c r="G1542" s="35" t="n">
        <f aca="false">IF(A1542="","",A1542+7-WEEKDAY(A1542))</f>
        <v>46291</v>
      </c>
      <c r="H1542" s="36" t="n">
        <f aca="false">IF(A1542="","",DATE(YEAR(A1542),MONTH(A1542),1))</f>
        <v>46266</v>
      </c>
      <c r="I1542" s="37" t="str">
        <f aca="false">IF(B1542="","",IFERROR(INDEX(st_ID,MATCH(B1542,st_Name,0)),"Unknown"))</f>
        <v>QP-04</v>
      </c>
      <c r="J1542" s="37" t="str">
        <f aca="false">IF(C1542="","",IFERROR(INDEX(cl_Code,MATCH(C1542,cl_Name,0)),"Unknown"))</f>
        <v>PCA</v>
      </c>
      <c r="K1542" s="37" t="str">
        <f aca="false">IF(D1542="","",IFERROR(INDEX(rt_Billable,MATCH(D1542,rt_Code,0)),"Unknown"))</f>
        <v>Yes</v>
      </c>
      <c r="L1542" s="38" t="n">
        <f aca="false">IF(K1542&lt;&gt;"Yes","",IFERROR(INDEX(cr_Rate,MATCH(J1542&amp;"|"&amp;D1542,cr_Key,0)),INDEX(rt_Rate,MATCH(D1542,rt_Code,0))))</f>
        <v>150</v>
      </c>
      <c r="M1542" s="25" t="n">
        <f aca="false">IF(L1542="","",ROUND(N(E1542)*L1542,2))</f>
        <v>112.5</v>
      </c>
      <c r="N1542" s="39" t="n">
        <f aca="false">IF(OR(A1542="",B1542=""),"",SUMIFS(tl_Hours,tl_StaffID,I1542,tl_Date,A1542))</f>
        <v>8</v>
      </c>
      <c r="O1542" s="40" t="str">
        <f aca="false">IF(A1542&amp;B1542&amp;D1542="","",IF(OR(A1542="",B1542="",D1542="",E1542=""),"Incomplete",IF(K1542="Unknown","Unknown code",IF(AND(K1542="Yes",C1542=""),"Billable, needs client",IF(N1542&gt;MaxDayHours,"Over "&amp;MaxDayHours&amp;" hours that day","")))))</f>
        <v/>
      </c>
    </row>
    <row r="1543" customFormat="false" ht="15" hidden="false" customHeight="false" outlineLevel="0" collapsed="false">
      <c r="A1543" s="31" t="n">
        <v>46286</v>
      </c>
      <c r="B1543" s="32" t="s">
        <v>101</v>
      </c>
      <c r="C1543" s="32"/>
      <c r="D1543" s="33" t="s">
        <v>93</v>
      </c>
      <c r="E1543" s="34" t="n">
        <v>0.5</v>
      </c>
      <c r="F1543" s="32"/>
      <c r="G1543" s="35" t="n">
        <f aca="false">IF(A1543="","",A1543+7-WEEKDAY(A1543))</f>
        <v>46291</v>
      </c>
      <c r="H1543" s="36" t="n">
        <f aca="false">IF(A1543="","",DATE(YEAR(A1543),MONTH(A1543),1))</f>
        <v>46266</v>
      </c>
      <c r="I1543" s="37" t="str">
        <f aca="false">IF(B1543="","",IFERROR(INDEX(st_ID,MATCH(B1543,st_Name,0)),"Unknown"))</f>
        <v>QP-04</v>
      </c>
      <c r="J1543" s="37" t="str">
        <f aca="false">IF(C1543="","",IFERROR(INDEX(cl_Code,MATCH(C1543,cl_Name,0)),"Unknown"))</f>
        <v/>
      </c>
      <c r="K1543" s="37" t="str">
        <f aca="false">IF(D1543="","",IFERROR(INDEX(rt_Billable,MATCH(D1543,rt_Code,0)),"Unknown"))</f>
        <v>No</v>
      </c>
      <c r="L1543" s="38" t="str">
        <f aca="false">IF(K1543&lt;&gt;"Yes","",IFERROR(INDEX(cr_Rate,MATCH(J1543&amp;"|"&amp;D1543,cr_Key,0)),INDEX(rt_Rate,MATCH(D1543,rt_Code,0))))</f>
        <v/>
      </c>
      <c r="M1543" s="25" t="str">
        <f aca="false">IF(L1543="","",ROUND(N(E1543)*L1543,2))</f>
        <v/>
      </c>
      <c r="N1543" s="39" t="n">
        <f aca="false">IF(OR(A1543="",B1543=""),"",SUMIFS(tl_Hours,tl_StaffID,I1543,tl_Date,A1543))</f>
        <v>8</v>
      </c>
      <c r="O1543" s="40" t="str">
        <f aca="false">IF(A1543&amp;B1543&amp;D1543="","",IF(OR(A1543="",B1543="",D1543="",E1543=""),"Incomplete",IF(K1543="Unknown","Unknown code",IF(AND(K1543="Yes",C1543=""),"Billable, needs client",IF(N1543&gt;MaxDayHours,"Over "&amp;MaxDayHours&amp;" hours that day","")))))</f>
        <v/>
      </c>
    </row>
    <row r="1544" customFormat="false" ht="15" hidden="false" customHeight="false" outlineLevel="0" collapsed="false">
      <c r="A1544" s="31" t="n">
        <v>46286</v>
      </c>
      <c r="B1544" s="32" t="s">
        <v>101</v>
      </c>
      <c r="C1544" s="32"/>
      <c r="D1544" s="33" t="s">
        <v>96</v>
      </c>
      <c r="E1544" s="34" t="n">
        <v>1</v>
      </c>
      <c r="F1544" s="32"/>
      <c r="G1544" s="35" t="n">
        <f aca="false">IF(A1544="","",A1544+7-WEEKDAY(A1544))</f>
        <v>46291</v>
      </c>
      <c r="H1544" s="36" t="n">
        <f aca="false">IF(A1544="","",DATE(YEAR(A1544),MONTH(A1544),1))</f>
        <v>46266</v>
      </c>
      <c r="I1544" s="37" t="str">
        <f aca="false">IF(B1544="","",IFERROR(INDEX(st_ID,MATCH(B1544,st_Name,0)),"Unknown"))</f>
        <v>QP-04</v>
      </c>
      <c r="J1544" s="37" t="str">
        <f aca="false">IF(C1544="","",IFERROR(INDEX(cl_Code,MATCH(C1544,cl_Name,0)),"Unknown"))</f>
        <v/>
      </c>
      <c r="K1544" s="37" t="str">
        <f aca="false">IF(D1544="","",IFERROR(INDEX(rt_Billable,MATCH(D1544,rt_Code,0)),"Unknown"))</f>
        <v>No</v>
      </c>
      <c r="L1544" s="38" t="str">
        <f aca="false">IF(K1544&lt;&gt;"Yes","",IFERROR(INDEX(cr_Rate,MATCH(J1544&amp;"|"&amp;D1544,cr_Key,0)),INDEX(rt_Rate,MATCH(D1544,rt_Code,0))))</f>
        <v/>
      </c>
      <c r="M1544" s="25" t="str">
        <f aca="false">IF(L1544="","",ROUND(N(E1544)*L1544,2))</f>
        <v/>
      </c>
      <c r="N1544" s="39" t="n">
        <f aca="false">IF(OR(A1544="",B1544=""),"",SUMIFS(tl_Hours,tl_StaffID,I1544,tl_Date,A1544))</f>
        <v>8</v>
      </c>
      <c r="O1544" s="40" t="str">
        <f aca="false">IF(A1544&amp;B1544&amp;D1544="","",IF(OR(A1544="",B1544="",D1544="",E1544=""),"Incomplete",IF(K1544="Unknown","Unknown code",IF(AND(K1544="Yes",C1544=""),"Billable, needs client",IF(N1544&gt;MaxDayHours,"Over "&amp;MaxDayHours&amp;" hours that day","")))))</f>
        <v/>
      </c>
    </row>
    <row r="1545" customFormat="false" ht="15" hidden="false" customHeight="false" outlineLevel="0" collapsed="false">
      <c r="A1545" s="31" t="n">
        <v>46286</v>
      </c>
      <c r="B1545" s="32" t="s">
        <v>103</v>
      </c>
      <c r="C1545" s="32" t="s">
        <v>111</v>
      </c>
      <c r="D1545" s="33" t="s">
        <v>88</v>
      </c>
      <c r="E1545" s="34" t="n">
        <v>3.75</v>
      </c>
      <c r="F1545" s="32"/>
      <c r="G1545" s="35" t="n">
        <f aca="false">IF(A1545="","",A1545+7-WEEKDAY(A1545))</f>
        <v>46291</v>
      </c>
      <c r="H1545" s="36" t="n">
        <f aca="false">IF(A1545="","",DATE(YEAR(A1545),MONTH(A1545),1))</f>
        <v>46266</v>
      </c>
      <c r="I1545" s="37" t="str">
        <f aca="false">IF(B1545="","",IFERROR(INDEX(st_ID,MATCH(B1545,st_Name,0)),"Unknown"))</f>
        <v>QP-05</v>
      </c>
      <c r="J1545" s="37" t="str">
        <f aca="false">IF(C1545="","",IFERROR(INDEX(cl_Code,MATCH(C1545,cl_Name,0)),"Unknown"))</f>
        <v>WMS</v>
      </c>
      <c r="K1545" s="37" t="str">
        <f aca="false">IF(D1545="","",IFERROR(INDEX(rt_Billable,MATCH(D1545,rt_Code,0)),"Unknown"))</f>
        <v>Yes</v>
      </c>
      <c r="L1545" s="38" t="n">
        <f aca="false">IF(K1545&lt;&gt;"Yes","",IFERROR(INDEX(cr_Rate,MATCH(J1545&amp;"|"&amp;D1545,cr_Key,0)),INDEX(rt_Rate,MATCH(D1545,rt_Code,0))))</f>
        <v>110</v>
      </c>
      <c r="M1545" s="25" t="n">
        <f aca="false">IF(L1545="","",ROUND(N(E1545)*L1545,2))</f>
        <v>412.5</v>
      </c>
      <c r="N1545" s="39" t="n">
        <f aca="false">IF(OR(A1545="",B1545=""),"",SUMIFS(tl_Hours,tl_StaffID,I1545,tl_Date,A1545))</f>
        <v>8</v>
      </c>
      <c r="O1545" s="40" t="str">
        <f aca="false">IF(A1545&amp;B1545&amp;D1545="","",IF(OR(A1545="",B1545="",D1545="",E1545=""),"Incomplete",IF(K1545="Unknown","Unknown code",IF(AND(K1545="Yes",C1545=""),"Billable, needs client",IF(N1545&gt;MaxDayHours,"Over "&amp;MaxDayHours&amp;" hours that day","")))))</f>
        <v/>
      </c>
    </row>
    <row r="1546" customFormat="false" ht="15" hidden="false" customHeight="false" outlineLevel="0" collapsed="false">
      <c r="A1546" s="31" t="n">
        <v>46286</v>
      </c>
      <c r="B1546" s="32" t="s">
        <v>103</v>
      </c>
      <c r="C1546" s="32" t="s">
        <v>111</v>
      </c>
      <c r="D1546" s="33" t="s">
        <v>89</v>
      </c>
      <c r="E1546" s="34" t="n">
        <v>2.5</v>
      </c>
      <c r="F1546" s="32"/>
      <c r="G1546" s="35" t="n">
        <f aca="false">IF(A1546="","",A1546+7-WEEKDAY(A1546))</f>
        <v>46291</v>
      </c>
      <c r="H1546" s="36" t="n">
        <f aca="false">IF(A1546="","",DATE(YEAR(A1546),MONTH(A1546),1))</f>
        <v>46266</v>
      </c>
      <c r="I1546" s="37" t="str">
        <f aca="false">IF(B1546="","",IFERROR(INDEX(st_ID,MATCH(B1546,st_Name,0)),"Unknown"))</f>
        <v>QP-05</v>
      </c>
      <c r="J1546" s="37" t="str">
        <f aca="false">IF(C1546="","",IFERROR(INDEX(cl_Code,MATCH(C1546,cl_Name,0)),"Unknown"))</f>
        <v>WMS</v>
      </c>
      <c r="K1546" s="37" t="str">
        <f aca="false">IF(D1546="","",IFERROR(INDEX(rt_Billable,MATCH(D1546,rt_Code,0)),"Unknown"))</f>
        <v>Yes</v>
      </c>
      <c r="L1546" s="38" t="n">
        <f aca="false">IF(K1546&lt;&gt;"Yes","",IFERROR(INDEX(cr_Rate,MATCH(J1546&amp;"|"&amp;D1546,cr_Key,0)),INDEX(rt_Rate,MATCH(D1546,rt_Code,0))))</f>
        <v>95</v>
      </c>
      <c r="M1546" s="25" t="n">
        <f aca="false">IF(L1546="","",ROUND(N(E1546)*L1546,2))</f>
        <v>237.5</v>
      </c>
      <c r="N1546" s="39" t="n">
        <f aca="false">IF(OR(A1546="",B1546=""),"",SUMIFS(tl_Hours,tl_StaffID,I1546,tl_Date,A1546))</f>
        <v>8</v>
      </c>
      <c r="O1546" s="40" t="str">
        <f aca="false">IF(A1546&amp;B1546&amp;D1546="","",IF(OR(A1546="",B1546="",D1546="",E1546=""),"Incomplete",IF(K1546="Unknown","Unknown code",IF(AND(K1546="Yes",C1546=""),"Billable, needs client",IF(N1546&gt;MaxDayHours,"Over "&amp;MaxDayHours&amp;" hours that day","")))))</f>
        <v/>
      </c>
    </row>
    <row r="1547" customFormat="false" ht="15" hidden="false" customHeight="false" outlineLevel="0" collapsed="false">
      <c r="A1547" s="31" t="n">
        <v>46286</v>
      </c>
      <c r="B1547" s="32" t="s">
        <v>103</v>
      </c>
      <c r="C1547" s="32"/>
      <c r="D1547" s="33" t="s">
        <v>96</v>
      </c>
      <c r="E1547" s="34" t="n">
        <v>1.75</v>
      </c>
      <c r="F1547" s="32"/>
      <c r="G1547" s="35" t="n">
        <f aca="false">IF(A1547="","",A1547+7-WEEKDAY(A1547))</f>
        <v>46291</v>
      </c>
      <c r="H1547" s="36" t="n">
        <f aca="false">IF(A1547="","",DATE(YEAR(A1547),MONTH(A1547),1))</f>
        <v>46266</v>
      </c>
      <c r="I1547" s="37" t="str">
        <f aca="false">IF(B1547="","",IFERROR(INDEX(st_ID,MATCH(B1547,st_Name,0)),"Unknown"))</f>
        <v>QP-05</v>
      </c>
      <c r="J1547" s="37" t="str">
        <f aca="false">IF(C1547="","",IFERROR(INDEX(cl_Code,MATCH(C1547,cl_Name,0)),"Unknown"))</f>
        <v/>
      </c>
      <c r="K1547" s="37" t="str">
        <f aca="false">IF(D1547="","",IFERROR(INDEX(rt_Billable,MATCH(D1547,rt_Code,0)),"Unknown"))</f>
        <v>No</v>
      </c>
      <c r="L1547" s="38" t="str">
        <f aca="false">IF(K1547&lt;&gt;"Yes","",IFERROR(INDEX(cr_Rate,MATCH(J1547&amp;"|"&amp;D1547,cr_Key,0)),INDEX(rt_Rate,MATCH(D1547,rt_Code,0))))</f>
        <v/>
      </c>
      <c r="M1547" s="25" t="str">
        <f aca="false">IF(L1547="","",ROUND(N(E1547)*L1547,2))</f>
        <v/>
      </c>
      <c r="N1547" s="39" t="n">
        <f aca="false">IF(OR(A1547="",B1547=""),"",SUMIFS(tl_Hours,tl_StaffID,I1547,tl_Date,A1547))</f>
        <v>8</v>
      </c>
      <c r="O1547" s="40" t="str">
        <f aca="false">IF(A1547&amp;B1547&amp;D1547="","",IF(OR(A1547="",B1547="",D1547="",E1547=""),"Incomplete",IF(K1547="Unknown","Unknown code",IF(AND(K1547="Yes",C1547=""),"Billable, needs client",IF(N1547&gt;MaxDayHours,"Over "&amp;MaxDayHours&amp;" hours that day","")))))</f>
        <v/>
      </c>
    </row>
    <row r="1548" customFormat="false" ht="15" hidden="false" customHeight="false" outlineLevel="0" collapsed="false">
      <c r="A1548" s="31" t="n">
        <v>46286</v>
      </c>
      <c r="B1548" s="32" t="s">
        <v>105</v>
      </c>
      <c r="C1548" s="32" t="s">
        <v>87</v>
      </c>
      <c r="D1548" s="33" t="s">
        <v>104</v>
      </c>
      <c r="E1548" s="34" t="n">
        <v>3.5</v>
      </c>
      <c r="F1548" s="32"/>
      <c r="G1548" s="35" t="n">
        <f aca="false">IF(A1548="","",A1548+7-WEEKDAY(A1548))</f>
        <v>46291</v>
      </c>
      <c r="H1548" s="36" t="n">
        <f aca="false">IF(A1548="","",DATE(YEAR(A1548),MONTH(A1548),1))</f>
        <v>46266</v>
      </c>
      <c r="I1548" s="37" t="str">
        <f aca="false">IF(B1548="","",IFERROR(INDEX(st_ID,MATCH(B1548,st_Name,0)),"Unknown"))</f>
        <v>QP-06</v>
      </c>
      <c r="J1548" s="37" t="str">
        <f aca="false">IF(C1548="","",IFERROR(INDEX(cl_Code,MATCH(C1548,cl_Name,0)),"Unknown"))</f>
        <v>HCS</v>
      </c>
      <c r="K1548" s="37" t="str">
        <f aca="false">IF(D1548="","",IFERROR(INDEX(rt_Billable,MATCH(D1548,rt_Code,0)),"Unknown"))</f>
        <v>Yes</v>
      </c>
      <c r="L1548" s="38" t="n">
        <f aca="false">IF(K1548&lt;&gt;"Yes","",IFERROR(INDEX(cr_Rate,MATCH(J1548&amp;"|"&amp;D1548,cr_Key,0)),INDEX(rt_Rate,MATCH(D1548,rt_Code,0))))</f>
        <v>62</v>
      </c>
      <c r="M1548" s="25" t="n">
        <f aca="false">IF(L1548="","",ROUND(N(E1548)*L1548,2))</f>
        <v>217</v>
      </c>
      <c r="N1548" s="39" t="n">
        <f aca="false">IF(OR(A1548="",B1548=""),"",SUMIFS(tl_Hours,tl_StaffID,I1548,tl_Date,A1548))</f>
        <v>8</v>
      </c>
      <c r="O1548" s="40" t="str">
        <f aca="false">IF(A1548&amp;B1548&amp;D1548="","",IF(OR(A1548="",B1548="",D1548="",E1548=""),"Incomplete",IF(K1548="Unknown","Unknown code",IF(AND(K1548="Yes",C1548=""),"Billable, needs client",IF(N1548&gt;MaxDayHours,"Over "&amp;MaxDayHours&amp;" hours that day","")))))</f>
        <v/>
      </c>
    </row>
    <row r="1549" customFormat="false" ht="15" hidden="false" customHeight="false" outlineLevel="0" collapsed="false">
      <c r="A1549" s="31" t="n">
        <v>46286</v>
      </c>
      <c r="B1549" s="32" t="s">
        <v>105</v>
      </c>
      <c r="C1549" s="32" t="s">
        <v>87</v>
      </c>
      <c r="D1549" s="33" t="s">
        <v>88</v>
      </c>
      <c r="E1549" s="34" t="n">
        <v>1.75</v>
      </c>
      <c r="F1549" s="32"/>
      <c r="G1549" s="35" t="n">
        <f aca="false">IF(A1549="","",A1549+7-WEEKDAY(A1549))</f>
        <v>46291</v>
      </c>
      <c r="H1549" s="36" t="n">
        <f aca="false">IF(A1549="","",DATE(YEAR(A1549),MONTH(A1549),1))</f>
        <v>46266</v>
      </c>
      <c r="I1549" s="37" t="str">
        <f aca="false">IF(B1549="","",IFERROR(INDEX(st_ID,MATCH(B1549,st_Name,0)),"Unknown"))</f>
        <v>QP-06</v>
      </c>
      <c r="J1549" s="37" t="str">
        <f aca="false">IF(C1549="","",IFERROR(INDEX(cl_Code,MATCH(C1549,cl_Name,0)),"Unknown"))</f>
        <v>HCS</v>
      </c>
      <c r="K1549" s="37" t="str">
        <f aca="false">IF(D1549="","",IFERROR(INDEX(rt_Billable,MATCH(D1549,rt_Code,0)),"Unknown"))</f>
        <v>Yes</v>
      </c>
      <c r="L1549" s="38" t="n">
        <f aca="false">IF(K1549&lt;&gt;"Yes","",IFERROR(INDEX(cr_Rate,MATCH(J1549&amp;"|"&amp;D1549,cr_Key,0)),INDEX(rt_Rate,MATCH(D1549,rt_Code,0))))</f>
        <v>98</v>
      </c>
      <c r="M1549" s="25" t="n">
        <f aca="false">IF(L1549="","",ROUND(N(E1549)*L1549,2))</f>
        <v>171.5</v>
      </c>
      <c r="N1549" s="39" t="n">
        <f aca="false">IF(OR(A1549="",B1549=""),"",SUMIFS(tl_Hours,tl_StaffID,I1549,tl_Date,A1549))</f>
        <v>8</v>
      </c>
      <c r="O1549" s="40" t="str">
        <f aca="false">IF(A1549&amp;B1549&amp;D1549="","",IF(OR(A1549="",B1549="",D1549="",E1549=""),"Incomplete",IF(K1549="Unknown","Unknown code",IF(AND(K1549="Yes",C1549=""),"Billable, needs client",IF(N1549&gt;MaxDayHours,"Over "&amp;MaxDayHours&amp;" hours that day","")))))</f>
        <v/>
      </c>
    </row>
    <row r="1550" customFormat="false" ht="15" hidden="false" customHeight="false" outlineLevel="0" collapsed="false">
      <c r="A1550" s="31" t="n">
        <v>46286</v>
      </c>
      <c r="B1550" s="32" t="s">
        <v>105</v>
      </c>
      <c r="C1550" s="32"/>
      <c r="D1550" s="33" t="s">
        <v>96</v>
      </c>
      <c r="E1550" s="34" t="n">
        <v>2.75</v>
      </c>
      <c r="F1550" s="32"/>
      <c r="G1550" s="35" t="n">
        <f aca="false">IF(A1550="","",A1550+7-WEEKDAY(A1550))</f>
        <v>46291</v>
      </c>
      <c r="H1550" s="36" t="n">
        <f aca="false">IF(A1550="","",DATE(YEAR(A1550),MONTH(A1550),1))</f>
        <v>46266</v>
      </c>
      <c r="I1550" s="37" t="str">
        <f aca="false">IF(B1550="","",IFERROR(INDEX(st_ID,MATCH(B1550,st_Name,0)),"Unknown"))</f>
        <v>QP-06</v>
      </c>
      <c r="J1550" s="37" t="str">
        <f aca="false">IF(C1550="","",IFERROR(INDEX(cl_Code,MATCH(C1550,cl_Name,0)),"Unknown"))</f>
        <v/>
      </c>
      <c r="K1550" s="37" t="str">
        <f aca="false">IF(D1550="","",IFERROR(INDEX(rt_Billable,MATCH(D1550,rt_Code,0)),"Unknown"))</f>
        <v>No</v>
      </c>
      <c r="L1550" s="38" t="str">
        <f aca="false">IF(K1550&lt;&gt;"Yes","",IFERROR(INDEX(cr_Rate,MATCH(J1550&amp;"|"&amp;D1550,cr_Key,0)),INDEX(rt_Rate,MATCH(D1550,rt_Code,0))))</f>
        <v/>
      </c>
      <c r="M1550" s="25" t="str">
        <f aca="false">IF(L1550="","",ROUND(N(E1550)*L1550,2))</f>
        <v/>
      </c>
      <c r="N1550" s="39" t="n">
        <f aca="false">IF(OR(A1550="",B1550=""),"",SUMIFS(tl_Hours,tl_StaffID,I1550,tl_Date,A1550))</f>
        <v>8</v>
      </c>
      <c r="O1550" s="40" t="str">
        <f aca="false">IF(A1550&amp;B1550&amp;D1550="","",IF(OR(A1550="",B1550="",D1550="",E1550=""),"Incomplete",IF(K1550="Unknown","Unknown code",IF(AND(K1550="Yes",C1550=""),"Billable, needs client",IF(N1550&gt;MaxDayHours,"Over "&amp;MaxDayHours&amp;" hours that day","")))))</f>
        <v/>
      </c>
    </row>
    <row r="1551" customFormat="false" ht="15" hidden="false" customHeight="false" outlineLevel="0" collapsed="false">
      <c r="A1551" s="31" t="n">
        <v>46286</v>
      </c>
      <c r="B1551" s="32" t="s">
        <v>106</v>
      </c>
      <c r="C1551" s="32" t="s">
        <v>87</v>
      </c>
      <c r="D1551" s="33" t="s">
        <v>104</v>
      </c>
      <c r="E1551" s="34" t="n">
        <v>6.25</v>
      </c>
      <c r="F1551" s="32"/>
      <c r="G1551" s="35" t="n">
        <f aca="false">IF(A1551="","",A1551+7-WEEKDAY(A1551))</f>
        <v>46291</v>
      </c>
      <c r="H1551" s="36" t="n">
        <f aca="false">IF(A1551="","",DATE(YEAR(A1551),MONTH(A1551),1))</f>
        <v>46266</v>
      </c>
      <c r="I1551" s="37" t="str">
        <f aca="false">IF(B1551="","",IFERROR(INDEX(st_ID,MATCH(B1551,st_Name,0)),"Unknown"))</f>
        <v>QP-07</v>
      </c>
      <c r="J1551" s="37" t="str">
        <f aca="false">IF(C1551="","",IFERROR(INDEX(cl_Code,MATCH(C1551,cl_Name,0)),"Unknown"))</f>
        <v>HCS</v>
      </c>
      <c r="K1551" s="37" t="str">
        <f aca="false">IF(D1551="","",IFERROR(INDEX(rt_Billable,MATCH(D1551,rt_Code,0)),"Unknown"))</f>
        <v>Yes</v>
      </c>
      <c r="L1551" s="38" t="n">
        <f aca="false">IF(K1551&lt;&gt;"Yes","",IFERROR(INDEX(cr_Rate,MATCH(J1551&amp;"|"&amp;D1551,cr_Key,0)),INDEX(rt_Rate,MATCH(D1551,rt_Code,0))))</f>
        <v>62</v>
      </c>
      <c r="M1551" s="25" t="n">
        <f aca="false">IF(L1551="","",ROUND(N(E1551)*L1551,2))</f>
        <v>387.5</v>
      </c>
      <c r="N1551" s="39" t="n">
        <f aca="false">IF(OR(A1551="",B1551=""),"",SUMIFS(tl_Hours,tl_StaffID,I1551,tl_Date,A1551))</f>
        <v>8</v>
      </c>
      <c r="O1551" s="40" t="str">
        <f aca="false">IF(A1551&amp;B1551&amp;D1551="","",IF(OR(A1551="",B1551="",D1551="",E1551=""),"Incomplete",IF(K1551="Unknown","Unknown code",IF(AND(K1551="Yes",C1551=""),"Billable, needs client",IF(N1551&gt;MaxDayHours,"Over "&amp;MaxDayHours&amp;" hours that day","")))))</f>
        <v/>
      </c>
    </row>
    <row r="1552" customFormat="false" ht="15" hidden="false" customHeight="false" outlineLevel="0" collapsed="false">
      <c r="A1552" s="31" t="n">
        <v>46286</v>
      </c>
      <c r="B1552" s="32" t="s">
        <v>106</v>
      </c>
      <c r="C1552" s="32"/>
      <c r="D1552" s="33" t="s">
        <v>96</v>
      </c>
      <c r="E1552" s="34" t="n">
        <v>1.75</v>
      </c>
      <c r="F1552" s="32"/>
      <c r="G1552" s="35" t="n">
        <f aca="false">IF(A1552="","",A1552+7-WEEKDAY(A1552))</f>
        <v>46291</v>
      </c>
      <c r="H1552" s="36" t="n">
        <f aca="false">IF(A1552="","",DATE(YEAR(A1552),MONTH(A1552),1))</f>
        <v>46266</v>
      </c>
      <c r="I1552" s="37" t="str">
        <f aca="false">IF(B1552="","",IFERROR(INDEX(st_ID,MATCH(B1552,st_Name,0)),"Unknown"))</f>
        <v>QP-07</v>
      </c>
      <c r="J1552" s="37" t="str">
        <f aca="false">IF(C1552="","",IFERROR(INDEX(cl_Code,MATCH(C1552,cl_Name,0)),"Unknown"))</f>
        <v/>
      </c>
      <c r="K1552" s="37" t="str">
        <f aca="false">IF(D1552="","",IFERROR(INDEX(rt_Billable,MATCH(D1552,rt_Code,0)),"Unknown"))</f>
        <v>No</v>
      </c>
      <c r="L1552" s="38" t="str">
        <f aca="false">IF(K1552&lt;&gt;"Yes","",IFERROR(INDEX(cr_Rate,MATCH(J1552&amp;"|"&amp;D1552,cr_Key,0)),INDEX(rt_Rate,MATCH(D1552,rt_Code,0))))</f>
        <v/>
      </c>
      <c r="M1552" s="25" t="str">
        <f aca="false">IF(L1552="","",ROUND(N(E1552)*L1552,2))</f>
        <v/>
      </c>
      <c r="N1552" s="39" t="n">
        <f aca="false">IF(OR(A1552="",B1552=""),"",SUMIFS(tl_Hours,tl_StaffID,I1552,tl_Date,A1552))</f>
        <v>8</v>
      </c>
      <c r="O1552" s="40" t="str">
        <f aca="false">IF(A1552&amp;B1552&amp;D1552="","",IF(OR(A1552="",B1552="",D1552="",E1552=""),"Incomplete",IF(K1552="Unknown","Unknown code",IF(AND(K1552="Yes",C1552=""),"Billable, needs client",IF(N1552&gt;MaxDayHours,"Over "&amp;MaxDayHours&amp;" hours that day","")))))</f>
        <v/>
      </c>
    </row>
    <row r="1553" customFormat="false" ht="15" hidden="false" customHeight="false" outlineLevel="0" collapsed="false">
      <c r="A1553" s="31" t="n">
        <v>46286</v>
      </c>
      <c r="B1553" s="32" t="s">
        <v>107</v>
      </c>
      <c r="C1553" s="32"/>
      <c r="D1553" s="33" t="s">
        <v>108</v>
      </c>
      <c r="E1553" s="34" t="n">
        <v>6.5</v>
      </c>
      <c r="F1553" s="32"/>
      <c r="G1553" s="35" t="n">
        <f aca="false">IF(A1553="","",A1553+7-WEEKDAY(A1553))</f>
        <v>46291</v>
      </c>
      <c r="H1553" s="36" t="n">
        <f aca="false">IF(A1553="","",DATE(YEAR(A1553),MONTH(A1553),1))</f>
        <v>46266</v>
      </c>
      <c r="I1553" s="37" t="str">
        <f aca="false">IF(B1553="","",IFERROR(INDEX(st_ID,MATCH(B1553,st_Name,0)),"Unknown"))</f>
        <v>QP-08</v>
      </c>
      <c r="J1553" s="37" t="str">
        <f aca="false">IF(C1553="","",IFERROR(INDEX(cl_Code,MATCH(C1553,cl_Name,0)),"Unknown"))</f>
        <v/>
      </c>
      <c r="K1553" s="37" t="str">
        <f aca="false">IF(D1553="","",IFERROR(INDEX(rt_Billable,MATCH(D1553,rt_Code,0)),"Unknown"))</f>
        <v>No</v>
      </c>
      <c r="L1553" s="38" t="str">
        <f aca="false">IF(K1553&lt;&gt;"Yes","",IFERROR(INDEX(cr_Rate,MATCH(J1553&amp;"|"&amp;D1553,cr_Key,0)),INDEX(rt_Rate,MATCH(D1553,rt_Code,0))))</f>
        <v/>
      </c>
      <c r="M1553" s="25" t="str">
        <f aca="false">IF(L1553="","",ROUND(N(E1553)*L1553,2))</f>
        <v/>
      </c>
      <c r="N1553" s="39" t="n">
        <f aca="false">IF(OR(A1553="",B1553=""),"",SUMIFS(tl_Hours,tl_StaffID,I1553,tl_Date,A1553))</f>
        <v>8</v>
      </c>
      <c r="O1553" s="40" t="str">
        <f aca="false">IF(A1553&amp;B1553&amp;D1553="","",IF(OR(A1553="",B1553="",D1553="",E1553=""),"Incomplete",IF(K1553="Unknown","Unknown code",IF(AND(K1553="Yes",C1553=""),"Billable, needs client",IF(N1553&gt;MaxDayHours,"Over "&amp;MaxDayHours&amp;" hours that day","")))))</f>
        <v/>
      </c>
    </row>
    <row r="1554" customFormat="false" ht="15" hidden="false" customHeight="false" outlineLevel="0" collapsed="false">
      <c r="A1554" s="31" t="n">
        <v>46286</v>
      </c>
      <c r="B1554" s="32" t="s">
        <v>107</v>
      </c>
      <c r="C1554" s="32"/>
      <c r="D1554" s="33" t="s">
        <v>98</v>
      </c>
      <c r="E1554" s="34" t="n">
        <v>1.5</v>
      </c>
      <c r="F1554" s="32"/>
      <c r="G1554" s="35" t="n">
        <f aca="false">IF(A1554="","",A1554+7-WEEKDAY(A1554))</f>
        <v>46291</v>
      </c>
      <c r="H1554" s="36" t="n">
        <f aca="false">IF(A1554="","",DATE(YEAR(A1554),MONTH(A1554),1))</f>
        <v>46266</v>
      </c>
      <c r="I1554" s="37" t="str">
        <f aca="false">IF(B1554="","",IFERROR(INDEX(st_ID,MATCH(B1554,st_Name,0)),"Unknown"))</f>
        <v>QP-08</v>
      </c>
      <c r="J1554" s="37" t="str">
        <f aca="false">IF(C1554="","",IFERROR(INDEX(cl_Code,MATCH(C1554,cl_Name,0)),"Unknown"))</f>
        <v/>
      </c>
      <c r="K1554" s="37" t="str">
        <f aca="false">IF(D1554="","",IFERROR(INDEX(rt_Billable,MATCH(D1554,rt_Code,0)),"Unknown"))</f>
        <v>No</v>
      </c>
      <c r="L1554" s="38" t="str">
        <f aca="false">IF(K1554&lt;&gt;"Yes","",IFERROR(INDEX(cr_Rate,MATCH(J1554&amp;"|"&amp;D1554,cr_Key,0)),INDEX(rt_Rate,MATCH(D1554,rt_Code,0))))</f>
        <v/>
      </c>
      <c r="M1554" s="25" t="str">
        <f aca="false">IF(L1554="","",ROUND(N(E1554)*L1554,2))</f>
        <v/>
      </c>
      <c r="N1554" s="39" t="n">
        <f aca="false">IF(OR(A1554="",B1554=""),"",SUMIFS(tl_Hours,tl_StaffID,I1554,tl_Date,A1554))</f>
        <v>8</v>
      </c>
      <c r="O1554" s="40" t="str">
        <f aca="false">IF(A1554&amp;B1554&amp;D1554="","",IF(OR(A1554="",B1554="",D1554="",E1554=""),"Incomplete",IF(K1554="Unknown","Unknown code",IF(AND(K1554="Yes",C1554=""),"Billable, needs client",IF(N1554&gt;MaxDayHours,"Over "&amp;MaxDayHours&amp;" hours that day","")))))</f>
        <v/>
      </c>
    </row>
    <row r="1555" customFormat="false" ht="15" hidden="false" customHeight="false" outlineLevel="0" collapsed="false">
      <c r="A1555" s="31" t="n">
        <v>46287</v>
      </c>
      <c r="B1555" s="32" t="s">
        <v>86</v>
      </c>
      <c r="C1555" s="32" t="s">
        <v>112</v>
      </c>
      <c r="D1555" s="33" t="s">
        <v>104</v>
      </c>
      <c r="E1555" s="34" t="n">
        <v>3.5</v>
      </c>
      <c r="F1555" s="32"/>
      <c r="G1555" s="35" t="n">
        <f aca="false">IF(A1555="","",A1555+7-WEEKDAY(A1555))</f>
        <v>46291</v>
      </c>
      <c r="H1555" s="36" t="n">
        <f aca="false">IF(A1555="","",DATE(YEAR(A1555),MONTH(A1555),1))</f>
        <v>46266</v>
      </c>
      <c r="I1555" s="37" t="str">
        <f aca="false">IF(B1555="","",IFERROR(INDEX(st_ID,MATCH(B1555,st_Name,0)),"Unknown"))</f>
        <v>QP-01</v>
      </c>
      <c r="J1555" s="37" t="str">
        <f aca="false">IF(C1555="","",IFERROR(INDEX(cl_Code,MATCH(C1555,cl_Name,0)),"Unknown"))</f>
        <v>PCA</v>
      </c>
      <c r="K1555" s="37" t="str">
        <f aca="false">IF(D1555="","",IFERROR(INDEX(rt_Billable,MATCH(D1555,rt_Code,0)),"Unknown"))</f>
        <v>Yes</v>
      </c>
      <c r="L1555" s="38" t="n">
        <f aca="false">IF(K1555&lt;&gt;"Yes","",IFERROR(INDEX(cr_Rate,MATCH(J1555&amp;"|"&amp;D1555,cr_Key,0)),INDEX(rt_Rate,MATCH(D1555,rt_Code,0))))</f>
        <v>70</v>
      </c>
      <c r="M1555" s="25" t="n">
        <f aca="false">IF(L1555="","",ROUND(N(E1555)*L1555,2))</f>
        <v>245</v>
      </c>
      <c r="N1555" s="39" t="n">
        <f aca="false">IF(OR(A1555="",B1555=""),"",SUMIFS(tl_Hours,tl_StaffID,I1555,tl_Date,A1555))</f>
        <v>8</v>
      </c>
      <c r="O1555" s="40" t="str">
        <f aca="false">IF(A1555&amp;B1555&amp;D1555="","",IF(OR(A1555="",B1555="",D1555="",E1555=""),"Incomplete",IF(K1555="Unknown","Unknown code",IF(AND(K1555="Yes",C1555=""),"Billable, needs client",IF(N1555&gt;MaxDayHours,"Over "&amp;MaxDayHours&amp;" hours that day","")))))</f>
        <v/>
      </c>
    </row>
    <row r="1556" customFormat="false" ht="15" hidden="false" customHeight="false" outlineLevel="0" collapsed="false">
      <c r="A1556" s="31" t="n">
        <v>46287</v>
      </c>
      <c r="B1556" s="32" t="s">
        <v>86</v>
      </c>
      <c r="C1556" s="32" t="s">
        <v>112</v>
      </c>
      <c r="D1556" s="33" t="s">
        <v>92</v>
      </c>
      <c r="E1556" s="34" t="n">
        <v>2.5</v>
      </c>
      <c r="F1556" s="32"/>
      <c r="G1556" s="35" t="n">
        <f aca="false">IF(A1556="","",A1556+7-WEEKDAY(A1556))</f>
        <v>46291</v>
      </c>
      <c r="H1556" s="36" t="n">
        <f aca="false">IF(A1556="","",DATE(YEAR(A1556),MONTH(A1556),1))</f>
        <v>46266</v>
      </c>
      <c r="I1556" s="37" t="str">
        <f aca="false">IF(B1556="","",IFERROR(INDEX(st_ID,MATCH(B1556,st_Name,0)),"Unknown"))</f>
        <v>QP-01</v>
      </c>
      <c r="J1556" s="37" t="str">
        <f aca="false">IF(C1556="","",IFERROR(INDEX(cl_Code,MATCH(C1556,cl_Name,0)),"Unknown"))</f>
        <v>PCA</v>
      </c>
      <c r="K1556" s="37" t="str">
        <f aca="false">IF(D1556="","",IFERROR(INDEX(rt_Billable,MATCH(D1556,rt_Code,0)),"Unknown"))</f>
        <v>Yes</v>
      </c>
      <c r="L1556" s="38" t="n">
        <f aca="false">IF(K1556&lt;&gt;"Yes","",IFERROR(INDEX(cr_Rate,MATCH(J1556&amp;"|"&amp;D1556,cr_Key,0)),INDEX(rt_Rate,MATCH(D1556,rt_Code,0))))</f>
        <v>150</v>
      </c>
      <c r="M1556" s="25" t="n">
        <f aca="false">IF(L1556="","",ROUND(N(E1556)*L1556,2))</f>
        <v>375</v>
      </c>
      <c r="N1556" s="39" t="n">
        <f aca="false">IF(OR(A1556="",B1556=""),"",SUMIFS(tl_Hours,tl_StaffID,I1556,tl_Date,A1556))</f>
        <v>8</v>
      </c>
      <c r="O1556" s="40" t="str">
        <f aca="false">IF(A1556&amp;B1556&amp;D1556="","",IF(OR(A1556="",B1556="",D1556="",E1556=""),"Incomplete",IF(K1556="Unknown","Unknown code",IF(AND(K1556="Yes",C1556=""),"Billable, needs client",IF(N1556&gt;MaxDayHours,"Over "&amp;MaxDayHours&amp;" hours that day","")))))</f>
        <v/>
      </c>
    </row>
    <row r="1557" customFormat="false" ht="15" hidden="false" customHeight="false" outlineLevel="0" collapsed="false">
      <c r="A1557" s="31" t="n">
        <v>46287</v>
      </c>
      <c r="B1557" s="32" t="s">
        <v>86</v>
      </c>
      <c r="C1557" s="32"/>
      <c r="D1557" s="33" t="s">
        <v>96</v>
      </c>
      <c r="E1557" s="34" t="n">
        <v>2</v>
      </c>
      <c r="F1557" s="32"/>
      <c r="G1557" s="35" t="n">
        <f aca="false">IF(A1557="","",A1557+7-WEEKDAY(A1557))</f>
        <v>46291</v>
      </c>
      <c r="H1557" s="36" t="n">
        <f aca="false">IF(A1557="","",DATE(YEAR(A1557),MONTH(A1557),1))</f>
        <v>46266</v>
      </c>
      <c r="I1557" s="37" t="str">
        <f aca="false">IF(B1557="","",IFERROR(INDEX(st_ID,MATCH(B1557,st_Name,0)),"Unknown"))</f>
        <v>QP-01</v>
      </c>
      <c r="J1557" s="37" t="str">
        <f aca="false">IF(C1557="","",IFERROR(INDEX(cl_Code,MATCH(C1557,cl_Name,0)),"Unknown"))</f>
        <v/>
      </c>
      <c r="K1557" s="37" t="str">
        <f aca="false">IF(D1557="","",IFERROR(INDEX(rt_Billable,MATCH(D1557,rt_Code,0)),"Unknown"))</f>
        <v>No</v>
      </c>
      <c r="L1557" s="38" t="str">
        <f aca="false">IF(K1557&lt;&gt;"Yes","",IFERROR(INDEX(cr_Rate,MATCH(J1557&amp;"|"&amp;D1557,cr_Key,0)),INDEX(rt_Rate,MATCH(D1557,rt_Code,0))))</f>
        <v/>
      </c>
      <c r="M1557" s="25" t="str">
        <f aca="false">IF(L1557="","",ROUND(N(E1557)*L1557,2))</f>
        <v/>
      </c>
      <c r="N1557" s="39" t="n">
        <f aca="false">IF(OR(A1557="",B1557=""),"",SUMIFS(tl_Hours,tl_StaffID,I1557,tl_Date,A1557))</f>
        <v>8</v>
      </c>
      <c r="O1557" s="40" t="str">
        <f aca="false">IF(A1557&amp;B1557&amp;D1557="","",IF(OR(A1557="",B1557="",D1557="",E1557=""),"Incomplete",IF(K1557="Unknown","Unknown code",IF(AND(K1557="Yes",C1557=""),"Billable, needs client",IF(N1557&gt;MaxDayHours,"Over "&amp;MaxDayHours&amp;" hours that day","")))))</f>
        <v/>
      </c>
    </row>
    <row r="1558" customFormat="false" ht="15" hidden="false" customHeight="false" outlineLevel="0" collapsed="false">
      <c r="A1558" s="31" t="n">
        <v>46287</v>
      </c>
      <c r="B1558" s="32" t="s">
        <v>97</v>
      </c>
      <c r="C1558" s="32" t="s">
        <v>111</v>
      </c>
      <c r="D1558" s="33" t="s">
        <v>88</v>
      </c>
      <c r="E1558" s="34" t="n">
        <v>2</v>
      </c>
      <c r="F1558" s="32"/>
      <c r="G1558" s="35" t="n">
        <f aca="false">IF(A1558="","",A1558+7-WEEKDAY(A1558))</f>
        <v>46291</v>
      </c>
      <c r="H1558" s="36" t="n">
        <f aca="false">IF(A1558="","",DATE(YEAR(A1558),MONTH(A1558),1))</f>
        <v>46266</v>
      </c>
      <c r="I1558" s="37" t="str">
        <f aca="false">IF(B1558="","",IFERROR(INDEX(st_ID,MATCH(B1558,st_Name,0)),"Unknown"))</f>
        <v>QP-02</v>
      </c>
      <c r="J1558" s="37" t="str">
        <f aca="false">IF(C1558="","",IFERROR(INDEX(cl_Code,MATCH(C1558,cl_Name,0)),"Unknown"))</f>
        <v>WMS</v>
      </c>
      <c r="K1558" s="37" t="str">
        <f aca="false">IF(D1558="","",IFERROR(INDEX(rt_Billable,MATCH(D1558,rt_Code,0)),"Unknown"))</f>
        <v>Yes</v>
      </c>
      <c r="L1558" s="38" t="n">
        <f aca="false">IF(K1558&lt;&gt;"Yes","",IFERROR(INDEX(cr_Rate,MATCH(J1558&amp;"|"&amp;D1558,cr_Key,0)),INDEX(rt_Rate,MATCH(D1558,rt_Code,0))))</f>
        <v>110</v>
      </c>
      <c r="M1558" s="25" t="n">
        <f aca="false">IF(L1558="","",ROUND(N(E1558)*L1558,2))</f>
        <v>220</v>
      </c>
      <c r="N1558" s="39" t="n">
        <f aca="false">IF(OR(A1558="",B1558=""),"",SUMIFS(tl_Hours,tl_StaffID,I1558,tl_Date,A1558))</f>
        <v>8</v>
      </c>
      <c r="O1558" s="40" t="str">
        <f aca="false">IF(A1558&amp;B1558&amp;D1558="","",IF(OR(A1558="",B1558="",D1558="",E1558=""),"Incomplete",IF(K1558="Unknown","Unknown code",IF(AND(K1558="Yes",C1558=""),"Billable, needs client",IF(N1558&gt;MaxDayHours,"Over "&amp;MaxDayHours&amp;" hours that day","")))))</f>
        <v/>
      </c>
    </row>
    <row r="1559" customFormat="false" ht="15" hidden="false" customHeight="false" outlineLevel="0" collapsed="false">
      <c r="A1559" s="31" t="n">
        <v>46287</v>
      </c>
      <c r="B1559" s="32" t="s">
        <v>97</v>
      </c>
      <c r="C1559" s="32" t="s">
        <v>111</v>
      </c>
      <c r="D1559" s="33" t="s">
        <v>104</v>
      </c>
      <c r="E1559" s="34" t="n">
        <v>1.25</v>
      </c>
      <c r="F1559" s="32"/>
      <c r="G1559" s="35" t="n">
        <f aca="false">IF(A1559="","",A1559+7-WEEKDAY(A1559))</f>
        <v>46291</v>
      </c>
      <c r="H1559" s="36" t="n">
        <f aca="false">IF(A1559="","",DATE(YEAR(A1559),MONTH(A1559),1))</f>
        <v>46266</v>
      </c>
      <c r="I1559" s="37" t="str">
        <f aca="false">IF(B1559="","",IFERROR(INDEX(st_ID,MATCH(B1559,st_Name,0)),"Unknown"))</f>
        <v>QP-02</v>
      </c>
      <c r="J1559" s="37" t="str">
        <f aca="false">IF(C1559="","",IFERROR(INDEX(cl_Code,MATCH(C1559,cl_Name,0)),"Unknown"))</f>
        <v>WMS</v>
      </c>
      <c r="K1559" s="37" t="str">
        <f aca="false">IF(D1559="","",IFERROR(INDEX(rt_Billable,MATCH(D1559,rt_Code,0)),"Unknown"))</f>
        <v>Yes</v>
      </c>
      <c r="L1559" s="38" t="n">
        <f aca="false">IF(K1559&lt;&gt;"Yes","",IFERROR(INDEX(cr_Rate,MATCH(J1559&amp;"|"&amp;D1559,cr_Key,0)),INDEX(rt_Rate,MATCH(D1559,rt_Code,0))))</f>
        <v>70</v>
      </c>
      <c r="M1559" s="25" t="n">
        <f aca="false">IF(L1559="","",ROUND(N(E1559)*L1559,2))</f>
        <v>87.5</v>
      </c>
      <c r="N1559" s="39" t="n">
        <f aca="false">IF(OR(A1559="",B1559=""),"",SUMIFS(tl_Hours,tl_StaffID,I1559,tl_Date,A1559))</f>
        <v>8</v>
      </c>
      <c r="O1559" s="40" t="str">
        <f aca="false">IF(A1559&amp;B1559&amp;D1559="","",IF(OR(A1559="",B1559="",D1559="",E1559=""),"Incomplete",IF(K1559="Unknown","Unknown code",IF(AND(K1559="Yes",C1559=""),"Billable, needs client",IF(N1559&gt;MaxDayHours,"Over "&amp;MaxDayHours&amp;" hours that day","")))))</f>
        <v/>
      </c>
    </row>
    <row r="1560" customFormat="false" ht="15" hidden="false" customHeight="false" outlineLevel="0" collapsed="false">
      <c r="A1560" s="31" t="n">
        <v>46287</v>
      </c>
      <c r="B1560" s="32" t="s">
        <v>97</v>
      </c>
      <c r="C1560" s="32" t="s">
        <v>87</v>
      </c>
      <c r="D1560" s="33" t="s">
        <v>104</v>
      </c>
      <c r="E1560" s="34" t="n">
        <v>2.5</v>
      </c>
      <c r="F1560" s="32"/>
      <c r="G1560" s="35" t="n">
        <f aca="false">IF(A1560="","",A1560+7-WEEKDAY(A1560))</f>
        <v>46291</v>
      </c>
      <c r="H1560" s="36" t="n">
        <f aca="false">IF(A1560="","",DATE(YEAR(A1560),MONTH(A1560),1))</f>
        <v>46266</v>
      </c>
      <c r="I1560" s="37" t="str">
        <f aca="false">IF(B1560="","",IFERROR(INDEX(st_ID,MATCH(B1560,st_Name,0)),"Unknown"))</f>
        <v>QP-02</v>
      </c>
      <c r="J1560" s="37" t="str">
        <f aca="false">IF(C1560="","",IFERROR(INDEX(cl_Code,MATCH(C1560,cl_Name,0)),"Unknown"))</f>
        <v>HCS</v>
      </c>
      <c r="K1560" s="37" t="str">
        <f aca="false">IF(D1560="","",IFERROR(INDEX(rt_Billable,MATCH(D1560,rt_Code,0)),"Unknown"))</f>
        <v>Yes</v>
      </c>
      <c r="L1560" s="38" t="n">
        <f aca="false">IF(K1560&lt;&gt;"Yes","",IFERROR(INDEX(cr_Rate,MATCH(J1560&amp;"|"&amp;D1560,cr_Key,0)),INDEX(rt_Rate,MATCH(D1560,rt_Code,0))))</f>
        <v>62</v>
      </c>
      <c r="M1560" s="25" t="n">
        <f aca="false">IF(L1560="","",ROUND(N(E1560)*L1560,2))</f>
        <v>155</v>
      </c>
      <c r="N1560" s="39" t="n">
        <f aca="false">IF(OR(A1560="",B1560=""),"",SUMIFS(tl_Hours,tl_StaffID,I1560,tl_Date,A1560))</f>
        <v>8</v>
      </c>
      <c r="O1560" s="40" t="str">
        <f aca="false">IF(A1560&amp;B1560&amp;D1560="","",IF(OR(A1560="",B1560="",D1560="",E1560=""),"Incomplete",IF(K1560="Unknown","Unknown code",IF(AND(K1560="Yes",C1560=""),"Billable, needs client",IF(N1560&gt;MaxDayHours,"Over "&amp;MaxDayHours&amp;" hours that day","")))))</f>
        <v/>
      </c>
    </row>
    <row r="1561" customFormat="false" ht="15" hidden="false" customHeight="false" outlineLevel="0" collapsed="false">
      <c r="A1561" s="31" t="n">
        <v>46287</v>
      </c>
      <c r="B1561" s="32" t="s">
        <v>97</v>
      </c>
      <c r="C1561" s="32" t="s">
        <v>87</v>
      </c>
      <c r="D1561" s="33" t="s">
        <v>88</v>
      </c>
      <c r="E1561" s="34" t="n">
        <v>0.75</v>
      </c>
      <c r="F1561" s="32"/>
      <c r="G1561" s="35" t="n">
        <f aca="false">IF(A1561="","",A1561+7-WEEKDAY(A1561))</f>
        <v>46291</v>
      </c>
      <c r="H1561" s="36" t="n">
        <f aca="false">IF(A1561="","",DATE(YEAR(A1561),MONTH(A1561),1))</f>
        <v>46266</v>
      </c>
      <c r="I1561" s="37" t="str">
        <f aca="false">IF(B1561="","",IFERROR(INDEX(st_ID,MATCH(B1561,st_Name,0)),"Unknown"))</f>
        <v>QP-02</v>
      </c>
      <c r="J1561" s="37" t="str">
        <f aca="false">IF(C1561="","",IFERROR(INDEX(cl_Code,MATCH(C1561,cl_Name,0)),"Unknown"))</f>
        <v>HCS</v>
      </c>
      <c r="K1561" s="37" t="str">
        <f aca="false">IF(D1561="","",IFERROR(INDEX(rt_Billable,MATCH(D1561,rt_Code,0)),"Unknown"))</f>
        <v>Yes</v>
      </c>
      <c r="L1561" s="38" t="n">
        <f aca="false">IF(K1561&lt;&gt;"Yes","",IFERROR(INDEX(cr_Rate,MATCH(J1561&amp;"|"&amp;D1561,cr_Key,0)),INDEX(rt_Rate,MATCH(D1561,rt_Code,0))))</f>
        <v>98</v>
      </c>
      <c r="M1561" s="25" t="n">
        <f aca="false">IF(L1561="","",ROUND(N(E1561)*L1561,2))</f>
        <v>73.5</v>
      </c>
      <c r="N1561" s="39" t="n">
        <f aca="false">IF(OR(A1561="",B1561=""),"",SUMIFS(tl_Hours,tl_StaffID,I1561,tl_Date,A1561))</f>
        <v>8</v>
      </c>
      <c r="O1561" s="40" t="str">
        <f aca="false">IF(A1561&amp;B1561&amp;D1561="","",IF(OR(A1561="",B1561="",D1561="",E1561=""),"Incomplete",IF(K1561="Unknown","Unknown code",IF(AND(K1561="Yes",C1561=""),"Billable, needs client",IF(N1561&gt;MaxDayHours,"Over "&amp;MaxDayHours&amp;" hours that day","")))))</f>
        <v/>
      </c>
    </row>
    <row r="1562" customFormat="false" ht="15" hidden="false" customHeight="false" outlineLevel="0" collapsed="false">
      <c r="A1562" s="31" t="n">
        <v>46287</v>
      </c>
      <c r="B1562" s="32" t="s">
        <v>97</v>
      </c>
      <c r="C1562" s="32"/>
      <c r="D1562" s="33" t="s">
        <v>93</v>
      </c>
      <c r="E1562" s="34" t="n">
        <v>0.5</v>
      </c>
      <c r="F1562" s="32"/>
      <c r="G1562" s="35" t="n">
        <f aca="false">IF(A1562="","",A1562+7-WEEKDAY(A1562))</f>
        <v>46291</v>
      </c>
      <c r="H1562" s="36" t="n">
        <f aca="false">IF(A1562="","",DATE(YEAR(A1562),MONTH(A1562),1))</f>
        <v>46266</v>
      </c>
      <c r="I1562" s="37" t="str">
        <f aca="false">IF(B1562="","",IFERROR(INDEX(st_ID,MATCH(B1562,st_Name,0)),"Unknown"))</f>
        <v>QP-02</v>
      </c>
      <c r="J1562" s="37" t="str">
        <f aca="false">IF(C1562="","",IFERROR(INDEX(cl_Code,MATCH(C1562,cl_Name,0)),"Unknown"))</f>
        <v/>
      </c>
      <c r="K1562" s="37" t="str">
        <f aca="false">IF(D1562="","",IFERROR(INDEX(rt_Billable,MATCH(D1562,rt_Code,0)),"Unknown"))</f>
        <v>No</v>
      </c>
      <c r="L1562" s="38" t="str">
        <f aca="false">IF(K1562&lt;&gt;"Yes","",IFERROR(INDEX(cr_Rate,MATCH(J1562&amp;"|"&amp;D1562,cr_Key,0)),INDEX(rt_Rate,MATCH(D1562,rt_Code,0))))</f>
        <v/>
      </c>
      <c r="M1562" s="25" t="str">
        <f aca="false">IF(L1562="","",ROUND(N(E1562)*L1562,2))</f>
        <v/>
      </c>
      <c r="N1562" s="39" t="n">
        <f aca="false">IF(OR(A1562="",B1562=""),"",SUMIFS(tl_Hours,tl_StaffID,I1562,tl_Date,A1562))</f>
        <v>8</v>
      </c>
      <c r="O1562" s="40" t="str">
        <f aca="false">IF(A1562&amp;B1562&amp;D1562="","",IF(OR(A1562="",B1562="",D1562="",E1562=""),"Incomplete",IF(K1562="Unknown","Unknown code",IF(AND(K1562="Yes",C1562=""),"Billable, needs client",IF(N1562&gt;MaxDayHours,"Over "&amp;MaxDayHours&amp;" hours that day","")))))</f>
        <v/>
      </c>
    </row>
    <row r="1563" customFormat="false" ht="15" hidden="false" customHeight="false" outlineLevel="0" collapsed="false">
      <c r="A1563" s="31" t="n">
        <v>46287</v>
      </c>
      <c r="B1563" s="32" t="s">
        <v>97</v>
      </c>
      <c r="C1563" s="32"/>
      <c r="D1563" s="33" t="s">
        <v>96</v>
      </c>
      <c r="E1563" s="34" t="n">
        <v>1</v>
      </c>
      <c r="F1563" s="32"/>
      <c r="G1563" s="35" t="n">
        <f aca="false">IF(A1563="","",A1563+7-WEEKDAY(A1563))</f>
        <v>46291</v>
      </c>
      <c r="H1563" s="36" t="n">
        <f aca="false">IF(A1563="","",DATE(YEAR(A1563),MONTH(A1563),1))</f>
        <v>46266</v>
      </c>
      <c r="I1563" s="37" t="str">
        <f aca="false">IF(B1563="","",IFERROR(INDEX(st_ID,MATCH(B1563,st_Name,0)),"Unknown"))</f>
        <v>QP-02</v>
      </c>
      <c r="J1563" s="37" t="str">
        <f aca="false">IF(C1563="","",IFERROR(INDEX(cl_Code,MATCH(C1563,cl_Name,0)),"Unknown"))</f>
        <v/>
      </c>
      <c r="K1563" s="37" t="str">
        <f aca="false">IF(D1563="","",IFERROR(INDEX(rt_Billable,MATCH(D1563,rt_Code,0)),"Unknown"))</f>
        <v>No</v>
      </c>
      <c r="L1563" s="38" t="str">
        <f aca="false">IF(K1563&lt;&gt;"Yes","",IFERROR(INDEX(cr_Rate,MATCH(J1563&amp;"|"&amp;D1563,cr_Key,0)),INDEX(rt_Rate,MATCH(D1563,rt_Code,0))))</f>
        <v/>
      </c>
      <c r="M1563" s="25" t="str">
        <f aca="false">IF(L1563="","",ROUND(N(E1563)*L1563,2))</f>
        <v/>
      </c>
      <c r="N1563" s="39" t="n">
        <f aca="false">IF(OR(A1563="",B1563=""),"",SUMIFS(tl_Hours,tl_StaffID,I1563,tl_Date,A1563))</f>
        <v>8</v>
      </c>
      <c r="O1563" s="40" t="str">
        <f aca="false">IF(A1563&amp;B1563&amp;D1563="","",IF(OR(A1563="",B1563="",D1563="",E1563=""),"Incomplete",IF(K1563="Unknown","Unknown code",IF(AND(K1563="Yes",C1563=""),"Billable, needs client",IF(N1563&gt;MaxDayHours,"Over "&amp;MaxDayHours&amp;" hours that day","")))))</f>
        <v/>
      </c>
    </row>
    <row r="1564" customFormat="false" ht="15" hidden="false" customHeight="false" outlineLevel="0" collapsed="false">
      <c r="A1564" s="31" t="n">
        <v>46287</v>
      </c>
      <c r="B1564" s="32" t="s">
        <v>100</v>
      </c>
      <c r="C1564" s="32" t="s">
        <v>90</v>
      </c>
      <c r="D1564" s="33" t="s">
        <v>88</v>
      </c>
      <c r="E1564" s="34" t="n">
        <v>3.5</v>
      </c>
      <c r="F1564" s="32"/>
      <c r="G1564" s="35" t="n">
        <f aca="false">IF(A1564="","",A1564+7-WEEKDAY(A1564))</f>
        <v>46291</v>
      </c>
      <c r="H1564" s="36" t="n">
        <f aca="false">IF(A1564="","",DATE(YEAR(A1564),MONTH(A1564),1))</f>
        <v>46266</v>
      </c>
      <c r="I1564" s="37" t="str">
        <f aca="false">IF(B1564="","",IFERROR(INDEX(st_ID,MATCH(B1564,st_Name,0)),"Unknown"))</f>
        <v>QP-03</v>
      </c>
      <c r="J1564" s="37" t="str">
        <f aca="false">IF(C1564="","",IFERROR(INDEX(cl_Code,MATCH(C1564,cl_Name,0)),"Unknown"))</f>
        <v>BSE</v>
      </c>
      <c r="K1564" s="37" t="str">
        <f aca="false">IF(D1564="","",IFERROR(INDEX(rt_Billable,MATCH(D1564,rt_Code,0)),"Unknown"))</f>
        <v>Yes</v>
      </c>
      <c r="L1564" s="38" t="n">
        <f aca="false">IF(K1564&lt;&gt;"Yes","",IFERROR(INDEX(cr_Rate,MATCH(J1564&amp;"|"&amp;D1564,cr_Key,0)),INDEX(rt_Rate,MATCH(D1564,rt_Code,0))))</f>
        <v>104</v>
      </c>
      <c r="M1564" s="25" t="n">
        <f aca="false">IF(L1564="","",ROUND(N(E1564)*L1564,2))</f>
        <v>364</v>
      </c>
      <c r="N1564" s="39" t="n">
        <f aca="false">IF(OR(A1564="",B1564=""),"",SUMIFS(tl_Hours,tl_StaffID,I1564,tl_Date,A1564))</f>
        <v>8</v>
      </c>
      <c r="O1564" s="40" t="str">
        <f aca="false">IF(A1564&amp;B1564&amp;D1564="","",IF(OR(A1564="",B1564="",D1564="",E1564=""),"Incomplete",IF(K1564="Unknown","Unknown code",IF(AND(K1564="Yes",C1564=""),"Billable, needs client",IF(N1564&gt;MaxDayHours,"Over "&amp;MaxDayHours&amp;" hours that day","")))))</f>
        <v/>
      </c>
    </row>
    <row r="1565" customFormat="false" ht="15" hidden="false" customHeight="false" outlineLevel="0" collapsed="false">
      <c r="A1565" s="31" t="n">
        <v>46287</v>
      </c>
      <c r="B1565" s="32" t="s">
        <v>100</v>
      </c>
      <c r="C1565" s="32" t="s">
        <v>90</v>
      </c>
      <c r="D1565" s="33" t="s">
        <v>89</v>
      </c>
      <c r="E1565" s="34" t="n">
        <v>2.25</v>
      </c>
      <c r="F1565" s="32"/>
      <c r="G1565" s="35" t="n">
        <f aca="false">IF(A1565="","",A1565+7-WEEKDAY(A1565))</f>
        <v>46291</v>
      </c>
      <c r="H1565" s="36" t="n">
        <f aca="false">IF(A1565="","",DATE(YEAR(A1565),MONTH(A1565),1))</f>
        <v>46266</v>
      </c>
      <c r="I1565" s="37" t="str">
        <f aca="false">IF(B1565="","",IFERROR(INDEX(st_ID,MATCH(B1565,st_Name,0)),"Unknown"))</f>
        <v>QP-03</v>
      </c>
      <c r="J1565" s="37" t="str">
        <f aca="false">IF(C1565="","",IFERROR(INDEX(cl_Code,MATCH(C1565,cl_Name,0)),"Unknown"))</f>
        <v>BSE</v>
      </c>
      <c r="K1565" s="37" t="str">
        <f aca="false">IF(D1565="","",IFERROR(INDEX(rt_Billable,MATCH(D1565,rt_Code,0)),"Unknown"))</f>
        <v>Yes</v>
      </c>
      <c r="L1565" s="38" t="n">
        <f aca="false">IF(K1565&lt;&gt;"Yes","",IFERROR(INDEX(cr_Rate,MATCH(J1565&amp;"|"&amp;D1565,cr_Key,0)),INDEX(rt_Rate,MATCH(D1565,rt_Code,0))))</f>
        <v>95</v>
      </c>
      <c r="M1565" s="25" t="n">
        <f aca="false">IF(L1565="","",ROUND(N(E1565)*L1565,2))</f>
        <v>213.75</v>
      </c>
      <c r="N1565" s="39" t="n">
        <f aca="false">IF(OR(A1565="",B1565=""),"",SUMIFS(tl_Hours,tl_StaffID,I1565,tl_Date,A1565))</f>
        <v>8</v>
      </c>
      <c r="O1565" s="40" t="str">
        <f aca="false">IF(A1565&amp;B1565&amp;D1565="","",IF(OR(A1565="",B1565="",D1565="",E1565=""),"Incomplete",IF(K1565="Unknown","Unknown code",IF(AND(K1565="Yes",C1565=""),"Billable, needs client",IF(N1565&gt;MaxDayHours,"Over "&amp;MaxDayHours&amp;" hours that day","")))))</f>
        <v/>
      </c>
    </row>
    <row r="1566" customFormat="false" ht="15" hidden="false" customHeight="false" outlineLevel="0" collapsed="false">
      <c r="A1566" s="31" t="n">
        <v>46287</v>
      </c>
      <c r="B1566" s="32" t="s">
        <v>100</v>
      </c>
      <c r="C1566" s="32"/>
      <c r="D1566" s="33" t="s">
        <v>96</v>
      </c>
      <c r="E1566" s="34" t="n">
        <v>2.25</v>
      </c>
      <c r="F1566" s="32"/>
      <c r="G1566" s="35" t="n">
        <f aca="false">IF(A1566="","",A1566+7-WEEKDAY(A1566))</f>
        <v>46291</v>
      </c>
      <c r="H1566" s="36" t="n">
        <f aca="false">IF(A1566="","",DATE(YEAR(A1566),MONTH(A1566),1))</f>
        <v>46266</v>
      </c>
      <c r="I1566" s="37" t="str">
        <f aca="false">IF(B1566="","",IFERROR(INDEX(st_ID,MATCH(B1566,st_Name,0)),"Unknown"))</f>
        <v>QP-03</v>
      </c>
      <c r="J1566" s="37" t="str">
        <f aca="false">IF(C1566="","",IFERROR(INDEX(cl_Code,MATCH(C1566,cl_Name,0)),"Unknown"))</f>
        <v/>
      </c>
      <c r="K1566" s="37" t="str">
        <f aca="false">IF(D1566="","",IFERROR(INDEX(rt_Billable,MATCH(D1566,rt_Code,0)),"Unknown"))</f>
        <v>No</v>
      </c>
      <c r="L1566" s="38" t="str">
        <f aca="false">IF(K1566&lt;&gt;"Yes","",IFERROR(INDEX(cr_Rate,MATCH(J1566&amp;"|"&amp;D1566,cr_Key,0)),INDEX(rt_Rate,MATCH(D1566,rt_Code,0))))</f>
        <v/>
      </c>
      <c r="M1566" s="25" t="str">
        <f aca="false">IF(L1566="","",ROUND(N(E1566)*L1566,2))</f>
        <v/>
      </c>
      <c r="N1566" s="39" t="n">
        <f aca="false">IF(OR(A1566="",B1566=""),"",SUMIFS(tl_Hours,tl_StaffID,I1566,tl_Date,A1566))</f>
        <v>8</v>
      </c>
      <c r="O1566" s="40" t="str">
        <f aca="false">IF(A1566&amp;B1566&amp;D1566="","",IF(OR(A1566="",B1566="",D1566="",E1566=""),"Incomplete",IF(K1566="Unknown","Unknown code",IF(AND(K1566="Yes",C1566=""),"Billable, needs client",IF(N1566&gt;MaxDayHours,"Over "&amp;MaxDayHours&amp;" hours that day","")))))</f>
        <v/>
      </c>
    </row>
    <row r="1567" customFormat="false" ht="15" hidden="false" customHeight="false" outlineLevel="0" collapsed="false">
      <c r="A1567" s="31" t="n">
        <v>46287</v>
      </c>
      <c r="B1567" s="32" t="s">
        <v>101</v>
      </c>
      <c r="C1567" s="32" t="s">
        <v>112</v>
      </c>
      <c r="D1567" s="33" t="s">
        <v>88</v>
      </c>
      <c r="E1567" s="34" t="n">
        <v>2</v>
      </c>
      <c r="F1567" s="32"/>
      <c r="G1567" s="35" t="n">
        <f aca="false">IF(A1567="","",A1567+7-WEEKDAY(A1567))</f>
        <v>46291</v>
      </c>
      <c r="H1567" s="36" t="n">
        <f aca="false">IF(A1567="","",DATE(YEAR(A1567),MONTH(A1567),1))</f>
        <v>46266</v>
      </c>
      <c r="I1567" s="37" t="str">
        <f aca="false">IF(B1567="","",IFERROR(INDEX(st_ID,MATCH(B1567,st_Name,0)),"Unknown"))</f>
        <v>QP-04</v>
      </c>
      <c r="J1567" s="37" t="str">
        <f aca="false">IF(C1567="","",IFERROR(INDEX(cl_Code,MATCH(C1567,cl_Name,0)),"Unknown"))</f>
        <v>PCA</v>
      </c>
      <c r="K1567" s="37" t="str">
        <f aca="false">IF(D1567="","",IFERROR(INDEX(rt_Billable,MATCH(D1567,rt_Code,0)),"Unknown"))</f>
        <v>Yes</v>
      </c>
      <c r="L1567" s="38" t="n">
        <f aca="false">IF(K1567&lt;&gt;"Yes","",IFERROR(INDEX(cr_Rate,MATCH(J1567&amp;"|"&amp;D1567,cr_Key,0)),INDEX(rt_Rate,MATCH(D1567,rt_Code,0))))</f>
        <v>110</v>
      </c>
      <c r="M1567" s="25" t="n">
        <f aca="false">IF(L1567="","",ROUND(N(E1567)*L1567,2))</f>
        <v>220</v>
      </c>
      <c r="N1567" s="39" t="n">
        <f aca="false">IF(OR(A1567="",B1567=""),"",SUMIFS(tl_Hours,tl_StaffID,I1567,tl_Date,A1567))</f>
        <v>8</v>
      </c>
      <c r="O1567" s="40" t="str">
        <f aca="false">IF(A1567&amp;B1567&amp;D1567="","",IF(OR(A1567="",B1567="",D1567="",E1567=""),"Incomplete",IF(K1567="Unknown","Unknown code",IF(AND(K1567="Yes",C1567=""),"Billable, needs client",IF(N1567&gt;MaxDayHours,"Over "&amp;MaxDayHours&amp;" hours that day","")))))</f>
        <v/>
      </c>
    </row>
    <row r="1568" customFormat="false" ht="15" hidden="false" customHeight="false" outlineLevel="0" collapsed="false">
      <c r="A1568" s="31" t="n">
        <v>46287</v>
      </c>
      <c r="B1568" s="32" t="s">
        <v>101</v>
      </c>
      <c r="C1568" s="32" t="s">
        <v>112</v>
      </c>
      <c r="D1568" s="33" t="s">
        <v>104</v>
      </c>
      <c r="E1568" s="34" t="n">
        <v>1.5</v>
      </c>
      <c r="F1568" s="32"/>
      <c r="G1568" s="35" t="n">
        <f aca="false">IF(A1568="","",A1568+7-WEEKDAY(A1568))</f>
        <v>46291</v>
      </c>
      <c r="H1568" s="36" t="n">
        <f aca="false">IF(A1568="","",DATE(YEAR(A1568),MONTH(A1568),1))</f>
        <v>46266</v>
      </c>
      <c r="I1568" s="37" t="str">
        <f aca="false">IF(B1568="","",IFERROR(INDEX(st_ID,MATCH(B1568,st_Name,0)),"Unknown"))</f>
        <v>QP-04</v>
      </c>
      <c r="J1568" s="37" t="str">
        <f aca="false">IF(C1568="","",IFERROR(INDEX(cl_Code,MATCH(C1568,cl_Name,0)),"Unknown"))</f>
        <v>PCA</v>
      </c>
      <c r="K1568" s="37" t="str">
        <f aca="false">IF(D1568="","",IFERROR(INDEX(rt_Billable,MATCH(D1568,rt_Code,0)),"Unknown"))</f>
        <v>Yes</v>
      </c>
      <c r="L1568" s="38" t="n">
        <f aca="false">IF(K1568&lt;&gt;"Yes","",IFERROR(INDEX(cr_Rate,MATCH(J1568&amp;"|"&amp;D1568,cr_Key,0)),INDEX(rt_Rate,MATCH(D1568,rt_Code,0))))</f>
        <v>70</v>
      </c>
      <c r="M1568" s="25" t="n">
        <f aca="false">IF(L1568="","",ROUND(N(E1568)*L1568,2))</f>
        <v>105</v>
      </c>
      <c r="N1568" s="39" t="n">
        <f aca="false">IF(OR(A1568="",B1568=""),"",SUMIFS(tl_Hours,tl_StaffID,I1568,tl_Date,A1568))</f>
        <v>8</v>
      </c>
      <c r="O1568" s="40" t="str">
        <f aca="false">IF(A1568&amp;B1568&amp;D1568="","",IF(OR(A1568="",B1568="",D1568="",E1568=""),"Incomplete",IF(K1568="Unknown","Unknown code",IF(AND(K1568="Yes",C1568=""),"Billable, needs client",IF(N1568&gt;MaxDayHours,"Over "&amp;MaxDayHours&amp;" hours that day","")))))</f>
        <v/>
      </c>
    </row>
    <row r="1569" customFormat="false" ht="15" hidden="false" customHeight="false" outlineLevel="0" collapsed="false">
      <c r="A1569" s="31" t="n">
        <v>46287</v>
      </c>
      <c r="B1569" s="32" t="s">
        <v>101</v>
      </c>
      <c r="C1569" s="32" t="s">
        <v>102</v>
      </c>
      <c r="D1569" s="33" t="s">
        <v>104</v>
      </c>
      <c r="E1569" s="34" t="n">
        <v>2.25</v>
      </c>
      <c r="F1569" s="32"/>
      <c r="G1569" s="35" t="n">
        <f aca="false">IF(A1569="","",A1569+7-WEEKDAY(A1569))</f>
        <v>46291</v>
      </c>
      <c r="H1569" s="36" t="n">
        <f aca="false">IF(A1569="","",DATE(YEAR(A1569),MONTH(A1569),1))</f>
        <v>46266</v>
      </c>
      <c r="I1569" s="37" t="str">
        <f aca="false">IF(B1569="","",IFERROR(INDEX(st_ID,MATCH(B1569,st_Name,0)),"Unknown"))</f>
        <v>QP-04</v>
      </c>
      <c r="J1569" s="37" t="str">
        <f aca="false">IF(C1569="","",IFERROR(INDEX(cl_Code,MATCH(C1569,cl_Name,0)),"Unknown"))</f>
        <v>CLH</v>
      </c>
      <c r="K1569" s="37" t="str">
        <f aca="false">IF(D1569="","",IFERROR(INDEX(rt_Billable,MATCH(D1569,rt_Code,0)),"Unknown"))</f>
        <v>Yes</v>
      </c>
      <c r="L1569" s="38" t="n">
        <f aca="false">IF(K1569&lt;&gt;"Yes","",IFERROR(INDEX(cr_Rate,MATCH(J1569&amp;"|"&amp;D1569,cr_Key,0)),INDEX(rt_Rate,MATCH(D1569,rt_Code,0))))</f>
        <v>65</v>
      </c>
      <c r="M1569" s="25" t="n">
        <f aca="false">IF(L1569="","",ROUND(N(E1569)*L1569,2))</f>
        <v>146.25</v>
      </c>
      <c r="N1569" s="39" t="n">
        <f aca="false">IF(OR(A1569="",B1569=""),"",SUMIFS(tl_Hours,tl_StaffID,I1569,tl_Date,A1569))</f>
        <v>8</v>
      </c>
      <c r="O1569" s="40" t="str">
        <f aca="false">IF(A1569&amp;B1569&amp;D1569="","",IF(OR(A1569="",B1569="",D1569="",E1569=""),"Incomplete",IF(K1569="Unknown","Unknown code",IF(AND(K1569="Yes",C1569=""),"Billable, needs client",IF(N1569&gt;MaxDayHours,"Over "&amp;MaxDayHours&amp;" hours that day","")))))</f>
        <v/>
      </c>
    </row>
    <row r="1570" customFormat="false" ht="15" hidden="false" customHeight="false" outlineLevel="0" collapsed="false">
      <c r="A1570" s="31" t="n">
        <v>46287</v>
      </c>
      <c r="B1570" s="32" t="s">
        <v>101</v>
      </c>
      <c r="C1570" s="32" t="s">
        <v>102</v>
      </c>
      <c r="D1570" s="33" t="s">
        <v>92</v>
      </c>
      <c r="E1570" s="34" t="n">
        <v>1.25</v>
      </c>
      <c r="F1570" s="32"/>
      <c r="G1570" s="35" t="n">
        <f aca="false">IF(A1570="","",A1570+7-WEEKDAY(A1570))</f>
        <v>46291</v>
      </c>
      <c r="H1570" s="36" t="n">
        <f aca="false">IF(A1570="","",DATE(YEAR(A1570),MONTH(A1570),1))</f>
        <v>46266</v>
      </c>
      <c r="I1570" s="37" t="str">
        <f aca="false">IF(B1570="","",IFERROR(INDEX(st_ID,MATCH(B1570,st_Name,0)),"Unknown"))</f>
        <v>QP-04</v>
      </c>
      <c r="J1570" s="37" t="str">
        <f aca="false">IF(C1570="","",IFERROR(INDEX(cl_Code,MATCH(C1570,cl_Name,0)),"Unknown"))</f>
        <v>CLH</v>
      </c>
      <c r="K1570" s="37" t="str">
        <f aca="false">IF(D1570="","",IFERROR(INDEX(rt_Billable,MATCH(D1570,rt_Code,0)),"Unknown"))</f>
        <v>Yes</v>
      </c>
      <c r="L1570" s="38" t="n">
        <f aca="false">IF(K1570&lt;&gt;"Yes","",IFERROR(INDEX(cr_Rate,MATCH(J1570&amp;"|"&amp;D1570,cr_Key,0)),INDEX(rt_Rate,MATCH(D1570,rt_Code,0))))</f>
        <v>150</v>
      </c>
      <c r="M1570" s="25" t="n">
        <f aca="false">IF(L1570="","",ROUND(N(E1570)*L1570,2))</f>
        <v>187.5</v>
      </c>
      <c r="N1570" s="39" t="n">
        <f aca="false">IF(OR(A1570="",B1570=""),"",SUMIFS(tl_Hours,tl_StaffID,I1570,tl_Date,A1570))</f>
        <v>8</v>
      </c>
      <c r="O1570" s="40" t="str">
        <f aca="false">IF(A1570&amp;B1570&amp;D1570="","",IF(OR(A1570="",B1570="",D1570="",E1570=""),"Incomplete",IF(K1570="Unknown","Unknown code",IF(AND(K1570="Yes",C1570=""),"Billable, needs client",IF(N1570&gt;MaxDayHours,"Over "&amp;MaxDayHours&amp;" hours that day","")))))</f>
        <v/>
      </c>
    </row>
    <row r="1571" customFormat="false" ht="15" hidden="false" customHeight="false" outlineLevel="0" collapsed="false">
      <c r="A1571" s="31" t="n">
        <v>46287</v>
      </c>
      <c r="B1571" s="32" t="s">
        <v>101</v>
      </c>
      <c r="C1571" s="32"/>
      <c r="D1571" s="33" t="s">
        <v>93</v>
      </c>
      <c r="E1571" s="34" t="n">
        <v>0.5</v>
      </c>
      <c r="F1571" s="32"/>
      <c r="G1571" s="35" t="n">
        <f aca="false">IF(A1571="","",A1571+7-WEEKDAY(A1571))</f>
        <v>46291</v>
      </c>
      <c r="H1571" s="36" t="n">
        <f aca="false">IF(A1571="","",DATE(YEAR(A1571),MONTH(A1571),1))</f>
        <v>46266</v>
      </c>
      <c r="I1571" s="37" t="str">
        <f aca="false">IF(B1571="","",IFERROR(INDEX(st_ID,MATCH(B1571,st_Name,0)),"Unknown"))</f>
        <v>QP-04</v>
      </c>
      <c r="J1571" s="37" t="str">
        <f aca="false">IF(C1571="","",IFERROR(INDEX(cl_Code,MATCH(C1571,cl_Name,0)),"Unknown"))</f>
        <v/>
      </c>
      <c r="K1571" s="37" t="str">
        <f aca="false">IF(D1571="","",IFERROR(INDEX(rt_Billable,MATCH(D1571,rt_Code,0)),"Unknown"))</f>
        <v>No</v>
      </c>
      <c r="L1571" s="38" t="str">
        <f aca="false">IF(K1571&lt;&gt;"Yes","",IFERROR(INDEX(cr_Rate,MATCH(J1571&amp;"|"&amp;D1571,cr_Key,0)),INDEX(rt_Rate,MATCH(D1571,rt_Code,0))))</f>
        <v/>
      </c>
      <c r="M1571" s="25" t="str">
        <f aca="false">IF(L1571="","",ROUND(N(E1571)*L1571,2))</f>
        <v/>
      </c>
      <c r="N1571" s="39" t="n">
        <f aca="false">IF(OR(A1571="",B1571=""),"",SUMIFS(tl_Hours,tl_StaffID,I1571,tl_Date,A1571))</f>
        <v>8</v>
      </c>
      <c r="O1571" s="40" t="str">
        <f aca="false">IF(A1571&amp;B1571&amp;D1571="","",IF(OR(A1571="",B1571="",D1571="",E1571=""),"Incomplete",IF(K1571="Unknown","Unknown code",IF(AND(K1571="Yes",C1571=""),"Billable, needs client",IF(N1571&gt;MaxDayHours,"Over "&amp;MaxDayHours&amp;" hours that day","")))))</f>
        <v/>
      </c>
    </row>
    <row r="1572" customFormat="false" ht="15" hidden="false" customHeight="false" outlineLevel="0" collapsed="false">
      <c r="A1572" s="31" t="n">
        <v>46287</v>
      </c>
      <c r="B1572" s="32" t="s">
        <v>101</v>
      </c>
      <c r="C1572" s="32"/>
      <c r="D1572" s="33" t="s">
        <v>96</v>
      </c>
      <c r="E1572" s="34" t="n">
        <v>0.5</v>
      </c>
      <c r="F1572" s="32"/>
      <c r="G1572" s="35" t="n">
        <f aca="false">IF(A1572="","",A1572+7-WEEKDAY(A1572))</f>
        <v>46291</v>
      </c>
      <c r="H1572" s="36" t="n">
        <f aca="false">IF(A1572="","",DATE(YEAR(A1572),MONTH(A1572),1))</f>
        <v>46266</v>
      </c>
      <c r="I1572" s="37" t="str">
        <f aca="false">IF(B1572="","",IFERROR(INDEX(st_ID,MATCH(B1572,st_Name,0)),"Unknown"))</f>
        <v>QP-04</v>
      </c>
      <c r="J1572" s="37" t="str">
        <f aca="false">IF(C1572="","",IFERROR(INDEX(cl_Code,MATCH(C1572,cl_Name,0)),"Unknown"))</f>
        <v/>
      </c>
      <c r="K1572" s="37" t="str">
        <f aca="false">IF(D1572="","",IFERROR(INDEX(rt_Billable,MATCH(D1572,rt_Code,0)),"Unknown"))</f>
        <v>No</v>
      </c>
      <c r="L1572" s="38" t="str">
        <f aca="false">IF(K1572&lt;&gt;"Yes","",IFERROR(INDEX(cr_Rate,MATCH(J1572&amp;"|"&amp;D1572,cr_Key,0)),INDEX(rt_Rate,MATCH(D1572,rt_Code,0))))</f>
        <v/>
      </c>
      <c r="M1572" s="25" t="str">
        <f aca="false">IF(L1572="","",ROUND(N(E1572)*L1572,2))</f>
        <v/>
      </c>
      <c r="N1572" s="39" t="n">
        <f aca="false">IF(OR(A1572="",B1572=""),"",SUMIFS(tl_Hours,tl_StaffID,I1572,tl_Date,A1572))</f>
        <v>8</v>
      </c>
      <c r="O1572" s="40" t="str">
        <f aca="false">IF(A1572&amp;B1572&amp;D1572="","",IF(OR(A1572="",B1572="",D1572="",E1572=""),"Incomplete",IF(K1572="Unknown","Unknown code",IF(AND(K1572="Yes",C1572=""),"Billable, needs client",IF(N1572&gt;MaxDayHours,"Over "&amp;MaxDayHours&amp;" hours that day","")))))</f>
        <v/>
      </c>
    </row>
    <row r="1573" customFormat="false" ht="15" hidden="false" customHeight="false" outlineLevel="0" collapsed="false">
      <c r="A1573" s="31" t="n">
        <v>46287</v>
      </c>
      <c r="B1573" s="32" t="s">
        <v>103</v>
      </c>
      <c r="C1573" s="32" t="s">
        <v>87</v>
      </c>
      <c r="D1573" s="33" t="s">
        <v>104</v>
      </c>
      <c r="E1573" s="34" t="n">
        <v>4.25</v>
      </c>
      <c r="F1573" s="32"/>
      <c r="G1573" s="35" t="n">
        <f aca="false">IF(A1573="","",A1573+7-WEEKDAY(A1573))</f>
        <v>46291</v>
      </c>
      <c r="H1573" s="36" t="n">
        <f aca="false">IF(A1573="","",DATE(YEAR(A1573),MONTH(A1573),1))</f>
        <v>46266</v>
      </c>
      <c r="I1573" s="37" t="str">
        <f aca="false">IF(B1573="","",IFERROR(INDEX(st_ID,MATCH(B1573,st_Name,0)),"Unknown"))</f>
        <v>QP-05</v>
      </c>
      <c r="J1573" s="37" t="str">
        <f aca="false">IF(C1573="","",IFERROR(INDEX(cl_Code,MATCH(C1573,cl_Name,0)),"Unknown"))</f>
        <v>HCS</v>
      </c>
      <c r="K1573" s="37" t="str">
        <f aca="false">IF(D1573="","",IFERROR(INDEX(rt_Billable,MATCH(D1573,rt_Code,0)),"Unknown"))</f>
        <v>Yes</v>
      </c>
      <c r="L1573" s="38" t="n">
        <f aca="false">IF(K1573&lt;&gt;"Yes","",IFERROR(INDEX(cr_Rate,MATCH(J1573&amp;"|"&amp;D1573,cr_Key,0)),INDEX(rt_Rate,MATCH(D1573,rt_Code,0))))</f>
        <v>62</v>
      </c>
      <c r="M1573" s="25" t="n">
        <f aca="false">IF(L1573="","",ROUND(N(E1573)*L1573,2))</f>
        <v>263.5</v>
      </c>
      <c r="N1573" s="39" t="n">
        <f aca="false">IF(OR(A1573="",B1573=""),"",SUMIFS(tl_Hours,tl_StaffID,I1573,tl_Date,A1573))</f>
        <v>8</v>
      </c>
      <c r="O1573" s="40" t="str">
        <f aca="false">IF(A1573&amp;B1573&amp;D1573="","",IF(OR(A1573="",B1573="",D1573="",E1573=""),"Incomplete",IF(K1573="Unknown","Unknown code",IF(AND(K1573="Yes",C1573=""),"Billable, needs client",IF(N1573&gt;MaxDayHours,"Over "&amp;MaxDayHours&amp;" hours that day","")))))</f>
        <v/>
      </c>
    </row>
    <row r="1574" customFormat="false" ht="15" hidden="false" customHeight="false" outlineLevel="0" collapsed="false">
      <c r="A1574" s="31" t="n">
        <v>46287</v>
      </c>
      <c r="B1574" s="32" t="s">
        <v>103</v>
      </c>
      <c r="C1574" s="32" t="s">
        <v>87</v>
      </c>
      <c r="D1574" s="33" t="s">
        <v>92</v>
      </c>
      <c r="E1574" s="34" t="n">
        <v>1.75</v>
      </c>
      <c r="F1574" s="32"/>
      <c r="G1574" s="35" t="n">
        <f aca="false">IF(A1574="","",A1574+7-WEEKDAY(A1574))</f>
        <v>46291</v>
      </c>
      <c r="H1574" s="36" t="n">
        <f aca="false">IF(A1574="","",DATE(YEAR(A1574),MONTH(A1574),1))</f>
        <v>46266</v>
      </c>
      <c r="I1574" s="37" t="str">
        <f aca="false">IF(B1574="","",IFERROR(INDEX(st_ID,MATCH(B1574,st_Name,0)),"Unknown"))</f>
        <v>QP-05</v>
      </c>
      <c r="J1574" s="37" t="str">
        <f aca="false">IF(C1574="","",IFERROR(INDEX(cl_Code,MATCH(C1574,cl_Name,0)),"Unknown"))</f>
        <v>HCS</v>
      </c>
      <c r="K1574" s="37" t="str">
        <f aca="false">IF(D1574="","",IFERROR(INDEX(rt_Billable,MATCH(D1574,rt_Code,0)),"Unknown"))</f>
        <v>Yes</v>
      </c>
      <c r="L1574" s="38" t="n">
        <f aca="false">IF(K1574&lt;&gt;"Yes","",IFERROR(INDEX(cr_Rate,MATCH(J1574&amp;"|"&amp;D1574,cr_Key,0)),INDEX(rt_Rate,MATCH(D1574,rt_Code,0))))</f>
        <v>140</v>
      </c>
      <c r="M1574" s="25" t="n">
        <f aca="false">IF(L1574="","",ROUND(N(E1574)*L1574,2))</f>
        <v>245</v>
      </c>
      <c r="N1574" s="39" t="n">
        <f aca="false">IF(OR(A1574="",B1574=""),"",SUMIFS(tl_Hours,tl_StaffID,I1574,tl_Date,A1574))</f>
        <v>8</v>
      </c>
      <c r="O1574" s="40" t="str">
        <f aca="false">IF(A1574&amp;B1574&amp;D1574="","",IF(OR(A1574="",B1574="",D1574="",E1574=""),"Incomplete",IF(K1574="Unknown","Unknown code",IF(AND(K1574="Yes",C1574=""),"Billable, needs client",IF(N1574&gt;MaxDayHours,"Over "&amp;MaxDayHours&amp;" hours that day","")))))</f>
        <v/>
      </c>
    </row>
    <row r="1575" customFormat="false" ht="15" hidden="false" customHeight="false" outlineLevel="0" collapsed="false">
      <c r="A1575" s="31" t="n">
        <v>46287</v>
      </c>
      <c r="B1575" s="32" t="s">
        <v>103</v>
      </c>
      <c r="C1575" s="32"/>
      <c r="D1575" s="33" t="s">
        <v>96</v>
      </c>
      <c r="E1575" s="34" t="n">
        <v>2</v>
      </c>
      <c r="F1575" s="32"/>
      <c r="G1575" s="35" t="n">
        <f aca="false">IF(A1575="","",A1575+7-WEEKDAY(A1575))</f>
        <v>46291</v>
      </c>
      <c r="H1575" s="36" t="n">
        <f aca="false">IF(A1575="","",DATE(YEAR(A1575),MONTH(A1575),1))</f>
        <v>46266</v>
      </c>
      <c r="I1575" s="37" t="str">
        <f aca="false">IF(B1575="","",IFERROR(INDEX(st_ID,MATCH(B1575,st_Name,0)),"Unknown"))</f>
        <v>QP-05</v>
      </c>
      <c r="J1575" s="37" t="str">
        <f aca="false">IF(C1575="","",IFERROR(INDEX(cl_Code,MATCH(C1575,cl_Name,0)),"Unknown"))</f>
        <v/>
      </c>
      <c r="K1575" s="37" t="str">
        <f aca="false">IF(D1575="","",IFERROR(INDEX(rt_Billable,MATCH(D1575,rt_Code,0)),"Unknown"))</f>
        <v>No</v>
      </c>
      <c r="L1575" s="38" t="str">
        <f aca="false">IF(K1575&lt;&gt;"Yes","",IFERROR(INDEX(cr_Rate,MATCH(J1575&amp;"|"&amp;D1575,cr_Key,0)),INDEX(rt_Rate,MATCH(D1575,rt_Code,0))))</f>
        <v/>
      </c>
      <c r="M1575" s="25" t="str">
        <f aca="false">IF(L1575="","",ROUND(N(E1575)*L1575,2))</f>
        <v/>
      </c>
      <c r="N1575" s="39" t="n">
        <f aca="false">IF(OR(A1575="",B1575=""),"",SUMIFS(tl_Hours,tl_StaffID,I1575,tl_Date,A1575))</f>
        <v>8</v>
      </c>
      <c r="O1575" s="40" t="str">
        <f aca="false">IF(A1575&amp;B1575&amp;D1575="","",IF(OR(A1575="",B1575="",D1575="",E1575=""),"Incomplete",IF(K1575="Unknown","Unknown code",IF(AND(K1575="Yes",C1575=""),"Billable, needs client",IF(N1575&gt;MaxDayHours,"Over "&amp;MaxDayHours&amp;" hours that day","")))))</f>
        <v/>
      </c>
    </row>
    <row r="1576" customFormat="false" ht="15" hidden="false" customHeight="false" outlineLevel="0" collapsed="false">
      <c r="A1576" s="31" t="n">
        <v>46287</v>
      </c>
      <c r="B1576" s="32" t="s">
        <v>105</v>
      </c>
      <c r="C1576" s="32" t="s">
        <v>90</v>
      </c>
      <c r="D1576" s="33" t="s">
        <v>88</v>
      </c>
      <c r="E1576" s="34" t="n">
        <v>5</v>
      </c>
      <c r="F1576" s="32"/>
      <c r="G1576" s="35" t="n">
        <f aca="false">IF(A1576="","",A1576+7-WEEKDAY(A1576))</f>
        <v>46291</v>
      </c>
      <c r="H1576" s="36" t="n">
        <f aca="false">IF(A1576="","",DATE(YEAR(A1576),MONTH(A1576),1))</f>
        <v>46266</v>
      </c>
      <c r="I1576" s="37" t="str">
        <f aca="false">IF(B1576="","",IFERROR(INDEX(st_ID,MATCH(B1576,st_Name,0)),"Unknown"))</f>
        <v>QP-06</v>
      </c>
      <c r="J1576" s="37" t="str">
        <f aca="false">IF(C1576="","",IFERROR(INDEX(cl_Code,MATCH(C1576,cl_Name,0)),"Unknown"))</f>
        <v>BSE</v>
      </c>
      <c r="K1576" s="37" t="str">
        <f aca="false">IF(D1576="","",IFERROR(INDEX(rt_Billable,MATCH(D1576,rt_Code,0)),"Unknown"))</f>
        <v>Yes</v>
      </c>
      <c r="L1576" s="38" t="n">
        <f aca="false">IF(K1576&lt;&gt;"Yes","",IFERROR(INDEX(cr_Rate,MATCH(J1576&amp;"|"&amp;D1576,cr_Key,0)),INDEX(rt_Rate,MATCH(D1576,rt_Code,0))))</f>
        <v>104</v>
      </c>
      <c r="M1576" s="25" t="n">
        <f aca="false">IF(L1576="","",ROUND(N(E1576)*L1576,2))</f>
        <v>520</v>
      </c>
      <c r="N1576" s="39" t="n">
        <f aca="false">IF(OR(A1576="",B1576=""),"",SUMIFS(tl_Hours,tl_StaffID,I1576,tl_Date,A1576))</f>
        <v>8</v>
      </c>
      <c r="O1576" s="40" t="str">
        <f aca="false">IF(A1576&amp;B1576&amp;D1576="","",IF(OR(A1576="",B1576="",D1576="",E1576=""),"Incomplete",IF(K1576="Unknown","Unknown code",IF(AND(K1576="Yes",C1576=""),"Billable, needs client",IF(N1576&gt;MaxDayHours,"Over "&amp;MaxDayHours&amp;" hours that day","")))))</f>
        <v/>
      </c>
    </row>
    <row r="1577" customFormat="false" ht="15" hidden="false" customHeight="false" outlineLevel="0" collapsed="false">
      <c r="A1577" s="31" t="n">
        <v>46287</v>
      </c>
      <c r="B1577" s="32" t="s">
        <v>105</v>
      </c>
      <c r="C1577" s="32" t="s">
        <v>90</v>
      </c>
      <c r="D1577" s="33" t="s">
        <v>92</v>
      </c>
      <c r="E1577" s="34" t="n">
        <v>1</v>
      </c>
      <c r="F1577" s="32"/>
      <c r="G1577" s="35" t="n">
        <f aca="false">IF(A1577="","",A1577+7-WEEKDAY(A1577))</f>
        <v>46291</v>
      </c>
      <c r="H1577" s="36" t="n">
        <f aca="false">IF(A1577="","",DATE(YEAR(A1577),MONTH(A1577),1))</f>
        <v>46266</v>
      </c>
      <c r="I1577" s="37" t="str">
        <f aca="false">IF(B1577="","",IFERROR(INDEX(st_ID,MATCH(B1577,st_Name,0)),"Unknown"))</f>
        <v>QP-06</v>
      </c>
      <c r="J1577" s="37" t="str">
        <f aca="false">IF(C1577="","",IFERROR(INDEX(cl_Code,MATCH(C1577,cl_Name,0)),"Unknown"))</f>
        <v>BSE</v>
      </c>
      <c r="K1577" s="37" t="str">
        <f aca="false">IF(D1577="","",IFERROR(INDEX(rt_Billable,MATCH(D1577,rt_Code,0)),"Unknown"))</f>
        <v>Yes</v>
      </c>
      <c r="L1577" s="38" t="n">
        <f aca="false">IF(K1577&lt;&gt;"Yes","",IFERROR(INDEX(cr_Rate,MATCH(J1577&amp;"|"&amp;D1577,cr_Key,0)),INDEX(rt_Rate,MATCH(D1577,rt_Code,0))))</f>
        <v>145</v>
      </c>
      <c r="M1577" s="25" t="n">
        <f aca="false">IF(L1577="","",ROUND(N(E1577)*L1577,2))</f>
        <v>145</v>
      </c>
      <c r="N1577" s="39" t="n">
        <f aca="false">IF(OR(A1577="",B1577=""),"",SUMIFS(tl_Hours,tl_StaffID,I1577,tl_Date,A1577))</f>
        <v>8</v>
      </c>
      <c r="O1577" s="40" t="str">
        <f aca="false">IF(A1577&amp;B1577&amp;D1577="","",IF(OR(A1577="",B1577="",D1577="",E1577=""),"Incomplete",IF(K1577="Unknown","Unknown code",IF(AND(K1577="Yes",C1577=""),"Billable, needs client",IF(N1577&gt;MaxDayHours,"Over "&amp;MaxDayHours&amp;" hours that day","")))))</f>
        <v/>
      </c>
    </row>
    <row r="1578" customFormat="false" ht="15" hidden="false" customHeight="false" outlineLevel="0" collapsed="false">
      <c r="A1578" s="31" t="n">
        <v>46287</v>
      </c>
      <c r="B1578" s="32" t="s">
        <v>105</v>
      </c>
      <c r="C1578" s="32"/>
      <c r="D1578" s="33" t="s">
        <v>96</v>
      </c>
      <c r="E1578" s="34" t="n">
        <v>2</v>
      </c>
      <c r="F1578" s="32"/>
      <c r="G1578" s="35" t="n">
        <f aca="false">IF(A1578="","",A1578+7-WEEKDAY(A1578))</f>
        <v>46291</v>
      </c>
      <c r="H1578" s="36" t="n">
        <f aca="false">IF(A1578="","",DATE(YEAR(A1578),MONTH(A1578),1))</f>
        <v>46266</v>
      </c>
      <c r="I1578" s="37" t="str">
        <f aca="false">IF(B1578="","",IFERROR(INDEX(st_ID,MATCH(B1578,st_Name,0)),"Unknown"))</f>
        <v>QP-06</v>
      </c>
      <c r="J1578" s="37" t="str">
        <f aca="false">IF(C1578="","",IFERROR(INDEX(cl_Code,MATCH(C1578,cl_Name,0)),"Unknown"))</f>
        <v/>
      </c>
      <c r="K1578" s="37" t="str">
        <f aca="false">IF(D1578="","",IFERROR(INDEX(rt_Billable,MATCH(D1578,rt_Code,0)),"Unknown"))</f>
        <v>No</v>
      </c>
      <c r="L1578" s="38" t="str">
        <f aca="false">IF(K1578&lt;&gt;"Yes","",IFERROR(INDEX(cr_Rate,MATCH(J1578&amp;"|"&amp;D1578,cr_Key,0)),INDEX(rt_Rate,MATCH(D1578,rt_Code,0))))</f>
        <v/>
      </c>
      <c r="M1578" s="25" t="str">
        <f aca="false">IF(L1578="","",ROUND(N(E1578)*L1578,2))</f>
        <v/>
      </c>
      <c r="N1578" s="39" t="n">
        <f aca="false">IF(OR(A1578="",B1578=""),"",SUMIFS(tl_Hours,tl_StaffID,I1578,tl_Date,A1578))</f>
        <v>8</v>
      </c>
      <c r="O1578" s="40" t="str">
        <f aca="false">IF(A1578&amp;B1578&amp;D1578="","",IF(OR(A1578="",B1578="",D1578="",E1578=""),"Incomplete",IF(K1578="Unknown","Unknown code",IF(AND(K1578="Yes",C1578=""),"Billable, needs client",IF(N1578&gt;MaxDayHours,"Over "&amp;MaxDayHours&amp;" hours that day","")))))</f>
        <v/>
      </c>
    </row>
    <row r="1579" customFormat="false" ht="15" hidden="false" customHeight="false" outlineLevel="0" collapsed="false">
      <c r="A1579" s="31" t="n">
        <v>46287</v>
      </c>
      <c r="B1579" s="32" t="s">
        <v>106</v>
      </c>
      <c r="C1579" s="32" t="s">
        <v>112</v>
      </c>
      <c r="D1579" s="33" t="s">
        <v>104</v>
      </c>
      <c r="E1579" s="34" t="n">
        <v>3.25</v>
      </c>
      <c r="F1579" s="32"/>
      <c r="G1579" s="35" t="n">
        <f aca="false">IF(A1579="","",A1579+7-WEEKDAY(A1579))</f>
        <v>46291</v>
      </c>
      <c r="H1579" s="36" t="n">
        <f aca="false">IF(A1579="","",DATE(YEAR(A1579),MONTH(A1579),1))</f>
        <v>46266</v>
      </c>
      <c r="I1579" s="37" t="str">
        <f aca="false">IF(B1579="","",IFERROR(INDEX(st_ID,MATCH(B1579,st_Name,0)),"Unknown"))</f>
        <v>QP-07</v>
      </c>
      <c r="J1579" s="37" t="str">
        <f aca="false">IF(C1579="","",IFERROR(INDEX(cl_Code,MATCH(C1579,cl_Name,0)),"Unknown"))</f>
        <v>PCA</v>
      </c>
      <c r="K1579" s="37" t="str">
        <f aca="false">IF(D1579="","",IFERROR(INDEX(rt_Billable,MATCH(D1579,rt_Code,0)),"Unknown"))</f>
        <v>Yes</v>
      </c>
      <c r="L1579" s="38" t="n">
        <f aca="false">IF(K1579&lt;&gt;"Yes","",IFERROR(INDEX(cr_Rate,MATCH(J1579&amp;"|"&amp;D1579,cr_Key,0)),INDEX(rt_Rate,MATCH(D1579,rt_Code,0))))</f>
        <v>70</v>
      </c>
      <c r="M1579" s="25" t="n">
        <f aca="false">IF(L1579="","",ROUND(N(E1579)*L1579,2))</f>
        <v>227.5</v>
      </c>
      <c r="N1579" s="39" t="n">
        <f aca="false">IF(OR(A1579="",B1579=""),"",SUMIFS(tl_Hours,tl_StaffID,I1579,tl_Date,A1579))</f>
        <v>8</v>
      </c>
      <c r="O1579" s="40" t="str">
        <f aca="false">IF(A1579&amp;B1579&amp;D1579="","",IF(OR(A1579="",B1579="",D1579="",E1579=""),"Incomplete",IF(K1579="Unknown","Unknown code",IF(AND(K1579="Yes",C1579=""),"Billable, needs client",IF(N1579&gt;MaxDayHours,"Over "&amp;MaxDayHours&amp;" hours that day","")))))</f>
        <v/>
      </c>
    </row>
    <row r="1580" customFormat="false" ht="15" hidden="false" customHeight="false" outlineLevel="0" collapsed="false">
      <c r="A1580" s="31" t="n">
        <v>46287</v>
      </c>
      <c r="B1580" s="32" t="s">
        <v>106</v>
      </c>
      <c r="C1580" s="32" t="s">
        <v>87</v>
      </c>
      <c r="D1580" s="33" t="s">
        <v>88</v>
      </c>
      <c r="E1580" s="34" t="n">
        <v>1.75</v>
      </c>
      <c r="F1580" s="32"/>
      <c r="G1580" s="35" t="n">
        <f aca="false">IF(A1580="","",A1580+7-WEEKDAY(A1580))</f>
        <v>46291</v>
      </c>
      <c r="H1580" s="36" t="n">
        <f aca="false">IF(A1580="","",DATE(YEAR(A1580),MONTH(A1580),1))</f>
        <v>46266</v>
      </c>
      <c r="I1580" s="37" t="str">
        <f aca="false">IF(B1580="","",IFERROR(INDEX(st_ID,MATCH(B1580,st_Name,0)),"Unknown"))</f>
        <v>QP-07</v>
      </c>
      <c r="J1580" s="37" t="str">
        <f aca="false">IF(C1580="","",IFERROR(INDEX(cl_Code,MATCH(C1580,cl_Name,0)),"Unknown"))</f>
        <v>HCS</v>
      </c>
      <c r="K1580" s="37" t="str">
        <f aca="false">IF(D1580="","",IFERROR(INDEX(rt_Billable,MATCH(D1580,rt_Code,0)),"Unknown"))</f>
        <v>Yes</v>
      </c>
      <c r="L1580" s="38" t="n">
        <f aca="false">IF(K1580&lt;&gt;"Yes","",IFERROR(INDEX(cr_Rate,MATCH(J1580&amp;"|"&amp;D1580,cr_Key,0)),INDEX(rt_Rate,MATCH(D1580,rt_Code,0))))</f>
        <v>98</v>
      </c>
      <c r="M1580" s="25" t="n">
        <f aca="false">IF(L1580="","",ROUND(N(E1580)*L1580,2))</f>
        <v>171.5</v>
      </c>
      <c r="N1580" s="39" t="n">
        <f aca="false">IF(OR(A1580="",B1580=""),"",SUMIFS(tl_Hours,tl_StaffID,I1580,tl_Date,A1580))</f>
        <v>8</v>
      </c>
      <c r="O1580" s="40" t="str">
        <f aca="false">IF(A1580&amp;B1580&amp;D1580="","",IF(OR(A1580="",B1580="",D1580="",E1580=""),"Incomplete",IF(K1580="Unknown","Unknown code",IF(AND(K1580="Yes",C1580=""),"Billable, needs client",IF(N1580&gt;MaxDayHours,"Over "&amp;MaxDayHours&amp;" hours that day","")))))</f>
        <v/>
      </c>
    </row>
    <row r="1581" customFormat="false" ht="15" hidden="false" customHeight="false" outlineLevel="0" collapsed="false">
      <c r="A1581" s="31" t="n">
        <v>46287</v>
      </c>
      <c r="B1581" s="32" t="s">
        <v>106</v>
      </c>
      <c r="C1581" s="32" t="s">
        <v>87</v>
      </c>
      <c r="D1581" s="33" t="s">
        <v>104</v>
      </c>
      <c r="E1581" s="34" t="n">
        <v>1.5</v>
      </c>
      <c r="F1581" s="32"/>
      <c r="G1581" s="35" t="n">
        <f aca="false">IF(A1581="","",A1581+7-WEEKDAY(A1581))</f>
        <v>46291</v>
      </c>
      <c r="H1581" s="36" t="n">
        <f aca="false">IF(A1581="","",DATE(YEAR(A1581),MONTH(A1581),1))</f>
        <v>46266</v>
      </c>
      <c r="I1581" s="37" t="str">
        <f aca="false">IF(B1581="","",IFERROR(INDEX(st_ID,MATCH(B1581,st_Name,0)),"Unknown"))</f>
        <v>QP-07</v>
      </c>
      <c r="J1581" s="37" t="str">
        <f aca="false">IF(C1581="","",IFERROR(INDEX(cl_Code,MATCH(C1581,cl_Name,0)),"Unknown"))</f>
        <v>HCS</v>
      </c>
      <c r="K1581" s="37" t="str">
        <f aca="false">IF(D1581="","",IFERROR(INDEX(rt_Billable,MATCH(D1581,rt_Code,0)),"Unknown"))</f>
        <v>Yes</v>
      </c>
      <c r="L1581" s="38" t="n">
        <f aca="false">IF(K1581&lt;&gt;"Yes","",IFERROR(INDEX(cr_Rate,MATCH(J1581&amp;"|"&amp;D1581,cr_Key,0)),INDEX(rt_Rate,MATCH(D1581,rt_Code,0))))</f>
        <v>62</v>
      </c>
      <c r="M1581" s="25" t="n">
        <f aca="false">IF(L1581="","",ROUND(N(E1581)*L1581,2))</f>
        <v>93</v>
      </c>
      <c r="N1581" s="39" t="n">
        <f aca="false">IF(OR(A1581="",B1581=""),"",SUMIFS(tl_Hours,tl_StaffID,I1581,tl_Date,A1581))</f>
        <v>8</v>
      </c>
      <c r="O1581" s="40" t="str">
        <f aca="false">IF(A1581&amp;B1581&amp;D1581="","",IF(OR(A1581="",B1581="",D1581="",E1581=""),"Incomplete",IF(K1581="Unknown","Unknown code",IF(AND(K1581="Yes",C1581=""),"Billable, needs client",IF(N1581&gt;MaxDayHours,"Over "&amp;MaxDayHours&amp;" hours that day","")))))</f>
        <v/>
      </c>
    </row>
    <row r="1582" customFormat="false" ht="15" hidden="false" customHeight="false" outlineLevel="0" collapsed="false">
      <c r="A1582" s="31" t="n">
        <v>46287</v>
      </c>
      <c r="B1582" s="32" t="s">
        <v>106</v>
      </c>
      <c r="C1582" s="32"/>
      <c r="D1582" s="33" t="s">
        <v>93</v>
      </c>
      <c r="E1582" s="34" t="n">
        <v>0.5</v>
      </c>
      <c r="F1582" s="32"/>
      <c r="G1582" s="35" t="n">
        <f aca="false">IF(A1582="","",A1582+7-WEEKDAY(A1582))</f>
        <v>46291</v>
      </c>
      <c r="H1582" s="36" t="n">
        <f aca="false">IF(A1582="","",DATE(YEAR(A1582),MONTH(A1582),1))</f>
        <v>46266</v>
      </c>
      <c r="I1582" s="37" t="str">
        <f aca="false">IF(B1582="","",IFERROR(INDEX(st_ID,MATCH(B1582,st_Name,0)),"Unknown"))</f>
        <v>QP-07</v>
      </c>
      <c r="J1582" s="37" t="str">
        <f aca="false">IF(C1582="","",IFERROR(INDEX(cl_Code,MATCH(C1582,cl_Name,0)),"Unknown"))</f>
        <v/>
      </c>
      <c r="K1582" s="37" t="str">
        <f aca="false">IF(D1582="","",IFERROR(INDEX(rt_Billable,MATCH(D1582,rt_Code,0)),"Unknown"))</f>
        <v>No</v>
      </c>
      <c r="L1582" s="38" t="str">
        <f aca="false">IF(K1582&lt;&gt;"Yes","",IFERROR(INDEX(cr_Rate,MATCH(J1582&amp;"|"&amp;D1582,cr_Key,0)),INDEX(rt_Rate,MATCH(D1582,rt_Code,0))))</f>
        <v/>
      </c>
      <c r="M1582" s="25" t="str">
        <f aca="false">IF(L1582="","",ROUND(N(E1582)*L1582,2))</f>
        <v/>
      </c>
      <c r="N1582" s="39" t="n">
        <f aca="false">IF(OR(A1582="",B1582=""),"",SUMIFS(tl_Hours,tl_StaffID,I1582,tl_Date,A1582))</f>
        <v>8</v>
      </c>
      <c r="O1582" s="40" t="str">
        <f aca="false">IF(A1582&amp;B1582&amp;D1582="","",IF(OR(A1582="",B1582="",D1582="",E1582=""),"Incomplete",IF(K1582="Unknown","Unknown code",IF(AND(K1582="Yes",C1582=""),"Billable, needs client",IF(N1582&gt;MaxDayHours,"Over "&amp;MaxDayHours&amp;" hours that day","")))))</f>
        <v/>
      </c>
    </row>
    <row r="1583" customFormat="false" ht="15" hidden="false" customHeight="false" outlineLevel="0" collapsed="false">
      <c r="A1583" s="31" t="n">
        <v>46287</v>
      </c>
      <c r="B1583" s="32" t="s">
        <v>106</v>
      </c>
      <c r="C1583" s="32"/>
      <c r="D1583" s="33" t="s">
        <v>96</v>
      </c>
      <c r="E1583" s="34" t="n">
        <v>1</v>
      </c>
      <c r="F1583" s="32"/>
      <c r="G1583" s="35" t="n">
        <f aca="false">IF(A1583="","",A1583+7-WEEKDAY(A1583))</f>
        <v>46291</v>
      </c>
      <c r="H1583" s="36" t="n">
        <f aca="false">IF(A1583="","",DATE(YEAR(A1583),MONTH(A1583),1))</f>
        <v>46266</v>
      </c>
      <c r="I1583" s="37" t="str">
        <f aca="false">IF(B1583="","",IFERROR(INDEX(st_ID,MATCH(B1583,st_Name,0)),"Unknown"))</f>
        <v>QP-07</v>
      </c>
      <c r="J1583" s="37" t="str">
        <f aca="false">IF(C1583="","",IFERROR(INDEX(cl_Code,MATCH(C1583,cl_Name,0)),"Unknown"))</f>
        <v/>
      </c>
      <c r="K1583" s="37" t="str">
        <f aca="false">IF(D1583="","",IFERROR(INDEX(rt_Billable,MATCH(D1583,rt_Code,0)),"Unknown"))</f>
        <v>No</v>
      </c>
      <c r="L1583" s="38" t="str">
        <f aca="false">IF(K1583&lt;&gt;"Yes","",IFERROR(INDEX(cr_Rate,MATCH(J1583&amp;"|"&amp;D1583,cr_Key,0)),INDEX(rt_Rate,MATCH(D1583,rt_Code,0))))</f>
        <v/>
      </c>
      <c r="M1583" s="25" t="str">
        <f aca="false">IF(L1583="","",ROUND(N(E1583)*L1583,2))</f>
        <v/>
      </c>
      <c r="N1583" s="39" t="n">
        <f aca="false">IF(OR(A1583="",B1583=""),"",SUMIFS(tl_Hours,tl_StaffID,I1583,tl_Date,A1583))</f>
        <v>8</v>
      </c>
      <c r="O1583" s="40" t="str">
        <f aca="false">IF(A1583&amp;B1583&amp;D1583="","",IF(OR(A1583="",B1583="",D1583="",E1583=""),"Incomplete",IF(K1583="Unknown","Unknown code",IF(AND(K1583="Yes",C1583=""),"Billable, needs client",IF(N1583&gt;MaxDayHours,"Over "&amp;MaxDayHours&amp;" hours that day","")))))</f>
        <v/>
      </c>
    </row>
    <row r="1584" customFormat="false" ht="15" hidden="false" customHeight="false" outlineLevel="0" collapsed="false">
      <c r="A1584" s="31" t="n">
        <v>46287</v>
      </c>
      <c r="B1584" s="32" t="s">
        <v>107</v>
      </c>
      <c r="C1584" s="32"/>
      <c r="D1584" s="33" t="s">
        <v>108</v>
      </c>
      <c r="E1584" s="34" t="n">
        <v>6.5</v>
      </c>
      <c r="F1584" s="32"/>
      <c r="G1584" s="35" t="n">
        <f aca="false">IF(A1584="","",A1584+7-WEEKDAY(A1584))</f>
        <v>46291</v>
      </c>
      <c r="H1584" s="36" t="n">
        <f aca="false">IF(A1584="","",DATE(YEAR(A1584),MONTH(A1584),1))</f>
        <v>46266</v>
      </c>
      <c r="I1584" s="37" t="str">
        <f aca="false">IF(B1584="","",IFERROR(INDEX(st_ID,MATCH(B1584,st_Name,0)),"Unknown"))</f>
        <v>QP-08</v>
      </c>
      <c r="J1584" s="37" t="str">
        <f aca="false">IF(C1584="","",IFERROR(INDEX(cl_Code,MATCH(C1584,cl_Name,0)),"Unknown"))</f>
        <v/>
      </c>
      <c r="K1584" s="37" t="str">
        <f aca="false">IF(D1584="","",IFERROR(INDEX(rt_Billable,MATCH(D1584,rt_Code,0)),"Unknown"))</f>
        <v>No</v>
      </c>
      <c r="L1584" s="38" t="str">
        <f aca="false">IF(K1584&lt;&gt;"Yes","",IFERROR(INDEX(cr_Rate,MATCH(J1584&amp;"|"&amp;D1584,cr_Key,0)),INDEX(rt_Rate,MATCH(D1584,rt_Code,0))))</f>
        <v/>
      </c>
      <c r="M1584" s="25" t="str">
        <f aca="false">IF(L1584="","",ROUND(N(E1584)*L1584,2))</f>
        <v/>
      </c>
      <c r="N1584" s="39" t="n">
        <f aca="false">IF(OR(A1584="",B1584=""),"",SUMIFS(tl_Hours,tl_StaffID,I1584,tl_Date,A1584))</f>
        <v>8</v>
      </c>
      <c r="O1584" s="40" t="str">
        <f aca="false">IF(A1584&amp;B1584&amp;D1584="","",IF(OR(A1584="",B1584="",D1584="",E1584=""),"Incomplete",IF(K1584="Unknown","Unknown code",IF(AND(K1584="Yes",C1584=""),"Billable, needs client",IF(N1584&gt;MaxDayHours,"Over "&amp;MaxDayHours&amp;" hours that day","")))))</f>
        <v/>
      </c>
    </row>
    <row r="1585" customFormat="false" ht="15" hidden="false" customHeight="false" outlineLevel="0" collapsed="false">
      <c r="A1585" s="31" t="n">
        <v>46287</v>
      </c>
      <c r="B1585" s="32" t="s">
        <v>107</v>
      </c>
      <c r="C1585" s="32"/>
      <c r="D1585" s="33" t="s">
        <v>98</v>
      </c>
      <c r="E1585" s="34" t="n">
        <v>1.5</v>
      </c>
      <c r="F1585" s="32"/>
      <c r="G1585" s="35" t="n">
        <f aca="false">IF(A1585="","",A1585+7-WEEKDAY(A1585))</f>
        <v>46291</v>
      </c>
      <c r="H1585" s="36" t="n">
        <f aca="false">IF(A1585="","",DATE(YEAR(A1585),MONTH(A1585),1))</f>
        <v>46266</v>
      </c>
      <c r="I1585" s="37" t="str">
        <f aca="false">IF(B1585="","",IFERROR(INDEX(st_ID,MATCH(B1585,st_Name,0)),"Unknown"))</f>
        <v>QP-08</v>
      </c>
      <c r="J1585" s="37" t="str">
        <f aca="false">IF(C1585="","",IFERROR(INDEX(cl_Code,MATCH(C1585,cl_Name,0)),"Unknown"))</f>
        <v/>
      </c>
      <c r="K1585" s="37" t="str">
        <f aca="false">IF(D1585="","",IFERROR(INDEX(rt_Billable,MATCH(D1585,rt_Code,0)),"Unknown"))</f>
        <v>No</v>
      </c>
      <c r="L1585" s="38" t="str">
        <f aca="false">IF(K1585&lt;&gt;"Yes","",IFERROR(INDEX(cr_Rate,MATCH(J1585&amp;"|"&amp;D1585,cr_Key,0)),INDEX(rt_Rate,MATCH(D1585,rt_Code,0))))</f>
        <v/>
      </c>
      <c r="M1585" s="25" t="str">
        <f aca="false">IF(L1585="","",ROUND(N(E1585)*L1585,2))</f>
        <v/>
      </c>
      <c r="N1585" s="39" t="n">
        <f aca="false">IF(OR(A1585="",B1585=""),"",SUMIFS(tl_Hours,tl_StaffID,I1585,tl_Date,A1585))</f>
        <v>8</v>
      </c>
      <c r="O1585" s="40" t="str">
        <f aca="false">IF(A1585&amp;B1585&amp;D1585="","",IF(OR(A1585="",B1585="",D1585="",E1585=""),"Incomplete",IF(K1585="Unknown","Unknown code",IF(AND(K1585="Yes",C1585=""),"Billable, needs client",IF(N1585&gt;MaxDayHours,"Over "&amp;MaxDayHours&amp;" hours that day","")))))</f>
        <v/>
      </c>
    </row>
    <row r="1586" customFormat="false" ht="15" hidden="false" customHeight="false" outlineLevel="0" collapsed="false">
      <c r="A1586" s="31" t="n">
        <v>46288</v>
      </c>
      <c r="B1586" s="32" t="s">
        <v>86</v>
      </c>
      <c r="C1586" s="32" t="s">
        <v>90</v>
      </c>
      <c r="D1586" s="33" t="s">
        <v>91</v>
      </c>
      <c r="E1586" s="34" t="n">
        <v>4.75</v>
      </c>
      <c r="F1586" s="32"/>
      <c r="G1586" s="35" t="n">
        <f aca="false">IF(A1586="","",A1586+7-WEEKDAY(A1586))</f>
        <v>46291</v>
      </c>
      <c r="H1586" s="36" t="n">
        <f aca="false">IF(A1586="","",DATE(YEAR(A1586),MONTH(A1586),1))</f>
        <v>46266</v>
      </c>
      <c r="I1586" s="37" t="str">
        <f aca="false">IF(B1586="","",IFERROR(INDEX(st_ID,MATCH(B1586,st_Name,0)),"Unknown"))</f>
        <v>QP-01</v>
      </c>
      <c r="J1586" s="37" t="str">
        <f aca="false">IF(C1586="","",IFERROR(INDEX(cl_Code,MATCH(C1586,cl_Name,0)),"Unknown"))</f>
        <v>BSE</v>
      </c>
      <c r="K1586" s="37" t="str">
        <f aca="false">IF(D1586="","",IFERROR(INDEX(rt_Billable,MATCH(D1586,rt_Code,0)),"Unknown"))</f>
        <v>Yes</v>
      </c>
      <c r="L1586" s="38" t="n">
        <f aca="false">IF(K1586&lt;&gt;"Yes","",IFERROR(INDEX(cr_Rate,MATCH(J1586&amp;"|"&amp;D1586,cr_Key,0)),INDEX(rt_Rate,MATCH(D1586,rt_Code,0))))</f>
        <v>100</v>
      </c>
      <c r="M1586" s="25" t="n">
        <f aca="false">IF(L1586="","",ROUND(N(E1586)*L1586,2))</f>
        <v>475</v>
      </c>
      <c r="N1586" s="39" t="n">
        <f aca="false">IF(OR(A1586="",B1586=""),"",SUMIFS(tl_Hours,tl_StaffID,I1586,tl_Date,A1586))</f>
        <v>8</v>
      </c>
      <c r="O1586" s="40" t="str">
        <f aca="false">IF(A1586&amp;B1586&amp;D1586="","",IF(OR(A1586="",B1586="",D1586="",E1586=""),"Incomplete",IF(K1586="Unknown","Unknown code",IF(AND(K1586="Yes",C1586=""),"Billable, needs client",IF(N1586&gt;MaxDayHours,"Over "&amp;MaxDayHours&amp;" hours that day","")))))</f>
        <v/>
      </c>
    </row>
    <row r="1587" customFormat="false" ht="15" hidden="false" customHeight="false" outlineLevel="0" collapsed="false">
      <c r="A1587" s="31" t="n">
        <v>46288</v>
      </c>
      <c r="B1587" s="32" t="s">
        <v>86</v>
      </c>
      <c r="C1587" s="32" t="s">
        <v>90</v>
      </c>
      <c r="D1587" s="33" t="s">
        <v>88</v>
      </c>
      <c r="E1587" s="34" t="n">
        <v>1.25</v>
      </c>
      <c r="F1587" s="32"/>
      <c r="G1587" s="35" t="n">
        <f aca="false">IF(A1587="","",A1587+7-WEEKDAY(A1587))</f>
        <v>46291</v>
      </c>
      <c r="H1587" s="36" t="n">
        <f aca="false">IF(A1587="","",DATE(YEAR(A1587),MONTH(A1587),1))</f>
        <v>46266</v>
      </c>
      <c r="I1587" s="37" t="str">
        <f aca="false">IF(B1587="","",IFERROR(INDEX(st_ID,MATCH(B1587,st_Name,0)),"Unknown"))</f>
        <v>QP-01</v>
      </c>
      <c r="J1587" s="37" t="str">
        <f aca="false">IF(C1587="","",IFERROR(INDEX(cl_Code,MATCH(C1587,cl_Name,0)),"Unknown"))</f>
        <v>BSE</v>
      </c>
      <c r="K1587" s="37" t="str">
        <f aca="false">IF(D1587="","",IFERROR(INDEX(rt_Billable,MATCH(D1587,rt_Code,0)),"Unknown"))</f>
        <v>Yes</v>
      </c>
      <c r="L1587" s="38" t="n">
        <f aca="false">IF(K1587&lt;&gt;"Yes","",IFERROR(INDEX(cr_Rate,MATCH(J1587&amp;"|"&amp;D1587,cr_Key,0)),INDEX(rt_Rate,MATCH(D1587,rt_Code,0))))</f>
        <v>104</v>
      </c>
      <c r="M1587" s="25" t="n">
        <f aca="false">IF(L1587="","",ROUND(N(E1587)*L1587,2))</f>
        <v>130</v>
      </c>
      <c r="N1587" s="39" t="n">
        <f aca="false">IF(OR(A1587="",B1587=""),"",SUMIFS(tl_Hours,tl_StaffID,I1587,tl_Date,A1587))</f>
        <v>8</v>
      </c>
      <c r="O1587" s="40" t="str">
        <f aca="false">IF(A1587&amp;B1587&amp;D1587="","",IF(OR(A1587="",B1587="",D1587="",E1587=""),"Incomplete",IF(K1587="Unknown","Unknown code",IF(AND(K1587="Yes",C1587=""),"Billable, needs client",IF(N1587&gt;MaxDayHours,"Over "&amp;MaxDayHours&amp;" hours that day","")))))</f>
        <v/>
      </c>
    </row>
    <row r="1588" customFormat="false" ht="15" hidden="false" customHeight="false" outlineLevel="0" collapsed="false">
      <c r="A1588" s="31" t="n">
        <v>46288</v>
      </c>
      <c r="B1588" s="32" t="s">
        <v>86</v>
      </c>
      <c r="C1588" s="32"/>
      <c r="D1588" s="33" t="s">
        <v>98</v>
      </c>
      <c r="E1588" s="34" t="n">
        <v>1</v>
      </c>
      <c r="F1588" s="32" t="s">
        <v>99</v>
      </c>
      <c r="G1588" s="35" t="n">
        <f aca="false">IF(A1588="","",A1588+7-WEEKDAY(A1588))</f>
        <v>46291</v>
      </c>
      <c r="H1588" s="36" t="n">
        <f aca="false">IF(A1588="","",DATE(YEAR(A1588),MONTH(A1588),1))</f>
        <v>46266</v>
      </c>
      <c r="I1588" s="37" t="str">
        <f aca="false">IF(B1588="","",IFERROR(INDEX(st_ID,MATCH(B1588,st_Name,0)),"Unknown"))</f>
        <v>QP-01</v>
      </c>
      <c r="J1588" s="37" t="str">
        <f aca="false">IF(C1588="","",IFERROR(INDEX(cl_Code,MATCH(C1588,cl_Name,0)),"Unknown"))</f>
        <v/>
      </c>
      <c r="K1588" s="37" t="str">
        <f aca="false">IF(D1588="","",IFERROR(INDEX(rt_Billable,MATCH(D1588,rt_Code,0)),"Unknown"))</f>
        <v>No</v>
      </c>
      <c r="L1588" s="38" t="str">
        <f aca="false">IF(K1588&lt;&gt;"Yes","",IFERROR(INDEX(cr_Rate,MATCH(J1588&amp;"|"&amp;D1588,cr_Key,0)),INDEX(rt_Rate,MATCH(D1588,rt_Code,0))))</f>
        <v/>
      </c>
      <c r="M1588" s="25" t="str">
        <f aca="false">IF(L1588="","",ROUND(N(E1588)*L1588,2))</f>
        <v/>
      </c>
      <c r="N1588" s="39" t="n">
        <f aca="false">IF(OR(A1588="",B1588=""),"",SUMIFS(tl_Hours,tl_StaffID,I1588,tl_Date,A1588))</f>
        <v>8</v>
      </c>
      <c r="O1588" s="40" t="str">
        <f aca="false">IF(A1588&amp;B1588&amp;D1588="","",IF(OR(A1588="",B1588="",D1588="",E1588=""),"Incomplete",IF(K1588="Unknown","Unknown code",IF(AND(K1588="Yes",C1588=""),"Billable, needs client",IF(N1588&gt;MaxDayHours,"Over "&amp;MaxDayHours&amp;" hours that day","")))))</f>
        <v/>
      </c>
    </row>
    <row r="1589" customFormat="false" ht="15" hidden="false" customHeight="false" outlineLevel="0" collapsed="false">
      <c r="A1589" s="31" t="n">
        <v>46288</v>
      </c>
      <c r="B1589" s="32" t="s">
        <v>86</v>
      </c>
      <c r="C1589" s="32"/>
      <c r="D1589" s="33" t="s">
        <v>96</v>
      </c>
      <c r="E1589" s="34" t="n">
        <v>1</v>
      </c>
      <c r="F1589" s="32"/>
      <c r="G1589" s="35" t="n">
        <f aca="false">IF(A1589="","",A1589+7-WEEKDAY(A1589))</f>
        <v>46291</v>
      </c>
      <c r="H1589" s="36" t="n">
        <f aca="false">IF(A1589="","",DATE(YEAR(A1589),MONTH(A1589),1))</f>
        <v>46266</v>
      </c>
      <c r="I1589" s="37" t="str">
        <f aca="false">IF(B1589="","",IFERROR(INDEX(st_ID,MATCH(B1589,st_Name,0)),"Unknown"))</f>
        <v>QP-01</v>
      </c>
      <c r="J1589" s="37" t="str">
        <f aca="false">IF(C1589="","",IFERROR(INDEX(cl_Code,MATCH(C1589,cl_Name,0)),"Unknown"))</f>
        <v/>
      </c>
      <c r="K1589" s="37" t="str">
        <f aca="false">IF(D1589="","",IFERROR(INDEX(rt_Billable,MATCH(D1589,rt_Code,0)),"Unknown"))</f>
        <v>No</v>
      </c>
      <c r="L1589" s="38" t="str">
        <f aca="false">IF(K1589&lt;&gt;"Yes","",IFERROR(INDEX(cr_Rate,MATCH(J1589&amp;"|"&amp;D1589,cr_Key,0)),INDEX(rt_Rate,MATCH(D1589,rt_Code,0))))</f>
        <v/>
      </c>
      <c r="M1589" s="25" t="str">
        <f aca="false">IF(L1589="","",ROUND(N(E1589)*L1589,2))</f>
        <v/>
      </c>
      <c r="N1589" s="39" t="n">
        <f aca="false">IF(OR(A1589="",B1589=""),"",SUMIFS(tl_Hours,tl_StaffID,I1589,tl_Date,A1589))</f>
        <v>8</v>
      </c>
      <c r="O1589" s="40" t="str">
        <f aca="false">IF(A1589&amp;B1589&amp;D1589="","",IF(OR(A1589="",B1589="",D1589="",E1589=""),"Incomplete",IF(K1589="Unknown","Unknown code",IF(AND(K1589="Yes",C1589=""),"Billable, needs client",IF(N1589&gt;MaxDayHours,"Over "&amp;MaxDayHours&amp;" hours that day","")))))</f>
        <v/>
      </c>
    </row>
    <row r="1590" customFormat="false" ht="15" hidden="false" customHeight="false" outlineLevel="0" collapsed="false">
      <c r="A1590" s="31" t="n">
        <v>46288</v>
      </c>
      <c r="B1590" s="32" t="s">
        <v>97</v>
      </c>
      <c r="C1590" s="32" t="s">
        <v>90</v>
      </c>
      <c r="D1590" s="33" t="s">
        <v>91</v>
      </c>
      <c r="E1590" s="34" t="n">
        <v>3.75</v>
      </c>
      <c r="F1590" s="32"/>
      <c r="G1590" s="35" t="n">
        <f aca="false">IF(A1590="","",A1590+7-WEEKDAY(A1590))</f>
        <v>46291</v>
      </c>
      <c r="H1590" s="36" t="n">
        <f aca="false">IF(A1590="","",DATE(YEAR(A1590),MONTH(A1590),1))</f>
        <v>46266</v>
      </c>
      <c r="I1590" s="37" t="str">
        <f aca="false">IF(B1590="","",IFERROR(INDEX(st_ID,MATCH(B1590,st_Name,0)),"Unknown"))</f>
        <v>QP-02</v>
      </c>
      <c r="J1590" s="37" t="str">
        <f aca="false">IF(C1590="","",IFERROR(INDEX(cl_Code,MATCH(C1590,cl_Name,0)),"Unknown"))</f>
        <v>BSE</v>
      </c>
      <c r="K1590" s="37" t="str">
        <f aca="false">IF(D1590="","",IFERROR(INDEX(rt_Billable,MATCH(D1590,rt_Code,0)),"Unknown"))</f>
        <v>Yes</v>
      </c>
      <c r="L1590" s="38" t="n">
        <f aca="false">IF(K1590&lt;&gt;"Yes","",IFERROR(INDEX(cr_Rate,MATCH(J1590&amp;"|"&amp;D1590,cr_Key,0)),INDEX(rt_Rate,MATCH(D1590,rt_Code,0))))</f>
        <v>100</v>
      </c>
      <c r="M1590" s="25" t="n">
        <f aca="false">IF(L1590="","",ROUND(N(E1590)*L1590,2))</f>
        <v>375</v>
      </c>
      <c r="N1590" s="39" t="n">
        <f aca="false">IF(OR(A1590="",B1590=""),"",SUMIFS(tl_Hours,tl_StaffID,I1590,tl_Date,A1590))</f>
        <v>8</v>
      </c>
      <c r="O1590" s="40" t="str">
        <f aca="false">IF(A1590&amp;B1590&amp;D1590="","",IF(OR(A1590="",B1590="",D1590="",E1590=""),"Incomplete",IF(K1590="Unknown","Unknown code",IF(AND(K1590="Yes",C1590=""),"Billable, needs client",IF(N1590&gt;MaxDayHours,"Over "&amp;MaxDayHours&amp;" hours that day","")))))</f>
        <v/>
      </c>
    </row>
    <row r="1591" customFormat="false" ht="15" hidden="false" customHeight="false" outlineLevel="0" collapsed="false">
      <c r="A1591" s="31" t="n">
        <v>46288</v>
      </c>
      <c r="B1591" s="32" t="s">
        <v>97</v>
      </c>
      <c r="C1591" s="32" t="s">
        <v>90</v>
      </c>
      <c r="D1591" s="33" t="s">
        <v>92</v>
      </c>
      <c r="E1591" s="34" t="n">
        <v>2.75</v>
      </c>
      <c r="F1591" s="32"/>
      <c r="G1591" s="35" t="n">
        <f aca="false">IF(A1591="","",A1591+7-WEEKDAY(A1591))</f>
        <v>46291</v>
      </c>
      <c r="H1591" s="36" t="n">
        <f aca="false">IF(A1591="","",DATE(YEAR(A1591),MONTH(A1591),1))</f>
        <v>46266</v>
      </c>
      <c r="I1591" s="37" t="str">
        <f aca="false">IF(B1591="","",IFERROR(INDEX(st_ID,MATCH(B1591,st_Name,0)),"Unknown"))</f>
        <v>QP-02</v>
      </c>
      <c r="J1591" s="37" t="str">
        <f aca="false">IF(C1591="","",IFERROR(INDEX(cl_Code,MATCH(C1591,cl_Name,0)),"Unknown"))</f>
        <v>BSE</v>
      </c>
      <c r="K1591" s="37" t="str">
        <f aca="false">IF(D1591="","",IFERROR(INDEX(rt_Billable,MATCH(D1591,rt_Code,0)),"Unknown"))</f>
        <v>Yes</v>
      </c>
      <c r="L1591" s="38" t="n">
        <f aca="false">IF(K1591&lt;&gt;"Yes","",IFERROR(INDEX(cr_Rate,MATCH(J1591&amp;"|"&amp;D1591,cr_Key,0)),INDEX(rt_Rate,MATCH(D1591,rt_Code,0))))</f>
        <v>145</v>
      </c>
      <c r="M1591" s="25" t="n">
        <f aca="false">IF(L1591="","",ROUND(N(E1591)*L1591,2))</f>
        <v>398.75</v>
      </c>
      <c r="N1591" s="39" t="n">
        <f aca="false">IF(OR(A1591="",B1591=""),"",SUMIFS(tl_Hours,tl_StaffID,I1591,tl_Date,A1591))</f>
        <v>8</v>
      </c>
      <c r="O1591" s="40" t="str">
        <f aca="false">IF(A1591&amp;B1591&amp;D1591="","",IF(OR(A1591="",B1591="",D1591="",E1591=""),"Incomplete",IF(K1591="Unknown","Unknown code",IF(AND(K1591="Yes",C1591=""),"Billable, needs client",IF(N1591&gt;MaxDayHours,"Over "&amp;MaxDayHours&amp;" hours that day","")))))</f>
        <v/>
      </c>
    </row>
    <row r="1592" customFormat="false" ht="15" hidden="false" customHeight="false" outlineLevel="0" collapsed="false">
      <c r="A1592" s="31" t="n">
        <v>46288</v>
      </c>
      <c r="B1592" s="32" t="s">
        <v>97</v>
      </c>
      <c r="C1592" s="32"/>
      <c r="D1592" s="33" t="s">
        <v>98</v>
      </c>
      <c r="E1592" s="34" t="n">
        <v>1</v>
      </c>
      <c r="F1592" s="32" t="s">
        <v>99</v>
      </c>
      <c r="G1592" s="35" t="n">
        <f aca="false">IF(A1592="","",A1592+7-WEEKDAY(A1592))</f>
        <v>46291</v>
      </c>
      <c r="H1592" s="36" t="n">
        <f aca="false">IF(A1592="","",DATE(YEAR(A1592),MONTH(A1592),1))</f>
        <v>46266</v>
      </c>
      <c r="I1592" s="37" t="str">
        <f aca="false">IF(B1592="","",IFERROR(INDEX(st_ID,MATCH(B1592,st_Name,0)),"Unknown"))</f>
        <v>QP-02</v>
      </c>
      <c r="J1592" s="37" t="str">
        <f aca="false">IF(C1592="","",IFERROR(INDEX(cl_Code,MATCH(C1592,cl_Name,0)),"Unknown"))</f>
        <v/>
      </c>
      <c r="K1592" s="37" t="str">
        <f aca="false">IF(D1592="","",IFERROR(INDEX(rt_Billable,MATCH(D1592,rt_Code,0)),"Unknown"))</f>
        <v>No</v>
      </c>
      <c r="L1592" s="38" t="str">
        <f aca="false">IF(K1592&lt;&gt;"Yes","",IFERROR(INDEX(cr_Rate,MATCH(J1592&amp;"|"&amp;D1592,cr_Key,0)),INDEX(rt_Rate,MATCH(D1592,rt_Code,0))))</f>
        <v/>
      </c>
      <c r="M1592" s="25" t="str">
        <f aca="false">IF(L1592="","",ROUND(N(E1592)*L1592,2))</f>
        <v/>
      </c>
      <c r="N1592" s="39" t="n">
        <f aca="false">IF(OR(A1592="",B1592=""),"",SUMIFS(tl_Hours,tl_StaffID,I1592,tl_Date,A1592))</f>
        <v>8</v>
      </c>
      <c r="O1592" s="40" t="str">
        <f aca="false">IF(A1592&amp;B1592&amp;D1592="","",IF(OR(A1592="",B1592="",D1592="",E1592=""),"Incomplete",IF(K1592="Unknown","Unknown code",IF(AND(K1592="Yes",C1592=""),"Billable, needs client",IF(N1592&gt;MaxDayHours,"Over "&amp;MaxDayHours&amp;" hours that day","")))))</f>
        <v/>
      </c>
    </row>
    <row r="1593" customFormat="false" ht="15" hidden="false" customHeight="false" outlineLevel="0" collapsed="false">
      <c r="A1593" s="31" t="n">
        <v>46288</v>
      </c>
      <c r="B1593" s="32" t="s">
        <v>97</v>
      </c>
      <c r="C1593" s="32"/>
      <c r="D1593" s="33" t="s">
        <v>96</v>
      </c>
      <c r="E1593" s="34" t="n">
        <v>0.5</v>
      </c>
      <c r="F1593" s="32"/>
      <c r="G1593" s="35" t="n">
        <f aca="false">IF(A1593="","",A1593+7-WEEKDAY(A1593))</f>
        <v>46291</v>
      </c>
      <c r="H1593" s="36" t="n">
        <f aca="false">IF(A1593="","",DATE(YEAR(A1593),MONTH(A1593),1))</f>
        <v>46266</v>
      </c>
      <c r="I1593" s="37" t="str">
        <f aca="false">IF(B1593="","",IFERROR(INDEX(st_ID,MATCH(B1593,st_Name,0)),"Unknown"))</f>
        <v>QP-02</v>
      </c>
      <c r="J1593" s="37" t="str">
        <f aca="false">IF(C1593="","",IFERROR(INDEX(cl_Code,MATCH(C1593,cl_Name,0)),"Unknown"))</f>
        <v/>
      </c>
      <c r="K1593" s="37" t="str">
        <f aca="false">IF(D1593="","",IFERROR(INDEX(rt_Billable,MATCH(D1593,rt_Code,0)),"Unknown"))</f>
        <v>No</v>
      </c>
      <c r="L1593" s="38" t="str">
        <f aca="false">IF(K1593&lt;&gt;"Yes","",IFERROR(INDEX(cr_Rate,MATCH(J1593&amp;"|"&amp;D1593,cr_Key,0)),INDEX(rt_Rate,MATCH(D1593,rt_Code,0))))</f>
        <v/>
      </c>
      <c r="M1593" s="25" t="str">
        <f aca="false">IF(L1593="","",ROUND(N(E1593)*L1593,2))</f>
        <v/>
      </c>
      <c r="N1593" s="39" t="n">
        <f aca="false">IF(OR(A1593="",B1593=""),"",SUMIFS(tl_Hours,tl_StaffID,I1593,tl_Date,A1593))</f>
        <v>8</v>
      </c>
      <c r="O1593" s="40" t="str">
        <f aca="false">IF(A1593&amp;B1593&amp;D1593="","",IF(OR(A1593="",B1593="",D1593="",E1593=""),"Incomplete",IF(K1593="Unknown","Unknown code",IF(AND(K1593="Yes",C1593=""),"Billable, needs client",IF(N1593&gt;MaxDayHours,"Over "&amp;MaxDayHours&amp;" hours that day","")))))</f>
        <v/>
      </c>
    </row>
    <row r="1594" customFormat="false" ht="15" hidden="false" customHeight="false" outlineLevel="0" collapsed="false">
      <c r="A1594" s="31" t="n">
        <v>46288</v>
      </c>
      <c r="B1594" s="32" t="s">
        <v>100</v>
      </c>
      <c r="C1594" s="32" t="s">
        <v>102</v>
      </c>
      <c r="D1594" s="33" t="s">
        <v>88</v>
      </c>
      <c r="E1594" s="34" t="n">
        <v>3</v>
      </c>
      <c r="F1594" s="32"/>
      <c r="G1594" s="35" t="n">
        <f aca="false">IF(A1594="","",A1594+7-WEEKDAY(A1594))</f>
        <v>46291</v>
      </c>
      <c r="H1594" s="36" t="n">
        <f aca="false">IF(A1594="","",DATE(YEAR(A1594),MONTH(A1594),1))</f>
        <v>46266</v>
      </c>
      <c r="I1594" s="37" t="str">
        <f aca="false">IF(B1594="","",IFERROR(INDEX(st_ID,MATCH(B1594,st_Name,0)),"Unknown"))</f>
        <v>QP-03</v>
      </c>
      <c r="J1594" s="37" t="str">
        <f aca="false">IF(C1594="","",IFERROR(INDEX(cl_Code,MATCH(C1594,cl_Name,0)),"Unknown"))</f>
        <v>CLH</v>
      </c>
      <c r="K1594" s="37" t="str">
        <f aca="false">IF(D1594="","",IFERROR(INDEX(rt_Billable,MATCH(D1594,rt_Code,0)),"Unknown"))</f>
        <v>Yes</v>
      </c>
      <c r="L1594" s="38" t="n">
        <f aca="false">IF(K1594&lt;&gt;"Yes","",IFERROR(INDEX(cr_Rate,MATCH(J1594&amp;"|"&amp;D1594,cr_Key,0)),INDEX(rt_Rate,MATCH(D1594,rt_Code,0))))</f>
        <v>110</v>
      </c>
      <c r="M1594" s="25" t="n">
        <f aca="false">IF(L1594="","",ROUND(N(E1594)*L1594,2))</f>
        <v>330</v>
      </c>
      <c r="N1594" s="39" t="n">
        <f aca="false">IF(OR(A1594="",B1594=""),"",SUMIFS(tl_Hours,tl_StaffID,I1594,tl_Date,A1594))</f>
        <v>8</v>
      </c>
      <c r="O1594" s="40" t="str">
        <f aca="false">IF(A1594&amp;B1594&amp;D1594="","",IF(OR(A1594="",B1594="",D1594="",E1594=""),"Incomplete",IF(K1594="Unknown","Unknown code",IF(AND(K1594="Yes",C1594=""),"Billable, needs client",IF(N1594&gt;MaxDayHours,"Over "&amp;MaxDayHours&amp;" hours that day","")))))</f>
        <v/>
      </c>
    </row>
    <row r="1595" customFormat="false" ht="15" hidden="false" customHeight="false" outlineLevel="0" collapsed="false">
      <c r="A1595" s="31" t="n">
        <v>46288</v>
      </c>
      <c r="B1595" s="32" t="s">
        <v>100</v>
      </c>
      <c r="C1595" s="32" t="s">
        <v>102</v>
      </c>
      <c r="D1595" s="33" t="s">
        <v>89</v>
      </c>
      <c r="E1595" s="34" t="n">
        <v>1.75</v>
      </c>
      <c r="F1595" s="32"/>
      <c r="G1595" s="35" t="n">
        <f aca="false">IF(A1595="","",A1595+7-WEEKDAY(A1595))</f>
        <v>46291</v>
      </c>
      <c r="H1595" s="36" t="n">
        <f aca="false">IF(A1595="","",DATE(YEAR(A1595),MONTH(A1595),1))</f>
        <v>46266</v>
      </c>
      <c r="I1595" s="37" t="str">
        <f aca="false">IF(B1595="","",IFERROR(INDEX(st_ID,MATCH(B1595,st_Name,0)),"Unknown"))</f>
        <v>QP-03</v>
      </c>
      <c r="J1595" s="37" t="str">
        <f aca="false">IF(C1595="","",IFERROR(INDEX(cl_Code,MATCH(C1595,cl_Name,0)),"Unknown"))</f>
        <v>CLH</v>
      </c>
      <c r="K1595" s="37" t="str">
        <f aca="false">IF(D1595="","",IFERROR(INDEX(rt_Billable,MATCH(D1595,rt_Code,0)),"Unknown"))</f>
        <v>Yes</v>
      </c>
      <c r="L1595" s="38" t="n">
        <f aca="false">IF(K1595&lt;&gt;"Yes","",IFERROR(INDEX(cr_Rate,MATCH(J1595&amp;"|"&amp;D1595,cr_Key,0)),INDEX(rt_Rate,MATCH(D1595,rt_Code,0))))</f>
        <v>95</v>
      </c>
      <c r="M1595" s="25" t="n">
        <f aca="false">IF(L1595="","",ROUND(N(E1595)*L1595,2))</f>
        <v>166.25</v>
      </c>
      <c r="N1595" s="39" t="n">
        <f aca="false">IF(OR(A1595="",B1595=""),"",SUMIFS(tl_Hours,tl_StaffID,I1595,tl_Date,A1595))</f>
        <v>8</v>
      </c>
      <c r="O1595" s="40" t="str">
        <f aca="false">IF(A1595&amp;B1595&amp;D1595="","",IF(OR(A1595="",B1595="",D1595="",E1595=""),"Incomplete",IF(K1595="Unknown","Unknown code",IF(AND(K1595="Yes",C1595=""),"Billable, needs client",IF(N1595&gt;MaxDayHours,"Over "&amp;MaxDayHours&amp;" hours that day","")))))</f>
        <v/>
      </c>
    </row>
    <row r="1596" customFormat="false" ht="15" hidden="false" customHeight="false" outlineLevel="0" collapsed="false">
      <c r="A1596" s="31" t="n">
        <v>46288</v>
      </c>
      <c r="B1596" s="32" t="s">
        <v>100</v>
      </c>
      <c r="C1596" s="32"/>
      <c r="D1596" s="33" t="s">
        <v>98</v>
      </c>
      <c r="E1596" s="34" t="n">
        <v>1</v>
      </c>
      <c r="F1596" s="32" t="s">
        <v>99</v>
      </c>
      <c r="G1596" s="35" t="n">
        <f aca="false">IF(A1596="","",A1596+7-WEEKDAY(A1596))</f>
        <v>46291</v>
      </c>
      <c r="H1596" s="36" t="n">
        <f aca="false">IF(A1596="","",DATE(YEAR(A1596),MONTH(A1596),1))</f>
        <v>46266</v>
      </c>
      <c r="I1596" s="37" t="str">
        <f aca="false">IF(B1596="","",IFERROR(INDEX(st_ID,MATCH(B1596,st_Name,0)),"Unknown"))</f>
        <v>QP-03</v>
      </c>
      <c r="J1596" s="37" t="str">
        <f aca="false">IF(C1596="","",IFERROR(INDEX(cl_Code,MATCH(C1596,cl_Name,0)),"Unknown"))</f>
        <v/>
      </c>
      <c r="K1596" s="37" t="str">
        <f aca="false">IF(D1596="","",IFERROR(INDEX(rt_Billable,MATCH(D1596,rt_Code,0)),"Unknown"))</f>
        <v>No</v>
      </c>
      <c r="L1596" s="38" t="str">
        <f aca="false">IF(K1596&lt;&gt;"Yes","",IFERROR(INDEX(cr_Rate,MATCH(J1596&amp;"|"&amp;D1596,cr_Key,0)),INDEX(rt_Rate,MATCH(D1596,rt_Code,0))))</f>
        <v/>
      </c>
      <c r="M1596" s="25" t="str">
        <f aca="false">IF(L1596="","",ROUND(N(E1596)*L1596,2))</f>
        <v/>
      </c>
      <c r="N1596" s="39" t="n">
        <f aca="false">IF(OR(A1596="",B1596=""),"",SUMIFS(tl_Hours,tl_StaffID,I1596,tl_Date,A1596))</f>
        <v>8</v>
      </c>
      <c r="O1596" s="40" t="str">
        <f aca="false">IF(A1596&amp;B1596&amp;D1596="","",IF(OR(A1596="",B1596="",D1596="",E1596=""),"Incomplete",IF(K1596="Unknown","Unknown code",IF(AND(K1596="Yes",C1596=""),"Billable, needs client",IF(N1596&gt;MaxDayHours,"Over "&amp;MaxDayHours&amp;" hours that day","")))))</f>
        <v/>
      </c>
    </row>
    <row r="1597" customFormat="false" ht="15" hidden="false" customHeight="false" outlineLevel="0" collapsed="false">
      <c r="A1597" s="31" t="n">
        <v>46288</v>
      </c>
      <c r="B1597" s="32" t="s">
        <v>100</v>
      </c>
      <c r="C1597" s="32"/>
      <c r="D1597" s="33" t="s">
        <v>96</v>
      </c>
      <c r="E1597" s="34" t="n">
        <v>2.25</v>
      </c>
      <c r="F1597" s="32"/>
      <c r="G1597" s="35" t="n">
        <f aca="false">IF(A1597="","",A1597+7-WEEKDAY(A1597))</f>
        <v>46291</v>
      </c>
      <c r="H1597" s="36" t="n">
        <f aca="false">IF(A1597="","",DATE(YEAR(A1597),MONTH(A1597),1))</f>
        <v>46266</v>
      </c>
      <c r="I1597" s="37" t="str">
        <f aca="false">IF(B1597="","",IFERROR(INDEX(st_ID,MATCH(B1597,st_Name,0)),"Unknown"))</f>
        <v>QP-03</v>
      </c>
      <c r="J1597" s="37" t="str">
        <f aca="false">IF(C1597="","",IFERROR(INDEX(cl_Code,MATCH(C1597,cl_Name,0)),"Unknown"))</f>
        <v/>
      </c>
      <c r="K1597" s="37" t="str">
        <f aca="false">IF(D1597="","",IFERROR(INDEX(rt_Billable,MATCH(D1597,rt_Code,0)),"Unknown"))</f>
        <v>No</v>
      </c>
      <c r="L1597" s="38" t="str">
        <f aca="false">IF(K1597&lt;&gt;"Yes","",IFERROR(INDEX(cr_Rate,MATCH(J1597&amp;"|"&amp;D1597,cr_Key,0)),INDEX(rt_Rate,MATCH(D1597,rt_Code,0))))</f>
        <v/>
      </c>
      <c r="M1597" s="25" t="str">
        <f aca="false">IF(L1597="","",ROUND(N(E1597)*L1597,2))</f>
        <v/>
      </c>
      <c r="N1597" s="39" t="n">
        <f aca="false">IF(OR(A1597="",B1597=""),"",SUMIFS(tl_Hours,tl_StaffID,I1597,tl_Date,A1597))</f>
        <v>8</v>
      </c>
      <c r="O1597" s="40" t="str">
        <f aca="false">IF(A1597&amp;B1597&amp;D1597="","",IF(OR(A1597="",B1597="",D1597="",E1597=""),"Incomplete",IF(K1597="Unknown","Unknown code",IF(AND(K1597="Yes",C1597=""),"Billable, needs client",IF(N1597&gt;MaxDayHours,"Over "&amp;MaxDayHours&amp;" hours that day","")))))</f>
        <v/>
      </c>
    </row>
    <row r="1598" customFormat="false" ht="15" hidden="false" customHeight="false" outlineLevel="0" collapsed="false">
      <c r="A1598" s="31" t="n">
        <v>46288</v>
      </c>
      <c r="B1598" s="32" t="s">
        <v>101</v>
      </c>
      <c r="C1598" s="32" t="s">
        <v>87</v>
      </c>
      <c r="D1598" s="33" t="s">
        <v>104</v>
      </c>
      <c r="E1598" s="34" t="n">
        <v>4</v>
      </c>
      <c r="F1598" s="32"/>
      <c r="G1598" s="35" t="n">
        <f aca="false">IF(A1598="","",A1598+7-WEEKDAY(A1598))</f>
        <v>46291</v>
      </c>
      <c r="H1598" s="36" t="n">
        <f aca="false">IF(A1598="","",DATE(YEAR(A1598),MONTH(A1598),1))</f>
        <v>46266</v>
      </c>
      <c r="I1598" s="37" t="str">
        <f aca="false">IF(B1598="","",IFERROR(INDEX(st_ID,MATCH(B1598,st_Name,0)),"Unknown"))</f>
        <v>QP-04</v>
      </c>
      <c r="J1598" s="37" t="str">
        <f aca="false">IF(C1598="","",IFERROR(INDEX(cl_Code,MATCH(C1598,cl_Name,0)),"Unknown"))</f>
        <v>HCS</v>
      </c>
      <c r="K1598" s="37" t="str">
        <f aca="false">IF(D1598="","",IFERROR(INDEX(rt_Billable,MATCH(D1598,rt_Code,0)),"Unknown"))</f>
        <v>Yes</v>
      </c>
      <c r="L1598" s="38" t="n">
        <f aca="false">IF(K1598&lt;&gt;"Yes","",IFERROR(INDEX(cr_Rate,MATCH(J1598&amp;"|"&amp;D1598,cr_Key,0)),INDEX(rt_Rate,MATCH(D1598,rt_Code,0))))</f>
        <v>62</v>
      </c>
      <c r="M1598" s="25" t="n">
        <f aca="false">IF(L1598="","",ROUND(N(E1598)*L1598,2))</f>
        <v>248</v>
      </c>
      <c r="N1598" s="39" t="n">
        <f aca="false">IF(OR(A1598="",B1598=""),"",SUMIFS(tl_Hours,tl_StaffID,I1598,tl_Date,A1598))</f>
        <v>8</v>
      </c>
      <c r="O1598" s="40" t="str">
        <f aca="false">IF(A1598&amp;B1598&amp;D1598="","",IF(OR(A1598="",B1598="",D1598="",E1598=""),"Incomplete",IF(K1598="Unknown","Unknown code",IF(AND(K1598="Yes",C1598=""),"Billable, needs client",IF(N1598&gt;MaxDayHours,"Over "&amp;MaxDayHours&amp;" hours that day","")))))</f>
        <v/>
      </c>
    </row>
    <row r="1599" customFormat="false" ht="15" hidden="false" customHeight="false" outlineLevel="0" collapsed="false">
      <c r="A1599" s="31" t="n">
        <v>46288</v>
      </c>
      <c r="B1599" s="32" t="s">
        <v>101</v>
      </c>
      <c r="C1599" s="32" t="s">
        <v>87</v>
      </c>
      <c r="D1599" s="33" t="s">
        <v>92</v>
      </c>
      <c r="E1599" s="34" t="n">
        <v>2.25</v>
      </c>
      <c r="F1599" s="32"/>
      <c r="G1599" s="35" t="n">
        <f aca="false">IF(A1599="","",A1599+7-WEEKDAY(A1599))</f>
        <v>46291</v>
      </c>
      <c r="H1599" s="36" t="n">
        <f aca="false">IF(A1599="","",DATE(YEAR(A1599),MONTH(A1599),1))</f>
        <v>46266</v>
      </c>
      <c r="I1599" s="37" t="str">
        <f aca="false">IF(B1599="","",IFERROR(INDEX(st_ID,MATCH(B1599,st_Name,0)),"Unknown"))</f>
        <v>QP-04</v>
      </c>
      <c r="J1599" s="37" t="str">
        <f aca="false">IF(C1599="","",IFERROR(INDEX(cl_Code,MATCH(C1599,cl_Name,0)),"Unknown"))</f>
        <v>HCS</v>
      </c>
      <c r="K1599" s="37" t="str">
        <f aca="false">IF(D1599="","",IFERROR(INDEX(rt_Billable,MATCH(D1599,rt_Code,0)),"Unknown"))</f>
        <v>Yes</v>
      </c>
      <c r="L1599" s="38" t="n">
        <f aca="false">IF(K1599&lt;&gt;"Yes","",IFERROR(INDEX(cr_Rate,MATCH(J1599&amp;"|"&amp;D1599,cr_Key,0)),INDEX(rt_Rate,MATCH(D1599,rt_Code,0))))</f>
        <v>140</v>
      </c>
      <c r="M1599" s="25" t="n">
        <f aca="false">IF(L1599="","",ROUND(N(E1599)*L1599,2))</f>
        <v>315</v>
      </c>
      <c r="N1599" s="39" t="n">
        <f aca="false">IF(OR(A1599="",B1599=""),"",SUMIFS(tl_Hours,tl_StaffID,I1599,tl_Date,A1599))</f>
        <v>8</v>
      </c>
      <c r="O1599" s="40" t="str">
        <f aca="false">IF(A1599&amp;B1599&amp;D1599="","",IF(OR(A1599="",B1599="",D1599="",E1599=""),"Incomplete",IF(K1599="Unknown","Unknown code",IF(AND(K1599="Yes",C1599=""),"Billable, needs client",IF(N1599&gt;MaxDayHours,"Over "&amp;MaxDayHours&amp;" hours that day","")))))</f>
        <v/>
      </c>
    </row>
    <row r="1600" customFormat="false" ht="15" hidden="false" customHeight="false" outlineLevel="0" collapsed="false">
      <c r="A1600" s="31" t="n">
        <v>46288</v>
      </c>
      <c r="B1600" s="32" t="s">
        <v>101</v>
      </c>
      <c r="C1600" s="32"/>
      <c r="D1600" s="33" t="s">
        <v>98</v>
      </c>
      <c r="E1600" s="34" t="n">
        <v>1</v>
      </c>
      <c r="F1600" s="32" t="s">
        <v>99</v>
      </c>
      <c r="G1600" s="35" t="n">
        <f aca="false">IF(A1600="","",A1600+7-WEEKDAY(A1600))</f>
        <v>46291</v>
      </c>
      <c r="H1600" s="36" t="n">
        <f aca="false">IF(A1600="","",DATE(YEAR(A1600),MONTH(A1600),1))</f>
        <v>46266</v>
      </c>
      <c r="I1600" s="37" t="str">
        <f aca="false">IF(B1600="","",IFERROR(INDEX(st_ID,MATCH(B1600,st_Name,0)),"Unknown"))</f>
        <v>QP-04</v>
      </c>
      <c r="J1600" s="37" t="str">
        <f aca="false">IF(C1600="","",IFERROR(INDEX(cl_Code,MATCH(C1600,cl_Name,0)),"Unknown"))</f>
        <v/>
      </c>
      <c r="K1600" s="37" t="str">
        <f aca="false">IF(D1600="","",IFERROR(INDEX(rt_Billable,MATCH(D1600,rt_Code,0)),"Unknown"))</f>
        <v>No</v>
      </c>
      <c r="L1600" s="38" t="str">
        <f aca="false">IF(K1600&lt;&gt;"Yes","",IFERROR(INDEX(cr_Rate,MATCH(J1600&amp;"|"&amp;D1600,cr_Key,0)),INDEX(rt_Rate,MATCH(D1600,rt_Code,0))))</f>
        <v/>
      </c>
      <c r="M1600" s="25" t="str">
        <f aca="false">IF(L1600="","",ROUND(N(E1600)*L1600,2))</f>
        <v/>
      </c>
      <c r="N1600" s="39" t="n">
        <f aca="false">IF(OR(A1600="",B1600=""),"",SUMIFS(tl_Hours,tl_StaffID,I1600,tl_Date,A1600))</f>
        <v>8</v>
      </c>
      <c r="O1600" s="40" t="str">
        <f aca="false">IF(A1600&amp;B1600&amp;D1600="","",IF(OR(A1600="",B1600="",D1600="",E1600=""),"Incomplete",IF(K1600="Unknown","Unknown code",IF(AND(K1600="Yes",C1600=""),"Billable, needs client",IF(N1600&gt;MaxDayHours,"Over "&amp;MaxDayHours&amp;" hours that day","")))))</f>
        <v/>
      </c>
    </row>
    <row r="1601" customFormat="false" ht="15" hidden="false" customHeight="false" outlineLevel="0" collapsed="false">
      <c r="A1601" s="31" t="n">
        <v>46288</v>
      </c>
      <c r="B1601" s="32" t="s">
        <v>101</v>
      </c>
      <c r="C1601" s="32"/>
      <c r="D1601" s="33" t="s">
        <v>96</v>
      </c>
      <c r="E1601" s="34" t="n">
        <v>0.75</v>
      </c>
      <c r="F1601" s="32"/>
      <c r="G1601" s="35" t="n">
        <f aca="false">IF(A1601="","",A1601+7-WEEKDAY(A1601))</f>
        <v>46291</v>
      </c>
      <c r="H1601" s="36" t="n">
        <f aca="false">IF(A1601="","",DATE(YEAR(A1601),MONTH(A1601),1))</f>
        <v>46266</v>
      </c>
      <c r="I1601" s="37" t="str">
        <f aca="false">IF(B1601="","",IFERROR(INDEX(st_ID,MATCH(B1601,st_Name,0)),"Unknown"))</f>
        <v>QP-04</v>
      </c>
      <c r="J1601" s="37" t="str">
        <f aca="false">IF(C1601="","",IFERROR(INDEX(cl_Code,MATCH(C1601,cl_Name,0)),"Unknown"))</f>
        <v/>
      </c>
      <c r="K1601" s="37" t="str">
        <f aca="false">IF(D1601="","",IFERROR(INDEX(rt_Billable,MATCH(D1601,rt_Code,0)),"Unknown"))</f>
        <v>No</v>
      </c>
      <c r="L1601" s="38" t="str">
        <f aca="false">IF(K1601&lt;&gt;"Yes","",IFERROR(INDEX(cr_Rate,MATCH(J1601&amp;"|"&amp;D1601,cr_Key,0)),INDEX(rt_Rate,MATCH(D1601,rt_Code,0))))</f>
        <v/>
      </c>
      <c r="M1601" s="25" t="str">
        <f aca="false">IF(L1601="","",ROUND(N(E1601)*L1601,2))</f>
        <v/>
      </c>
      <c r="N1601" s="39" t="n">
        <f aca="false">IF(OR(A1601="",B1601=""),"",SUMIFS(tl_Hours,tl_StaffID,I1601,tl_Date,A1601))</f>
        <v>8</v>
      </c>
      <c r="O1601" s="40" t="str">
        <f aca="false">IF(A1601&amp;B1601&amp;D1601="","",IF(OR(A1601="",B1601="",D1601="",E1601=""),"Incomplete",IF(K1601="Unknown","Unknown code",IF(AND(K1601="Yes",C1601=""),"Billable, needs client",IF(N1601&gt;MaxDayHours,"Over "&amp;MaxDayHours&amp;" hours that day","")))))</f>
        <v/>
      </c>
    </row>
    <row r="1602" customFormat="false" ht="15" hidden="false" customHeight="false" outlineLevel="0" collapsed="false">
      <c r="A1602" s="31" t="n">
        <v>46288</v>
      </c>
      <c r="B1602" s="32" t="s">
        <v>103</v>
      </c>
      <c r="C1602" s="32" t="s">
        <v>111</v>
      </c>
      <c r="D1602" s="33" t="s">
        <v>104</v>
      </c>
      <c r="E1602" s="34" t="n">
        <v>3.5</v>
      </c>
      <c r="F1602" s="32"/>
      <c r="G1602" s="35" t="n">
        <f aca="false">IF(A1602="","",A1602+7-WEEKDAY(A1602))</f>
        <v>46291</v>
      </c>
      <c r="H1602" s="36" t="n">
        <f aca="false">IF(A1602="","",DATE(YEAR(A1602),MONTH(A1602),1))</f>
        <v>46266</v>
      </c>
      <c r="I1602" s="37" t="str">
        <f aca="false">IF(B1602="","",IFERROR(INDEX(st_ID,MATCH(B1602,st_Name,0)),"Unknown"))</f>
        <v>QP-05</v>
      </c>
      <c r="J1602" s="37" t="str">
        <f aca="false">IF(C1602="","",IFERROR(INDEX(cl_Code,MATCH(C1602,cl_Name,0)),"Unknown"))</f>
        <v>WMS</v>
      </c>
      <c r="K1602" s="37" t="str">
        <f aca="false">IF(D1602="","",IFERROR(INDEX(rt_Billable,MATCH(D1602,rt_Code,0)),"Unknown"))</f>
        <v>Yes</v>
      </c>
      <c r="L1602" s="38" t="n">
        <f aca="false">IF(K1602&lt;&gt;"Yes","",IFERROR(INDEX(cr_Rate,MATCH(J1602&amp;"|"&amp;D1602,cr_Key,0)),INDEX(rt_Rate,MATCH(D1602,rt_Code,0))))</f>
        <v>70</v>
      </c>
      <c r="M1602" s="25" t="n">
        <f aca="false">IF(L1602="","",ROUND(N(E1602)*L1602,2))</f>
        <v>245</v>
      </c>
      <c r="N1602" s="39" t="n">
        <f aca="false">IF(OR(A1602="",B1602=""),"",SUMIFS(tl_Hours,tl_StaffID,I1602,tl_Date,A1602))</f>
        <v>8</v>
      </c>
      <c r="O1602" s="40" t="str">
        <f aca="false">IF(A1602&amp;B1602&amp;D1602="","",IF(OR(A1602="",B1602="",D1602="",E1602=""),"Incomplete",IF(K1602="Unknown","Unknown code",IF(AND(K1602="Yes",C1602=""),"Billable, needs client",IF(N1602&gt;MaxDayHours,"Over "&amp;MaxDayHours&amp;" hours that day","")))))</f>
        <v/>
      </c>
    </row>
    <row r="1603" customFormat="false" ht="15" hidden="false" customHeight="false" outlineLevel="0" collapsed="false">
      <c r="A1603" s="31" t="n">
        <v>46288</v>
      </c>
      <c r="B1603" s="32" t="s">
        <v>103</v>
      </c>
      <c r="C1603" s="32" t="s">
        <v>111</v>
      </c>
      <c r="D1603" s="33" t="s">
        <v>89</v>
      </c>
      <c r="E1603" s="34" t="n">
        <v>2.25</v>
      </c>
      <c r="F1603" s="32"/>
      <c r="G1603" s="35" t="n">
        <f aca="false">IF(A1603="","",A1603+7-WEEKDAY(A1603))</f>
        <v>46291</v>
      </c>
      <c r="H1603" s="36" t="n">
        <f aca="false">IF(A1603="","",DATE(YEAR(A1603),MONTH(A1603),1))</f>
        <v>46266</v>
      </c>
      <c r="I1603" s="37" t="str">
        <f aca="false">IF(B1603="","",IFERROR(INDEX(st_ID,MATCH(B1603,st_Name,0)),"Unknown"))</f>
        <v>QP-05</v>
      </c>
      <c r="J1603" s="37" t="str">
        <f aca="false">IF(C1603="","",IFERROR(INDEX(cl_Code,MATCH(C1603,cl_Name,0)),"Unknown"))</f>
        <v>WMS</v>
      </c>
      <c r="K1603" s="37" t="str">
        <f aca="false">IF(D1603="","",IFERROR(INDEX(rt_Billable,MATCH(D1603,rt_Code,0)),"Unknown"))</f>
        <v>Yes</v>
      </c>
      <c r="L1603" s="38" t="n">
        <f aca="false">IF(K1603&lt;&gt;"Yes","",IFERROR(INDEX(cr_Rate,MATCH(J1603&amp;"|"&amp;D1603,cr_Key,0)),INDEX(rt_Rate,MATCH(D1603,rt_Code,0))))</f>
        <v>95</v>
      </c>
      <c r="M1603" s="25" t="n">
        <f aca="false">IF(L1603="","",ROUND(N(E1603)*L1603,2))</f>
        <v>213.75</v>
      </c>
      <c r="N1603" s="39" t="n">
        <f aca="false">IF(OR(A1603="",B1603=""),"",SUMIFS(tl_Hours,tl_StaffID,I1603,tl_Date,A1603))</f>
        <v>8</v>
      </c>
      <c r="O1603" s="40" t="str">
        <f aca="false">IF(A1603&amp;B1603&amp;D1603="","",IF(OR(A1603="",B1603="",D1603="",E1603=""),"Incomplete",IF(K1603="Unknown","Unknown code",IF(AND(K1603="Yes",C1603=""),"Billable, needs client",IF(N1603&gt;MaxDayHours,"Over "&amp;MaxDayHours&amp;" hours that day","")))))</f>
        <v/>
      </c>
    </row>
    <row r="1604" customFormat="false" ht="15" hidden="false" customHeight="false" outlineLevel="0" collapsed="false">
      <c r="A1604" s="31" t="n">
        <v>46288</v>
      </c>
      <c r="B1604" s="32" t="s">
        <v>103</v>
      </c>
      <c r="C1604" s="32"/>
      <c r="D1604" s="33" t="s">
        <v>98</v>
      </c>
      <c r="E1604" s="34" t="n">
        <v>1</v>
      </c>
      <c r="F1604" s="32" t="s">
        <v>99</v>
      </c>
      <c r="G1604" s="35" t="n">
        <f aca="false">IF(A1604="","",A1604+7-WEEKDAY(A1604))</f>
        <v>46291</v>
      </c>
      <c r="H1604" s="36" t="n">
        <f aca="false">IF(A1604="","",DATE(YEAR(A1604),MONTH(A1604),1))</f>
        <v>46266</v>
      </c>
      <c r="I1604" s="37" t="str">
        <f aca="false">IF(B1604="","",IFERROR(INDEX(st_ID,MATCH(B1604,st_Name,0)),"Unknown"))</f>
        <v>QP-05</v>
      </c>
      <c r="J1604" s="37" t="str">
        <f aca="false">IF(C1604="","",IFERROR(INDEX(cl_Code,MATCH(C1604,cl_Name,0)),"Unknown"))</f>
        <v/>
      </c>
      <c r="K1604" s="37" t="str">
        <f aca="false">IF(D1604="","",IFERROR(INDEX(rt_Billable,MATCH(D1604,rt_Code,0)),"Unknown"))</f>
        <v>No</v>
      </c>
      <c r="L1604" s="38" t="str">
        <f aca="false">IF(K1604&lt;&gt;"Yes","",IFERROR(INDEX(cr_Rate,MATCH(J1604&amp;"|"&amp;D1604,cr_Key,0)),INDEX(rt_Rate,MATCH(D1604,rt_Code,0))))</f>
        <v/>
      </c>
      <c r="M1604" s="25" t="str">
        <f aca="false">IF(L1604="","",ROUND(N(E1604)*L1604,2))</f>
        <v/>
      </c>
      <c r="N1604" s="39" t="n">
        <f aca="false">IF(OR(A1604="",B1604=""),"",SUMIFS(tl_Hours,tl_StaffID,I1604,tl_Date,A1604))</f>
        <v>8</v>
      </c>
      <c r="O1604" s="40" t="str">
        <f aca="false">IF(A1604&amp;B1604&amp;D1604="","",IF(OR(A1604="",B1604="",D1604="",E1604=""),"Incomplete",IF(K1604="Unknown","Unknown code",IF(AND(K1604="Yes",C1604=""),"Billable, needs client",IF(N1604&gt;MaxDayHours,"Over "&amp;MaxDayHours&amp;" hours that day","")))))</f>
        <v/>
      </c>
    </row>
    <row r="1605" customFormat="false" ht="15" hidden="false" customHeight="false" outlineLevel="0" collapsed="false">
      <c r="A1605" s="31" t="n">
        <v>46288</v>
      </c>
      <c r="B1605" s="32" t="s">
        <v>103</v>
      </c>
      <c r="C1605" s="32"/>
      <c r="D1605" s="33" t="s">
        <v>96</v>
      </c>
      <c r="E1605" s="34" t="n">
        <v>1.25</v>
      </c>
      <c r="F1605" s="32"/>
      <c r="G1605" s="35" t="n">
        <f aca="false">IF(A1605="","",A1605+7-WEEKDAY(A1605))</f>
        <v>46291</v>
      </c>
      <c r="H1605" s="36" t="n">
        <f aca="false">IF(A1605="","",DATE(YEAR(A1605),MONTH(A1605),1))</f>
        <v>46266</v>
      </c>
      <c r="I1605" s="37" t="str">
        <f aca="false">IF(B1605="","",IFERROR(INDEX(st_ID,MATCH(B1605,st_Name,0)),"Unknown"))</f>
        <v>QP-05</v>
      </c>
      <c r="J1605" s="37" t="str">
        <f aca="false">IF(C1605="","",IFERROR(INDEX(cl_Code,MATCH(C1605,cl_Name,0)),"Unknown"))</f>
        <v/>
      </c>
      <c r="K1605" s="37" t="str">
        <f aca="false">IF(D1605="","",IFERROR(INDEX(rt_Billable,MATCH(D1605,rt_Code,0)),"Unknown"))</f>
        <v>No</v>
      </c>
      <c r="L1605" s="38" t="str">
        <f aca="false">IF(K1605&lt;&gt;"Yes","",IFERROR(INDEX(cr_Rate,MATCH(J1605&amp;"|"&amp;D1605,cr_Key,0)),INDEX(rt_Rate,MATCH(D1605,rt_Code,0))))</f>
        <v/>
      </c>
      <c r="M1605" s="25" t="str">
        <f aca="false">IF(L1605="","",ROUND(N(E1605)*L1605,2))</f>
        <v/>
      </c>
      <c r="N1605" s="39" t="n">
        <f aca="false">IF(OR(A1605="",B1605=""),"",SUMIFS(tl_Hours,tl_StaffID,I1605,tl_Date,A1605))</f>
        <v>8</v>
      </c>
      <c r="O1605" s="40" t="str">
        <f aca="false">IF(A1605&amp;B1605&amp;D1605="","",IF(OR(A1605="",B1605="",D1605="",E1605=""),"Incomplete",IF(K1605="Unknown","Unknown code",IF(AND(K1605="Yes",C1605=""),"Billable, needs client",IF(N1605&gt;MaxDayHours,"Over "&amp;MaxDayHours&amp;" hours that day","")))))</f>
        <v/>
      </c>
    </row>
    <row r="1606" customFormat="false" ht="15" hidden="false" customHeight="false" outlineLevel="0" collapsed="false">
      <c r="A1606" s="31" t="n">
        <v>46288</v>
      </c>
      <c r="B1606" s="32" t="s">
        <v>105</v>
      </c>
      <c r="C1606" s="32" t="s">
        <v>90</v>
      </c>
      <c r="D1606" s="33" t="s">
        <v>88</v>
      </c>
      <c r="E1606" s="34" t="n">
        <v>4.25</v>
      </c>
      <c r="F1606" s="32"/>
      <c r="G1606" s="35" t="n">
        <f aca="false">IF(A1606="","",A1606+7-WEEKDAY(A1606))</f>
        <v>46291</v>
      </c>
      <c r="H1606" s="36" t="n">
        <f aca="false">IF(A1606="","",DATE(YEAR(A1606),MONTH(A1606),1))</f>
        <v>46266</v>
      </c>
      <c r="I1606" s="37" t="str">
        <f aca="false">IF(B1606="","",IFERROR(INDEX(st_ID,MATCH(B1606,st_Name,0)),"Unknown"))</f>
        <v>QP-06</v>
      </c>
      <c r="J1606" s="37" t="str">
        <f aca="false">IF(C1606="","",IFERROR(INDEX(cl_Code,MATCH(C1606,cl_Name,0)),"Unknown"))</f>
        <v>BSE</v>
      </c>
      <c r="K1606" s="37" t="str">
        <f aca="false">IF(D1606="","",IFERROR(INDEX(rt_Billable,MATCH(D1606,rt_Code,0)),"Unknown"))</f>
        <v>Yes</v>
      </c>
      <c r="L1606" s="38" t="n">
        <f aca="false">IF(K1606&lt;&gt;"Yes","",IFERROR(INDEX(cr_Rate,MATCH(J1606&amp;"|"&amp;D1606,cr_Key,0)),INDEX(rt_Rate,MATCH(D1606,rt_Code,0))))</f>
        <v>104</v>
      </c>
      <c r="M1606" s="25" t="n">
        <f aca="false">IF(L1606="","",ROUND(N(E1606)*L1606,2))</f>
        <v>442</v>
      </c>
      <c r="N1606" s="39" t="n">
        <f aca="false">IF(OR(A1606="",B1606=""),"",SUMIFS(tl_Hours,tl_StaffID,I1606,tl_Date,A1606))</f>
        <v>8</v>
      </c>
      <c r="O1606" s="40" t="str">
        <f aca="false">IF(A1606&amp;B1606&amp;D1606="","",IF(OR(A1606="",B1606="",D1606="",E1606=""),"Incomplete",IF(K1606="Unknown","Unknown code",IF(AND(K1606="Yes",C1606=""),"Billable, needs client",IF(N1606&gt;MaxDayHours,"Over "&amp;MaxDayHours&amp;" hours that day","")))))</f>
        <v/>
      </c>
    </row>
    <row r="1607" customFormat="false" ht="15" hidden="false" customHeight="false" outlineLevel="0" collapsed="false">
      <c r="A1607" s="31" t="n">
        <v>46288</v>
      </c>
      <c r="B1607" s="32" t="s">
        <v>105</v>
      </c>
      <c r="C1607" s="32" t="s">
        <v>90</v>
      </c>
      <c r="D1607" s="33" t="s">
        <v>104</v>
      </c>
      <c r="E1607" s="34" t="n">
        <v>2</v>
      </c>
      <c r="F1607" s="32"/>
      <c r="G1607" s="35" t="n">
        <f aca="false">IF(A1607="","",A1607+7-WEEKDAY(A1607))</f>
        <v>46291</v>
      </c>
      <c r="H1607" s="36" t="n">
        <f aca="false">IF(A1607="","",DATE(YEAR(A1607),MONTH(A1607),1))</f>
        <v>46266</v>
      </c>
      <c r="I1607" s="37" t="str">
        <f aca="false">IF(B1607="","",IFERROR(INDEX(st_ID,MATCH(B1607,st_Name,0)),"Unknown"))</f>
        <v>QP-06</v>
      </c>
      <c r="J1607" s="37" t="str">
        <f aca="false">IF(C1607="","",IFERROR(INDEX(cl_Code,MATCH(C1607,cl_Name,0)),"Unknown"))</f>
        <v>BSE</v>
      </c>
      <c r="K1607" s="37" t="str">
        <f aca="false">IF(D1607="","",IFERROR(INDEX(rt_Billable,MATCH(D1607,rt_Code,0)),"Unknown"))</f>
        <v>Yes</v>
      </c>
      <c r="L1607" s="38" t="n">
        <f aca="false">IF(K1607&lt;&gt;"Yes","",IFERROR(INDEX(cr_Rate,MATCH(J1607&amp;"|"&amp;D1607,cr_Key,0)),INDEX(rt_Rate,MATCH(D1607,rt_Code,0))))</f>
        <v>70</v>
      </c>
      <c r="M1607" s="25" t="n">
        <f aca="false">IF(L1607="","",ROUND(N(E1607)*L1607,2))</f>
        <v>140</v>
      </c>
      <c r="N1607" s="39" t="n">
        <f aca="false">IF(OR(A1607="",B1607=""),"",SUMIFS(tl_Hours,tl_StaffID,I1607,tl_Date,A1607))</f>
        <v>8</v>
      </c>
      <c r="O1607" s="40" t="str">
        <f aca="false">IF(A1607&amp;B1607&amp;D1607="","",IF(OR(A1607="",B1607="",D1607="",E1607=""),"Incomplete",IF(K1607="Unknown","Unknown code",IF(AND(K1607="Yes",C1607=""),"Billable, needs client",IF(N1607&gt;MaxDayHours,"Over "&amp;MaxDayHours&amp;" hours that day","")))))</f>
        <v/>
      </c>
    </row>
    <row r="1608" customFormat="false" ht="15" hidden="false" customHeight="false" outlineLevel="0" collapsed="false">
      <c r="A1608" s="31" t="n">
        <v>46288</v>
      </c>
      <c r="B1608" s="32" t="s">
        <v>105</v>
      </c>
      <c r="C1608" s="32"/>
      <c r="D1608" s="33" t="s">
        <v>98</v>
      </c>
      <c r="E1608" s="34" t="n">
        <v>1</v>
      </c>
      <c r="F1608" s="32" t="s">
        <v>99</v>
      </c>
      <c r="G1608" s="35" t="n">
        <f aca="false">IF(A1608="","",A1608+7-WEEKDAY(A1608))</f>
        <v>46291</v>
      </c>
      <c r="H1608" s="36" t="n">
        <f aca="false">IF(A1608="","",DATE(YEAR(A1608),MONTH(A1608),1))</f>
        <v>46266</v>
      </c>
      <c r="I1608" s="37" t="str">
        <f aca="false">IF(B1608="","",IFERROR(INDEX(st_ID,MATCH(B1608,st_Name,0)),"Unknown"))</f>
        <v>QP-06</v>
      </c>
      <c r="J1608" s="37" t="str">
        <f aca="false">IF(C1608="","",IFERROR(INDEX(cl_Code,MATCH(C1608,cl_Name,0)),"Unknown"))</f>
        <v/>
      </c>
      <c r="K1608" s="37" t="str">
        <f aca="false">IF(D1608="","",IFERROR(INDEX(rt_Billable,MATCH(D1608,rt_Code,0)),"Unknown"))</f>
        <v>No</v>
      </c>
      <c r="L1608" s="38" t="str">
        <f aca="false">IF(K1608&lt;&gt;"Yes","",IFERROR(INDEX(cr_Rate,MATCH(J1608&amp;"|"&amp;D1608,cr_Key,0)),INDEX(rt_Rate,MATCH(D1608,rt_Code,0))))</f>
        <v/>
      </c>
      <c r="M1608" s="25" t="str">
        <f aca="false">IF(L1608="","",ROUND(N(E1608)*L1608,2))</f>
        <v/>
      </c>
      <c r="N1608" s="39" t="n">
        <f aca="false">IF(OR(A1608="",B1608=""),"",SUMIFS(tl_Hours,tl_StaffID,I1608,tl_Date,A1608))</f>
        <v>8</v>
      </c>
      <c r="O1608" s="40" t="str">
        <f aca="false">IF(A1608&amp;B1608&amp;D1608="","",IF(OR(A1608="",B1608="",D1608="",E1608=""),"Incomplete",IF(K1608="Unknown","Unknown code",IF(AND(K1608="Yes",C1608=""),"Billable, needs client",IF(N1608&gt;MaxDayHours,"Over "&amp;MaxDayHours&amp;" hours that day","")))))</f>
        <v/>
      </c>
    </row>
    <row r="1609" customFormat="false" ht="15" hidden="false" customHeight="false" outlineLevel="0" collapsed="false">
      <c r="A1609" s="31" t="n">
        <v>46288</v>
      </c>
      <c r="B1609" s="32" t="s">
        <v>105</v>
      </c>
      <c r="C1609" s="32"/>
      <c r="D1609" s="33" t="s">
        <v>96</v>
      </c>
      <c r="E1609" s="34" t="n">
        <v>0.75</v>
      </c>
      <c r="F1609" s="32"/>
      <c r="G1609" s="35" t="n">
        <f aca="false">IF(A1609="","",A1609+7-WEEKDAY(A1609))</f>
        <v>46291</v>
      </c>
      <c r="H1609" s="36" t="n">
        <f aca="false">IF(A1609="","",DATE(YEAR(A1609),MONTH(A1609),1))</f>
        <v>46266</v>
      </c>
      <c r="I1609" s="37" t="str">
        <f aca="false">IF(B1609="","",IFERROR(INDEX(st_ID,MATCH(B1609,st_Name,0)),"Unknown"))</f>
        <v>QP-06</v>
      </c>
      <c r="J1609" s="37" t="str">
        <f aca="false">IF(C1609="","",IFERROR(INDEX(cl_Code,MATCH(C1609,cl_Name,0)),"Unknown"))</f>
        <v/>
      </c>
      <c r="K1609" s="37" t="str">
        <f aca="false">IF(D1609="","",IFERROR(INDEX(rt_Billable,MATCH(D1609,rt_Code,0)),"Unknown"))</f>
        <v>No</v>
      </c>
      <c r="L1609" s="38" t="str">
        <f aca="false">IF(K1609&lt;&gt;"Yes","",IFERROR(INDEX(cr_Rate,MATCH(J1609&amp;"|"&amp;D1609,cr_Key,0)),INDEX(rt_Rate,MATCH(D1609,rt_Code,0))))</f>
        <v/>
      </c>
      <c r="M1609" s="25" t="str">
        <f aca="false">IF(L1609="","",ROUND(N(E1609)*L1609,2))</f>
        <v/>
      </c>
      <c r="N1609" s="39" t="n">
        <f aca="false">IF(OR(A1609="",B1609=""),"",SUMIFS(tl_Hours,tl_StaffID,I1609,tl_Date,A1609))</f>
        <v>8</v>
      </c>
      <c r="O1609" s="40" t="str">
        <f aca="false">IF(A1609&amp;B1609&amp;D1609="","",IF(OR(A1609="",B1609="",D1609="",E1609=""),"Incomplete",IF(K1609="Unknown","Unknown code",IF(AND(K1609="Yes",C1609=""),"Billable, needs client",IF(N1609&gt;MaxDayHours,"Over "&amp;MaxDayHours&amp;" hours that day","")))))</f>
        <v/>
      </c>
    </row>
    <row r="1610" customFormat="false" ht="15" hidden="false" customHeight="false" outlineLevel="0" collapsed="false">
      <c r="A1610" s="31" t="n">
        <v>46288</v>
      </c>
      <c r="B1610" s="32" t="s">
        <v>106</v>
      </c>
      <c r="C1610" s="32" t="s">
        <v>112</v>
      </c>
      <c r="D1610" s="33" t="s">
        <v>88</v>
      </c>
      <c r="E1610" s="34" t="n">
        <v>2.25</v>
      </c>
      <c r="F1610" s="32"/>
      <c r="G1610" s="35" t="n">
        <f aca="false">IF(A1610="","",A1610+7-WEEKDAY(A1610))</f>
        <v>46291</v>
      </c>
      <c r="H1610" s="36" t="n">
        <f aca="false">IF(A1610="","",DATE(YEAR(A1610),MONTH(A1610),1))</f>
        <v>46266</v>
      </c>
      <c r="I1610" s="37" t="str">
        <f aca="false">IF(B1610="","",IFERROR(INDEX(st_ID,MATCH(B1610,st_Name,0)),"Unknown"))</f>
        <v>QP-07</v>
      </c>
      <c r="J1610" s="37" t="str">
        <f aca="false">IF(C1610="","",IFERROR(INDEX(cl_Code,MATCH(C1610,cl_Name,0)),"Unknown"))</f>
        <v>PCA</v>
      </c>
      <c r="K1610" s="37" t="str">
        <f aca="false">IF(D1610="","",IFERROR(INDEX(rt_Billable,MATCH(D1610,rt_Code,0)),"Unknown"))</f>
        <v>Yes</v>
      </c>
      <c r="L1610" s="38" t="n">
        <f aca="false">IF(K1610&lt;&gt;"Yes","",IFERROR(INDEX(cr_Rate,MATCH(J1610&amp;"|"&amp;D1610,cr_Key,0)),INDEX(rt_Rate,MATCH(D1610,rt_Code,0))))</f>
        <v>110</v>
      </c>
      <c r="M1610" s="25" t="n">
        <f aca="false">IF(L1610="","",ROUND(N(E1610)*L1610,2))</f>
        <v>247.5</v>
      </c>
      <c r="N1610" s="39" t="n">
        <f aca="false">IF(OR(A1610="",B1610=""),"",SUMIFS(tl_Hours,tl_StaffID,I1610,tl_Date,A1610))</f>
        <v>8</v>
      </c>
      <c r="O1610" s="40" t="str">
        <f aca="false">IF(A1610&amp;B1610&amp;D1610="","",IF(OR(A1610="",B1610="",D1610="",E1610=""),"Incomplete",IF(K1610="Unknown","Unknown code",IF(AND(K1610="Yes",C1610=""),"Billable, needs client",IF(N1610&gt;MaxDayHours,"Over "&amp;MaxDayHours&amp;" hours that day","")))))</f>
        <v/>
      </c>
    </row>
    <row r="1611" customFormat="false" ht="15" hidden="false" customHeight="false" outlineLevel="0" collapsed="false">
      <c r="A1611" s="31" t="n">
        <v>46288</v>
      </c>
      <c r="B1611" s="32" t="s">
        <v>106</v>
      </c>
      <c r="C1611" s="32" t="s">
        <v>112</v>
      </c>
      <c r="D1611" s="33" t="s">
        <v>113</v>
      </c>
      <c r="E1611" s="34" t="n">
        <v>0.75</v>
      </c>
      <c r="F1611" s="32"/>
      <c r="G1611" s="35" t="n">
        <f aca="false">IF(A1611="","",A1611+7-WEEKDAY(A1611))</f>
        <v>46291</v>
      </c>
      <c r="H1611" s="36" t="n">
        <f aca="false">IF(A1611="","",DATE(YEAR(A1611),MONTH(A1611),1))</f>
        <v>46266</v>
      </c>
      <c r="I1611" s="37" t="str">
        <f aca="false">IF(B1611="","",IFERROR(INDEX(st_ID,MATCH(B1611,st_Name,0)),"Unknown"))</f>
        <v>QP-07</v>
      </c>
      <c r="J1611" s="37" t="str">
        <f aca="false">IF(C1611="","",IFERROR(INDEX(cl_Code,MATCH(C1611,cl_Name,0)),"Unknown"))</f>
        <v>PCA</v>
      </c>
      <c r="K1611" s="37" t="str">
        <f aca="false">IF(D1611="","",IFERROR(INDEX(rt_Billable,MATCH(D1611,rt_Code,0)),"Unknown"))</f>
        <v>Yes</v>
      </c>
      <c r="L1611" s="38" t="n">
        <f aca="false">IF(K1611&lt;&gt;"Yes","",IFERROR(INDEX(cr_Rate,MATCH(J1611&amp;"|"&amp;D1611,cr_Key,0)),INDEX(rt_Rate,MATCH(D1611,rt_Code,0))))</f>
        <v>85</v>
      </c>
      <c r="M1611" s="25" t="n">
        <f aca="false">IF(L1611="","",ROUND(N(E1611)*L1611,2))</f>
        <v>63.75</v>
      </c>
      <c r="N1611" s="39" t="n">
        <f aca="false">IF(OR(A1611="",B1611=""),"",SUMIFS(tl_Hours,tl_StaffID,I1611,tl_Date,A1611))</f>
        <v>8</v>
      </c>
      <c r="O1611" s="40" t="str">
        <f aca="false">IF(A1611&amp;B1611&amp;D1611="","",IF(OR(A1611="",B1611="",D1611="",E1611=""),"Incomplete",IF(K1611="Unknown","Unknown code",IF(AND(K1611="Yes",C1611=""),"Billable, needs client",IF(N1611&gt;MaxDayHours,"Over "&amp;MaxDayHours&amp;" hours that day","")))))</f>
        <v/>
      </c>
    </row>
    <row r="1612" customFormat="false" ht="15" hidden="false" customHeight="false" outlineLevel="0" collapsed="false">
      <c r="A1612" s="31" t="n">
        <v>46288</v>
      </c>
      <c r="B1612" s="32" t="s">
        <v>106</v>
      </c>
      <c r="C1612" s="32" t="s">
        <v>102</v>
      </c>
      <c r="D1612" s="33" t="s">
        <v>88</v>
      </c>
      <c r="E1612" s="34" t="n">
        <v>2.5</v>
      </c>
      <c r="F1612" s="32"/>
      <c r="G1612" s="35" t="n">
        <f aca="false">IF(A1612="","",A1612+7-WEEKDAY(A1612))</f>
        <v>46291</v>
      </c>
      <c r="H1612" s="36" t="n">
        <f aca="false">IF(A1612="","",DATE(YEAR(A1612),MONTH(A1612),1))</f>
        <v>46266</v>
      </c>
      <c r="I1612" s="37" t="str">
        <f aca="false">IF(B1612="","",IFERROR(INDEX(st_ID,MATCH(B1612,st_Name,0)),"Unknown"))</f>
        <v>QP-07</v>
      </c>
      <c r="J1612" s="37" t="str">
        <f aca="false">IF(C1612="","",IFERROR(INDEX(cl_Code,MATCH(C1612,cl_Name,0)),"Unknown"))</f>
        <v>CLH</v>
      </c>
      <c r="K1612" s="37" t="str">
        <f aca="false">IF(D1612="","",IFERROR(INDEX(rt_Billable,MATCH(D1612,rt_Code,0)),"Unknown"))</f>
        <v>Yes</v>
      </c>
      <c r="L1612" s="38" t="n">
        <f aca="false">IF(K1612&lt;&gt;"Yes","",IFERROR(INDEX(cr_Rate,MATCH(J1612&amp;"|"&amp;D1612,cr_Key,0)),INDEX(rt_Rate,MATCH(D1612,rt_Code,0))))</f>
        <v>110</v>
      </c>
      <c r="M1612" s="25" t="n">
        <f aca="false">IF(L1612="","",ROUND(N(E1612)*L1612,2))</f>
        <v>275</v>
      </c>
      <c r="N1612" s="39" t="n">
        <f aca="false">IF(OR(A1612="",B1612=""),"",SUMIFS(tl_Hours,tl_StaffID,I1612,tl_Date,A1612))</f>
        <v>8</v>
      </c>
      <c r="O1612" s="40" t="str">
        <f aca="false">IF(A1612&amp;B1612&amp;D1612="","",IF(OR(A1612="",B1612="",D1612="",E1612=""),"Incomplete",IF(K1612="Unknown","Unknown code",IF(AND(K1612="Yes",C1612=""),"Billable, needs client",IF(N1612&gt;MaxDayHours,"Over "&amp;MaxDayHours&amp;" hours that day","")))))</f>
        <v/>
      </c>
    </row>
    <row r="1613" customFormat="false" ht="15" hidden="false" customHeight="false" outlineLevel="0" collapsed="false">
      <c r="A1613" s="31" t="n">
        <v>46288</v>
      </c>
      <c r="B1613" s="32" t="s">
        <v>106</v>
      </c>
      <c r="C1613" s="32" t="s">
        <v>102</v>
      </c>
      <c r="D1613" s="33" t="s">
        <v>104</v>
      </c>
      <c r="E1613" s="34" t="n">
        <v>0.5</v>
      </c>
      <c r="F1613" s="32"/>
      <c r="G1613" s="35" t="n">
        <f aca="false">IF(A1613="","",A1613+7-WEEKDAY(A1613))</f>
        <v>46291</v>
      </c>
      <c r="H1613" s="36" t="n">
        <f aca="false">IF(A1613="","",DATE(YEAR(A1613),MONTH(A1613),1))</f>
        <v>46266</v>
      </c>
      <c r="I1613" s="37" t="str">
        <f aca="false">IF(B1613="","",IFERROR(INDEX(st_ID,MATCH(B1613,st_Name,0)),"Unknown"))</f>
        <v>QP-07</v>
      </c>
      <c r="J1613" s="37" t="str">
        <f aca="false">IF(C1613="","",IFERROR(INDEX(cl_Code,MATCH(C1613,cl_Name,0)),"Unknown"))</f>
        <v>CLH</v>
      </c>
      <c r="K1613" s="37" t="str">
        <f aca="false">IF(D1613="","",IFERROR(INDEX(rt_Billable,MATCH(D1613,rt_Code,0)),"Unknown"))</f>
        <v>Yes</v>
      </c>
      <c r="L1613" s="38" t="n">
        <f aca="false">IF(K1613&lt;&gt;"Yes","",IFERROR(INDEX(cr_Rate,MATCH(J1613&amp;"|"&amp;D1613,cr_Key,0)),INDEX(rt_Rate,MATCH(D1613,rt_Code,0))))</f>
        <v>65</v>
      </c>
      <c r="M1613" s="25" t="n">
        <f aca="false">IF(L1613="","",ROUND(N(E1613)*L1613,2))</f>
        <v>32.5</v>
      </c>
      <c r="N1613" s="39" t="n">
        <f aca="false">IF(OR(A1613="",B1613=""),"",SUMIFS(tl_Hours,tl_StaffID,I1613,tl_Date,A1613))</f>
        <v>8</v>
      </c>
      <c r="O1613" s="40" t="str">
        <f aca="false">IF(A1613&amp;B1613&amp;D1613="","",IF(OR(A1613="",B1613="",D1613="",E1613=""),"Incomplete",IF(K1613="Unknown","Unknown code",IF(AND(K1613="Yes",C1613=""),"Billable, needs client",IF(N1613&gt;MaxDayHours,"Over "&amp;MaxDayHours&amp;" hours that day","")))))</f>
        <v/>
      </c>
    </row>
    <row r="1614" customFormat="false" ht="15" hidden="false" customHeight="false" outlineLevel="0" collapsed="false">
      <c r="A1614" s="31" t="n">
        <v>46288</v>
      </c>
      <c r="B1614" s="32" t="s">
        <v>106</v>
      </c>
      <c r="C1614" s="32"/>
      <c r="D1614" s="33" t="s">
        <v>93</v>
      </c>
      <c r="E1614" s="34" t="n">
        <v>0.5</v>
      </c>
      <c r="F1614" s="32"/>
      <c r="G1614" s="35" t="n">
        <f aca="false">IF(A1614="","",A1614+7-WEEKDAY(A1614))</f>
        <v>46291</v>
      </c>
      <c r="H1614" s="36" t="n">
        <f aca="false">IF(A1614="","",DATE(YEAR(A1614),MONTH(A1614),1))</f>
        <v>46266</v>
      </c>
      <c r="I1614" s="37" t="str">
        <f aca="false">IF(B1614="","",IFERROR(INDEX(st_ID,MATCH(B1614,st_Name,0)),"Unknown"))</f>
        <v>QP-07</v>
      </c>
      <c r="J1614" s="37" t="str">
        <f aca="false">IF(C1614="","",IFERROR(INDEX(cl_Code,MATCH(C1614,cl_Name,0)),"Unknown"))</f>
        <v/>
      </c>
      <c r="K1614" s="37" t="str">
        <f aca="false">IF(D1614="","",IFERROR(INDEX(rt_Billable,MATCH(D1614,rt_Code,0)),"Unknown"))</f>
        <v>No</v>
      </c>
      <c r="L1614" s="38" t="str">
        <f aca="false">IF(K1614&lt;&gt;"Yes","",IFERROR(INDEX(cr_Rate,MATCH(J1614&amp;"|"&amp;D1614,cr_Key,0)),INDEX(rt_Rate,MATCH(D1614,rt_Code,0))))</f>
        <v/>
      </c>
      <c r="M1614" s="25" t="str">
        <f aca="false">IF(L1614="","",ROUND(N(E1614)*L1614,2))</f>
        <v/>
      </c>
      <c r="N1614" s="39" t="n">
        <f aca="false">IF(OR(A1614="",B1614=""),"",SUMIFS(tl_Hours,tl_StaffID,I1614,tl_Date,A1614))</f>
        <v>8</v>
      </c>
      <c r="O1614" s="40" t="str">
        <f aca="false">IF(A1614&amp;B1614&amp;D1614="","",IF(OR(A1614="",B1614="",D1614="",E1614=""),"Incomplete",IF(K1614="Unknown","Unknown code",IF(AND(K1614="Yes",C1614=""),"Billable, needs client",IF(N1614&gt;MaxDayHours,"Over "&amp;MaxDayHours&amp;" hours that day","")))))</f>
        <v/>
      </c>
    </row>
    <row r="1615" customFormat="false" ht="15" hidden="false" customHeight="false" outlineLevel="0" collapsed="false">
      <c r="A1615" s="31" t="n">
        <v>46288</v>
      </c>
      <c r="B1615" s="32" t="s">
        <v>106</v>
      </c>
      <c r="C1615" s="32"/>
      <c r="D1615" s="33" t="s">
        <v>98</v>
      </c>
      <c r="E1615" s="34" t="n">
        <v>1</v>
      </c>
      <c r="F1615" s="32" t="s">
        <v>99</v>
      </c>
      <c r="G1615" s="35" t="n">
        <f aca="false">IF(A1615="","",A1615+7-WEEKDAY(A1615))</f>
        <v>46291</v>
      </c>
      <c r="H1615" s="36" t="n">
        <f aca="false">IF(A1615="","",DATE(YEAR(A1615),MONTH(A1615),1))</f>
        <v>46266</v>
      </c>
      <c r="I1615" s="37" t="str">
        <f aca="false">IF(B1615="","",IFERROR(INDEX(st_ID,MATCH(B1615,st_Name,0)),"Unknown"))</f>
        <v>QP-07</v>
      </c>
      <c r="J1615" s="37" t="str">
        <f aca="false">IF(C1615="","",IFERROR(INDEX(cl_Code,MATCH(C1615,cl_Name,0)),"Unknown"))</f>
        <v/>
      </c>
      <c r="K1615" s="37" t="str">
        <f aca="false">IF(D1615="","",IFERROR(INDEX(rt_Billable,MATCH(D1615,rt_Code,0)),"Unknown"))</f>
        <v>No</v>
      </c>
      <c r="L1615" s="38" t="str">
        <f aca="false">IF(K1615&lt;&gt;"Yes","",IFERROR(INDEX(cr_Rate,MATCH(J1615&amp;"|"&amp;D1615,cr_Key,0)),INDEX(rt_Rate,MATCH(D1615,rt_Code,0))))</f>
        <v/>
      </c>
      <c r="M1615" s="25" t="str">
        <f aca="false">IF(L1615="","",ROUND(N(E1615)*L1615,2))</f>
        <v/>
      </c>
      <c r="N1615" s="39" t="n">
        <f aca="false">IF(OR(A1615="",B1615=""),"",SUMIFS(tl_Hours,tl_StaffID,I1615,tl_Date,A1615))</f>
        <v>8</v>
      </c>
      <c r="O1615" s="40" t="str">
        <f aca="false">IF(A1615&amp;B1615&amp;D1615="","",IF(OR(A1615="",B1615="",D1615="",E1615=""),"Incomplete",IF(K1615="Unknown","Unknown code",IF(AND(K1615="Yes",C1615=""),"Billable, needs client",IF(N1615&gt;MaxDayHours,"Over "&amp;MaxDayHours&amp;" hours that day","")))))</f>
        <v/>
      </c>
    </row>
    <row r="1616" customFormat="false" ht="15" hidden="false" customHeight="false" outlineLevel="0" collapsed="false">
      <c r="A1616" s="31" t="n">
        <v>46288</v>
      </c>
      <c r="B1616" s="32" t="s">
        <v>106</v>
      </c>
      <c r="C1616" s="32"/>
      <c r="D1616" s="33" t="s">
        <v>96</v>
      </c>
      <c r="E1616" s="34" t="n">
        <v>0.5</v>
      </c>
      <c r="F1616" s="32"/>
      <c r="G1616" s="35" t="n">
        <f aca="false">IF(A1616="","",A1616+7-WEEKDAY(A1616))</f>
        <v>46291</v>
      </c>
      <c r="H1616" s="36" t="n">
        <f aca="false">IF(A1616="","",DATE(YEAR(A1616),MONTH(A1616),1))</f>
        <v>46266</v>
      </c>
      <c r="I1616" s="37" t="str">
        <f aca="false">IF(B1616="","",IFERROR(INDEX(st_ID,MATCH(B1616,st_Name,0)),"Unknown"))</f>
        <v>QP-07</v>
      </c>
      <c r="J1616" s="37" t="str">
        <f aca="false">IF(C1616="","",IFERROR(INDEX(cl_Code,MATCH(C1616,cl_Name,0)),"Unknown"))</f>
        <v/>
      </c>
      <c r="K1616" s="37" t="str">
        <f aca="false">IF(D1616="","",IFERROR(INDEX(rt_Billable,MATCH(D1616,rt_Code,0)),"Unknown"))</f>
        <v>No</v>
      </c>
      <c r="L1616" s="38" t="str">
        <f aca="false">IF(K1616&lt;&gt;"Yes","",IFERROR(INDEX(cr_Rate,MATCH(J1616&amp;"|"&amp;D1616,cr_Key,0)),INDEX(rt_Rate,MATCH(D1616,rt_Code,0))))</f>
        <v/>
      </c>
      <c r="M1616" s="25" t="str">
        <f aca="false">IF(L1616="","",ROUND(N(E1616)*L1616,2))</f>
        <v/>
      </c>
      <c r="N1616" s="39" t="n">
        <f aca="false">IF(OR(A1616="",B1616=""),"",SUMIFS(tl_Hours,tl_StaffID,I1616,tl_Date,A1616))</f>
        <v>8</v>
      </c>
      <c r="O1616" s="40" t="str">
        <f aca="false">IF(A1616&amp;B1616&amp;D1616="","",IF(OR(A1616="",B1616="",D1616="",E1616=""),"Incomplete",IF(K1616="Unknown","Unknown code",IF(AND(K1616="Yes",C1616=""),"Billable, needs client",IF(N1616&gt;MaxDayHours,"Over "&amp;MaxDayHours&amp;" hours that day","")))))</f>
        <v/>
      </c>
    </row>
    <row r="1617" customFormat="false" ht="15" hidden="false" customHeight="false" outlineLevel="0" collapsed="false">
      <c r="A1617" s="31" t="n">
        <v>46288</v>
      </c>
      <c r="B1617" s="32" t="s">
        <v>107</v>
      </c>
      <c r="C1617" s="32"/>
      <c r="D1617" s="33" t="s">
        <v>108</v>
      </c>
      <c r="E1617" s="34" t="n">
        <v>6.5</v>
      </c>
      <c r="F1617" s="32"/>
      <c r="G1617" s="35" t="n">
        <f aca="false">IF(A1617="","",A1617+7-WEEKDAY(A1617))</f>
        <v>46291</v>
      </c>
      <c r="H1617" s="36" t="n">
        <f aca="false">IF(A1617="","",DATE(YEAR(A1617),MONTH(A1617),1))</f>
        <v>46266</v>
      </c>
      <c r="I1617" s="37" t="str">
        <f aca="false">IF(B1617="","",IFERROR(INDEX(st_ID,MATCH(B1617,st_Name,0)),"Unknown"))</f>
        <v>QP-08</v>
      </c>
      <c r="J1617" s="37" t="str">
        <f aca="false">IF(C1617="","",IFERROR(INDEX(cl_Code,MATCH(C1617,cl_Name,0)),"Unknown"))</f>
        <v/>
      </c>
      <c r="K1617" s="37" t="str">
        <f aca="false">IF(D1617="","",IFERROR(INDEX(rt_Billable,MATCH(D1617,rt_Code,0)),"Unknown"))</f>
        <v>No</v>
      </c>
      <c r="L1617" s="38" t="str">
        <f aca="false">IF(K1617&lt;&gt;"Yes","",IFERROR(INDEX(cr_Rate,MATCH(J1617&amp;"|"&amp;D1617,cr_Key,0)),INDEX(rt_Rate,MATCH(D1617,rt_Code,0))))</f>
        <v/>
      </c>
      <c r="M1617" s="25" t="str">
        <f aca="false">IF(L1617="","",ROUND(N(E1617)*L1617,2))</f>
        <v/>
      </c>
      <c r="N1617" s="39" t="n">
        <f aca="false">IF(OR(A1617="",B1617=""),"",SUMIFS(tl_Hours,tl_StaffID,I1617,tl_Date,A1617))</f>
        <v>8</v>
      </c>
      <c r="O1617" s="40" t="str">
        <f aca="false">IF(A1617&amp;B1617&amp;D1617="","",IF(OR(A1617="",B1617="",D1617="",E1617=""),"Incomplete",IF(K1617="Unknown","Unknown code",IF(AND(K1617="Yes",C1617=""),"Billable, needs client",IF(N1617&gt;MaxDayHours,"Over "&amp;MaxDayHours&amp;" hours that day","")))))</f>
        <v/>
      </c>
    </row>
    <row r="1618" customFormat="false" ht="15" hidden="false" customHeight="false" outlineLevel="0" collapsed="false">
      <c r="A1618" s="31" t="n">
        <v>46288</v>
      </c>
      <c r="B1618" s="32" t="s">
        <v>107</v>
      </c>
      <c r="C1618" s="32"/>
      <c r="D1618" s="33" t="s">
        <v>98</v>
      </c>
      <c r="E1618" s="34" t="n">
        <v>1.5</v>
      </c>
      <c r="F1618" s="32"/>
      <c r="G1618" s="35" t="n">
        <f aca="false">IF(A1618="","",A1618+7-WEEKDAY(A1618))</f>
        <v>46291</v>
      </c>
      <c r="H1618" s="36" t="n">
        <f aca="false">IF(A1618="","",DATE(YEAR(A1618),MONTH(A1618),1))</f>
        <v>46266</v>
      </c>
      <c r="I1618" s="37" t="str">
        <f aca="false">IF(B1618="","",IFERROR(INDEX(st_ID,MATCH(B1618,st_Name,0)),"Unknown"))</f>
        <v>QP-08</v>
      </c>
      <c r="J1618" s="37" t="str">
        <f aca="false">IF(C1618="","",IFERROR(INDEX(cl_Code,MATCH(C1618,cl_Name,0)),"Unknown"))</f>
        <v/>
      </c>
      <c r="K1618" s="37" t="str">
        <f aca="false">IF(D1618="","",IFERROR(INDEX(rt_Billable,MATCH(D1618,rt_Code,0)),"Unknown"))</f>
        <v>No</v>
      </c>
      <c r="L1618" s="38" t="str">
        <f aca="false">IF(K1618&lt;&gt;"Yes","",IFERROR(INDEX(cr_Rate,MATCH(J1618&amp;"|"&amp;D1618,cr_Key,0)),INDEX(rt_Rate,MATCH(D1618,rt_Code,0))))</f>
        <v/>
      </c>
      <c r="M1618" s="25" t="str">
        <f aca="false">IF(L1618="","",ROUND(N(E1618)*L1618,2))</f>
        <v/>
      </c>
      <c r="N1618" s="39" t="n">
        <f aca="false">IF(OR(A1618="",B1618=""),"",SUMIFS(tl_Hours,tl_StaffID,I1618,tl_Date,A1618))</f>
        <v>8</v>
      </c>
      <c r="O1618" s="40" t="str">
        <f aca="false">IF(A1618&amp;B1618&amp;D1618="","",IF(OR(A1618="",B1618="",D1618="",E1618=""),"Incomplete",IF(K1618="Unknown","Unknown code",IF(AND(K1618="Yes",C1618=""),"Billable, needs client",IF(N1618&gt;MaxDayHours,"Over "&amp;MaxDayHours&amp;" hours that day","")))))</f>
        <v/>
      </c>
    </row>
    <row r="1619" customFormat="false" ht="15" hidden="false" customHeight="false" outlineLevel="0" collapsed="false">
      <c r="A1619" s="31" t="n">
        <v>46289</v>
      </c>
      <c r="B1619" s="32" t="s">
        <v>86</v>
      </c>
      <c r="C1619" s="32" t="s">
        <v>90</v>
      </c>
      <c r="D1619" s="33" t="s">
        <v>88</v>
      </c>
      <c r="E1619" s="34" t="n">
        <v>4.75</v>
      </c>
      <c r="F1619" s="32"/>
      <c r="G1619" s="35" t="n">
        <f aca="false">IF(A1619="","",A1619+7-WEEKDAY(A1619))</f>
        <v>46291</v>
      </c>
      <c r="H1619" s="36" t="n">
        <f aca="false">IF(A1619="","",DATE(YEAR(A1619),MONTH(A1619),1))</f>
        <v>46266</v>
      </c>
      <c r="I1619" s="37" t="str">
        <f aca="false">IF(B1619="","",IFERROR(INDEX(st_ID,MATCH(B1619,st_Name,0)),"Unknown"))</f>
        <v>QP-01</v>
      </c>
      <c r="J1619" s="37" t="str">
        <f aca="false">IF(C1619="","",IFERROR(INDEX(cl_Code,MATCH(C1619,cl_Name,0)),"Unknown"))</f>
        <v>BSE</v>
      </c>
      <c r="K1619" s="37" t="str">
        <f aca="false">IF(D1619="","",IFERROR(INDEX(rt_Billable,MATCH(D1619,rt_Code,0)),"Unknown"))</f>
        <v>Yes</v>
      </c>
      <c r="L1619" s="38" t="n">
        <f aca="false">IF(K1619&lt;&gt;"Yes","",IFERROR(INDEX(cr_Rate,MATCH(J1619&amp;"|"&amp;D1619,cr_Key,0)),INDEX(rt_Rate,MATCH(D1619,rt_Code,0))))</f>
        <v>104</v>
      </c>
      <c r="M1619" s="25" t="n">
        <f aca="false">IF(L1619="","",ROUND(N(E1619)*L1619,2))</f>
        <v>494</v>
      </c>
      <c r="N1619" s="39" t="n">
        <f aca="false">IF(OR(A1619="",B1619=""),"",SUMIFS(tl_Hours,tl_StaffID,I1619,tl_Date,A1619))</f>
        <v>8</v>
      </c>
      <c r="O1619" s="40" t="str">
        <f aca="false">IF(A1619&amp;B1619&amp;D1619="","",IF(OR(A1619="",B1619="",D1619="",E1619=""),"Incomplete",IF(K1619="Unknown","Unknown code",IF(AND(K1619="Yes",C1619=""),"Billable, needs client",IF(N1619&gt;MaxDayHours,"Over "&amp;MaxDayHours&amp;" hours that day","")))))</f>
        <v/>
      </c>
    </row>
    <row r="1620" customFormat="false" ht="15" hidden="false" customHeight="false" outlineLevel="0" collapsed="false">
      <c r="A1620" s="31" t="n">
        <v>46289</v>
      </c>
      <c r="B1620" s="32" t="s">
        <v>86</v>
      </c>
      <c r="C1620" s="32" t="s">
        <v>90</v>
      </c>
      <c r="D1620" s="33" t="s">
        <v>89</v>
      </c>
      <c r="E1620" s="34" t="n">
        <v>1</v>
      </c>
      <c r="F1620" s="32"/>
      <c r="G1620" s="35" t="n">
        <f aca="false">IF(A1620="","",A1620+7-WEEKDAY(A1620))</f>
        <v>46291</v>
      </c>
      <c r="H1620" s="36" t="n">
        <f aca="false">IF(A1620="","",DATE(YEAR(A1620),MONTH(A1620),1))</f>
        <v>46266</v>
      </c>
      <c r="I1620" s="37" t="str">
        <f aca="false">IF(B1620="","",IFERROR(INDEX(st_ID,MATCH(B1620,st_Name,0)),"Unknown"))</f>
        <v>QP-01</v>
      </c>
      <c r="J1620" s="37" t="str">
        <f aca="false">IF(C1620="","",IFERROR(INDEX(cl_Code,MATCH(C1620,cl_Name,0)),"Unknown"))</f>
        <v>BSE</v>
      </c>
      <c r="K1620" s="37" t="str">
        <f aca="false">IF(D1620="","",IFERROR(INDEX(rt_Billable,MATCH(D1620,rt_Code,0)),"Unknown"))</f>
        <v>Yes</v>
      </c>
      <c r="L1620" s="38" t="n">
        <f aca="false">IF(K1620&lt;&gt;"Yes","",IFERROR(INDEX(cr_Rate,MATCH(J1620&amp;"|"&amp;D1620,cr_Key,0)),INDEX(rt_Rate,MATCH(D1620,rt_Code,0))))</f>
        <v>95</v>
      </c>
      <c r="M1620" s="25" t="n">
        <f aca="false">IF(L1620="","",ROUND(N(E1620)*L1620,2))</f>
        <v>95</v>
      </c>
      <c r="N1620" s="39" t="n">
        <f aca="false">IF(OR(A1620="",B1620=""),"",SUMIFS(tl_Hours,tl_StaffID,I1620,tl_Date,A1620))</f>
        <v>8</v>
      </c>
      <c r="O1620" s="40" t="str">
        <f aca="false">IF(A1620&amp;B1620&amp;D1620="","",IF(OR(A1620="",B1620="",D1620="",E1620=""),"Incomplete",IF(K1620="Unknown","Unknown code",IF(AND(K1620="Yes",C1620=""),"Billable, needs client",IF(N1620&gt;MaxDayHours,"Over "&amp;MaxDayHours&amp;" hours that day","")))))</f>
        <v/>
      </c>
    </row>
    <row r="1621" customFormat="false" ht="15" hidden="false" customHeight="false" outlineLevel="0" collapsed="false">
      <c r="A1621" s="31" t="n">
        <v>46289</v>
      </c>
      <c r="B1621" s="32" t="s">
        <v>86</v>
      </c>
      <c r="C1621" s="32"/>
      <c r="D1621" s="33" t="s">
        <v>96</v>
      </c>
      <c r="E1621" s="34" t="n">
        <v>2.25</v>
      </c>
      <c r="F1621" s="32"/>
      <c r="G1621" s="35" t="n">
        <f aca="false">IF(A1621="","",A1621+7-WEEKDAY(A1621))</f>
        <v>46291</v>
      </c>
      <c r="H1621" s="36" t="n">
        <f aca="false">IF(A1621="","",DATE(YEAR(A1621),MONTH(A1621),1))</f>
        <v>46266</v>
      </c>
      <c r="I1621" s="37" t="str">
        <f aca="false">IF(B1621="","",IFERROR(INDEX(st_ID,MATCH(B1621,st_Name,0)),"Unknown"))</f>
        <v>QP-01</v>
      </c>
      <c r="J1621" s="37" t="str">
        <f aca="false">IF(C1621="","",IFERROR(INDEX(cl_Code,MATCH(C1621,cl_Name,0)),"Unknown"))</f>
        <v/>
      </c>
      <c r="K1621" s="37" t="str">
        <f aca="false">IF(D1621="","",IFERROR(INDEX(rt_Billable,MATCH(D1621,rt_Code,0)),"Unknown"))</f>
        <v>No</v>
      </c>
      <c r="L1621" s="38" t="str">
        <f aca="false">IF(K1621&lt;&gt;"Yes","",IFERROR(INDEX(cr_Rate,MATCH(J1621&amp;"|"&amp;D1621,cr_Key,0)),INDEX(rt_Rate,MATCH(D1621,rt_Code,0))))</f>
        <v/>
      </c>
      <c r="M1621" s="25" t="str">
        <f aca="false">IF(L1621="","",ROUND(N(E1621)*L1621,2))</f>
        <v/>
      </c>
      <c r="N1621" s="39" t="n">
        <f aca="false">IF(OR(A1621="",B1621=""),"",SUMIFS(tl_Hours,tl_StaffID,I1621,tl_Date,A1621))</f>
        <v>8</v>
      </c>
      <c r="O1621" s="40" t="str">
        <f aca="false">IF(A1621&amp;B1621&amp;D1621="","",IF(OR(A1621="",B1621="",D1621="",E1621=""),"Incomplete",IF(K1621="Unknown","Unknown code",IF(AND(K1621="Yes",C1621=""),"Billable, needs client",IF(N1621&gt;MaxDayHours,"Over "&amp;MaxDayHours&amp;" hours that day","")))))</f>
        <v/>
      </c>
    </row>
    <row r="1622" customFormat="false" ht="15" hidden="false" customHeight="false" outlineLevel="0" collapsed="false">
      <c r="A1622" s="31" t="n">
        <v>46289</v>
      </c>
      <c r="B1622" s="32" t="s">
        <v>97</v>
      </c>
      <c r="C1622" s="32" t="s">
        <v>87</v>
      </c>
      <c r="D1622" s="33" t="s">
        <v>88</v>
      </c>
      <c r="E1622" s="34" t="n">
        <v>1.5</v>
      </c>
      <c r="F1622" s="32"/>
      <c r="G1622" s="35" t="n">
        <f aca="false">IF(A1622="","",A1622+7-WEEKDAY(A1622))</f>
        <v>46291</v>
      </c>
      <c r="H1622" s="36" t="n">
        <f aca="false">IF(A1622="","",DATE(YEAR(A1622),MONTH(A1622),1))</f>
        <v>46266</v>
      </c>
      <c r="I1622" s="37" t="str">
        <f aca="false">IF(B1622="","",IFERROR(INDEX(st_ID,MATCH(B1622,st_Name,0)),"Unknown"))</f>
        <v>QP-02</v>
      </c>
      <c r="J1622" s="37" t="str">
        <f aca="false">IF(C1622="","",IFERROR(INDEX(cl_Code,MATCH(C1622,cl_Name,0)),"Unknown"))</f>
        <v>HCS</v>
      </c>
      <c r="K1622" s="37" t="str">
        <f aca="false">IF(D1622="","",IFERROR(INDEX(rt_Billable,MATCH(D1622,rt_Code,0)),"Unknown"))</f>
        <v>Yes</v>
      </c>
      <c r="L1622" s="38" t="n">
        <f aca="false">IF(K1622&lt;&gt;"Yes","",IFERROR(INDEX(cr_Rate,MATCH(J1622&amp;"|"&amp;D1622,cr_Key,0)),INDEX(rt_Rate,MATCH(D1622,rt_Code,0))))</f>
        <v>98</v>
      </c>
      <c r="M1622" s="25" t="n">
        <f aca="false">IF(L1622="","",ROUND(N(E1622)*L1622,2))</f>
        <v>147</v>
      </c>
      <c r="N1622" s="39" t="n">
        <f aca="false">IF(OR(A1622="",B1622=""),"",SUMIFS(tl_Hours,tl_StaffID,I1622,tl_Date,A1622))</f>
        <v>8</v>
      </c>
      <c r="O1622" s="40" t="str">
        <f aca="false">IF(A1622&amp;B1622&amp;D1622="","",IF(OR(A1622="",B1622="",D1622="",E1622=""),"Incomplete",IF(K1622="Unknown","Unknown code",IF(AND(K1622="Yes",C1622=""),"Billable, needs client",IF(N1622&gt;MaxDayHours,"Over "&amp;MaxDayHours&amp;" hours that day","")))))</f>
        <v/>
      </c>
    </row>
    <row r="1623" customFormat="false" ht="15" hidden="false" customHeight="false" outlineLevel="0" collapsed="false">
      <c r="A1623" s="31" t="n">
        <v>46289</v>
      </c>
      <c r="B1623" s="32" t="s">
        <v>97</v>
      </c>
      <c r="C1623" s="32" t="s">
        <v>87</v>
      </c>
      <c r="D1623" s="33" t="s">
        <v>104</v>
      </c>
      <c r="E1623" s="34" t="n">
        <v>1.25</v>
      </c>
      <c r="F1623" s="32"/>
      <c r="G1623" s="35" t="n">
        <f aca="false">IF(A1623="","",A1623+7-WEEKDAY(A1623))</f>
        <v>46291</v>
      </c>
      <c r="H1623" s="36" t="n">
        <f aca="false">IF(A1623="","",DATE(YEAR(A1623),MONTH(A1623),1))</f>
        <v>46266</v>
      </c>
      <c r="I1623" s="37" t="str">
        <f aca="false">IF(B1623="","",IFERROR(INDEX(st_ID,MATCH(B1623,st_Name,0)),"Unknown"))</f>
        <v>QP-02</v>
      </c>
      <c r="J1623" s="37" t="str">
        <f aca="false">IF(C1623="","",IFERROR(INDEX(cl_Code,MATCH(C1623,cl_Name,0)),"Unknown"))</f>
        <v>HCS</v>
      </c>
      <c r="K1623" s="37" t="str">
        <f aca="false">IF(D1623="","",IFERROR(INDEX(rt_Billable,MATCH(D1623,rt_Code,0)),"Unknown"))</f>
        <v>Yes</v>
      </c>
      <c r="L1623" s="38" t="n">
        <f aca="false">IF(K1623&lt;&gt;"Yes","",IFERROR(INDEX(cr_Rate,MATCH(J1623&amp;"|"&amp;D1623,cr_Key,0)),INDEX(rt_Rate,MATCH(D1623,rt_Code,0))))</f>
        <v>62</v>
      </c>
      <c r="M1623" s="25" t="n">
        <f aca="false">IF(L1623="","",ROUND(N(E1623)*L1623,2))</f>
        <v>77.5</v>
      </c>
      <c r="N1623" s="39" t="n">
        <f aca="false">IF(OR(A1623="",B1623=""),"",SUMIFS(tl_Hours,tl_StaffID,I1623,tl_Date,A1623))</f>
        <v>8</v>
      </c>
      <c r="O1623" s="40" t="str">
        <f aca="false">IF(A1623&amp;B1623&amp;D1623="","",IF(OR(A1623="",B1623="",D1623="",E1623=""),"Incomplete",IF(K1623="Unknown","Unknown code",IF(AND(K1623="Yes",C1623=""),"Billable, needs client",IF(N1623&gt;MaxDayHours,"Over "&amp;MaxDayHours&amp;" hours that day","")))))</f>
        <v/>
      </c>
    </row>
    <row r="1624" customFormat="false" ht="15" hidden="false" customHeight="false" outlineLevel="0" collapsed="false">
      <c r="A1624" s="31" t="n">
        <v>46289</v>
      </c>
      <c r="B1624" s="32" t="s">
        <v>97</v>
      </c>
      <c r="C1624" s="32" t="s">
        <v>90</v>
      </c>
      <c r="D1624" s="33" t="s">
        <v>88</v>
      </c>
      <c r="E1624" s="34" t="n">
        <v>2.25</v>
      </c>
      <c r="F1624" s="32"/>
      <c r="G1624" s="35" t="n">
        <f aca="false">IF(A1624="","",A1624+7-WEEKDAY(A1624))</f>
        <v>46291</v>
      </c>
      <c r="H1624" s="36" t="n">
        <f aca="false">IF(A1624="","",DATE(YEAR(A1624),MONTH(A1624),1))</f>
        <v>46266</v>
      </c>
      <c r="I1624" s="37" t="str">
        <f aca="false">IF(B1624="","",IFERROR(INDEX(st_ID,MATCH(B1624,st_Name,0)),"Unknown"))</f>
        <v>QP-02</v>
      </c>
      <c r="J1624" s="37" t="str">
        <f aca="false">IF(C1624="","",IFERROR(INDEX(cl_Code,MATCH(C1624,cl_Name,0)),"Unknown"))</f>
        <v>BSE</v>
      </c>
      <c r="K1624" s="37" t="str">
        <f aca="false">IF(D1624="","",IFERROR(INDEX(rt_Billable,MATCH(D1624,rt_Code,0)),"Unknown"))</f>
        <v>Yes</v>
      </c>
      <c r="L1624" s="38" t="n">
        <f aca="false">IF(K1624&lt;&gt;"Yes","",IFERROR(INDEX(cr_Rate,MATCH(J1624&amp;"|"&amp;D1624,cr_Key,0)),INDEX(rt_Rate,MATCH(D1624,rt_Code,0))))</f>
        <v>104</v>
      </c>
      <c r="M1624" s="25" t="n">
        <f aca="false">IF(L1624="","",ROUND(N(E1624)*L1624,2))</f>
        <v>234</v>
      </c>
      <c r="N1624" s="39" t="n">
        <f aca="false">IF(OR(A1624="",B1624=""),"",SUMIFS(tl_Hours,tl_StaffID,I1624,tl_Date,A1624))</f>
        <v>8</v>
      </c>
      <c r="O1624" s="40" t="str">
        <f aca="false">IF(A1624&amp;B1624&amp;D1624="","",IF(OR(A1624="",B1624="",D1624="",E1624=""),"Incomplete",IF(K1624="Unknown","Unknown code",IF(AND(K1624="Yes",C1624=""),"Billable, needs client",IF(N1624&gt;MaxDayHours,"Over "&amp;MaxDayHours&amp;" hours that day","")))))</f>
        <v/>
      </c>
    </row>
    <row r="1625" customFormat="false" ht="15" hidden="false" customHeight="false" outlineLevel="0" collapsed="false">
      <c r="A1625" s="31" t="n">
        <v>46289</v>
      </c>
      <c r="B1625" s="32" t="s">
        <v>97</v>
      </c>
      <c r="C1625" s="32" t="s">
        <v>90</v>
      </c>
      <c r="D1625" s="33" t="s">
        <v>92</v>
      </c>
      <c r="E1625" s="34" t="n">
        <v>0.5</v>
      </c>
      <c r="F1625" s="32"/>
      <c r="G1625" s="35" t="n">
        <f aca="false">IF(A1625="","",A1625+7-WEEKDAY(A1625))</f>
        <v>46291</v>
      </c>
      <c r="H1625" s="36" t="n">
        <f aca="false">IF(A1625="","",DATE(YEAR(A1625),MONTH(A1625),1))</f>
        <v>46266</v>
      </c>
      <c r="I1625" s="37" t="str">
        <f aca="false">IF(B1625="","",IFERROR(INDEX(st_ID,MATCH(B1625,st_Name,0)),"Unknown"))</f>
        <v>QP-02</v>
      </c>
      <c r="J1625" s="37" t="str">
        <f aca="false">IF(C1625="","",IFERROR(INDEX(cl_Code,MATCH(C1625,cl_Name,0)),"Unknown"))</f>
        <v>BSE</v>
      </c>
      <c r="K1625" s="37" t="str">
        <f aca="false">IF(D1625="","",IFERROR(INDEX(rt_Billable,MATCH(D1625,rt_Code,0)),"Unknown"))</f>
        <v>Yes</v>
      </c>
      <c r="L1625" s="38" t="n">
        <f aca="false">IF(K1625&lt;&gt;"Yes","",IFERROR(INDEX(cr_Rate,MATCH(J1625&amp;"|"&amp;D1625,cr_Key,0)),INDEX(rt_Rate,MATCH(D1625,rt_Code,0))))</f>
        <v>145</v>
      </c>
      <c r="M1625" s="25" t="n">
        <f aca="false">IF(L1625="","",ROUND(N(E1625)*L1625,2))</f>
        <v>72.5</v>
      </c>
      <c r="N1625" s="39" t="n">
        <f aca="false">IF(OR(A1625="",B1625=""),"",SUMIFS(tl_Hours,tl_StaffID,I1625,tl_Date,A1625))</f>
        <v>8</v>
      </c>
      <c r="O1625" s="40" t="str">
        <f aca="false">IF(A1625&amp;B1625&amp;D1625="","",IF(OR(A1625="",B1625="",D1625="",E1625=""),"Incomplete",IF(K1625="Unknown","Unknown code",IF(AND(K1625="Yes",C1625=""),"Billable, needs client",IF(N1625&gt;MaxDayHours,"Over "&amp;MaxDayHours&amp;" hours that day","")))))</f>
        <v/>
      </c>
    </row>
    <row r="1626" customFormat="false" ht="15" hidden="false" customHeight="false" outlineLevel="0" collapsed="false">
      <c r="A1626" s="31" t="n">
        <v>46289</v>
      </c>
      <c r="B1626" s="32" t="s">
        <v>97</v>
      </c>
      <c r="C1626" s="32"/>
      <c r="D1626" s="33" t="s">
        <v>93</v>
      </c>
      <c r="E1626" s="34" t="n">
        <v>0.5</v>
      </c>
      <c r="F1626" s="32"/>
      <c r="G1626" s="35" t="n">
        <f aca="false">IF(A1626="","",A1626+7-WEEKDAY(A1626))</f>
        <v>46291</v>
      </c>
      <c r="H1626" s="36" t="n">
        <f aca="false">IF(A1626="","",DATE(YEAR(A1626),MONTH(A1626),1))</f>
        <v>46266</v>
      </c>
      <c r="I1626" s="37" t="str">
        <f aca="false">IF(B1626="","",IFERROR(INDEX(st_ID,MATCH(B1626,st_Name,0)),"Unknown"))</f>
        <v>QP-02</v>
      </c>
      <c r="J1626" s="37" t="str">
        <f aca="false">IF(C1626="","",IFERROR(INDEX(cl_Code,MATCH(C1626,cl_Name,0)),"Unknown"))</f>
        <v/>
      </c>
      <c r="K1626" s="37" t="str">
        <f aca="false">IF(D1626="","",IFERROR(INDEX(rt_Billable,MATCH(D1626,rt_Code,0)),"Unknown"))</f>
        <v>No</v>
      </c>
      <c r="L1626" s="38" t="str">
        <f aca="false">IF(K1626&lt;&gt;"Yes","",IFERROR(INDEX(cr_Rate,MATCH(J1626&amp;"|"&amp;D1626,cr_Key,0)),INDEX(rt_Rate,MATCH(D1626,rt_Code,0))))</f>
        <v/>
      </c>
      <c r="M1626" s="25" t="str">
        <f aca="false">IF(L1626="","",ROUND(N(E1626)*L1626,2))</f>
        <v/>
      </c>
      <c r="N1626" s="39" t="n">
        <f aca="false">IF(OR(A1626="",B1626=""),"",SUMIFS(tl_Hours,tl_StaffID,I1626,tl_Date,A1626))</f>
        <v>8</v>
      </c>
      <c r="O1626" s="40" t="str">
        <f aca="false">IF(A1626&amp;B1626&amp;D1626="","",IF(OR(A1626="",B1626="",D1626="",E1626=""),"Incomplete",IF(K1626="Unknown","Unknown code",IF(AND(K1626="Yes",C1626=""),"Billable, needs client",IF(N1626&gt;MaxDayHours,"Over "&amp;MaxDayHours&amp;" hours that day","")))))</f>
        <v/>
      </c>
    </row>
    <row r="1627" customFormat="false" ht="15" hidden="false" customHeight="false" outlineLevel="0" collapsed="false">
      <c r="A1627" s="31" t="n">
        <v>46289</v>
      </c>
      <c r="B1627" s="32" t="s">
        <v>97</v>
      </c>
      <c r="C1627" s="32"/>
      <c r="D1627" s="33" t="s">
        <v>96</v>
      </c>
      <c r="E1627" s="34" t="n">
        <v>2</v>
      </c>
      <c r="F1627" s="32"/>
      <c r="G1627" s="35" t="n">
        <f aca="false">IF(A1627="","",A1627+7-WEEKDAY(A1627))</f>
        <v>46291</v>
      </c>
      <c r="H1627" s="36" t="n">
        <f aca="false">IF(A1627="","",DATE(YEAR(A1627),MONTH(A1627),1))</f>
        <v>46266</v>
      </c>
      <c r="I1627" s="37" t="str">
        <f aca="false">IF(B1627="","",IFERROR(INDEX(st_ID,MATCH(B1627,st_Name,0)),"Unknown"))</f>
        <v>QP-02</v>
      </c>
      <c r="J1627" s="37" t="str">
        <f aca="false">IF(C1627="","",IFERROR(INDEX(cl_Code,MATCH(C1627,cl_Name,0)),"Unknown"))</f>
        <v/>
      </c>
      <c r="K1627" s="37" t="str">
        <f aca="false">IF(D1627="","",IFERROR(INDEX(rt_Billable,MATCH(D1627,rt_Code,0)),"Unknown"))</f>
        <v>No</v>
      </c>
      <c r="L1627" s="38" t="str">
        <f aca="false">IF(K1627&lt;&gt;"Yes","",IFERROR(INDEX(cr_Rate,MATCH(J1627&amp;"|"&amp;D1627,cr_Key,0)),INDEX(rt_Rate,MATCH(D1627,rt_Code,0))))</f>
        <v/>
      </c>
      <c r="M1627" s="25" t="str">
        <f aca="false">IF(L1627="","",ROUND(N(E1627)*L1627,2))</f>
        <v/>
      </c>
      <c r="N1627" s="39" t="n">
        <f aca="false">IF(OR(A1627="",B1627=""),"",SUMIFS(tl_Hours,tl_StaffID,I1627,tl_Date,A1627))</f>
        <v>8</v>
      </c>
      <c r="O1627" s="40" t="str">
        <f aca="false">IF(A1627&amp;B1627&amp;D1627="","",IF(OR(A1627="",B1627="",D1627="",E1627=""),"Incomplete",IF(K1627="Unknown","Unknown code",IF(AND(K1627="Yes",C1627=""),"Billable, needs client",IF(N1627&gt;MaxDayHours,"Over "&amp;MaxDayHours&amp;" hours that day","")))))</f>
        <v/>
      </c>
    </row>
    <row r="1628" customFormat="false" ht="15" hidden="false" customHeight="false" outlineLevel="0" collapsed="false">
      <c r="A1628" s="31" t="n">
        <v>46289</v>
      </c>
      <c r="B1628" s="32" t="s">
        <v>100</v>
      </c>
      <c r="C1628" s="32" t="s">
        <v>90</v>
      </c>
      <c r="D1628" s="33" t="s">
        <v>91</v>
      </c>
      <c r="E1628" s="34" t="n">
        <v>1.75</v>
      </c>
      <c r="F1628" s="32"/>
      <c r="G1628" s="35" t="n">
        <f aca="false">IF(A1628="","",A1628+7-WEEKDAY(A1628))</f>
        <v>46291</v>
      </c>
      <c r="H1628" s="36" t="n">
        <f aca="false">IF(A1628="","",DATE(YEAR(A1628),MONTH(A1628),1))</f>
        <v>46266</v>
      </c>
      <c r="I1628" s="37" t="str">
        <f aca="false">IF(B1628="","",IFERROR(INDEX(st_ID,MATCH(B1628,st_Name,0)),"Unknown"))</f>
        <v>QP-03</v>
      </c>
      <c r="J1628" s="37" t="str">
        <f aca="false">IF(C1628="","",IFERROR(INDEX(cl_Code,MATCH(C1628,cl_Name,0)),"Unknown"))</f>
        <v>BSE</v>
      </c>
      <c r="K1628" s="37" t="str">
        <f aca="false">IF(D1628="","",IFERROR(INDEX(rt_Billable,MATCH(D1628,rt_Code,0)),"Unknown"))</f>
        <v>Yes</v>
      </c>
      <c r="L1628" s="38" t="n">
        <f aca="false">IF(K1628&lt;&gt;"Yes","",IFERROR(INDEX(cr_Rate,MATCH(J1628&amp;"|"&amp;D1628,cr_Key,0)),INDEX(rt_Rate,MATCH(D1628,rt_Code,0))))</f>
        <v>100</v>
      </c>
      <c r="M1628" s="25" t="n">
        <f aca="false">IF(L1628="","",ROUND(N(E1628)*L1628,2))</f>
        <v>175</v>
      </c>
      <c r="N1628" s="39" t="n">
        <f aca="false">IF(OR(A1628="",B1628=""),"",SUMIFS(tl_Hours,tl_StaffID,I1628,tl_Date,A1628))</f>
        <v>8</v>
      </c>
      <c r="O1628" s="40" t="str">
        <f aca="false">IF(A1628&amp;B1628&amp;D1628="","",IF(OR(A1628="",B1628="",D1628="",E1628=""),"Incomplete",IF(K1628="Unknown","Unknown code",IF(AND(K1628="Yes",C1628=""),"Billable, needs client",IF(N1628&gt;MaxDayHours,"Over "&amp;MaxDayHours&amp;" hours that day","")))))</f>
        <v/>
      </c>
    </row>
    <row r="1629" customFormat="false" ht="15" hidden="false" customHeight="false" outlineLevel="0" collapsed="false">
      <c r="A1629" s="31" t="n">
        <v>46289</v>
      </c>
      <c r="B1629" s="32" t="s">
        <v>100</v>
      </c>
      <c r="C1629" s="32" t="s">
        <v>90</v>
      </c>
      <c r="D1629" s="33" t="s">
        <v>104</v>
      </c>
      <c r="E1629" s="34" t="n">
        <v>0.5</v>
      </c>
      <c r="F1629" s="32"/>
      <c r="G1629" s="35" t="n">
        <f aca="false">IF(A1629="","",A1629+7-WEEKDAY(A1629))</f>
        <v>46291</v>
      </c>
      <c r="H1629" s="36" t="n">
        <f aca="false">IF(A1629="","",DATE(YEAR(A1629),MONTH(A1629),1))</f>
        <v>46266</v>
      </c>
      <c r="I1629" s="37" t="str">
        <f aca="false">IF(B1629="","",IFERROR(INDEX(st_ID,MATCH(B1629,st_Name,0)),"Unknown"))</f>
        <v>QP-03</v>
      </c>
      <c r="J1629" s="37" t="str">
        <f aca="false">IF(C1629="","",IFERROR(INDEX(cl_Code,MATCH(C1629,cl_Name,0)),"Unknown"))</f>
        <v>BSE</v>
      </c>
      <c r="K1629" s="37" t="str">
        <f aca="false">IF(D1629="","",IFERROR(INDEX(rt_Billable,MATCH(D1629,rt_Code,0)),"Unknown"))</f>
        <v>Yes</v>
      </c>
      <c r="L1629" s="38" t="n">
        <f aca="false">IF(K1629&lt;&gt;"Yes","",IFERROR(INDEX(cr_Rate,MATCH(J1629&amp;"|"&amp;D1629,cr_Key,0)),INDEX(rt_Rate,MATCH(D1629,rt_Code,0))))</f>
        <v>70</v>
      </c>
      <c r="M1629" s="25" t="n">
        <f aca="false">IF(L1629="","",ROUND(N(E1629)*L1629,2))</f>
        <v>35</v>
      </c>
      <c r="N1629" s="39" t="n">
        <f aca="false">IF(OR(A1629="",B1629=""),"",SUMIFS(tl_Hours,tl_StaffID,I1629,tl_Date,A1629))</f>
        <v>8</v>
      </c>
      <c r="O1629" s="40" t="str">
        <f aca="false">IF(A1629&amp;B1629&amp;D1629="","",IF(OR(A1629="",B1629="",D1629="",E1629=""),"Incomplete",IF(K1629="Unknown","Unknown code",IF(AND(K1629="Yes",C1629=""),"Billable, needs client",IF(N1629&gt;MaxDayHours,"Over "&amp;MaxDayHours&amp;" hours that day","")))))</f>
        <v/>
      </c>
    </row>
    <row r="1630" customFormat="false" ht="15" hidden="false" customHeight="false" outlineLevel="0" collapsed="false">
      <c r="A1630" s="31" t="n">
        <v>46289</v>
      </c>
      <c r="B1630" s="32" t="s">
        <v>100</v>
      </c>
      <c r="C1630" s="32" t="s">
        <v>102</v>
      </c>
      <c r="D1630" s="33" t="s">
        <v>88</v>
      </c>
      <c r="E1630" s="34" t="n">
        <v>1.75</v>
      </c>
      <c r="F1630" s="32"/>
      <c r="G1630" s="35" t="n">
        <f aca="false">IF(A1630="","",A1630+7-WEEKDAY(A1630))</f>
        <v>46291</v>
      </c>
      <c r="H1630" s="36" t="n">
        <f aca="false">IF(A1630="","",DATE(YEAR(A1630),MONTH(A1630),1))</f>
        <v>46266</v>
      </c>
      <c r="I1630" s="37" t="str">
        <f aca="false">IF(B1630="","",IFERROR(INDEX(st_ID,MATCH(B1630,st_Name,0)),"Unknown"))</f>
        <v>QP-03</v>
      </c>
      <c r="J1630" s="37" t="str">
        <f aca="false">IF(C1630="","",IFERROR(INDEX(cl_Code,MATCH(C1630,cl_Name,0)),"Unknown"))</f>
        <v>CLH</v>
      </c>
      <c r="K1630" s="37" t="str">
        <f aca="false">IF(D1630="","",IFERROR(INDEX(rt_Billable,MATCH(D1630,rt_Code,0)),"Unknown"))</f>
        <v>Yes</v>
      </c>
      <c r="L1630" s="38" t="n">
        <f aca="false">IF(K1630&lt;&gt;"Yes","",IFERROR(INDEX(cr_Rate,MATCH(J1630&amp;"|"&amp;D1630,cr_Key,0)),INDEX(rt_Rate,MATCH(D1630,rt_Code,0))))</f>
        <v>110</v>
      </c>
      <c r="M1630" s="25" t="n">
        <f aca="false">IF(L1630="","",ROUND(N(E1630)*L1630,2))</f>
        <v>192.5</v>
      </c>
      <c r="N1630" s="39" t="n">
        <f aca="false">IF(OR(A1630="",B1630=""),"",SUMIFS(tl_Hours,tl_StaffID,I1630,tl_Date,A1630))</f>
        <v>8</v>
      </c>
      <c r="O1630" s="40" t="str">
        <f aca="false">IF(A1630&amp;B1630&amp;D1630="","",IF(OR(A1630="",B1630="",D1630="",E1630=""),"Incomplete",IF(K1630="Unknown","Unknown code",IF(AND(K1630="Yes",C1630=""),"Billable, needs client",IF(N1630&gt;MaxDayHours,"Over "&amp;MaxDayHours&amp;" hours that day","")))))</f>
        <v/>
      </c>
    </row>
    <row r="1631" customFormat="false" ht="15" hidden="false" customHeight="false" outlineLevel="0" collapsed="false">
      <c r="A1631" s="31" t="n">
        <v>46289</v>
      </c>
      <c r="B1631" s="32" t="s">
        <v>100</v>
      </c>
      <c r="C1631" s="32" t="s">
        <v>102</v>
      </c>
      <c r="D1631" s="33" t="s">
        <v>104</v>
      </c>
      <c r="E1631" s="34" t="n">
        <v>0.5</v>
      </c>
      <c r="F1631" s="32"/>
      <c r="G1631" s="35" t="n">
        <f aca="false">IF(A1631="","",A1631+7-WEEKDAY(A1631))</f>
        <v>46291</v>
      </c>
      <c r="H1631" s="36" t="n">
        <f aca="false">IF(A1631="","",DATE(YEAR(A1631),MONTH(A1631),1))</f>
        <v>46266</v>
      </c>
      <c r="I1631" s="37" t="str">
        <f aca="false">IF(B1631="","",IFERROR(INDEX(st_ID,MATCH(B1631,st_Name,0)),"Unknown"))</f>
        <v>QP-03</v>
      </c>
      <c r="J1631" s="37" t="str">
        <f aca="false">IF(C1631="","",IFERROR(INDEX(cl_Code,MATCH(C1631,cl_Name,0)),"Unknown"))</f>
        <v>CLH</v>
      </c>
      <c r="K1631" s="37" t="str">
        <f aca="false">IF(D1631="","",IFERROR(INDEX(rt_Billable,MATCH(D1631,rt_Code,0)),"Unknown"))</f>
        <v>Yes</v>
      </c>
      <c r="L1631" s="38" t="n">
        <f aca="false">IF(K1631&lt;&gt;"Yes","",IFERROR(INDEX(cr_Rate,MATCH(J1631&amp;"|"&amp;D1631,cr_Key,0)),INDEX(rt_Rate,MATCH(D1631,rt_Code,0))))</f>
        <v>65</v>
      </c>
      <c r="M1631" s="25" t="n">
        <f aca="false">IF(L1631="","",ROUND(N(E1631)*L1631,2))</f>
        <v>32.5</v>
      </c>
      <c r="N1631" s="39" t="n">
        <f aca="false">IF(OR(A1631="",B1631=""),"",SUMIFS(tl_Hours,tl_StaffID,I1631,tl_Date,A1631))</f>
        <v>8</v>
      </c>
      <c r="O1631" s="40" t="str">
        <f aca="false">IF(A1631&amp;B1631&amp;D1631="","",IF(OR(A1631="",B1631="",D1631="",E1631=""),"Incomplete",IF(K1631="Unknown","Unknown code",IF(AND(K1631="Yes",C1631=""),"Billable, needs client",IF(N1631&gt;MaxDayHours,"Over "&amp;MaxDayHours&amp;" hours that day","")))))</f>
        <v/>
      </c>
    </row>
    <row r="1632" customFormat="false" ht="15" hidden="false" customHeight="false" outlineLevel="0" collapsed="false">
      <c r="A1632" s="31" t="n">
        <v>46289</v>
      </c>
      <c r="B1632" s="32" t="s">
        <v>100</v>
      </c>
      <c r="C1632" s="32"/>
      <c r="D1632" s="33" t="s">
        <v>93</v>
      </c>
      <c r="E1632" s="34" t="n">
        <v>0.5</v>
      </c>
      <c r="F1632" s="32"/>
      <c r="G1632" s="35" t="n">
        <f aca="false">IF(A1632="","",A1632+7-WEEKDAY(A1632))</f>
        <v>46291</v>
      </c>
      <c r="H1632" s="36" t="n">
        <f aca="false">IF(A1632="","",DATE(YEAR(A1632),MONTH(A1632),1))</f>
        <v>46266</v>
      </c>
      <c r="I1632" s="37" t="str">
        <f aca="false">IF(B1632="","",IFERROR(INDEX(st_ID,MATCH(B1632,st_Name,0)),"Unknown"))</f>
        <v>QP-03</v>
      </c>
      <c r="J1632" s="37" t="str">
        <f aca="false">IF(C1632="","",IFERROR(INDEX(cl_Code,MATCH(C1632,cl_Name,0)),"Unknown"))</f>
        <v/>
      </c>
      <c r="K1632" s="37" t="str">
        <f aca="false">IF(D1632="","",IFERROR(INDEX(rt_Billable,MATCH(D1632,rt_Code,0)),"Unknown"))</f>
        <v>No</v>
      </c>
      <c r="L1632" s="38" t="str">
        <f aca="false">IF(K1632&lt;&gt;"Yes","",IFERROR(INDEX(cr_Rate,MATCH(J1632&amp;"|"&amp;D1632,cr_Key,0)),INDEX(rt_Rate,MATCH(D1632,rt_Code,0))))</f>
        <v/>
      </c>
      <c r="M1632" s="25" t="str">
        <f aca="false">IF(L1632="","",ROUND(N(E1632)*L1632,2))</f>
        <v/>
      </c>
      <c r="N1632" s="39" t="n">
        <f aca="false">IF(OR(A1632="",B1632=""),"",SUMIFS(tl_Hours,tl_StaffID,I1632,tl_Date,A1632))</f>
        <v>8</v>
      </c>
      <c r="O1632" s="40" t="str">
        <f aca="false">IF(A1632&amp;B1632&amp;D1632="","",IF(OR(A1632="",B1632="",D1632="",E1632=""),"Incomplete",IF(K1632="Unknown","Unknown code",IF(AND(K1632="Yes",C1632=""),"Billable, needs client",IF(N1632&gt;MaxDayHours,"Over "&amp;MaxDayHours&amp;" hours that day","")))))</f>
        <v/>
      </c>
    </row>
    <row r="1633" customFormat="false" ht="15" hidden="false" customHeight="false" outlineLevel="0" collapsed="false">
      <c r="A1633" s="31" t="n">
        <v>46289</v>
      </c>
      <c r="B1633" s="32" t="s">
        <v>100</v>
      </c>
      <c r="C1633" s="32"/>
      <c r="D1633" s="33" t="s">
        <v>96</v>
      </c>
      <c r="E1633" s="34" t="n">
        <v>3</v>
      </c>
      <c r="F1633" s="32"/>
      <c r="G1633" s="35" t="n">
        <f aca="false">IF(A1633="","",A1633+7-WEEKDAY(A1633))</f>
        <v>46291</v>
      </c>
      <c r="H1633" s="36" t="n">
        <f aca="false">IF(A1633="","",DATE(YEAR(A1633),MONTH(A1633),1))</f>
        <v>46266</v>
      </c>
      <c r="I1633" s="37" t="str">
        <f aca="false">IF(B1633="","",IFERROR(INDEX(st_ID,MATCH(B1633,st_Name,0)),"Unknown"))</f>
        <v>QP-03</v>
      </c>
      <c r="J1633" s="37" t="str">
        <f aca="false">IF(C1633="","",IFERROR(INDEX(cl_Code,MATCH(C1633,cl_Name,0)),"Unknown"))</f>
        <v/>
      </c>
      <c r="K1633" s="37" t="str">
        <f aca="false">IF(D1633="","",IFERROR(INDEX(rt_Billable,MATCH(D1633,rt_Code,0)),"Unknown"))</f>
        <v>No</v>
      </c>
      <c r="L1633" s="38" t="str">
        <f aca="false">IF(K1633&lt;&gt;"Yes","",IFERROR(INDEX(cr_Rate,MATCH(J1633&amp;"|"&amp;D1633,cr_Key,0)),INDEX(rt_Rate,MATCH(D1633,rt_Code,0))))</f>
        <v/>
      </c>
      <c r="M1633" s="25" t="str">
        <f aca="false">IF(L1633="","",ROUND(N(E1633)*L1633,2))</f>
        <v/>
      </c>
      <c r="N1633" s="39" t="n">
        <f aca="false">IF(OR(A1633="",B1633=""),"",SUMIFS(tl_Hours,tl_StaffID,I1633,tl_Date,A1633))</f>
        <v>8</v>
      </c>
      <c r="O1633" s="40" t="str">
        <f aca="false">IF(A1633&amp;B1633&amp;D1633="","",IF(OR(A1633="",B1633="",D1633="",E1633=""),"Incomplete",IF(K1633="Unknown","Unknown code",IF(AND(K1633="Yes",C1633=""),"Billable, needs client",IF(N1633&gt;MaxDayHours,"Over "&amp;MaxDayHours&amp;" hours that day","")))))</f>
        <v/>
      </c>
    </row>
    <row r="1634" customFormat="false" ht="15" hidden="false" customHeight="false" outlineLevel="0" collapsed="false">
      <c r="A1634" s="31" t="n">
        <v>46289</v>
      </c>
      <c r="B1634" s="32" t="s">
        <v>101</v>
      </c>
      <c r="C1634" s="32" t="s">
        <v>102</v>
      </c>
      <c r="D1634" s="33" t="s">
        <v>88</v>
      </c>
      <c r="E1634" s="34" t="n">
        <v>2</v>
      </c>
      <c r="F1634" s="32"/>
      <c r="G1634" s="35" t="n">
        <f aca="false">IF(A1634="","",A1634+7-WEEKDAY(A1634))</f>
        <v>46291</v>
      </c>
      <c r="H1634" s="36" t="n">
        <f aca="false">IF(A1634="","",DATE(YEAR(A1634),MONTH(A1634),1))</f>
        <v>46266</v>
      </c>
      <c r="I1634" s="37" t="str">
        <f aca="false">IF(B1634="","",IFERROR(INDEX(st_ID,MATCH(B1634,st_Name,0)),"Unknown"))</f>
        <v>QP-04</v>
      </c>
      <c r="J1634" s="37" t="str">
        <f aca="false">IF(C1634="","",IFERROR(INDEX(cl_Code,MATCH(C1634,cl_Name,0)),"Unknown"))</f>
        <v>CLH</v>
      </c>
      <c r="K1634" s="37" t="str">
        <f aca="false">IF(D1634="","",IFERROR(INDEX(rt_Billable,MATCH(D1634,rt_Code,0)),"Unknown"))</f>
        <v>Yes</v>
      </c>
      <c r="L1634" s="38" t="n">
        <f aca="false">IF(K1634&lt;&gt;"Yes","",IFERROR(INDEX(cr_Rate,MATCH(J1634&amp;"|"&amp;D1634,cr_Key,0)),INDEX(rt_Rate,MATCH(D1634,rt_Code,0))))</f>
        <v>110</v>
      </c>
      <c r="M1634" s="25" t="n">
        <f aca="false">IF(L1634="","",ROUND(N(E1634)*L1634,2))</f>
        <v>220</v>
      </c>
      <c r="N1634" s="39" t="n">
        <f aca="false">IF(OR(A1634="",B1634=""),"",SUMIFS(tl_Hours,tl_StaffID,I1634,tl_Date,A1634))</f>
        <v>8</v>
      </c>
      <c r="O1634" s="40" t="str">
        <f aca="false">IF(A1634&amp;B1634&amp;D1634="","",IF(OR(A1634="",B1634="",D1634="",E1634=""),"Incomplete",IF(K1634="Unknown","Unknown code",IF(AND(K1634="Yes",C1634=""),"Billable, needs client",IF(N1634&gt;MaxDayHours,"Over "&amp;MaxDayHours&amp;" hours that day","")))))</f>
        <v/>
      </c>
    </row>
    <row r="1635" customFormat="false" ht="15" hidden="false" customHeight="false" outlineLevel="0" collapsed="false">
      <c r="A1635" s="31" t="n">
        <v>46289</v>
      </c>
      <c r="B1635" s="32" t="s">
        <v>101</v>
      </c>
      <c r="C1635" s="32" t="s">
        <v>102</v>
      </c>
      <c r="D1635" s="33" t="s">
        <v>104</v>
      </c>
      <c r="E1635" s="34" t="n">
        <v>1.25</v>
      </c>
      <c r="F1635" s="32"/>
      <c r="G1635" s="35" t="n">
        <f aca="false">IF(A1635="","",A1635+7-WEEKDAY(A1635))</f>
        <v>46291</v>
      </c>
      <c r="H1635" s="36" t="n">
        <f aca="false">IF(A1635="","",DATE(YEAR(A1635),MONTH(A1635),1))</f>
        <v>46266</v>
      </c>
      <c r="I1635" s="37" t="str">
        <f aca="false">IF(B1635="","",IFERROR(INDEX(st_ID,MATCH(B1635,st_Name,0)),"Unknown"))</f>
        <v>QP-04</v>
      </c>
      <c r="J1635" s="37" t="str">
        <f aca="false">IF(C1635="","",IFERROR(INDEX(cl_Code,MATCH(C1635,cl_Name,0)),"Unknown"))</f>
        <v>CLH</v>
      </c>
      <c r="K1635" s="37" t="str">
        <f aca="false">IF(D1635="","",IFERROR(INDEX(rt_Billable,MATCH(D1635,rt_Code,0)),"Unknown"))</f>
        <v>Yes</v>
      </c>
      <c r="L1635" s="38" t="n">
        <f aca="false">IF(K1635&lt;&gt;"Yes","",IFERROR(INDEX(cr_Rate,MATCH(J1635&amp;"|"&amp;D1635,cr_Key,0)),INDEX(rt_Rate,MATCH(D1635,rt_Code,0))))</f>
        <v>65</v>
      </c>
      <c r="M1635" s="25" t="n">
        <f aca="false">IF(L1635="","",ROUND(N(E1635)*L1635,2))</f>
        <v>81.25</v>
      </c>
      <c r="N1635" s="39" t="n">
        <f aca="false">IF(OR(A1635="",B1635=""),"",SUMIFS(tl_Hours,tl_StaffID,I1635,tl_Date,A1635))</f>
        <v>8</v>
      </c>
      <c r="O1635" s="40" t="str">
        <f aca="false">IF(A1635&amp;B1635&amp;D1635="","",IF(OR(A1635="",B1635="",D1635="",E1635=""),"Incomplete",IF(K1635="Unknown","Unknown code",IF(AND(K1635="Yes",C1635=""),"Billable, needs client",IF(N1635&gt;MaxDayHours,"Over "&amp;MaxDayHours&amp;" hours that day","")))))</f>
        <v/>
      </c>
    </row>
    <row r="1636" customFormat="false" ht="15" hidden="false" customHeight="false" outlineLevel="0" collapsed="false">
      <c r="A1636" s="31" t="n">
        <v>46289</v>
      </c>
      <c r="B1636" s="32" t="s">
        <v>101</v>
      </c>
      <c r="C1636" s="32" t="s">
        <v>87</v>
      </c>
      <c r="D1636" s="33" t="s">
        <v>88</v>
      </c>
      <c r="E1636" s="34" t="n">
        <v>1.75</v>
      </c>
      <c r="F1636" s="32"/>
      <c r="G1636" s="35" t="n">
        <f aca="false">IF(A1636="","",A1636+7-WEEKDAY(A1636))</f>
        <v>46291</v>
      </c>
      <c r="H1636" s="36" t="n">
        <f aca="false">IF(A1636="","",DATE(YEAR(A1636),MONTH(A1636),1))</f>
        <v>46266</v>
      </c>
      <c r="I1636" s="37" t="str">
        <f aca="false">IF(B1636="","",IFERROR(INDEX(st_ID,MATCH(B1636,st_Name,0)),"Unknown"))</f>
        <v>QP-04</v>
      </c>
      <c r="J1636" s="37" t="str">
        <f aca="false">IF(C1636="","",IFERROR(INDEX(cl_Code,MATCH(C1636,cl_Name,0)),"Unknown"))</f>
        <v>HCS</v>
      </c>
      <c r="K1636" s="37" t="str">
        <f aca="false">IF(D1636="","",IFERROR(INDEX(rt_Billable,MATCH(D1636,rt_Code,0)),"Unknown"))</f>
        <v>Yes</v>
      </c>
      <c r="L1636" s="38" t="n">
        <f aca="false">IF(K1636&lt;&gt;"Yes","",IFERROR(INDEX(cr_Rate,MATCH(J1636&amp;"|"&amp;D1636,cr_Key,0)),INDEX(rt_Rate,MATCH(D1636,rt_Code,0))))</f>
        <v>98</v>
      </c>
      <c r="M1636" s="25" t="n">
        <f aca="false">IF(L1636="","",ROUND(N(E1636)*L1636,2))</f>
        <v>171.5</v>
      </c>
      <c r="N1636" s="39" t="n">
        <f aca="false">IF(OR(A1636="",B1636=""),"",SUMIFS(tl_Hours,tl_StaffID,I1636,tl_Date,A1636))</f>
        <v>8</v>
      </c>
      <c r="O1636" s="40" t="str">
        <f aca="false">IF(A1636&amp;B1636&amp;D1636="","",IF(OR(A1636="",B1636="",D1636="",E1636=""),"Incomplete",IF(K1636="Unknown","Unknown code",IF(AND(K1636="Yes",C1636=""),"Billable, needs client",IF(N1636&gt;MaxDayHours,"Over "&amp;MaxDayHours&amp;" hours that day","")))))</f>
        <v/>
      </c>
    </row>
    <row r="1637" customFormat="false" ht="15" hidden="false" customHeight="false" outlineLevel="0" collapsed="false">
      <c r="A1637" s="31" t="n">
        <v>46289</v>
      </c>
      <c r="B1637" s="32" t="s">
        <v>101</v>
      </c>
      <c r="C1637" s="32" t="s">
        <v>87</v>
      </c>
      <c r="D1637" s="33" t="s">
        <v>92</v>
      </c>
      <c r="E1637" s="34" t="n">
        <v>1.5</v>
      </c>
      <c r="F1637" s="32"/>
      <c r="G1637" s="35" t="n">
        <f aca="false">IF(A1637="","",A1637+7-WEEKDAY(A1637))</f>
        <v>46291</v>
      </c>
      <c r="H1637" s="36" t="n">
        <f aca="false">IF(A1637="","",DATE(YEAR(A1637),MONTH(A1637),1))</f>
        <v>46266</v>
      </c>
      <c r="I1637" s="37" t="str">
        <f aca="false">IF(B1637="","",IFERROR(INDEX(st_ID,MATCH(B1637,st_Name,0)),"Unknown"))</f>
        <v>QP-04</v>
      </c>
      <c r="J1637" s="37" t="str">
        <f aca="false">IF(C1637="","",IFERROR(INDEX(cl_Code,MATCH(C1637,cl_Name,0)),"Unknown"))</f>
        <v>HCS</v>
      </c>
      <c r="K1637" s="37" t="str">
        <f aca="false">IF(D1637="","",IFERROR(INDEX(rt_Billable,MATCH(D1637,rt_Code,0)),"Unknown"))</f>
        <v>Yes</v>
      </c>
      <c r="L1637" s="38" t="n">
        <f aca="false">IF(K1637&lt;&gt;"Yes","",IFERROR(INDEX(cr_Rate,MATCH(J1637&amp;"|"&amp;D1637,cr_Key,0)),INDEX(rt_Rate,MATCH(D1637,rt_Code,0))))</f>
        <v>140</v>
      </c>
      <c r="M1637" s="25" t="n">
        <f aca="false">IF(L1637="","",ROUND(N(E1637)*L1637,2))</f>
        <v>210</v>
      </c>
      <c r="N1637" s="39" t="n">
        <f aca="false">IF(OR(A1637="",B1637=""),"",SUMIFS(tl_Hours,tl_StaffID,I1637,tl_Date,A1637))</f>
        <v>8</v>
      </c>
      <c r="O1637" s="40" t="str">
        <f aca="false">IF(A1637&amp;B1637&amp;D1637="","",IF(OR(A1637="",B1637="",D1637="",E1637=""),"Incomplete",IF(K1637="Unknown","Unknown code",IF(AND(K1637="Yes",C1637=""),"Billable, needs client",IF(N1637&gt;MaxDayHours,"Over "&amp;MaxDayHours&amp;" hours that day","")))))</f>
        <v/>
      </c>
    </row>
    <row r="1638" customFormat="false" ht="15" hidden="false" customHeight="false" outlineLevel="0" collapsed="false">
      <c r="A1638" s="31" t="n">
        <v>46289</v>
      </c>
      <c r="B1638" s="32" t="s">
        <v>101</v>
      </c>
      <c r="C1638" s="32"/>
      <c r="D1638" s="33" t="s">
        <v>93</v>
      </c>
      <c r="E1638" s="34" t="n">
        <v>0.5</v>
      </c>
      <c r="F1638" s="32"/>
      <c r="G1638" s="35" t="n">
        <f aca="false">IF(A1638="","",A1638+7-WEEKDAY(A1638))</f>
        <v>46291</v>
      </c>
      <c r="H1638" s="36" t="n">
        <f aca="false">IF(A1638="","",DATE(YEAR(A1638),MONTH(A1638),1))</f>
        <v>46266</v>
      </c>
      <c r="I1638" s="37" t="str">
        <f aca="false">IF(B1638="","",IFERROR(INDEX(st_ID,MATCH(B1638,st_Name,0)),"Unknown"))</f>
        <v>QP-04</v>
      </c>
      <c r="J1638" s="37" t="str">
        <f aca="false">IF(C1638="","",IFERROR(INDEX(cl_Code,MATCH(C1638,cl_Name,0)),"Unknown"))</f>
        <v/>
      </c>
      <c r="K1638" s="37" t="str">
        <f aca="false">IF(D1638="","",IFERROR(INDEX(rt_Billable,MATCH(D1638,rt_Code,0)),"Unknown"))</f>
        <v>No</v>
      </c>
      <c r="L1638" s="38" t="str">
        <f aca="false">IF(K1638&lt;&gt;"Yes","",IFERROR(INDEX(cr_Rate,MATCH(J1638&amp;"|"&amp;D1638,cr_Key,0)),INDEX(rt_Rate,MATCH(D1638,rt_Code,0))))</f>
        <v/>
      </c>
      <c r="M1638" s="25" t="str">
        <f aca="false">IF(L1638="","",ROUND(N(E1638)*L1638,2))</f>
        <v/>
      </c>
      <c r="N1638" s="39" t="n">
        <f aca="false">IF(OR(A1638="",B1638=""),"",SUMIFS(tl_Hours,tl_StaffID,I1638,tl_Date,A1638))</f>
        <v>8</v>
      </c>
      <c r="O1638" s="40" t="str">
        <f aca="false">IF(A1638&amp;B1638&amp;D1638="","",IF(OR(A1638="",B1638="",D1638="",E1638=""),"Incomplete",IF(K1638="Unknown","Unknown code",IF(AND(K1638="Yes",C1638=""),"Billable, needs client",IF(N1638&gt;MaxDayHours,"Over "&amp;MaxDayHours&amp;" hours that day","")))))</f>
        <v/>
      </c>
    </row>
    <row r="1639" customFormat="false" ht="15" hidden="false" customHeight="false" outlineLevel="0" collapsed="false">
      <c r="A1639" s="31" t="n">
        <v>46289</v>
      </c>
      <c r="B1639" s="32" t="s">
        <v>101</v>
      </c>
      <c r="C1639" s="32"/>
      <c r="D1639" s="33" t="s">
        <v>96</v>
      </c>
      <c r="E1639" s="34" t="n">
        <v>1</v>
      </c>
      <c r="F1639" s="32"/>
      <c r="G1639" s="35" t="n">
        <f aca="false">IF(A1639="","",A1639+7-WEEKDAY(A1639))</f>
        <v>46291</v>
      </c>
      <c r="H1639" s="36" t="n">
        <f aca="false">IF(A1639="","",DATE(YEAR(A1639),MONTH(A1639),1))</f>
        <v>46266</v>
      </c>
      <c r="I1639" s="37" t="str">
        <f aca="false">IF(B1639="","",IFERROR(INDEX(st_ID,MATCH(B1639,st_Name,0)),"Unknown"))</f>
        <v>QP-04</v>
      </c>
      <c r="J1639" s="37" t="str">
        <f aca="false">IF(C1639="","",IFERROR(INDEX(cl_Code,MATCH(C1639,cl_Name,0)),"Unknown"))</f>
        <v/>
      </c>
      <c r="K1639" s="37" t="str">
        <f aca="false">IF(D1639="","",IFERROR(INDEX(rt_Billable,MATCH(D1639,rt_Code,0)),"Unknown"))</f>
        <v>No</v>
      </c>
      <c r="L1639" s="38" t="str">
        <f aca="false">IF(K1639&lt;&gt;"Yes","",IFERROR(INDEX(cr_Rate,MATCH(J1639&amp;"|"&amp;D1639,cr_Key,0)),INDEX(rt_Rate,MATCH(D1639,rt_Code,0))))</f>
        <v/>
      </c>
      <c r="M1639" s="25" t="str">
        <f aca="false">IF(L1639="","",ROUND(N(E1639)*L1639,2))</f>
        <v/>
      </c>
      <c r="N1639" s="39" t="n">
        <f aca="false">IF(OR(A1639="",B1639=""),"",SUMIFS(tl_Hours,tl_StaffID,I1639,tl_Date,A1639))</f>
        <v>8</v>
      </c>
      <c r="O1639" s="40" t="str">
        <f aca="false">IF(A1639&amp;B1639&amp;D1639="","",IF(OR(A1639="",B1639="",D1639="",E1639=""),"Incomplete",IF(K1639="Unknown","Unknown code",IF(AND(K1639="Yes",C1639=""),"Billable, needs client",IF(N1639&gt;MaxDayHours,"Over "&amp;MaxDayHours&amp;" hours that day","")))))</f>
        <v/>
      </c>
    </row>
    <row r="1640" customFormat="false" ht="15" hidden="false" customHeight="false" outlineLevel="0" collapsed="false">
      <c r="A1640" s="31" t="n">
        <v>46289</v>
      </c>
      <c r="B1640" s="32" t="s">
        <v>103</v>
      </c>
      <c r="C1640" s="32" t="s">
        <v>90</v>
      </c>
      <c r="D1640" s="33" t="s">
        <v>91</v>
      </c>
      <c r="E1640" s="34" t="n">
        <v>4.25</v>
      </c>
      <c r="F1640" s="32"/>
      <c r="G1640" s="35" t="n">
        <f aca="false">IF(A1640="","",A1640+7-WEEKDAY(A1640))</f>
        <v>46291</v>
      </c>
      <c r="H1640" s="36" t="n">
        <f aca="false">IF(A1640="","",DATE(YEAR(A1640),MONTH(A1640),1))</f>
        <v>46266</v>
      </c>
      <c r="I1640" s="37" t="str">
        <f aca="false">IF(B1640="","",IFERROR(INDEX(st_ID,MATCH(B1640,st_Name,0)),"Unknown"))</f>
        <v>QP-05</v>
      </c>
      <c r="J1640" s="37" t="str">
        <f aca="false">IF(C1640="","",IFERROR(INDEX(cl_Code,MATCH(C1640,cl_Name,0)),"Unknown"))</f>
        <v>BSE</v>
      </c>
      <c r="K1640" s="37" t="str">
        <f aca="false">IF(D1640="","",IFERROR(INDEX(rt_Billable,MATCH(D1640,rt_Code,0)),"Unknown"))</f>
        <v>Yes</v>
      </c>
      <c r="L1640" s="38" t="n">
        <f aca="false">IF(K1640&lt;&gt;"Yes","",IFERROR(INDEX(cr_Rate,MATCH(J1640&amp;"|"&amp;D1640,cr_Key,0)),INDEX(rt_Rate,MATCH(D1640,rt_Code,0))))</f>
        <v>100</v>
      </c>
      <c r="M1640" s="25" t="n">
        <f aca="false">IF(L1640="","",ROUND(N(E1640)*L1640,2))</f>
        <v>425</v>
      </c>
      <c r="N1640" s="39" t="n">
        <f aca="false">IF(OR(A1640="",B1640=""),"",SUMIFS(tl_Hours,tl_StaffID,I1640,tl_Date,A1640))</f>
        <v>8</v>
      </c>
      <c r="O1640" s="40" t="str">
        <f aca="false">IF(A1640&amp;B1640&amp;D1640="","",IF(OR(A1640="",B1640="",D1640="",E1640=""),"Incomplete",IF(K1640="Unknown","Unknown code",IF(AND(K1640="Yes",C1640=""),"Billable, needs client",IF(N1640&gt;MaxDayHours,"Over "&amp;MaxDayHours&amp;" hours that day","")))))</f>
        <v/>
      </c>
    </row>
    <row r="1641" customFormat="false" ht="15" hidden="false" customHeight="false" outlineLevel="0" collapsed="false">
      <c r="A1641" s="31" t="n">
        <v>46289</v>
      </c>
      <c r="B1641" s="32" t="s">
        <v>103</v>
      </c>
      <c r="C1641" s="32" t="s">
        <v>90</v>
      </c>
      <c r="D1641" s="33" t="s">
        <v>104</v>
      </c>
      <c r="E1641" s="34" t="n">
        <v>1.25</v>
      </c>
      <c r="F1641" s="32"/>
      <c r="G1641" s="35" t="n">
        <f aca="false">IF(A1641="","",A1641+7-WEEKDAY(A1641))</f>
        <v>46291</v>
      </c>
      <c r="H1641" s="36" t="n">
        <f aca="false">IF(A1641="","",DATE(YEAR(A1641),MONTH(A1641),1))</f>
        <v>46266</v>
      </c>
      <c r="I1641" s="37" t="str">
        <f aca="false">IF(B1641="","",IFERROR(INDEX(st_ID,MATCH(B1641,st_Name,0)),"Unknown"))</f>
        <v>QP-05</v>
      </c>
      <c r="J1641" s="37" t="str">
        <f aca="false">IF(C1641="","",IFERROR(INDEX(cl_Code,MATCH(C1641,cl_Name,0)),"Unknown"))</f>
        <v>BSE</v>
      </c>
      <c r="K1641" s="37" t="str">
        <f aca="false">IF(D1641="","",IFERROR(INDEX(rt_Billable,MATCH(D1641,rt_Code,0)),"Unknown"))</f>
        <v>Yes</v>
      </c>
      <c r="L1641" s="38" t="n">
        <f aca="false">IF(K1641&lt;&gt;"Yes","",IFERROR(INDEX(cr_Rate,MATCH(J1641&amp;"|"&amp;D1641,cr_Key,0)),INDEX(rt_Rate,MATCH(D1641,rt_Code,0))))</f>
        <v>70</v>
      </c>
      <c r="M1641" s="25" t="n">
        <f aca="false">IF(L1641="","",ROUND(N(E1641)*L1641,2))</f>
        <v>87.5</v>
      </c>
      <c r="N1641" s="39" t="n">
        <f aca="false">IF(OR(A1641="",B1641=""),"",SUMIFS(tl_Hours,tl_StaffID,I1641,tl_Date,A1641))</f>
        <v>8</v>
      </c>
      <c r="O1641" s="40" t="str">
        <f aca="false">IF(A1641&amp;B1641&amp;D1641="","",IF(OR(A1641="",B1641="",D1641="",E1641=""),"Incomplete",IF(K1641="Unknown","Unknown code",IF(AND(K1641="Yes",C1641=""),"Billable, needs client",IF(N1641&gt;MaxDayHours,"Over "&amp;MaxDayHours&amp;" hours that day","")))))</f>
        <v/>
      </c>
    </row>
    <row r="1642" customFormat="false" ht="15" hidden="false" customHeight="false" outlineLevel="0" collapsed="false">
      <c r="A1642" s="31" t="n">
        <v>46289</v>
      </c>
      <c r="B1642" s="32" t="s">
        <v>103</v>
      </c>
      <c r="C1642" s="32"/>
      <c r="D1642" s="33" t="s">
        <v>94</v>
      </c>
      <c r="E1642" s="34" t="n">
        <v>1.5</v>
      </c>
      <c r="F1642" s="32" t="s">
        <v>95</v>
      </c>
      <c r="G1642" s="35" t="n">
        <f aca="false">IF(A1642="","",A1642+7-WEEKDAY(A1642))</f>
        <v>46291</v>
      </c>
      <c r="H1642" s="36" t="n">
        <f aca="false">IF(A1642="","",DATE(YEAR(A1642),MONTH(A1642),1))</f>
        <v>46266</v>
      </c>
      <c r="I1642" s="37" t="str">
        <f aca="false">IF(B1642="","",IFERROR(INDEX(st_ID,MATCH(B1642,st_Name,0)),"Unknown"))</f>
        <v>QP-05</v>
      </c>
      <c r="J1642" s="37" t="str">
        <f aca="false">IF(C1642="","",IFERROR(INDEX(cl_Code,MATCH(C1642,cl_Name,0)),"Unknown"))</f>
        <v/>
      </c>
      <c r="K1642" s="37" t="str">
        <f aca="false">IF(D1642="","",IFERROR(INDEX(rt_Billable,MATCH(D1642,rt_Code,0)),"Unknown"))</f>
        <v>No</v>
      </c>
      <c r="L1642" s="38" t="str">
        <f aca="false">IF(K1642&lt;&gt;"Yes","",IFERROR(INDEX(cr_Rate,MATCH(J1642&amp;"|"&amp;D1642,cr_Key,0)),INDEX(rt_Rate,MATCH(D1642,rt_Code,0))))</f>
        <v/>
      </c>
      <c r="M1642" s="25" t="str">
        <f aca="false">IF(L1642="","",ROUND(N(E1642)*L1642,2))</f>
        <v/>
      </c>
      <c r="N1642" s="39" t="n">
        <f aca="false">IF(OR(A1642="",B1642=""),"",SUMIFS(tl_Hours,tl_StaffID,I1642,tl_Date,A1642))</f>
        <v>8</v>
      </c>
      <c r="O1642" s="40" t="str">
        <f aca="false">IF(A1642&amp;B1642&amp;D1642="","",IF(OR(A1642="",B1642="",D1642="",E1642=""),"Incomplete",IF(K1642="Unknown","Unknown code",IF(AND(K1642="Yes",C1642=""),"Billable, needs client",IF(N1642&gt;MaxDayHours,"Over "&amp;MaxDayHours&amp;" hours that day","")))))</f>
        <v/>
      </c>
    </row>
    <row r="1643" customFormat="false" ht="15" hidden="false" customHeight="false" outlineLevel="0" collapsed="false">
      <c r="A1643" s="31" t="n">
        <v>46289</v>
      </c>
      <c r="B1643" s="32" t="s">
        <v>103</v>
      </c>
      <c r="C1643" s="32"/>
      <c r="D1643" s="33" t="s">
        <v>96</v>
      </c>
      <c r="E1643" s="34" t="n">
        <v>1</v>
      </c>
      <c r="F1643" s="32"/>
      <c r="G1643" s="35" t="n">
        <f aca="false">IF(A1643="","",A1643+7-WEEKDAY(A1643))</f>
        <v>46291</v>
      </c>
      <c r="H1643" s="36" t="n">
        <f aca="false">IF(A1643="","",DATE(YEAR(A1643),MONTH(A1643),1))</f>
        <v>46266</v>
      </c>
      <c r="I1643" s="37" t="str">
        <f aca="false">IF(B1643="","",IFERROR(INDEX(st_ID,MATCH(B1643,st_Name,0)),"Unknown"))</f>
        <v>QP-05</v>
      </c>
      <c r="J1643" s="37" t="str">
        <f aca="false">IF(C1643="","",IFERROR(INDEX(cl_Code,MATCH(C1643,cl_Name,0)),"Unknown"))</f>
        <v/>
      </c>
      <c r="K1643" s="37" t="str">
        <f aca="false">IF(D1643="","",IFERROR(INDEX(rt_Billable,MATCH(D1643,rt_Code,0)),"Unknown"))</f>
        <v>No</v>
      </c>
      <c r="L1643" s="38" t="str">
        <f aca="false">IF(K1643&lt;&gt;"Yes","",IFERROR(INDEX(cr_Rate,MATCH(J1643&amp;"|"&amp;D1643,cr_Key,0)),INDEX(rt_Rate,MATCH(D1643,rt_Code,0))))</f>
        <v/>
      </c>
      <c r="M1643" s="25" t="str">
        <f aca="false">IF(L1643="","",ROUND(N(E1643)*L1643,2))</f>
        <v/>
      </c>
      <c r="N1643" s="39" t="n">
        <f aca="false">IF(OR(A1643="",B1643=""),"",SUMIFS(tl_Hours,tl_StaffID,I1643,tl_Date,A1643))</f>
        <v>8</v>
      </c>
      <c r="O1643" s="40" t="str">
        <f aca="false">IF(A1643&amp;B1643&amp;D1643="","",IF(OR(A1643="",B1643="",D1643="",E1643=""),"Incomplete",IF(K1643="Unknown","Unknown code",IF(AND(K1643="Yes",C1643=""),"Billable, needs client",IF(N1643&gt;MaxDayHours,"Over "&amp;MaxDayHours&amp;" hours that day","")))))</f>
        <v/>
      </c>
    </row>
    <row r="1644" customFormat="false" ht="15" hidden="false" customHeight="false" outlineLevel="0" collapsed="false">
      <c r="A1644" s="31" t="n">
        <v>46289</v>
      </c>
      <c r="B1644" s="32" t="s">
        <v>105</v>
      </c>
      <c r="C1644" s="32" t="s">
        <v>87</v>
      </c>
      <c r="D1644" s="33" t="s">
        <v>88</v>
      </c>
      <c r="E1644" s="34" t="n">
        <v>4.5</v>
      </c>
      <c r="F1644" s="32"/>
      <c r="G1644" s="35" t="n">
        <f aca="false">IF(A1644="","",A1644+7-WEEKDAY(A1644))</f>
        <v>46291</v>
      </c>
      <c r="H1644" s="36" t="n">
        <f aca="false">IF(A1644="","",DATE(YEAR(A1644),MONTH(A1644),1))</f>
        <v>46266</v>
      </c>
      <c r="I1644" s="37" t="str">
        <f aca="false">IF(B1644="","",IFERROR(INDEX(st_ID,MATCH(B1644,st_Name,0)),"Unknown"))</f>
        <v>QP-06</v>
      </c>
      <c r="J1644" s="37" t="str">
        <f aca="false">IF(C1644="","",IFERROR(INDEX(cl_Code,MATCH(C1644,cl_Name,0)),"Unknown"))</f>
        <v>HCS</v>
      </c>
      <c r="K1644" s="37" t="str">
        <f aca="false">IF(D1644="","",IFERROR(INDEX(rt_Billable,MATCH(D1644,rt_Code,0)),"Unknown"))</f>
        <v>Yes</v>
      </c>
      <c r="L1644" s="38" t="n">
        <f aca="false">IF(K1644&lt;&gt;"Yes","",IFERROR(INDEX(cr_Rate,MATCH(J1644&amp;"|"&amp;D1644,cr_Key,0)),INDEX(rt_Rate,MATCH(D1644,rt_Code,0))))</f>
        <v>98</v>
      </c>
      <c r="M1644" s="25" t="n">
        <f aca="false">IF(L1644="","",ROUND(N(E1644)*L1644,2))</f>
        <v>441</v>
      </c>
      <c r="N1644" s="39" t="n">
        <f aca="false">IF(OR(A1644="",B1644=""),"",SUMIFS(tl_Hours,tl_StaffID,I1644,tl_Date,A1644))</f>
        <v>8</v>
      </c>
      <c r="O1644" s="40" t="str">
        <f aca="false">IF(A1644&amp;B1644&amp;D1644="","",IF(OR(A1644="",B1644="",D1644="",E1644=""),"Incomplete",IF(K1644="Unknown","Unknown code",IF(AND(K1644="Yes",C1644=""),"Billable, needs client",IF(N1644&gt;MaxDayHours,"Over "&amp;MaxDayHours&amp;" hours that day","")))))</f>
        <v/>
      </c>
    </row>
    <row r="1645" customFormat="false" ht="15" hidden="false" customHeight="false" outlineLevel="0" collapsed="false">
      <c r="A1645" s="31" t="n">
        <v>46289</v>
      </c>
      <c r="B1645" s="32" t="s">
        <v>105</v>
      </c>
      <c r="C1645" s="32" t="s">
        <v>87</v>
      </c>
      <c r="D1645" s="33" t="s">
        <v>89</v>
      </c>
      <c r="E1645" s="34" t="n">
        <v>1.25</v>
      </c>
      <c r="F1645" s="32"/>
      <c r="G1645" s="35" t="n">
        <f aca="false">IF(A1645="","",A1645+7-WEEKDAY(A1645))</f>
        <v>46291</v>
      </c>
      <c r="H1645" s="36" t="n">
        <f aca="false">IF(A1645="","",DATE(YEAR(A1645),MONTH(A1645),1))</f>
        <v>46266</v>
      </c>
      <c r="I1645" s="37" t="str">
        <f aca="false">IF(B1645="","",IFERROR(INDEX(st_ID,MATCH(B1645,st_Name,0)),"Unknown"))</f>
        <v>QP-06</v>
      </c>
      <c r="J1645" s="37" t="str">
        <f aca="false">IF(C1645="","",IFERROR(INDEX(cl_Code,MATCH(C1645,cl_Name,0)),"Unknown"))</f>
        <v>HCS</v>
      </c>
      <c r="K1645" s="37" t="str">
        <f aca="false">IF(D1645="","",IFERROR(INDEX(rt_Billable,MATCH(D1645,rt_Code,0)),"Unknown"))</f>
        <v>Yes</v>
      </c>
      <c r="L1645" s="38" t="n">
        <f aca="false">IF(K1645&lt;&gt;"Yes","",IFERROR(INDEX(cr_Rate,MATCH(J1645&amp;"|"&amp;D1645,cr_Key,0)),INDEX(rt_Rate,MATCH(D1645,rt_Code,0))))</f>
        <v>88</v>
      </c>
      <c r="M1645" s="25" t="n">
        <f aca="false">IF(L1645="","",ROUND(N(E1645)*L1645,2))</f>
        <v>110</v>
      </c>
      <c r="N1645" s="39" t="n">
        <f aca="false">IF(OR(A1645="",B1645=""),"",SUMIFS(tl_Hours,tl_StaffID,I1645,tl_Date,A1645))</f>
        <v>8</v>
      </c>
      <c r="O1645" s="40" t="str">
        <f aca="false">IF(A1645&amp;B1645&amp;D1645="","",IF(OR(A1645="",B1645="",D1645="",E1645=""),"Incomplete",IF(K1645="Unknown","Unknown code",IF(AND(K1645="Yes",C1645=""),"Billable, needs client",IF(N1645&gt;MaxDayHours,"Over "&amp;MaxDayHours&amp;" hours that day","")))))</f>
        <v/>
      </c>
    </row>
    <row r="1646" customFormat="false" ht="15" hidden="false" customHeight="false" outlineLevel="0" collapsed="false">
      <c r="A1646" s="31" t="n">
        <v>46289</v>
      </c>
      <c r="B1646" s="32" t="s">
        <v>105</v>
      </c>
      <c r="C1646" s="32"/>
      <c r="D1646" s="33" t="s">
        <v>96</v>
      </c>
      <c r="E1646" s="34" t="n">
        <v>2.25</v>
      </c>
      <c r="F1646" s="32"/>
      <c r="G1646" s="35" t="n">
        <f aca="false">IF(A1646="","",A1646+7-WEEKDAY(A1646))</f>
        <v>46291</v>
      </c>
      <c r="H1646" s="36" t="n">
        <f aca="false">IF(A1646="","",DATE(YEAR(A1646),MONTH(A1646),1))</f>
        <v>46266</v>
      </c>
      <c r="I1646" s="37" t="str">
        <f aca="false">IF(B1646="","",IFERROR(INDEX(st_ID,MATCH(B1646,st_Name,0)),"Unknown"))</f>
        <v>QP-06</v>
      </c>
      <c r="J1646" s="37" t="str">
        <f aca="false">IF(C1646="","",IFERROR(INDEX(cl_Code,MATCH(C1646,cl_Name,0)),"Unknown"))</f>
        <v/>
      </c>
      <c r="K1646" s="37" t="str">
        <f aca="false">IF(D1646="","",IFERROR(INDEX(rt_Billable,MATCH(D1646,rt_Code,0)),"Unknown"))</f>
        <v>No</v>
      </c>
      <c r="L1646" s="38" t="str">
        <f aca="false">IF(K1646&lt;&gt;"Yes","",IFERROR(INDEX(cr_Rate,MATCH(J1646&amp;"|"&amp;D1646,cr_Key,0)),INDEX(rt_Rate,MATCH(D1646,rt_Code,0))))</f>
        <v/>
      </c>
      <c r="M1646" s="25" t="str">
        <f aca="false">IF(L1646="","",ROUND(N(E1646)*L1646,2))</f>
        <v/>
      </c>
      <c r="N1646" s="39" t="n">
        <f aca="false">IF(OR(A1646="",B1646=""),"",SUMIFS(tl_Hours,tl_StaffID,I1646,tl_Date,A1646))</f>
        <v>8</v>
      </c>
      <c r="O1646" s="40" t="str">
        <f aca="false">IF(A1646&amp;B1646&amp;D1646="","",IF(OR(A1646="",B1646="",D1646="",E1646=""),"Incomplete",IF(K1646="Unknown","Unknown code",IF(AND(K1646="Yes",C1646=""),"Billable, needs client",IF(N1646&gt;MaxDayHours,"Over "&amp;MaxDayHours&amp;" hours that day","")))))</f>
        <v/>
      </c>
    </row>
    <row r="1647" customFormat="false" ht="15" hidden="false" customHeight="false" outlineLevel="0" collapsed="false">
      <c r="A1647" s="31" t="n">
        <v>46289</v>
      </c>
      <c r="B1647" s="32" t="s">
        <v>106</v>
      </c>
      <c r="C1647" s="32" t="s">
        <v>102</v>
      </c>
      <c r="D1647" s="33" t="s">
        <v>88</v>
      </c>
      <c r="E1647" s="34" t="n">
        <v>4.75</v>
      </c>
      <c r="F1647" s="32"/>
      <c r="G1647" s="35" t="n">
        <f aca="false">IF(A1647="","",A1647+7-WEEKDAY(A1647))</f>
        <v>46291</v>
      </c>
      <c r="H1647" s="36" t="n">
        <f aca="false">IF(A1647="","",DATE(YEAR(A1647),MONTH(A1647),1))</f>
        <v>46266</v>
      </c>
      <c r="I1647" s="37" t="str">
        <f aca="false">IF(B1647="","",IFERROR(INDEX(st_ID,MATCH(B1647,st_Name,0)),"Unknown"))</f>
        <v>QP-07</v>
      </c>
      <c r="J1647" s="37" t="str">
        <f aca="false">IF(C1647="","",IFERROR(INDEX(cl_Code,MATCH(C1647,cl_Name,0)),"Unknown"))</f>
        <v>CLH</v>
      </c>
      <c r="K1647" s="37" t="str">
        <f aca="false">IF(D1647="","",IFERROR(INDEX(rt_Billable,MATCH(D1647,rt_Code,0)),"Unknown"))</f>
        <v>Yes</v>
      </c>
      <c r="L1647" s="38" t="n">
        <f aca="false">IF(K1647&lt;&gt;"Yes","",IFERROR(INDEX(cr_Rate,MATCH(J1647&amp;"|"&amp;D1647,cr_Key,0)),INDEX(rt_Rate,MATCH(D1647,rt_Code,0))))</f>
        <v>110</v>
      </c>
      <c r="M1647" s="25" t="n">
        <f aca="false">IF(L1647="","",ROUND(N(E1647)*L1647,2))</f>
        <v>522.5</v>
      </c>
      <c r="N1647" s="39" t="n">
        <f aca="false">IF(OR(A1647="",B1647=""),"",SUMIFS(tl_Hours,tl_StaffID,I1647,tl_Date,A1647))</f>
        <v>8</v>
      </c>
      <c r="O1647" s="40" t="str">
        <f aca="false">IF(A1647&amp;B1647&amp;D1647="","",IF(OR(A1647="",B1647="",D1647="",E1647=""),"Incomplete",IF(K1647="Unknown","Unknown code",IF(AND(K1647="Yes",C1647=""),"Billable, needs client",IF(N1647&gt;MaxDayHours,"Over "&amp;MaxDayHours&amp;" hours that day","")))))</f>
        <v/>
      </c>
    </row>
    <row r="1648" customFormat="false" ht="15" hidden="false" customHeight="false" outlineLevel="0" collapsed="false">
      <c r="A1648" s="31" t="n">
        <v>46289</v>
      </c>
      <c r="B1648" s="32" t="s">
        <v>106</v>
      </c>
      <c r="C1648" s="32" t="s">
        <v>102</v>
      </c>
      <c r="D1648" s="33" t="s">
        <v>104</v>
      </c>
      <c r="E1648" s="34" t="n">
        <v>1.25</v>
      </c>
      <c r="F1648" s="32"/>
      <c r="G1648" s="35" t="n">
        <f aca="false">IF(A1648="","",A1648+7-WEEKDAY(A1648))</f>
        <v>46291</v>
      </c>
      <c r="H1648" s="36" t="n">
        <f aca="false">IF(A1648="","",DATE(YEAR(A1648),MONTH(A1648),1))</f>
        <v>46266</v>
      </c>
      <c r="I1648" s="37" t="str">
        <f aca="false">IF(B1648="","",IFERROR(INDEX(st_ID,MATCH(B1648,st_Name,0)),"Unknown"))</f>
        <v>QP-07</v>
      </c>
      <c r="J1648" s="37" t="str">
        <f aca="false">IF(C1648="","",IFERROR(INDEX(cl_Code,MATCH(C1648,cl_Name,0)),"Unknown"))</f>
        <v>CLH</v>
      </c>
      <c r="K1648" s="37" t="str">
        <f aca="false">IF(D1648="","",IFERROR(INDEX(rt_Billable,MATCH(D1648,rt_Code,0)),"Unknown"))</f>
        <v>Yes</v>
      </c>
      <c r="L1648" s="38" t="n">
        <f aca="false">IF(K1648&lt;&gt;"Yes","",IFERROR(INDEX(cr_Rate,MATCH(J1648&amp;"|"&amp;D1648,cr_Key,0)),INDEX(rt_Rate,MATCH(D1648,rt_Code,0))))</f>
        <v>65</v>
      </c>
      <c r="M1648" s="25" t="n">
        <f aca="false">IF(L1648="","",ROUND(N(E1648)*L1648,2))</f>
        <v>81.25</v>
      </c>
      <c r="N1648" s="39" t="n">
        <f aca="false">IF(OR(A1648="",B1648=""),"",SUMIFS(tl_Hours,tl_StaffID,I1648,tl_Date,A1648))</f>
        <v>8</v>
      </c>
      <c r="O1648" s="40" t="str">
        <f aca="false">IF(A1648&amp;B1648&amp;D1648="","",IF(OR(A1648="",B1648="",D1648="",E1648=""),"Incomplete",IF(K1648="Unknown","Unknown code",IF(AND(K1648="Yes",C1648=""),"Billable, needs client",IF(N1648&gt;MaxDayHours,"Over "&amp;MaxDayHours&amp;" hours that day","")))))</f>
        <v/>
      </c>
    </row>
    <row r="1649" customFormat="false" ht="15" hidden="false" customHeight="false" outlineLevel="0" collapsed="false">
      <c r="A1649" s="31" t="n">
        <v>46289</v>
      </c>
      <c r="B1649" s="32" t="s">
        <v>106</v>
      </c>
      <c r="C1649" s="32"/>
      <c r="D1649" s="33" t="s">
        <v>96</v>
      </c>
      <c r="E1649" s="34" t="n">
        <v>2</v>
      </c>
      <c r="F1649" s="32"/>
      <c r="G1649" s="35" t="n">
        <f aca="false">IF(A1649="","",A1649+7-WEEKDAY(A1649))</f>
        <v>46291</v>
      </c>
      <c r="H1649" s="36" t="n">
        <f aca="false">IF(A1649="","",DATE(YEAR(A1649),MONTH(A1649),1))</f>
        <v>46266</v>
      </c>
      <c r="I1649" s="37" t="str">
        <f aca="false">IF(B1649="","",IFERROR(INDEX(st_ID,MATCH(B1649,st_Name,0)),"Unknown"))</f>
        <v>QP-07</v>
      </c>
      <c r="J1649" s="37" t="str">
        <f aca="false">IF(C1649="","",IFERROR(INDEX(cl_Code,MATCH(C1649,cl_Name,0)),"Unknown"))</f>
        <v/>
      </c>
      <c r="K1649" s="37" t="str">
        <f aca="false">IF(D1649="","",IFERROR(INDEX(rt_Billable,MATCH(D1649,rt_Code,0)),"Unknown"))</f>
        <v>No</v>
      </c>
      <c r="L1649" s="38" t="str">
        <f aca="false">IF(K1649&lt;&gt;"Yes","",IFERROR(INDEX(cr_Rate,MATCH(J1649&amp;"|"&amp;D1649,cr_Key,0)),INDEX(rt_Rate,MATCH(D1649,rt_Code,0))))</f>
        <v/>
      </c>
      <c r="M1649" s="25" t="str">
        <f aca="false">IF(L1649="","",ROUND(N(E1649)*L1649,2))</f>
        <v/>
      </c>
      <c r="N1649" s="39" t="n">
        <f aca="false">IF(OR(A1649="",B1649=""),"",SUMIFS(tl_Hours,tl_StaffID,I1649,tl_Date,A1649))</f>
        <v>8</v>
      </c>
      <c r="O1649" s="40" t="str">
        <f aca="false">IF(A1649&amp;B1649&amp;D1649="","",IF(OR(A1649="",B1649="",D1649="",E1649=""),"Incomplete",IF(K1649="Unknown","Unknown code",IF(AND(K1649="Yes",C1649=""),"Billable, needs client",IF(N1649&gt;MaxDayHours,"Over "&amp;MaxDayHours&amp;" hours that day","")))))</f>
        <v/>
      </c>
    </row>
    <row r="1650" customFormat="false" ht="15" hidden="false" customHeight="false" outlineLevel="0" collapsed="false">
      <c r="A1650" s="31" t="n">
        <v>46289</v>
      </c>
      <c r="B1650" s="32" t="s">
        <v>107</v>
      </c>
      <c r="C1650" s="32"/>
      <c r="D1650" s="33" t="s">
        <v>108</v>
      </c>
      <c r="E1650" s="34" t="n">
        <v>6</v>
      </c>
      <c r="F1650" s="32"/>
      <c r="G1650" s="35" t="n">
        <f aca="false">IF(A1650="","",A1650+7-WEEKDAY(A1650))</f>
        <v>46291</v>
      </c>
      <c r="H1650" s="36" t="n">
        <f aca="false">IF(A1650="","",DATE(YEAR(A1650),MONTH(A1650),1))</f>
        <v>46266</v>
      </c>
      <c r="I1650" s="37" t="str">
        <f aca="false">IF(B1650="","",IFERROR(INDEX(st_ID,MATCH(B1650,st_Name,0)),"Unknown"))</f>
        <v>QP-08</v>
      </c>
      <c r="J1650" s="37" t="str">
        <f aca="false">IF(C1650="","",IFERROR(INDEX(cl_Code,MATCH(C1650,cl_Name,0)),"Unknown"))</f>
        <v/>
      </c>
      <c r="K1650" s="37" t="str">
        <f aca="false">IF(D1650="","",IFERROR(INDEX(rt_Billable,MATCH(D1650,rt_Code,0)),"Unknown"))</f>
        <v>No</v>
      </c>
      <c r="L1650" s="38" t="str">
        <f aca="false">IF(K1650&lt;&gt;"Yes","",IFERROR(INDEX(cr_Rate,MATCH(J1650&amp;"|"&amp;D1650,cr_Key,0)),INDEX(rt_Rate,MATCH(D1650,rt_Code,0))))</f>
        <v/>
      </c>
      <c r="M1650" s="25" t="str">
        <f aca="false">IF(L1650="","",ROUND(N(E1650)*L1650,2))</f>
        <v/>
      </c>
      <c r="N1650" s="39" t="n">
        <f aca="false">IF(OR(A1650="",B1650=""),"",SUMIFS(tl_Hours,tl_StaffID,I1650,tl_Date,A1650))</f>
        <v>8</v>
      </c>
      <c r="O1650" s="40" t="str">
        <f aca="false">IF(A1650&amp;B1650&amp;D1650="","",IF(OR(A1650="",B1650="",D1650="",E1650=""),"Incomplete",IF(K1650="Unknown","Unknown code",IF(AND(K1650="Yes",C1650=""),"Billable, needs client",IF(N1650&gt;MaxDayHours,"Over "&amp;MaxDayHours&amp;" hours that day","")))))</f>
        <v/>
      </c>
    </row>
    <row r="1651" customFormat="false" ht="15" hidden="false" customHeight="false" outlineLevel="0" collapsed="false">
      <c r="A1651" s="31" t="n">
        <v>46289</v>
      </c>
      <c r="B1651" s="32" t="s">
        <v>107</v>
      </c>
      <c r="C1651" s="32"/>
      <c r="D1651" s="33" t="s">
        <v>98</v>
      </c>
      <c r="E1651" s="34" t="n">
        <v>2</v>
      </c>
      <c r="F1651" s="32"/>
      <c r="G1651" s="35" t="n">
        <f aca="false">IF(A1651="","",A1651+7-WEEKDAY(A1651))</f>
        <v>46291</v>
      </c>
      <c r="H1651" s="36" t="n">
        <f aca="false">IF(A1651="","",DATE(YEAR(A1651),MONTH(A1651),1))</f>
        <v>46266</v>
      </c>
      <c r="I1651" s="37" t="str">
        <f aca="false">IF(B1651="","",IFERROR(INDEX(st_ID,MATCH(B1651,st_Name,0)),"Unknown"))</f>
        <v>QP-08</v>
      </c>
      <c r="J1651" s="37" t="str">
        <f aca="false">IF(C1651="","",IFERROR(INDEX(cl_Code,MATCH(C1651,cl_Name,0)),"Unknown"))</f>
        <v/>
      </c>
      <c r="K1651" s="37" t="str">
        <f aca="false">IF(D1651="","",IFERROR(INDEX(rt_Billable,MATCH(D1651,rt_Code,0)),"Unknown"))</f>
        <v>No</v>
      </c>
      <c r="L1651" s="38" t="str">
        <f aca="false">IF(K1651&lt;&gt;"Yes","",IFERROR(INDEX(cr_Rate,MATCH(J1651&amp;"|"&amp;D1651,cr_Key,0)),INDEX(rt_Rate,MATCH(D1651,rt_Code,0))))</f>
        <v/>
      </c>
      <c r="M1651" s="25" t="str">
        <f aca="false">IF(L1651="","",ROUND(N(E1651)*L1651,2))</f>
        <v/>
      </c>
      <c r="N1651" s="39" t="n">
        <f aca="false">IF(OR(A1651="",B1651=""),"",SUMIFS(tl_Hours,tl_StaffID,I1651,tl_Date,A1651))</f>
        <v>8</v>
      </c>
      <c r="O1651" s="40" t="str">
        <f aca="false">IF(A1651&amp;B1651&amp;D1651="","",IF(OR(A1651="",B1651="",D1651="",E1651=""),"Incomplete",IF(K1651="Unknown","Unknown code",IF(AND(K1651="Yes",C1651=""),"Billable, needs client",IF(N1651&gt;MaxDayHours,"Over "&amp;MaxDayHours&amp;" hours that day","")))))</f>
        <v/>
      </c>
    </row>
    <row r="1652" customFormat="false" ht="15" hidden="false" customHeight="false" outlineLevel="0" collapsed="false">
      <c r="A1652" s="31" t="n">
        <v>46290</v>
      </c>
      <c r="B1652" s="32" t="s">
        <v>86</v>
      </c>
      <c r="C1652" s="32" t="s">
        <v>112</v>
      </c>
      <c r="D1652" s="33" t="s">
        <v>88</v>
      </c>
      <c r="E1652" s="34" t="n">
        <v>4</v>
      </c>
      <c r="F1652" s="32"/>
      <c r="G1652" s="35" t="n">
        <f aca="false">IF(A1652="","",A1652+7-WEEKDAY(A1652))</f>
        <v>46291</v>
      </c>
      <c r="H1652" s="36" t="n">
        <f aca="false">IF(A1652="","",DATE(YEAR(A1652),MONTH(A1652),1))</f>
        <v>46266</v>
      </c>
      <c r="I1652" s="37" t="str">
        <f aca="false">IF(B1652="","",IFERROR(INDEX(st_ID,MATCH(B1652,st_Name,0)),"Unknown"))</f>
        <v>QP-01</v>
      </c>
      <c r="J1652" s="37" t="str">
        <f aca="false">IF(C1652="","",IFERROR(INDEX(cl_Code,MATCH(C1652,cl_Name,0)),"Unknown"))</f>
        <v>PCA</v>
      </c>
      <c r="K1652" s="37" t="str">
        <f aca="false">IF(D1652="","",IFERROR(INDEX(rt_Billable,MATCH(D1652,rt_Code,0)),"Unknown"))</f>
        <v>Yes</v>
      </c>
      <c r="L1652" s="38" t="n">
        <f aca="false">IF(K1652&lt;&gt;"Yes","",IFERROR(INDEX(cr_Rate,MATCH(J1652&amp;"|"&amp;D1652,cr_Key,0)),INDEX(rt_Rate,MATCH(D1652,rt_Code,0))))</f>
        <v>110</v>
      </c>
      <c r="M1652" s="25" t="n">
        <f aca="false">IF(L1652="","",ROUND(N(E1652)*L1652,2))</f>
        <v>440</v>
      </c>
      <c r="N1652" s="39" t="n">
        <f aca="false">IF(OR(A1652="",B1652=""),"",SUMIFS(tl_Hours,tl_StaffID,I1652,tl_Date,A1652))</f>
        <v>8</v>
      </c>
      <c r="O1652" s="40" t="str">
        <f aca="false">IF(A1652&amp;B1652&amp;D1652="","",IF(OR(A1652="",B1652="",D1652="",E1652=""),"Incomplete",IF(K1652="Unknown","Unknown code",IF(AND(K1652="Yes",C1652=""),"Billable, needs client",IF(N1652&gt;MaxDayHours,"Over "&amp;MaxDayHours&amp;" hours that day","")))))</f>
        <v/>
      </c>
    </row>
    <row r="1653" customFormat="false" ht="15" hidden="false" customHeight="false" outlineLevel="0" collapsed="false">
      <c r="A1653" s="31" t="n">
        <v>46290</v>
      </c>
      <c r="B1653" s="32" t="s">
        <v>86</v>
      </c>
      <c r="C1653" s="32" t="s">
        <v>112</v>
      </c>
      <c r="D1653" s="33" t="s">
        <v>92</v>
      </c>
      <c r="E1653" s="34" t="n">
        <v>1.75</v>
      </c>
      <c r="F1653" s="32"/>
      <c r="G1653" s="35" t="n">
        <f aca="false">IF(A1653="","",A1653+7-WEEKDAY(A1653))</f>
        <v>46291</v>
      </c>
      <c r="H1653" s="36" t="n">
        <f aca="false">IF(A1653="","",DATE(YEAR(A1653),MONTH(A1653),1))</f>
        <v>46266</v>
      </c>
      <c r="I1653" s="37" t="str">
        <f aca="false">IF(B1653="","",IFERROR(INDEX(st_ID,MATCH(B1653,st_Name,0)),"Unknown"))</f>
        <v>QP-01</v>
      </c>
      <c r="J1653" s="37" t="str">
        <f aca="false">IF(C1653="","",IFERROR(INDEX(cl_Code,MATCH(C1653,cl_Name,0)),"Unknown"))</f>
        <v>PCA</v>
      </c>
      <c r="K1653" s="37" t="str">
        <f aca="false">IF(D1653="","",IFERROR(INDEX(rt_Billable,MATCH(D1653,rt_Code,0)),"Unknown"))</f>
        <v>Yes</v>
      </c>
      <c r="L1653" s="38" t="n">
        <f aca="false">IF(K1653&lt;&gt;"Yes","",IFERROR(INDEX(cr_Rate,MATCH(J1653&amp;"|"&amp;D1653,cr_Key,0)),INDEX(rt_Rate,MATCH(D1653,rt_Code,0))))</f>
        <v>150</v>
      </c>
      <c r="M1653" s="25" t="n">
        <f aca="false">IF(L1653="","",ROUND(N(E1653)*L1653,2))</f>
        <v>262.5</v>
      </c>
      <c r="N1653" s="39" t="n">
        <f aca="false">IF(OR(A1653="",B1653=""),"",SUMIFS(tl_Hours,tl_StaffID,I1653,tl_Date,A1653))</f>
        <v>8</v>
      </c>
      <c r="O1653" s="40" t="str">
        <f aca="false">IF(A1653&amp;B1653&amp;D1653="","",IF(OR(A1653="",B1653="",D1653="",E1653=""),"Incomplete",IF(K1653="Unknown","Unknown code",IF(AND(K1653="Yes",C1653=""),"Billable, needs client",IF(N1653&gt;MaxDayHours,"Over "&amp;MaxDayHours&amp;" hours that day","")))))</f>
        <v/>
      </c>
    </row>
    <row r="1654" customFormat="false" ht="15" hidden="false" customHeight="false" outlineLevel="0" collapsed="false">
      <c r="A1654" s="31" t="n">
        <v>46290</v>
      </c>
      <c r="B1654" s="32" t="s">
        <v>86</v>
      </c>
      <c r="C1654" s="32"/>
      <c r="D1654" s="33" t="s">
        <v>96</v>
      </c>
      <c r="E1654" s="34" t="n">
        <v>2.25</v>
      </c>
      <c r="F1654" s="32"/>
      <c r="G1654" s="35" t="n">
        <f aca="false">IF(A1654="","",A1654+7-WEEKDAY(A1654))</f>
        <v>46291</v>
      </c>
      <c r="H1654" s="36" t="n">
        <f aca="false">IF(A1654="","",DATE(YEAR(A1654),MONTH(A1654),1))</f>
        <v>46266</v>
      </c>
      <c r="I1654" s="37" t="str">
        <f aca="false">IF(B1654="","",IFERROR(INDEX(st_ID,MATCH(B1654,st_Name,0)),"Unknown"))</f>
        <v>QP-01</v>
      </c>
      <c r="J1654" s="37" t="str">
        <f aca="false">IF(C1654="","",IFERROR(INDEX(cl_Code,MATCH(C1654,cl_Name,0)),"Unknown"))</f>
        <v/>
      </c>
      <c r="K1654" s="37" t="str">
        <f aca="false">IF(D1654="","",IFERROR(INDEX(rt_Billable,MATCH(D1654,rt_Code,0)),"Unknown"))</f>
        <v>No</v>
      </c>
      <c r="L1654" s="38" t="str">
        <f aca="false">IF(K1654&lt;&gt;"Yes","",IFERROR(INDEX(cr_Rate,MATCH(J1654&amp;"|"&amp;D1654,cr_Key,0)),INDEX(rt_Rate,MATCH(D1654,rt_Code,0))))</f>
        <v/>
      </c>
      <c r="M1654" s="25" t="str">
        <f aca="false">IF(L1654="","",ROUND(N(E1654)*L1654,2))</f>
        <v/>
      </c>
      <c r="N1654" s="39" t="n">
        <f aca="false">IF(OR(A1654="",B1654=""),"",SUMIFS(tl_Hours,tl_StaffID,I1654,tl_Date,A1654))</f>
        <v>8</v>
      </c>
      <c r="O1654" s="40" t="str">
        <f aca="false">IF(A1654&amp;B1654&amp;D1654="","",IF(OR(A1654="",B1654="",D1654="",E1654=""),"Incomplete",IF(K1654="Unknown","Unknown code",IF(AND(K1654="Yes",C1654=""),"Billable, needs client",IF(N1654&gt;MaxDayHours,"Over "&amp;MaxDayHours&amp;" hours that day","")))))</f>
        <v/>
      </c>
    </row>
    <row r="1655" customFormat="false" ht="15" hidden="false" customHeight="false" outlineLevel="0" collapsed="false">
      <c r="A1655" s="31" t="n">
        <v>46290</v>
      </c>
      <c r="B1655" s="32" t="s">
        <v>97</v>
      </c>
      <c r="C1655" s="32" t="s">
        <v>111</v>
      </c>
      <c r="D1655" s="33" t="s">
        <v>88</v>
      </c>
      <c r="E1655" s="34" t="n">
        <v>3.25</v>
      </c>
      <c r="F1655" s="32"/>
      <c r="G1655" s="35" t="n">
        <f aca="false">IF(A1655="","",A1655+7-WEEKDAY(A1655))</f>
        <v>46291</v>
      </c>
      <c r="H1655" s="36" t="n">
        <f aca="false">IF(A1655="","",DATE(YEAR(A1655),MONTH(A1655),1))</f>
        <v>46266</v>
      </c>
      <c r="I1655" s="37" t="str">
        <f aca="false">IF(B1655="","",IFERROR(INDEX(st_ID,MATCH(B1655,st_Name,0)),"Unknown"))</f>
        <v>QP-02</v>
      </c>
      <c r="J1655" s="37" t="str">
        <f aca="false">IF(C1655="","",IFERROR(INDEX(cl_Code,MATCH(C1655,cl_Name,0)),"Unknown"))</f>
        <v>WMS</v>
      </c>
      <c r="K1655" s="37" t="str">
        <f aca="false">IF(D1655="","",IFERROR(INDEX(rt_Billable,MATCH(D1655,rt_Code,0)),"Unknown"))</f>
        <v>Yes</v>
      </c>
      <c r="L1655" s="38" t="n">
        <f aca="false">IF(K1655&lt;&gt;"Yes","",IFERROR(INDEX(cr_Rate,MATCH(J1655&amp;"|"&amp;D1655,cr_Key,0)),INDEX(rt_Rate,MATCH(D1655,rt_Code,0))))</f>
        <v>110</v>
      </c>
      <c r="M1655" s="25" t="n">
        <f aca="false">IF(L1655="","",ROUND(N(E1655)*L1655,2))</f>
        <v>357.5</v>
      </c>
      <c r="N1655" s="39" t="n">
        <f aca="false">IF(OR(A1655="",B1655=""),"",SUMIFS(tl_Hours,tl_StaffID,I1655,tl_Date,A1655))</f>
        <v>8</v>
      </c>
      <c r="O1655" s="40" t="str">
        <f aca="false">IF(A1655&amp;B1655&amp;D1655="","",IF(OR(A1655="",B1655="",D1655="",E1655=""),"Incomplete",IF(K1655="Unknown","Unknown code",IF(AND(K1655="Yes",C1655=""),"Billable, needs client",IF(N1655&gt;MaxDayHours,"Over "&amp;MaxDayHours&amp;" hours that day","")))))</f>
        <v/>
      </c>
    </row>
    <row r="1656" customFormat="false" ht="15" hidden="false" customHeight="false" outlineLevel="0" collapsed="false">
      <c r="A1656" s="31" t="n">
        <v>46290</v>
      </c>
      <c r="B1656" s="32" t="s">
        <v>97</v>
      </c>
      <c r="C1656" s="32" t="s">
        <v>111</v>
      </c>
      <c r="D1656" s="33" t="s">
        <v>89</v>
      </c>
      <c r="E1656" s="34" t="n">
        <v>2</v>
      </c>
      <c r="F1656" s="32"/>
      <c r="G1656" s="35" t="n">
        <f aca="false">IF(A1656="","",A1656+7-WEEKDAY(A1656))</f>
        <v>46291</v>
      </c>
      <c r="H1656" s="36" t="n">
        <f aca="false">IF(A1656="","",DATE(YEAR(A1656),MONTH(A1656),1))</f>
        <v>46266</v>
      </c>
      <c r="I1656" s="37" t="str">
        <f aca="false">IF(B1656="","",IFERROR(INDEX(st_ID,MATCH(B1656,st_Name,0)),"Unknown"))</f>
        <v>QP-02</v>
      </c>
      <c r="J1656" s="37" t="str">
        <f aca="false">IF(C1656="","",IFERROR(INDEX(cl_Code,MATCH(C1656,cl_Name,0)),"Unknown"))</f>
        <v>WMS</v>
      </c>
      <c r="K1656" s="37" t="str">
        <f aca="false">IF(D1656="","",IFERROR(INDEX(rt_Billable,MATCH(D1656,rt_Code,0)),"Unknown"))</f>
        <v>Yes</v>
      </c>
      <c r="L1656" s="38" t="n">
        <f aca="false">IF(K1656&lt;&gt;"Yes","",IFERROR(INDEX(cr_Rate,MATCH(J1656&amp;"|"&amp;D1656,cr_Key,0)),INDEX(rt_Rate,MATCH(D1656,rt_Code,0))))</f>
        <v>95</v>
      </c>
      <c r="M1656" s="25" t="n">
        <f aca="false">IF(L1656="","",ROUND(N(E1656)*L1656,2))</f>
        <v>190</v>
      </c>
      <c r="N1656" s="39" t="n">
        <f aca="false">IF(OR(A1656="",B1656=""),"",SUMIFS(tl_Hours,tl_StaffID,I1656,tl_Date,A1656))</f>
        <v>8</v>
      </c>
      <c r="O1656" s="40" t="str">
        <f aca="false">IF(A1656&amp;B1656&amp;D1656="","",IF(OR(A1656="",B1656="",D1656="",E1656=""),"Incomplete",IF(K1656="Unknown","Unknown code",IF(AND(K1656="Yes",C1656=""),"Billable, needs client",IF(N1656&gt;MaxDayHours,"Over "&amp;MaxDayHours&amp;" hours that day","")))))</f>
        <v/>
      </c>
    </row>
    <row r="1657" customFormat="false" ht="15" hidden="false" customHeight="false" outlineLevel="0" collapsed="false">
      <c r="A1657" s="31" t="n">
        <v>46290</v>
      </c>
      <c r="B1657" s="32" t="s">
        <v>97</v>
      </c>
      <c r="C1657" s="32"/>
      <c r="D1657" s="33" t="s">
        <v>96</v>
      </c>
      <c r="E1657" s="34" t="n">
        <v>2.75</v>
      </c>
      <c r="F1657" s="32"/>
      <c r="G1657" s="35" t="n">
        <f aca="false">IF(A1657="","",A1657+7-WEEKDAY(A1657))</f>
        <v>46291</v>
      </c>
      <c r="H1657" s="36" t="n">
        <f aca="false">IF(A1657="","",DATE(YEAR(A1657),MONTH(A1657),1))</f>
        <v>46266</v>
      </c>
      <c r="I1657" s="37" t="str">
        <f aca="false">IF(B1657="","",IFERROR(INDEX(st_ID,MATCH(B1657,st_Name,0)),"Unknown"))</f>
        <v>QP-02</v>
      </c>
      <c r="J1657" s="37" t="str">
        <f aca="false">IF(C1657="","",IFERROR(INDEX(cl_Code,MATCH(C1657,cl_Name,0)),"Unknown"))</f>
        <v/>
      </c>
      <c r="K1657" s="37" t="str">
        <f aca="false">IF(D1657="","",IFERROR(INDEX(rt_Billable,MATCH(D1657,rt_Code,0)),"Unknown"))</f>
        <v>No</v>
      </c>
      <c r="L1657" s="38" t="str">
        <f aca="false">IF(K1657&lt;&gt;"Yes","",IFERROR(INDEX(cr_Rate,MATCH(J1657&amp;"|"&amp;D1657,cr_Key,0)),INDEX(rt_Rate,MATCH(D1657,rt_Code,0))))</f>
        <v/>
      </c>
      <c r="M1657" s="25" t="str">
        <f aca="false">IF(L1657="","",ROUND(N(E1657)*L1657,2))</f>
        <v/>
      </c>
      <c r="N1657" s="39" t="n">
        <f aca="false">IF(OR(A1657="",B1657=""),"",SUMIFS(tl_Hours,tl_StaffID,I1657,tl_Date,A1657))</f>
        <v>8</v>
      </c>
      <c r="O1657" s="40" t="str">
        <f aca="false">IF(A1657&amp;B1657&amp;D1657="","",IF(OR(A1657="",B1657="",D1657="",E1657=""),"Incomplete",IF(K1657="Unknown","Unknown code",IF(AND(K1657="Yes",C1657=""),"Billable, needs client",IF(N1657&gt;MaxDayHours,"Over "&amp;MaxDayHours&amp;" hours that day","")))))</f>
        <v/>
      </c>
    </row>
    <row r="1658" customFormat="false" ht="15" hidden="false" customHeight="false" outlineLevel="0" collapsed="false">
      <c r="A1658" s="31" t="n">
        <v>46290</v>
      </c>
      <c r="B1658" s="32" t="s">
        <v>101</v>
      </c>
      <c r="C1658" s="32" t="s">
        <v>87</v>
      </c>
      <c r="D1658" s="33" t="s">
        <v>104</v>
      </c>
      <c r="E1658" s="34" t="n">
        <v>3.75</v>
      </c>
      <c r="F1658" s="32"/>
      <c r="G1658" s="35" t="n">
        <f aca="false">IF(A1658="","",A1658+7-WEEKDAY(A1658))</f>
        <v>46291</v>
      </c>
      <c r="H1658" s="36" t="n">
        <f aca="false">IF(A1658="","",DATE(YEAR(A1658),MONTH(A1658),1))</f>
        <v>46266</v>
      </c>
      <c r="I1658" s="37" t="str">
        <f aca="false">IF(B1658="","",IFERROR(INDEX(st_ID,MATCH(B1658,st_Name,0)),"Unknown"))</f>
        <v>QP-04</v>
      </c>
      <c r="J1658" s="37" t="str">
        <f aca="false">IF(C1658="","",IFERROR(INDEX(cl_Code,MATCH(C1658,cl_Name,0)),"Unknown"))</f>
        <v>HCS</v>
      </c>
      <c r="K1658" s="37" t="str">
        <f aca="false">IF(D1658="","",IFERROR(INDEX(rt_Billable,MATCH(D1658,rt_Code,0)),"Unknown"))</f>
        <v>Yes</v>
      </c>
      <c r="L1658" s="38" t="n">
        <f aca="false">IF(K1658&lt;&gt;"Yes","",IFERROR(INDEX(cr_Rate,MATCH(J1658&amp;"|"&amp;D1658,cr_Key,0)),INDEX(rt_Rate,MATCH(D1658,rt_Code,0))))</f>
        <v>62</v>
      </c>
      <c r="M1658" s="25" t="n">
        <f aca="false">IF(L1658="","",ROUND(N(E1658)*L1658,2))</f>
        <v>232.5</v>
      </c>
      <c r="N1658" s="39" t="n">
        <f aca="false">IF(OR(A1658="",B1658=""),"",SUMIFS(tl_Hours,tl_StaffID,I1658,tl_Date,A1658))</f>
        <v>8</v>
      </c>
      <c r="O1658" s="40" t="str">
        <f aca="false">IF(A1658&amp;B1658&amp;D1658="","",IF(OR(A1658="",B1658="",D1658="",E1658=""),"Incomplete",IF(K1658="Unknown","Unknown code",IF(AND(K1658="Yes",C1658=""),"Billable, needs client",IF(N1658&gt;MaxDayHours,"Over "&amp;MaxDayHours&amp;" hours that day","")))))</f>
        <v/>
      </c>
    </row>
    <row r="1659" customFormat="false" ht="15" hidden="false" customHeight="false" outlineLevel="0" collapsed="false">
      <c r="A1659" s="31" t="n">
        <v>46290</v>
      </c>
      <c r="B1659" s="32" t="s">
        <v>101</v>
      </c>
      <c r="C1659" s="32" t="s">
        <v>87</v>
      </c>
      <c r="D1659" s="33" t="s">
        <v>89</v>
      </c>
      <c r="E1659" s="34" t="n">
        <v>2</v>
      </c>
      <c r="F1659" s="32"/>
      <c r="G1659" s="35" t="n">
        <f aca="false">IF(A1659="","",A1659+7-WEEKDAY(A1659))</f>
        <v>46291</v>
      </c>
      <c r="H1659" s="36" t="n">
        <f aca="false">IF(A1659="","",DATE(YEAR(A1659),MONTH(A1659),1))</f>
        <v>46266</v>
      </c>
      <c r="I1659" s="37" t="str">
        <f aca="false">IF(B1659="","",IFERROR(INDEX(st_ID,MATCH(B1659,st_Name,0)),"Unknown"))</f>
        <v>QP-04</v>
      </c>
      <c r="J1659" s="37" t="str">
        <f aca="false">IF(C1659="","",IFERROR(INDEX(cl_Code,MATCH(C1659,cl_Name,0)),"Unknown"))</f>
        <v>HCS</v>
      </c>
      <c r="K1659" s="37" t="str">
        <f aca="false">IF(D1659="","",IFERROR(INDEX(rt_Billable,MATCH(D1659,rt_Code,0)),"Unknown"))</f>
        <v>Yes</v>
      </c>
      <c r="L1659" s="38" t="n">
        <f aca="false">IF(K1659&lt;&gt;"Yes","",IFERROR(INDEX(cr_Rate,MATCH(J1659&amp;"|"&amp;D1659,cr_Key,0)),INDEX(rt_Rate,MATCH(D1659,rt_Code,0))))</f>
        <v>88</v>
      </c>
      <c r="M1659" s="25" t="n">
        <f aca="false">IF(L1659="","",ROUND(N(E1659)*L1659,2))</f>
        <v>176</v>
      </c>
      <c r="N1659" s="39" t="n">
        <f aca="false">IF(OR(A1659="",B1659=""),"",SUMIFS(tl_Hours,tl_StaffID,I1659,tl_Date,A1659))</f>
        <v>8</v>
      </c>
      <c r="O1659" s="40" t="str">
        <f aca="false">IF(A1659&amp;B1659&amp;D1659="","",IF(OR(A1659="",B1659="",D1659="",E1659=""),"Incomplete",IF(K1659="Unknown","Unknown code",IF(AND(K1659="Yes",C1659=""),"Billable, needs client",IF(N1659&gt;MaxDayHours,"Over "&amp;MaxDayHours&amp;" hours that day","")))))</f>
        <v/>
      </c>
    </row>
    <row r="1660" customFormat="false" ht="15" hidden="false" customHeight="false" outlineLevel="0" collapsed="false">
      <c r="A1660" s="31" t="n">
        <v>46290</v>
      </c>
      <c r="B1660" s="32" t="s">
        <v>101</v>
      </c>
      <c r="C1660" s="32"/>
      <c r="D1660" s="33" t="s">
        <v>96</v>
      </c>
      <c r="E1660" s="34" t="n">
        <v>2.25</v>
      </c>
      <c r="F1660" s="32"/>
      <c r="G1660" s="35" t="n">
        <f aca="false">IF(A1660="","",A1660+7-WEEKDAY(A1660))</f>
        <v>46291</v>
      </c>
      <c r="H1660" s="36" t="n">
        <f aca="false">IF(A1660="","",DATE(YEAR(A1660),MONTH(A1660),1))</f>
        <v>46266</v>
      </c>
      <c r="I1660" s="37" t="str">
        <f aca="false">IF(B1660="","",IFERROR(INDEX(st_ID,MATCH(B1660,st_Name,0)),"Unknown"))</f>
        <v>QP-04</v>
      </c>
      <c r="J1660" s="37" t="str">
        <f aca="false">IF(C1660="","",IFERROR(INDEX(cl_Code,MATCH(C1660,cl_Name,0)),"Unknown"))</f>
        <v/>
      </c>
      <c r="K1660" s="37" t="str">
        <f aca="false">IF(D1660="","",IFERROR(INDEX(rt_Billable,MATCH(D1660,rt_Code,0)),"Unknown"))</f>
        <v>No</v>
      </c>
      <c r="L1660" s="38" t="str">
        <f aca="false">IF(K1660&lt;&gt;"Yes","",IFERROR(INDEX(cr_Rate,MATCH(J1660&amp;"|"&amp;D1660,cr_Key,0)),INDEX(rt_Rate,MATCH(D1660,rt_Code,0))))</f>
        <v/>
      </c>
      <c r="M1660" s="25" t="str">
        <f aca="false">IF(L1660="","",ROUND(N(E1660)*L1660,2))</f>
        <v/>
      </c>
      <c r="N1660" s="39" t="n">
        <f aca="false">IF(OR(A1660="",B1660=""),"",SUMIFS(tl_Hours,tl_StaffID,I1660,tl_Date,A1660))</f>
        <v>8</v>
      </c>
      <c r="O1660" s="40" t="str">
        <f aca="false">IF(A1660&amp;B1660&amp;D1660="","",IF(OR(A1660="",B1660="",D1660="",E1660=""),"Incomplete",IF(K1660="Unknown","Unknown code",IF(AND(K1660="Yes",C1660=""),"Billable, needs client",IF(N1660&gt;MaxDayHours,"Over "&amp;MaxDayHours&amp;" hours that day","")))))</f>
        <v/>
      </c>
    </row>
    <row r="1661" customFormat="false" ht="15" hidden="false" customHeight="false" outlineLevel="0" collapsed="false">
      <c r="A1661" s="31" t="n">
        <v>46290</v>
      </c>
      <c r="B1661" s="32" t="s">
        <v>103</v>
      </c>
      <c r="C1661" s="32" t="s">
        <v>90</v>
      </c>
      <c r="D1661" s="33" t="s">
        <v>91</v>
      </c>
      <c r="E1661" s="34" t="n">
        <v>3.25</v>
      </c>
      <c r="F1661" s="32"/>
      <c r="G1661" s="35" t="n">
        <f aca="false">IF(A1661="","",A1661+7-WEEKDAY(A1661))</f>
        <v>46291</v>
      </c>
      <c r="H1661" s="36" t="n">
        <f aca="false">IF(A1661="","",DATE(YEAR(A1661),MONTH(A1661),1))</f>
        <v>46266</v>
      </c>
      <c r="I1661" s="37" t="str">
        <f aca="false">IF(B1661="","",IFERROR(INDEX(st_ID,MATCH(B1661,st_Name,0)),"Unknown"))</f>
        <v>QP-05</v>
      </c>
      <c r="J1661" s="37" t="str">
        <f aca="false">IF(C1661="","",IFERROR(INDEX(cl_Code,MATCH(C1661,cl_Name,0)),"Unknown"))</f>
        <v>BSE</v>
      </c>
      <c r="K1661" s="37" t="str">
        <f aca="false">IF(D1661="","",IFERROR(INDEX(rt_Billable,MATCH(D1661,rt_Code,0)),"Unknown"))</f>
        <v>Yes</v>
      </c>
      <c r="L1661" s="38" t="n">
        <f aca="false">IF(K1661&lt;&gt;"Yes","",IFERROR(INDEX(cr_Rate,MATCH(J1661&amp;"|"&amp;D1661,cr_Key,0)),INDEX(rt_Rate,MATCH(D1661,rt_Code,0))))</f>
        <v>100</v>
      </c>
      <c r="M1661" s="25" t="n">
        <f aca="false">IF(L1661="","",ROUND(N(E1661)*L1661,2))</f>
        <v>325</v>
      </c>
      <c r="N1661" s="39" t="n">
        <f aca="false">IF(OR(A1661="",B1661=""),"",SUMIFS(tl_Hours,tl_StaffID,I1661,tl_Date,A1661))</f>
        <v>8</v>
      </c>
      <c r="O1661" s="40" t="str">
        <f aca="false">IF(A1661&amp;B1661&amp;D1661="","",IF(OR(A1661="",B1661="",D1661="",E1661=""),"Incomplete",IF(K1661="Unknown","Unknown code",IF(AND(K1661="Yes",C1661=""),"Billable, needs client",IF(N1661&gt;MaxDayHours,"Over "&amp;MaxDayHours&amp;" hours that day","")))))</f>
        <v/>
      </c>
    </row>
    <row r="1662" customFormat="false" ht="15" hidden="false" customHeight="false" outlineLevel="0" collapsed="false">
      <c r="A1662" s="31" t="n">
        <v>46290</v>
      </c>
      <c r="B1662" s="32" t="s">
        <v>103</v>
      </c>
      <c r="C1662" s="32" t="s">
        <v>90</v>
      </c>
      <c r="D1662" s="33" t="s">
        <v>92</v>
      </c>
      <c r="E1662" s="34" t="n">
        <v>2.25</v>
      </c>
      <c r="F1662" s="32"/>
      <c r="G1662" s="35" t="n">
        <f aca="false">IF(A1662="","",A1662+7-WEEKDAY(A1662))</f>
        <v>46291</v>
      </c>
      <c r="H1662" s="36" t="n">
        <f aca="false">IF(A1662="","",DATE(YEAR(A1662),MONTH(A1662),1))</f>
        <v>46266</v>
      </c>
      <c r="I1662" s="37" t="str">
        <f aca="false">IF(B1662="","",IFERROR(INDEX(st_ID,MATCH(B1662,st_Name,0)),"Unknown"))</f>
        <v>QP-05</v>
      </c>
      <c r="J1662" s="37" t="str">
        <f aca="false">IF(C1662="","",IFERROR(INDEX(cl_Code,MATCH(C1662,cl_Name,0)),"Unknown"))</f>
        <v>BSE</v>
      </c>
      <c r="K1662" s="37" t="str">
        <f aca="false">IF(D1662="","",IFERROR(INDEX(rt_Billable,MATCH(D1662,rt_Code,0)),"Unknown"))</f>
        <v>Yes</v>
      </c>
      <c r="L1662" s="38" t="n">
        <f aca="false">IF(K1662&lt;&gt;"Yes","",IFERROR(INDEX(cr_Rate,MATCH(J1662&amp;"|"&amp;D1662,cr_Key,0)),INDEX(rt_Rate,MATCH(D1662,rt_Code,0))))</f>
        <v>145</v>
      </c>
      <c r="M1662" s="25" t="n">
        <f aca="false">IF(L1662="","",ROUND(N(E1662)*L1662,2))</f>
        <v>326.25</v>
      </c>
      <c r="N1662" s="39" t="n">
        <f aca="false">IF(OR(A1662="",B1662=""),"",SUMIFS(tl_Hours,tl_StaffID,I1662,tl_Date,A1662))</f>
        <v>8</v>
      </c>
      <c r="O1662" s="40" t="str">
        <f aca="false">IF(A1662&amp;B1662&amp;D1662="","",IF(OR(A1662="",B1662="",D1662="",E1662=""),"Incomplete",IF(K1662="Unknown","Unknown code",IF(AND(K1662="Yes",C1662=""),"Billable, needs client",IF(N1662&gt;MaxDayHours,"Over "&amp;MaxDayHours&amp;" hours that day","")))))</f>
        <v/>
      </c>
    </row>
    <row r="1663" customFormat="false" ht="15" hidden="false" customHeight="false" outlineLevel="0" collapsed="false">
      <c r="A1663" s="31" t="n">
        <v>46290</v>
      </c>
      <c r="B1663" s="32" t="s">
        <v>103</v>
      </c>
      <c r="C1663" s="32"/>
      <c r="D1663" s="33" t="s">
        <v>96</v>
      </c>
      <c r="E1663" s="34" t="n">
        <v>2.5</v>
      </c>
      <c r="F1663" s="32"/>
      <c r="G1663" s="35" t="n">
        <f aca="false">IF(A1663="","",A1663+7-WEEKDAY(A1663))</f>
        <v>46291</v>
      </c>
      <c r="H1663" s="36" t="n">
        <f aca="false">IF(A1663="","",DATE(YEAR(A1663),MONTH(A1663),1))</f>
        <v>46266</v>
      </c>
      <c r="I1663" s="37" t="str">
        <f aca="false">IF(B1663="","",IFERROR(INDEX(st_ID,MATCH(B1663,st_Name,0)),"Unknown"))</f>
        <v>QP-05</v>
      </c>
      <c r="J1663" s="37" t="str">
        <f aca="false">IF(C1663="","",IFERROR(INDEX(cl_Code,MATCH(C1663,cl_Name,0)),"Unknown"))</f>
        <v/>
      </c>
      <c r="K1663" s="37" t="str">
        <f aca="false">IF(D1663="","",IFERROR(INDEX(rt_Billable,MATCH(D1663,rt_Code,0)),"Unknown"))</f>
        <v>No</v>
      </c>
      <c r="L1663" s="38" t="str">
        <f aca="false">IF(K1663&lt;&gt;"Yes","",IFERROR(INDEX(cr_Rate,MATCH(J1663&amp;"|"&amp;D1663,cr_Key,0)),INDEX(rt_Rate,MATCH(D1663,rt_Code,0))))</f>
        <v/>
      </c>
      <c r="M1663" s="25" t="str">
        <f aca="false">IF(L1663="","",ROUND(N(E1663)*L1663,2))</f>
        <v/>
      </c>
      <c r="N1663" s="39" t="n">
        <f aca="false">IF(OR(A1663="",B1663=""),"",SUMIFS(tl_Hours,tl_StaffID,I1663,tl_Date,A1663))</f>
        <v>8</v>
      </c>
      <c r="O1663" s="40" t="str">
        <f aca="false">IF(A1663&amp;B1663&amp;D1663="","",IF(OR(A1663="",B1663="",D1663="",E1663=""),"Incomplete",IF(K1663="Unknown","Unknown code",IF(AND(K1663="Yes",C1663=""),"Billable, needs client",IF(N1663&gt;MaxDayHours,"Over "&amp;MaxDayHours&amp;" hours that day","")))))</f>
        <v/>
      </c>
    </row>
    <row r="1664" customFormat="false" ht="15" hidden="false" customHeight="false" outlineLevel="0" collapsed="false">
      <c r="A1664" s="31" t="n">
        <v>46290</v>
      </c>
      <c r="B1664" s="32" t="s">
        <v>105</v>
      </c>
      <c r="C1664" s="32" t="s">
        <v>90</v>
      </c>
      <c r="D1664" s="33" t="s">
        <v>91</v>
      </c>
      <c r="E1664" s="34" t="n">
        <v>3.5</v>
      </c>
      <c r="F1664" s="32"/>
      <c r="G1664" s="35" t="n">
        <f aca="false">IF(A1664="","",A1664+7-WEEKDAY(A1664))</f>
        <v>46291</v>
      </c>
      <c r="H1664" s="36" t="n">
        <f aca="false">IF(A1664="","",DATE(YEAR(A1664),MONTH(A1664),1))</f>
        <v>46266</v>
      </c>
      <c r="I1664" s="37" t="str">
        <f aca="false">IF(B1664="","",IFERROR(INDEX(st_ID,MATCH(B1664,st_Name,0)),"Unknown"))</f>
        <v>QP-06</v>
      </c>
      <c r="J1664" s="37" t="str">
        <f aca="false">IF(C1664="","",IFERROR(INDEX(cl_Code,MATCH(C1664,cl_Name,0)),"Unknown"))</f>
        <v>BSE</v>
      </c>
      <c r="K1664" s="37" t="str">
        <f aca="false">IF(D1664="","",IFERROR(INDEX(rt_Billable,MATCH(D1664,rt_Code,0)),"Unknown"))</f>
        <v>Yes</v>
      </c>
      <c r="L1664" s="38" t="n">
        <f aca="false">IF(K1664&lt;&gt;"Yes","",IFERROR(INDEX(cr_Rate,MATCH(J1664&amp;"|"&amp;D1664,cr_Key,0)),INDEX(rt_Rate,MATCH(D1664,rt_Code,0))))</f>
        <v>100</v>
      </c>
      <c r="M1664" s="25" t="n">
        <f aca="false">IF(L1664="","",ROUND(N(E1664)*L1664,2))</f>
        <v>350</v>
      </c>
      <c r="N1664" s="39" t="n">
        <f aca="false">IF(OR(A1664="",B1664=""),"",SUMIFS(tl_Hours,tl_StaffID,I1664,tl_Date,A1664))</f>
        <v>8</v>
      </c>
      <c r="O1664" s="40" t="str">
        <f aca="false">IF(A1664&amp;B1664&amp;D1664="","",IF(OR(A1664="",B1664="",D1664="",E1664=""),"Incomplete",IF(K1664="Unknown","Unknown code",IF(AND(K1664="Yes",C1664=""),"Billable, needs client",IF(N1664&gt;MaxDayHours,"Over "&amp;MaxDayHours&amp;" hours that day","")))))</f>
        <v/>
      </c>
    </row>
    <row r="1665" customFormat="false" ht="15" hidden="false" customHeight="false" outlineLevel="0" collapsed="false">
      <c r="A1665" s="31" t="n">
        <v>46290</v>
      </c>
      <c r="B1665" s="32" t="s">
        <v>105</v>
      </c>
      <c r="C1665" s="32" t="s">
        <v>90</v>
      </c>
      <c r="D1665" s="33" t="s">
        <v>104</v>
      </c>
      <c r="E1665" s="34" t="n">
        <v>2</v>
      </c>
      <c r="F1665" s="32"/>
      <c r="G1665" s="35" t="n">
        <f aca="false">IF(A1665="","",A1665+7-WEEKDAY(A1665))</f>
        <v>46291</v>
      </c>
      <c r="H1665" s="36" t="n">
        <f aca="false">IF(A1665="","",DATE(YEAR(A1665),MONTH(A1665),1))</f>
        <v>46266</v>
      </c>
      <c r="I1665" s="37" t="str">
        <f aca="false">IF(B1665="","",IFERROR(INDEX(st_ID,MATCH(B1665,st_Name,0)),"Unknown"))</f>
        <v>QP-06</v>
      </c>
      <c r="J1665" s="37" t="str">
        <f aca="false">IF(C1665="","",IFERROR(INDEX(cl_Code,MATCH(C1665,cl_Name,0)),"Unknown"))</f>
        <v>BSE</v>
      </c>
      <c r="K1665" s="37" t="str">
        <f aca="false">IF(D1665="","",IFERROR(INDEX(rt_Billable,MATCH(D1665,rt_Code,0)),"Unknown"))</f>
        <v>Yes</v>
      </c>
      <c r="L1665" s="38" t="n">
        <f aca="false">IF(K1665&lt;&gt;"Yes","",IFERROR(INDEX(cr_Rate,MATCH(J1665&amp;"|"&amp;D1665,cr_Key,0)),INDEX(rt_Rate,MATCH(D1665,rt_Code,0))))</f>
        <v>70</v>
      </c>
      <c r="M1665" s="25" t="n">
        <f aca="false">IF(L1665="","",ROUND(N(E1665)*L1665,2))</f>
        <v>140</v>
      </c>
      <c r="N1665" s="39" t="n">
        <f aca="false">IF(OR(A1665="",B1665=""),"",SUMIFS(tl_Hours,tl_StaffID,I1665,tl_Date,A1665))</f>
        <v>8</v>
      </c>
      <c r="O1665" s="40" t="str">
        <f aca="false">IF(A1665&amp;B1665&amp;D1665="","",IF(OR(A1665="",B1665="",D1665="",E1665=""),"Incomplete",IF(K1665="Unknown","Unknown code",IF(AND(K1665="Yes",C1665=""),"Billable, needs client",IF(N1665&gt;MaxDayHours,"Over "&amp;MaxDayHours&amp;" hours that day","")))))</f>
        <v/>
      </c>
    </row>
    <row r="1666" customFormat="false" ht="15" hidden="false" customHeight="false" outlineLevel="0" collapsed="false">
      <c r="A1666" s="31" t="n">
        <v>46290</v>
      </c>
      <c r="B1666" s="32" t="s">
        <v>105</v>
      </c>
      <c r="C1666" s="32"/>
      <c r="D1666" s="33" t="s">
        <v>96</v>
      </c>
      <c r="E1666" s="34" t="n">
        <v>2.5</v>
      </c>
      <c r="F1666" s="32"/>
      <c r="G1666" s="35" t="n">
        <f aca="false">IF(A1666="","",A1666+7-WEEKDAY(A1666))</f>
        <v>46291</v>
      </c>
      <c r="H1666" s="36" t="n">
        <f aca="false">IF(A1666="","",DATE(YEAR(A1666),MONTH(A1666),1))</f>
        <v>46266</v>
      </c>
      <c r="I1666" s="37" t="str">
        <f aca="false">IF(B1666="","",IFERROR(INDEX(st_ID,MATCH(B1666,st_Name,0)),"Unknown"))</f>
        <v>QP-06</v>
      </c>
      <c r="J1666" s="37" t="str">
        <f aca="false">IF(C1666="","",IFERROR(INDEX(cl_Code,MATCH(C1666,cl_Name,0)),"Unknown"))</f>
        <v/>
      </c>
      <c r="K1666" s="37" t="str">
        <f aca="false">IF(D1666="","",IFERROR(INDEX(rt_Billable,MATCH(D1666,rt_Code,0)),"Unknown"))</f>
        <v>No</v>
      </c>
      <c r="L1666" s="38" t="str">
        <f aca="false">IF(K1666&lt;&gt;"Yes","",IFERROR(INDEX(cr_Rate,MATCH(J1666&amp;"|"&amp;D1666,cr_Key,0)),INDEX(rt_Rate,MATCH(D1666,rt_Code,0))))</f>
        <v/>
      </c>
      <c r="M1666" s="25" t="str">
        <f aca="false">IF(L1666="","",ROUND(N(E1666)*L1666,2))</f>
        <v/>
      </c>
      <c r="N1666" s="39" t="n">
        <f aca="false">IF(OR(A1666="",B1666=""),"",SUMIFS(tl_Hours,tl_StaffID,I1666,tl_Date,A1666))</f>
        <v>8</v>
      </c>
      <c r="O1666" s="40" t="str">
        <f aca="false">IF(A1666&amp;B1666&amp;D1666="","",IF(OR(A1666="",B1666="",D1666="",E1666=""),"Incomplete",IF(K1666="Unknown","Unknown code",IF(AND(K1666="Yes",C1666=""),"Billable, needs client",IF(N1666&gt;MaxDayHours,"Over "&amp;MaxDayHours&amp;" hours that day","")))))</f>
        <v/>
      </c>
    </row>
    <row r="1667" customFormat="false" ht="15" hidden="false" customHeight="false" outlineLevel="0" collapsed="false">
      <c r="A1667" s="31" t="n">
        <v>46290</v>
      </c>
      <c r="B1667" s="32" t="s">
        <v>106</v>
      </c>
      <c r="C1667" s="32" t="s">
        <v>102</v>
      </c>
      <c r="D1667" s="33" t="s">
        <v>88</v>
      </c>
      <c r="E1667" s="34" t="n">
        <v>4.25</v>
      </c>
      <c r="F1667" s="32"/>
      <c r="G1667" s="35" t="n">
        <f aca="false">IF(A1667="","",A1667+7-WEEKDAY(A1667))</f>
        <v>46291</v>
      </c>
      <c r="H1667" s="36" t="n">
        <f aca="false">IF(A1667="","",DATE(YEAR(A1667),MONTH(A1667),1))</f>
        <v>46266</v>
      </c>
      <c r="I1667" s="37" t="str">
        <f aca="false">IF(B1667="","",IFERROR(INDEX(st_ID,MATCH(B1667,st_Name,0)),"Unknown"))</f>
        <v>QP-07</v>
      </c>
      <c r="J1667" s="37" t="str">
        <f aca="false">IF(C1667="","",IFERROR(INDEX(cl_Code,MATCH(C1667,cl_Name,0)),"Unknown"))</f>
        <v>CLH</v>
      </c>
      <c r="K1667" s="37" t="str">
        <f aca="false">IF(D1667="","",IFERROR(INDEX(rt_Billable,MATCH(D1667,rt_Code,0)),"Unknown"))</f>
        <v>Yes</v>
      </c>
      <c r="L1667" s="38" t="n">
        <f aca="false">IF(K1667&lt;&gt;"Yes","",IFERROR(INDEX(cr_Rate,MATCH(J1667&amp;"|"&amp;D1667,cr_Key,0)),INDEX(rt_Rate,MATCH(D1667,rt_Code,0))))</f>
        <v>110</v>
      </c>
      <c r="M1667" s="25" t="n">
        <f aca="false">IF(L1667="","",ROUND(N(E1667)*L1667,2))</f>
        <v>467.5</v>
      </c>
      <c r="N1667" s="39" t="n">
        <f aca="false">IF(OR(A1667="",B1667=""),"",SUMIFS(tl_Hours,tl_StaffID,I1667,tl_Date,A1667))</f>
        <v>8</v>
      </c>
      <c r="O1667" s="40" t="str">
        <f aca="false">IF(A1667&amp;B1667&amp;D1667="","",IF(OR(A1667="",B1667="",D1667="",E1667=""),"Incomplete",IF(K1667="Unknown","Unknown code",IF(AND(K1667="Yes",C1667=""),"Billable, needs client",IF(N1667&gt;MaxDayHours,"Over "&amp;MaxDayHours&amp;" hours that day","")))))</f>
        <v/>
      </c>
    </row>
    <row r="1668" customFormat="false" ht="15" hidden="false" customHeight="false" outlineLevel="0" collapsed="false">
      <c r="A1668" s="31" t="n">
        <v>46290</v>
      </c>
      <c r="B1668" s="32" t="s">
        <v>106</v>
      </c>
      <c r="C1668" s="32" t="s">
        <v>102</v>
      </c>
      <c r="D1668" s="33" t="s">
        <v>104</v>
      </c>
      <c r="E1668" s="34" t="n">
        <v>1.5</v>
      </c>
      <c r="F1668" s="32"/>
      <c r="G1668" s="35" t="n">
        <f aca="false">IF(A1668="","",A1668+7-WEEKDAY(A1668))</f>
        <v>46291</v>
      </c>
      <c r="H1668" s="36" t="n">
        <f aca="false">IF(A1668="","",DATE(YEAR(A1668),MONTH(A1668),1))</f>
        <v>46266</v>
      </c>
      <c r="I1668" s="37" t="str">
        <f aca="false">IF(B1668="","",IFERROR(INDEX(st_ID,MATCH(B1668,st_Name,0)),"Unknown"))</f>
        <v>QP-07</v>
      </c>
      <c r="J1668" s="37" t="str">
        <f aca="false">IF(C1668="","",IFERROR(INDEX(cl_Code,MATCH(C1668,cl_Name,0)),"Unknown"))</f>
        <v>CLH</v>
      </c>
      <c r="K1668" s="37" t="str">
        <f aca="false">IF(D1668="","",IFERROR(INDEX(rt_Billable,MATCH(D1668,rt_Code,0)),"Unknown"))</f>
        <v>Yes</v>
      </c>
      <c r="L1668" s="38" t="n">
        <f aca="false">IF(K1668&lt;&gt;"Yes","",IFERROR(INDEX(cr_Rate,MATCH(J1668&amp;"|"&amp;D1668,cr_Key,0)),INDEX(rt_Rate,MATCH(D1668,rt_Code,0))))</f>
        <v>65</v>
      </c>
      <c r="M1668" s="25" t="n">
        <f aca="false">IF(L1668="","",ROUND(N(E1668)*L1668,2))</f>
        <v>97.5</v>
      </c>
      <c r="N1668" s="39" t="n">
        <f aca="false">IF(OR(A1668="",B1668=""),"",SUMIFS(tl_Hours,tl_StaffID,I1668,tl_Date,A1668))</f>
        <v>8</v>
      </c>
      <c r="O1668" s="40" t="str">
        <f aca="false">IF(A1668&amp;B1668&amp;D1668="","",IF(OR(A1668="",B1668="",D1668="",E1668=""),"Incomplete",IF(K1668="Unknown","Unknown code",IF(AND(K1668="Yes",C1668=""),"Billable, needs client",IF(N1668&gt;MaxDayHours,"Over "&amp;MaxDayHours&amp;" hours that day","")))))</f>
        <v/>
      </c>
    </row>
    <row r="1669" customFormat="false" ht="15" hidden="false" customHeight="false" outlineLevel="0" collapsed="false">
      <c r="A1669" s="31" t="n">
        <v>46290</v>
      </c>
      <c r="B1669" s="32" t="s">
        <v>106</v>
      </c>
      <c r="C1669" s="32"/>
      <c r="D1669" s="33" t="s">
        <v>96</v>
      </c>
      <c r="E1669" s="34" t="n">
        <v>2.25</v>
      </c>
      <c r="F1669" s="32"/>
      <c r="G1669" s="35" t="n">
        <f aca="false">IF(A1669="","",A1669+7-WEEKDAY(A1669))</f>
        <v>46291</v>
      </c>
      <c r="H1669" s="36" t="n">
        <f aca="false">IF(A1669="","",DATE(YEAR(A1669),MONTH(A1669),1))</f>
        <v>46266</v>
      </c>
      <c r="I1669" s="37" t="str">
        <f aca="false">IF(B1669="","",IFERROR(INDEX(st_ID,MATCH(B1669,st_Name,0)),"Unknown"))</f>
        <v>QP-07</v>
      </c>
      <c r="J1669" s="37" t="str">
        <f aca="false">IF(C1669="","",IFERROR(INDEX(cl_Code,MATCH(C1669,cl_Name,0)),"Unknown"))</f>
        <v/>
      </c>
      <c r="K1669" s="37" t="str">
        <f aca="false">IF(D1669="","",IFERROR(INDEX(rt_Billable,MATCH(D1669,rt_Code,0)),"Unknown"))</f>
        <v>No</v>
      </c>
      <c r="L1669" s="38" t="str">
        <f aca="false">IF(K1669&lt;&gt;"Yes","",IFERROR(INDEX(cr_Rate,MATCH(J1669&amp;"|"&amp;D1669,cr_Key,0)),INDEX(rt_Rate,MATCH(D1669,rt_Code,0))))</f>
        <v/>
      </c>
      <c r="M1669" s="25" t="str">
        <f aca="false">IF(L1669="","",ROUND(N(E1669)*L1669,2))</f>
        <v/>
      </c>
      <c r="N1669" s="39" t="n">
        <f aca="false">IF(OR(A1669="",B1669=""),"",SUMIFS(tl_Hours,tl_StaffID,I1669,tl_Date,A1669))</f>
        <v>8</v>
      </c>
      <c r="O1669" s="40" t="str">
        <f aca="false">IF(A1669&amp;B1669&amp;D1669="","",IF(OR(A1669="",B1669="",D1669="",E1669=""),"Incomplete",IF(K1669="Unknown","Unknown code",IF(AND(K1669="Yes",C1669=""),"Billable, needs client",IF(N1669&gt;MaxDayHours,"Over "&amp;MaxDayHours&amp;" hours that day","")))))</f>
        <v/>
      </c>
    </row>
    <row r="1670" customFormat="false" ht="15" hidden="false" customHeight="false" outlineLevel="0" collapsed="false">
      <c r="A1670" s="31" t="n">
        <v>46290</v>
      </c>
      <c r="B1670" s="32" t="s">
        <v>107</v>
      </c>
      <c r="C1670" s="32"/>
      <c r="D1670" s="33" t="s">
        <v>108</v>
      </c>
      <c r="E1670" s="34" t="n">
        <v>7</v>
      </c>
      <c r="F1670" s="32"/>
      <c r="G1670" s="35" t="n">
        <f aca="false">IF(A1670="","",A1670+7-WEEKDAY(A1670))</f>
        <v>46291</v>
      </c>
      <c r="H1670" s="36" t="n">
        <f aca="false">IF(A1670="","",DATE(YEAR(A1670),MONTH(A1670),1))</f>
        <v>46266</v>
      </c>
      <c r="I1670" s="37" t="str">
        <f aca="false">IF(B1670="","",IFERROR(INDEX(st_ID,MATCH(B1670,st_Name,0)),"Unknown"))</f>
        <v>QP-08</v>
      </c>
      <c r="J1670" s="37" t="str">
        <f aca="false">IF(C1670="","",IFERROR(INDEX(cl_Code,MATCH(C1670,cl_Name,0)),"Unknown"))</f>
        <v/>
      </c>
      <c r="K1670" s="37" t="str">
        <f aca="false">IF(D1670="","",IFERROR(INDEX(rt_Billable,MATCH(D1670,rt_Code,0)),"Unknown"))</f>
        <v>No</v>
      </c>
      <c r="L1670" s="38" t="str">
        <f aca="false">IF(K1670&lt;&gt;"Yes","",IFERROR(INDEX(cr_Rate,MATCH(J1670&amp;"|"&amp;D1670,cr_Key,0)),INDEX(rt_Rate,MATCH(D1670,rt_Code,0))))</f>
        <v/>
      </c>
      <c r="M1670" s="25" t="str">
        <f aca="false">IF(L1670="","",ROUND(N(E1670)*L1670,2))</f>
        <v/>
      </c>
      <c r="N1670" s="39" t="n">
        <f aca="false">IF(OR(A1670="",B1670=""),"",SUMIFS(tl_Hours,tl_StaffID,I1670,tl_Date,A1670))</f>
        <v>8</v>
      </c>
      <c r="O1670" s="40" t="str">
        <f aca="false">IF(A1670&amp;B1670&amp;D1670="","",IF(OR(A1670="",B1670="",D1670="",E1670=""),"Incomplete",IF(K1670="Unknown","Unknown code",IF(AND(K1670="Yes",C1670=""),"Billable, needs client",IF(N1670&gt;MaxDayHours,"Over "&amp;MaxDayHours&amp;" hours that day","")))))</f>
        <v/>
      </c>
    </row>
    <row r="1671" customFormat="false" ht="15" hidden="false" customHeight="false" outlineLevel="0" collapsed="false">
      <c r="A1671" s="31" t="n">
        <v>46290</v>
      </c>
      <c r="B1671" s="32" t="s">
        <v>107</v>
      </c>
      <c r="C1671" s="32"/>
      <c r="D1671" s="33" t="s">
        <v>98</v>
      </c>
      <c r="E1671" s="34" t="n">
        <v>1</v>
      </c>
      <c r="F1671" s="32"/>
      <c r="G1671" s="35" t="n">
        <f aca="false">IF(A1671="","",A1671+7-WEEKDAY(A1671))</f>
        <v>46291</v>
      </c>
      <c r="H1671" s="36" t="n">
        <f aca="false">IF(A1671="","",DATE(YEAR(A1671),MONTH(A1671),1))</f>
        <v>46266</v>
      </c>
      <c r="I1671" s="37" t="str">
        <f aca="false">IF(B1671="","",IFERROR(INDEX(st_ID,MATCH(B1671,st_Name,0)),"Unknown"))</f>
        <v>QP-08</v>
      </c>
      <c r="J1671" s="37" t="str">
        <f aca="false">IF(C1671="","",IFERROR(INDEX(cl_Code,MATCH(C1671,cl_Name,0)),"Unknown"))</f>
        <v/>
      </c>
      <c r="K1671" s="37" t="str">
        <f aca="false">IF(D1671="","",IFERROR(INDEX(rt_Billable,MATCH(D1671,rt_Code,0)),"Unknown"))</f>
        <v>No</v>
      </c>
      <c r="L1671" s="38" t="str">
        <f aca="false">IF(K1671&lt;&gt;"Yes","",IFERROR(INDEX(cr_Rate,MATCH(J1671&amp;"|"&amp;D1671,cr_Key,0)),INDEX(rt_Rate,MATCH(D1671,rt_Code,0))))</f>
        <v/>
      </c>
      <c r="M1671" s="25" t="str">
        <f aca="false">IF(L1671="","",ROUND(N(E1671)*L1671,2))</f>
        <v/>
      </c>
      <c r="N1671" s="39" t="n">
        <f aca="false">IF(OR(A1671="",B1671=""),"",SUMIFS(tl_Hours,tl_StaffID,I1671,tl_Date,A1671))</f>
        <v>8</v>
      </c>
      <c r="O1671" s="40" t="str">
        <f aca="false">IF(A1671&amp;B1671&amp;D1671="","",IF(OR(A1671="",B1671="",D1671="",E1671=""),"Incomplete",IF(K1671="Unknown","Unknown code",IF(AND(K1671="Yes",C1671=""),"Billable, needs client",IF(N1671&gt;MaxDayHours,"Over "&amp;MaxDayHours&amp;" hours that day","")))))</f>
        <v/>
      </c>
    </row>
    <row r="1672" customFormat="false" ht="15" hidden="false" customHeight="false" outlineLevel="0" collapsed="false">
      <c r="A1672" s="31" t="n">
        <v>46293</v>
      </c>
      <c r="B1672" s="32" t="s">
        <v>86</v>
      </c>
      <c r="C1672" s="32" t="s">
        <v>90</v>
      </c>
      <c r="D1672" s="33" t="s">
        <v>91</v>
      </c>
      <c r="E1672" s="34" t="n">
        <v>4.75</v>
      </c>
      <c r="F1672" s="32"/>
      <c r="G1672" s="35" t="n">
        <f aca="false">IF(A1672="","",A1672+7-WEEKDAY(A1672))</f>
        <v>46298</v>
      </c>
      <c r="H1672" s="36" t="n">
        <f aca="false">IF(A1672="","",DATE(YEAR(A1672),MONTH(A1672),1))</f>
        <v>46266</v>
      </c>
      <c r="I1672" s="37" t="str">
        <f aca="false">IF(B1672="","",IFERROR(INDEX(st_ID,MATCH(B1672,st_Name,0)),"Unknown"))</f>
        <v>QP-01</v>
      </c>
      <c r="J1672" s="37" t="str">
        <f aca="false">IF(C1672="","",IFERROR(INDEX(cl_Code,MATCH(C1672,cl_Name,0)),"Unknown"))</f>
        <v>BSE</v>
      </c>
      <c r="K1672" s="37" t="str">
        <f aca="false">IF(D1672="","",IFERROR(INDEX(rt_Billable,MATCH(D1672,rt_Code,0)),"Unknown"))</f>
        <v>Yes</v>
      </c>
      <c r="L1672" s="38" t="n">
        <f aca="false">IF(K1672&lt;&gt;"Yes","",IFERROR(INDEX(cr_Rate,MATCH(J1672&amp;"|"&amp;D1672,cr_Key,0)),INDEX(rt_Rate,MATCH(D1672,rt_Code,0))))</f>
        <v>100</v>
      </c>
      <c r="M1672" s="25" t="n">
        <f aca="false">IF(L1672="","",ROUND(N(E1672)*L1672,2))</f>
        <v>475</v>
      </c>
      <c r="N1672" s="39" t="n">
        <f aca="false">IF(OR(A1672="",B1672=""),"",SUMIFS(tl_Hours,tl_StaffID,I1672,tl_Date,A1672))</f>
        <v>8</v>
      </c>
      <c r="O1672" s="40" t="str">
        <f aca="false">IF(A1672&amp;B1672&amp;D1672="","",IF(OR(A1672="",B1672="",D1672="",E1672=""),"Incomplete",IF(K1672="Unknown","Unknown code",IF(AND(K1672="Yes",C1672=""),"Billable, needs client",IF(N1672&gt;MaxDayHours,"Over "&amp;MaxDayHours&amp;" hours that day","")))))</f>
        <v/>
      </c>
    </row>
    <row r="1673" customFormat="false" ht="15" hidden="false" customHeight="false" outlineLevel="0" collapsed="false">
      <c r="A1673" s="31" t="n">
        <v>46293</v>
      </c>
      <c r="B1673" s="32" t="s">
        <v>86</v>
      </c>
      <c r="C1673" s="32" t="s">
        <v>90</v>
      </c>
      <c r="D1673" s="33" t="s">
        <v>88</v>
      </c>
      <c r="E1673" s="34" t="n">
        <v>0.75</v>
      </c>
      <c r="F1673" s="32"/>
      <c r="G1673" s="35" t="n">
        <f aca="false">IF(A1673="","",A1673+7-WEEKDAY(A1673))</f>
        <v>46298</v>
      </c>
      <c r="H1673" s="36" t="n">
        <f aca="false">IF(A1673="","",DATE(YEAR(A1673),MONTH(A1673),1))</f>
        <v>46266</v>
      </c>
      <c r="I1673" s="37" t="str">
        <f aca="false">IF(B1673="","",IFERROR(INDEX(st_ID,MATCH(B1673,st_Name,0)),"Unknown"))</f>
        <v>QP-01</v>
      </c>
      <c r="J1673" s="37" t="str">
        <f aca="false">IF(C1673="","",IFERROR(INDEX(cl_Code,MATCH(C1673,cl_Name,0)),"Unknown"))</f>
        <v>BSE</v>
      </c>
      <c r="K1673" s="37" t="str">
        <f aca="false">IF(D1673="","",IFERROR(INDEX(rt_Billable,MATCH(D1673,rt_Code,0)),"Unknown"))</f>
        <v>Yes</v>
      </c>
      <c r="L1673" s="38" t="n">
        <f aca="false">IF(K1673&lt;&gt;"Yes","",IFERROR(INDEX(cr_Rate,MATCH(J1673&amp;"|"&amp;D1673,cr_Key,0)),INDEX(rt_Rate,MATCH(D1673,rt_Code,0))))</f>
        <v>104</v>
      </c>
      <c r="M1673" s="25" t="n">
        <f aca="false">IF(L1673="","",ROUND(N(E1673)*L1673,2))</f>
        <v>78</v>
      </c>
      <c r="N1673" s="39" t="n">
        <f aca="false">IF(OR(A1673="",B1673=""),"",SUMIFS(tl_Hours,tl_StaffID,I1673,tl_Date,A1673))</f>
        <v>8</v>
      </c>
      <c r="O1673" s="40" t="str">
        <f aca="false">IF(A1673&amp;B1673&amp;D1673="","",IF(OR(A1673="",B1673="",D1673="",E1673=""),"Incomplete",IF(K1673="Unknown","Unknown code",IF(AND(K1673="Yes",C1673=""),"Billable, needs client",IF(N1673&gt;MaxDayHours,"Over "&amp;MaxDayHours&amp;" hours that day","")))))</f>
        <v/>
      </c>
    </row>
    <row r="1674" customFormat="false" ht="15" hidden="false" customHeight="false" outlineLevel="0" collapsed="false">
      <c r="A1674" s="31" t="n">
        <v>46293</v>
      </c>
      <c r="B1674" s="32" t="s">
        <v>86</v>
      </c>
      <c r="C1674" s="32"/>
      <c r="D1674" s="33" t="s">
        <v>96</v>
      </c>
      <c r="E1674" s="34" t="n">
        <v>2.5</v>
      </c>
      <c r="F1674" s="32"/>
      <c r="G1674" s="35" t="n">
        <f aca="false">IF(A1674="","",A1674+7-WEEKDAY(A1674))</f>
        <v>46298</v>
      </c>
      <c r="H1674" s="36" t="n">
        <f aca="false">IF(A1674="","",DATE(YEAR(A1674),MONTH(A1674),1))</f>
        <v>46266</v>
      </c>
      <c r="I1674" s="37" t="str">
        <f aca="false">IF(B1674="","",IFERROR(INDEX(st_ID,MATCH(B1674,st_Name,0)),"Unknown"))</f>
        <v>QP-01</v>
      </c>
      <c r="J1674" s="37" t="str">
        <f aca="false">IF(C1674="","",IFERROR(INDEX(cl_Code,MATCH(C1674,cl_Name,0)),"Unknown"))</f>
        <v/>
      </c>
      <c r="K1674" s="37" t="str">
        <f aca="false">IF(D1674="","",IFERROR(INDEX(rt_Billable,MATCH(D1674,rt_Code,0)),"Unknown"))</f>
        <v>No</v>
      </c>
      <c r="L1674" s="38" t="str">
        <f aca="false">IF(K1674&lt;&gt;"Yes","",IFERROR(INDEX(cr_Rate,MATCH(J1674&amp;"|"&amp;D1674,cr_Key,0)),INDEX(rt_Rate,MATCH(D1674,rt_Code,0))))</f>
        <v/>
      </c>
      <c r="M1674" s="25" t="str">
        <f aca="false">IF(L1674="","",ROUND(N(E1674)*L1674,2))</f>
        <v/>
      </c>
      <c r="N1674" s="39" t="n">
        <f aca="false">IF(OR(A1674="",B1674=""),"",SUMIFS(tl_Hours,tl_StaffID,I1674,tl_Date,A1674))</f>
        <v>8</v>
      </c>
      <c r="O1674" s="40" t="str">
        <f aca="false">IF(A1674&amp;B1674&amp;D1674="","",IF(OR(A1674="",B1674="",D1674="",E1674=""),"Incomplete",IF(K1674="Unknown","Unknown code",IF(AND(K1674="Yes",C1674=""),"Billable, needs client",IF(N1674&gt;MaxDayHours,"Over "&amp;MaxDayHours&amp;" hours that day","")))))</f>
        <v/>
      </c>
    </row>
    <row r="1675" customFormat="false" ht="15" hidden="false" customHeight="false" outlineLevel="0" collapsed="false">
      <c r="A1675" s="31" t="n">
        <v>46293</v>
      </c>
      <c r="B1675" s="32" t="s">
        <v>97</v>
      </c>
      <c r="C1675" s="32" t="s">
        <v>87</v>
      </c>
      <c r="D1675" s="33" t="s">
        <v>104</v>
      </c>
      <c r="E1675" s="34" t="n">
        <v>4.25</v>
      </c>
      <c r="F1675" s="32"/>
      <c r="G1675" s="35" t="n">
        <f aca="false">IF(A1675="","",A1675+7-WEEKDAY(A1675))</f>
        <v>46298</v>
      </c>
      <c r="H1675" s="36" t="n">
        <f aca="false">IF(A1675="","",DATE(YEAR(A1675),MONTH(A1675),1))</f>
        <v>46266</v>
      </c>
      <c r="I1675" s="37" t="str">
        <f aca="false">IF(B1675="","",IFERROR(INDEX(st_ID,MATCH(B1675,st_Name,0)),"Unknown"))</f>
        <v>QP-02</v>
      </c>
      <c r="J1675" s="37" t="str">
        <f aca="false">IF(C1675="","",IFERROR(INDEX(cl_Code,MATCH(C1675,cl_Name,0)),"Unknown"))</f>
        <v>HCS</v>
      </c>
      <c r="K1675" s="37" t="str">
        <f aca="false">IF(D1675="","",IFERROR(INDEX(rt_Billable,MATCH(D1675,rt_Code,0)),"Unknown"))</f>
        <v>Yes</v>
      </c>
      <c r="L1675" s="38" t="n">
        <f aca="false">IF(K1675&lt;&gt;"Yes","",IFERROR(INDEX(cr_Rate,MATCH(J1675&amp;"|"&amp;D1675,cr_Key,0)),INDEX(rt_Rate,MATCH(D1675,rt_Code,0))))</f>
        <v>62</v>
      </c>
      <c r="M1675" s="25" t="n">
        <f aca="false">IF(L1675="","",ROUND(N(E1675)*L1675,2))</f>
        <v>263.5</v>
      </c>
      <c r="N1675" s="39" t="n">
        <f aca="false">IF(OR(A1675="",B1675=""),"",SUMIFS(tl_Hours,tl_StaffID,I1675,tl_Date,A1675))</f>
        <v>8</v>
      </c>
      <c r="O1675" s="40" t="str">
        <f aca="false">IF(A1675&amp;B1675&amp;D1675="","",IF(OR(A1675="",B1675="",D1675="",E1675=""),"Incomplete",IF(K1675="Unknown","Unknown code",IF(AND(K1675="Yes",C1675=""),"Billable, needs client",IF(N1675&gt;MaxDayHours,"Over "&amp;MaxDayHours&amp;" hours that day","")))))</f>
        <v/>
      </c>
    </row>
    <row r="1676" customFormat="false" ht="15" hidden="false" customHeight="false" outlineLevel="0" collapsed="false">
      <c r="A1676" s="31" t="n">
        <v>46293</v>
      </c>
      <c r="B1676" s="32" t="s">
        <v>97</v>
      </c>
      <c r="C1676" s="32" t="s">
        <v>87</v>
      </c>
      <c r="D1676" s="33" t="s">
        <v>89</v>
      </c>
      <c r="E1676" s="34" t="n">
        <v>1.75</v>
      </c>
      <c r="F1676" s="32"/>
      <c r="G1676" s="35" t="n">
        <f aca="false">IF(A1676="","",A1676+7-WEEKDAY(A1676))</f>
        <v>46298</v>
      </c>
      <c r="H1676" s="36" t="n">
        <f aca="false">IF(A1676="","",DATE(YEAR(A1676),MONTH(A1676),1))</f>
        <v>46266</v>
      </c>
      <c r="I1676" s="37" t="str">
        <f aca="false">IF(B1676="","",IFERROR(INDEX(st_ID,MATCH(B1676,st_Name,0)),"Unknown"))</f>
        <v>QP-02</v>
      </c>
      <c r="J1676" s="37" t="str">
        <f aca="false">IF(C1676="","",IFERROR(INDEX(cl_Code,MATCH(C1676,cl_Name,0)),"Unknown"))</f>
        <v>HCS</v>
      </c>
      <c r="K1676" s="37" t="str">
        <f aca="false">IF(D1676="","",IFERROR(INDEX(rt_Billable,MATCH(D1676,rt_Code,0)),"Unknown"))</f>
        <v>Yes</v>
      </c>
      <c r="L1676" s="38" t="n">
        <f aca="false">IF(K1676&lt;&gt;"Yes","",IFERROR(INDEX(cr_Rate,MATCH(J1676&amp;"|"&amp;D1676,cr_Key,0)),INDEX(rt_Rate,MATCH(D1676,rt_Code,0))))</f>
        <v>88</v>
      </c>
      <c r="M1676" s="25" t="n">
        <f aca="false">IF(L1676="","",ROUND(N(E1676)*L1676,2))</f>
        <v>154</v>
      </c>
      <c r="N1676" s="39" t="n">
        <f aca="false">IF(OR(A1676="",B1676=""),"",SUMIFS(tl_Hours,tl_StaffID,I1676,tl_Date,A1676))</f>
        <v>8</v>
      </c>
      <c r="O1676" s="40" t="str">
        <f aca="false">IF(A1676&amp;B1676&amp;D1676="","",IF(OR(A1676="",B1676="",D1676="",E1676=""),"Incomplete",IF(K1676="Unknown","Unknown code",IF(AND(K1676="Yes",C1676=""),"Billable, needs client",IF(N1676&gt;MaxDayHours,"Over "&amp;MaxDayHours&amp;" hours that day","")))))</f>
        <v/>
      </c>
    </row>
    <row r="1677" customFormat="false" ht="15" hidden="false" customHeight="false" outlineLevel="0" collapsed="false">
      <c r="A1677" s="31" t="n">
        <v>46293</v>
      </c>
      <c r="B1677" s="32" t="s">
        <v>97</v>
      </c>
      <c r="C1677" s="32"/>
      <c r="D1677" s="33" t="s">
        <v>96</v>
      </c>
      <c r="E1677" s="34" t="n">
        <v>2</v>
      </c>
      <c r="F1677" s="32"/>
      <c r="G1677" s="35" t="n">
        <f aca="false">IF(A1677="","",A1677+7-WEEKDAY(A1677))</f>
        <v>46298</v>
      </c>
      <c r="H1677" s="36" t="n">
        <f aca="false">IF(A1677="","",DATE(YEAR(A1677),MONTH(A1677),1))</f>
        <v>46266</v>
      </c>
      <c r="I1677" s="37" t="str">
        <f aca="false">IF(B1677="","",IFERROR(INDEX(st_ID,MATCH(B1677,st_Name,0)),"Unknown"))</f>
        <v>QP-02</v>
      </c>
      <c r="J1677" s="37" t="str">
        <f aca="false">IF(C1677="","",IFERROR(INDEX(cl_Code,MATCH(C1677,cl_Name,0)),"Unknown"))</f>
        <v/>
      </c>
      <c r="K1677" s="37" t="str">
        <f aca="false">IF(D1677="","",IFERROR(INDEX(rt_Billable,MATCH(D1677,rt_Code,0)),"Unknown"))</f>
        <v>No</v>
      </c>
      <c r="L1677" s="38" t="str">
        <f aca="false">IF(K1677&lt;&gt;"Yes","",IFERROR(INDEX(cr_Rate,MATCH(J1677&amp;"|"&amp;D1677,cr_Key,0)),INDEX(rt_Rate,MATCH(D1677,rt_Code,0))))</f>
        <v/>
      </c>
      <c r="M1677" s="25" t="str">
        <f aca="false">IF(L1677="","",ROUND(N(E1677)*L1677,2))</f>
        <v/>
      </c>
      <c r="N1677" s="39" t="n">
        <f aca="false">IF(OR(A1677="",B1677=""),"",SUMIFS(tl_Hours,tl_StaffID,I1677,tl_Date,A1677))</f>
        <v>8</v>
      </c>
      <c r="O1677" s="40" t="str">
        <f aca="false">IF(A1677&amp;B1677&amp;D1677="","",IF(OR(A1677="",B1677="",D1677="",E1677=""),"Incomplete",IF(K1677="Unknown","Unknown code",IF(AND(K1677="Yes",C1677=""),"Billable, needs client",IF(N1677&gt;MaxDayHours,"Over "&amp;MaxDayHours&amp;" hours that day","")))))</f>
        <v/>
      </c>
    </row>
    <row r="1678" customFormat="false" ht="15" hidden="false" customHeight="false" outlineLevel="0" collapsed="false">
      <c r="A1678" s="31" t="n">
        <v>46293</v>
      </c>
      <c r="B1678" s="32" t="s">
        <v>101</v>
      </c>
      <c r="C1678" s="32" t="s">
        <v>102</v>
      </c>
      <c r="D1678" s="33" t="s">
        <v>104</v>
      </c>
      <c r="E1678" s="34" t="n">
        <v>3.75</v>
      </c>
      <c r="F1678" s="32"/>
      <c r="G1678" s="35" t="n">
        <f aca="false">IF(A1678="","",A1678+7-WEEKDAY(A1678))</f>
        <v>46298</v>
      </c>
      <c r="H1678" s="36" t="n">
        <f aca="false">IF(A1678="","",DATE(YEAR(A1678),MONTH(A1678),1))</f>
        <v>46266</v>
      </c>
      <c r="I1678" s="37" t="str">
        <f aca="false">IF(B1678="","",IFERROR(INDEX(st_ID,MATCH(B1678,st_Name,0)),"Unknown"))</f>
        <v>QP-04</v>
      </c>
      <c r="J1678" s="37" t="str">
        <f aca="false">IF(C1678="","",IFERROR(INDEX(cl_Code,MATCH(C1678,cl_Name,0)),"Unknown"))</f>
        <v>CLH</v>
      </c>
      <c r="K1678" s="37" t="str">
        <f aca="false">IF(D1678="","",IFERROR(INDEX(rt_Billable,MATCH(D1678,rt_Code,0)),"Unknown"))</f>
        <v>Yes</v>
      </c>
      <c r="L1678" s="38" t="n">
        <f aca="false">IF(K1678&lt;&gt;"Yes","",IFERROR(INDEX(cr_Rate,MATCH(J1678&amp;"|"&amp;D1678,cr_Key,0)),INDEX(rt_Rate,MATCH(D1678,rt_Code,0))))</f>
        <v>65</v>
      </c>
      <c r="M1678" s="25" t="n">
        <f aca="false">IF(L1678="","",ROUND(N(E1678)*L1678,2))</f>
        <v>243.75</v>
      </c>
      <c r="N1678" s="39" t="n">
        <f aca="false">IF(OR(A1678="",B1678=""),"",SUMIFS(tl_Hours,tl_StaffID,I1678,tl_Date,A1678))</f>
        <v>8.5</v>
      </c>
      <c r="O1678" s="40" t="str">
        <f aca="false">IF(A1678&amp;B1678&amp;D1678="","",IF(OR(A1678="",B1678="",D1678="",E1678=""),"Incomplete",IF(K1678="Unknown","Unknown code",IF(AND(K1678="Yes",C1678=""),"Billable, needs client",IF(N1678&gt;MaxDayHours,"Over "&amp;MaxDayHours&amp;" hours that day","")))))</f>
        <v/>
      </c>
    </row>
    <row r="1679" customFormat="false" ht="15" hidden="false" customHeight="false" outlineLevel="0" collapsed="false">
      <c r="A1679" s="31" t="n">
        <v>46293</v>
      </c>
      <c r="B1679" s="32" t="s">
        <v>101</v>
      </c>
      <c r="C1679" s="32" t="s">
        <v>102</v>
      </c>
      <c r="D1679" s="33" t="s">
        <v>92</v>
      </c>
      <c r="E1679" s="34" t="n">
        <v>2.75</v>
      </c>
      <c r="F1679" s="32"/>
      <c r="G1679" s="35" t="n">
        <f aca="false">IF(A1679="","",A1679+7-WEEKDAY(A1679))</f>
        <v>46298</v>
      </c>
      <c r="H1679" s="36" t="n">
        <f aca="false">IF(A1679="","",DATE(YEAR(A1679),MONTH(A1679),1))</f>
        <v>46266</v>
      </c>
      <c r="I1679" s="37" t="str">
        <f aca="false">IF(B1679="","",IFERROR(INDEX(st_ID,MATCH(B1679,st_Name,0)),"Unknown"))</f>
        <v>QP-04</v>
      </c>
      <c r="J1679" s="37" t="str">
        <f aca="false">IF(C1679="","",IFERROR(INDEX(cl_Code,MATCH(C1679,cl_Name,0)),"Unknown"))</f>
        <v>CLH</v>
      </c>
      <c r="K1679" s="37" t="str">
        <f aca="false">IF(D1679="","",IFERROR(INDEX(rt_Billable,MATCH(D1679,rt_Code,0)),"Unknown"))</f>
        <v>Yes</v>
      </c>
      <c r="L1679" s="38" t="n">
        <f aca="false">IF(K1679&lt;&gt;"Yes","",IFERROR(INDEX(cr_Rate,MATCH(J1679&amp;"|"&amp;D1679,cr_Key,0)),INDEX(rt_Rate,MATCH(D1679,rt_Code,0))))</f>
        <v>150</v>
      </c>
      <c r="M1679" s="25" t="n">
        <f aca="false">IF(L1679="","",ROUND(N(E1679)*L1679,2))</f>
        <v>412.5</v>
      </c>
      <c r="N1679" s="39" t="n">
        <f aca="false">IF(OR(A1679="",B1679=""),"",SUMIFS(tl_Hours,tl_StaffID,I1679,tl_Date,A1679))</f>
        <v>8.5</v>
      </c>
      <c r="O1679" s="40" t="str">
        <f aca="false">IF(A1679&amp;B1679&amp;D1679="","",IF(OR(A1679="",B1679="",D1679="",E1679=""),"Incomplete",IF(K1679="Unknown","Unknown code",IF(AND(K1679="Yes",C1679=""),"Billable, needs client",IF(N1679&gt;MaxDayHours,"Over "&amp;MaxDayHours&amp;" hours that day","")))))</f>
        <v/>
      </c>
    </row>
    <row r="1680" customFormat="false" ht="15" hidden="false" customHeight="false" outlineLevel="0" collapsed="false">
      <c r="A1680" s="31" t="n">
        <v>46293</v>
      </c>
      <c r="B1680" s="32" t="s">
        <v>101</v>
      </c>
      <c r="C1680" s="32"/>
      <c r="D1680" s="33" t="s">
        <v>94</v>
      </c>
      <c r="E1680" s="34" t="n">
        <v>1.5</v>
      </c>
      <c r="F1680" s="32" t="s">
        <v>95</v>
      </c>
      <c r="G1680" s="35" t="n">
        <f aca="false">IF(A1680="","",A1680+7-WEEKDAY(A1680))</f>
        <v>46298</v>
      </c>
      <c r="H1680" s="36" t="n">
        <f aca="false">IF(A1680="","",DATE(YEAR(A1680),MONTH(A1680),1))</f>
        <v>46266</v>
      </c>
      <c r="I1680" s="37" t="str">
        <f aca="false">IF(B1680="","",IFERROR(INDEX(st_ID,MATCH(B1680,st_Name,0)),"Unknown"))</f>
        <v>QP-04</v>
      </c>
      <c r="J1680" s="37" t="str">
        <f aca="false">IF(C1680="","",IFERROR(INDEX(cl_Code,MATCH(C1680,cl_Name,0)),"Unknown"))</f>
        <v/>
      </c>
      <c r="K1680" s="37" t="str">
        <f aca="false">IF(D1680="","",IFERROR(INDEX(rt_Billable,MATCH(D1680,rt_Code,0)),"Unknown"))</f>
        <v>No</v>
      </c>
      <c r="L1680" s="38" t="str">
        <f aca="false">IF(K1680&lt;&gt;"Yes","",IFERROR(INDEX(cr_Rate,MATCH(J1680&amp;"|"&amp;D1680,cr_Key,0)),INDEX(rt_Rate,MATCH(D1680,rt_Code,0))))</f>
        <v/>
      </c>
      <c r="M1680" s="25" t="str">
        <f aca="false">IF(L1680="","",ROUND(N(E1680)*L1680,2))</f>
        <v/>
      </c>
      <c r="N1680" s="39" t="n">
        <f aca="false">IF(OR(A1680="",B1680=""),"",SUMIFS(tl_Hours,tl_StaffID,I1680,tl_Date,A1680))</f>
        <v>8.5</v>
      </c>
      <c r="O1680" s="40" t="str">
        <f aca="false">IF(A1680&amp;B1680&amp;D1680="","",IF(OR(A1680="",B1680="",D1680="",E1680=""),"Incomplete",IF(K1680="Unknown","Unknown code",IF(AND(K1680="Yes",C1680=""),"Billable, needs client",IF(N1680&gt;MaxDayHours,"Over "&amp;MaxDayHours&amp;" hours that day","")))))</f>
        <v/>
      </c>
    </row>
    <row r="1681" customFormat="false" ht="15" hidden="false" customHeight="false" outlineLevel="0" collapsed="false">
      <c r="A1681" s="31" t="n">
        <v>46293</v>
      </c>
      <c r="B1681" s="32" t="s">
        <v>101</v>
      </c>
      <c r="C1681" s="32"/>
      <c r="D1681" s="33" t="s">
        <v>96</v>
      </c>
      <c r="E1681" s="34" t="n">
        <v>0.5</v>
      </c>
      <c r="F1681" s="32"/>
      <c r="G1681" s="35" t="n">
        <f aca="false">IF(A1681="","",A1681+7-WEEKDAY(A1681))</f>
        <v>46298</v>
      </c>
      <c r="H1681" s="36" t="n">
        <f aca="false">IF(A1681="","",DATE(YEAR(A1681),MONTH(A1681),1))</f>
        <v>46266</v>
      </c>
      <c r="I1681" s="37" t="str">
        <f aca="false">IF(B1681="","",IFERROR(INDEX(st_ID,MATCH(B1681,st_Name,0)),"Unknown"))</f>
        <v>QP-04</v>
      </c>
      <c r="J1681" s="37" t="str">
        <f aca="false">IF(C1681="","",IFERROR(INDEX(cl_Code,MATCH(C1681,cl_Name,0)),"Unknown"))</f>
        <v/>
      </c>
      <c r="K1681" s="37" t="str">
        <f aca="false">IF(D1681="","",IFERROR(INDEX(rt_Billable,MATCH(D1681,rt_Code,0)),"Unknown"))</f>
        <v>No</v>
      </c>
      <c r="L1681" s="38" t="str">
        <f aca="false">IF(K1681&lt;&gt;"Yes","",IFERROR(INDEX(cr_Rate,MATCH(J1681&amp;"|"&amp;D1681,cr_Key,0)),INDEX(rt_Rate,MATCH(D1681,rt_Code,0))))</f>
        <v/>
      </c>
      <c r="M1681" s="25" t="str">
        <f aca="false">IF(L1681="","",ROUND(N(E1681)*L1681,2))</f>
        <v/>
      </c>
      <c r="N1681" s="39" t="n">
        <f aca="false">IF(OR(A1681="",B1681=""),"",SUMIFS(tl_Hours,tl_StaffID,I1681,tl_Date,A1681))</f>
        <v>8.5</v>
      </c>
      <c r="O1681" s="40" t="str">
        <f aca="false">IF(A1681&amp;B1681&amp;D1681="","",IF(OR(A1681="",B1681="",D1681="",E1681=""),"Incomplete",IF(K1681="Unknown","Unknown code",IF(AND(K1681="Yes",C1681=""),"Billable, needs client",IF(N1681&gt;MaxDayHours,"Over "&amp;MaxDayHours&amp;" hours that day","")))))</f>
        <v/>
      </c>
    </row>
    <row r="1682" customFormat="false" ht="15" hidden="false" customHeight="false" outlineLevel="0" collapsed="false">
      <c r="A1682" s="31" t="n">
        <v>46293</v>
      </c>
      <c r="B1682" s="32" t="s">
        <v>103</v>
      </c>
      <c r="C1682" s="32" t="s">
        <v>90</v>
      </c>
      <c r="D1682" s="33" t="s">
        <v>88</v>
      </c>
      <c r="E1682" s="34" t="n">
        <v>4</v>
      </c>
      <c r="F1682" s="32"/>
      <c r="G1682" s="35" t="n">
        <f aca="false">IF(A1682="","",A1682+7-WEEKDAY(A1682))</f>
        <v>46298</v>
      </c>
      <c r="H1682" s="36" t="n">
        <f aca="false">IF(A1682="","",DATE(YEAR(A1682),MONTH(A1682),1))</f>
        <v>46266</v>
      </c>
      <c r="I1682" s="37" t="str">
        <f aca="false">IF(B1682="","",IFERROR(INDEX(st_ID,MATCH(B1682,st_Name,0)),"Unknown"))</f>
        <v>QP-05</v>
      </c>
      <c r="J1682" s="37" t="str">
        <f aca="false">IF(C1682="","",IFERROR(INDEX(cl_Code,MATCH(C1682,cl_Name,0)),"Unknown"))</f>
        <v>BSE</v>
      </c>
      <c r="K1682" s="37" t="str">
        <f aca="false">IF(D1682="","",IFERROR(INDEX(rt_Billable,MATCH(D1682,rt_Code,0)),"Unknown"))</f>
        <v>Yes</v>
      </c>
      <c r="L1682" s="38" t="n">
        <f aca="false">IF(K1682&lt;&gt;"Yes","",IFERROR(INDEX(cr_Rate,MATCH(J1682&amp;"|"&amp;D1682,cr_Key,0)),INDEX(rt_Rate,MATCH(D1682,rt_Code,0))))</f>
        <v>104</v>
      </c>
      <c r="M1682" s="25" t="n">
        <f aca="false">IF(L1682="","",ROUND(N(E1682)*L1682,2))</f>
        <v>416</v>
      </c>
      <c r="N1682" s="39" t="n">
        <f aca="false">IF(OR(A1682="",B1682=""),"",SUMIFS(tl_Hours,tl_StaffID,I1682,tl_Date,A1682))</f>
        <v>8</v>
      </c>
      <c r="O1682" s="40" t="str">
        <f aca="false">IF(A1682&amp;B1682&amp;D1682="","",IF(OR(A1682="",B1682="",D1682="",E1682=""),"Incomplete",IF(K1682="Unknown","Unknown code",IF(AND(K1682="Yes",C1682=""),"Billable, needs client",IF(N1682&gt;MaxDayHours,"Over "&amp;MaxDayHours&amp;" hours that day","")))))</f>
        <v/>
      </c>
    </row>
    <row r="1683" customFormat="false" ht="15" hidden="false" customHeight="false" outlineLevel="0" collapsed="false">
      <c r="A1683" s="31" t="n">
        <v>46293</v>
      </c>
      <c r="B1683" s="32" t="s">
        <v>103</v>
      </c>
      <c r="C1683" s="32" t="s">
        <v>90</v>
      </c>
      <c r="D1683" s="33" t="s">
        <v>89</v>
      </c>
      <c r="E1683" s="34" t="n">
        <v>2</v>
      </c>
      <c r="F1683" s="32"/>
      <c r="G1683" s="35" t="n">
        <f aca="false">IF(A1683="","",A1683+7-WEEKDAY(A1683))</f>
        <v>46298</v>
      </c>
      <c r="H1683" s="36" t="n">
        <f aca="false">IF(A1683="","",DATE(YEAR(A1683),MONTH(A1683),1))</f>
        <v>46266</v>
      </c>
      <c r="I1683" s="37" t="str">
        <f aca="false">IF(B1683="","",IFERROR(INDEX(st_ID,MATCH(B1683,st_Name,0)),"Unknown"))</f>
        <v>QP-05</v>
      </c>
      <c r="J1683" s="37" t="str">
        <f aca="false">IF(C1683="","",IFERROR(INDEX(cl_Code,MATCH(C1683,cl_Name,0)),"Unknown"))</f>
        <v>BSE</v>
      </c>
      <c r="K1683" s="37" t="str">
        <f aca="false">IF(D1683="","",IFERROR(INDEX(rt_Billable,MATCH(D1683,rt_Code,0)),"Unknown"))</f>
        <v>Yes</v>
      </c>
      <c r="L1683" s="38" t="n">
        <f aca="false">IF(K1683&lt;&gt;"Yes","",IFERROR(INDEX(cr_Rate,MATCH(J1683&amp;"|"&amp;D1683,cr_Key,0)),INDEX(rt_Rate,MATCH(D1683,rt_Code,0))))</f>
        <v>95</v>
      </c>
      <c r="M1683" s="25" t="n">
        <f aca="false">IF(L1683="","",ROUND(N(E1683)*L1683,2))</f>
        <v>190</v>
      </c>
      <c r="N1683" s="39" t="n">
        <f aca="false">IF(OR(A1683="",B1683=""),"",SUMIFS(tl_Hours,tl_StaffID,I1683,tl_Date,A1683))</f>
        <v>8</v>
      </c>
      <c r="O1683" s="40" t="str">
        <f aca="false">IF(A1683&amp;B1683&amp;D1683="","",IF(OR(A1683="",B1683="",D1683="",E1683=""),"Incomplete",IF(K1683="Unknown","Unknown code",IF(AND(K1683="Yes",C1683=""),"Billable, needs client",IF(N1683&gt;MaxDayHours,"Over "&amp;MaxDayHours&amp;" hours that day","")))))</f>
        <v/>
      </c>
    </row>
    <row r="1684" customFormat="false" ht="15" hidden="false" customHeight="false" outlineLevel="0" collapsed="false">
      <c r="A1684" s="31" t="n">
        <v>46293</v>
      </c>
      <c r="B1684" s="32" t="s">
        <v>103</v>
      </c>
      <c r="C1684" s="32"/>
      <c r="D1684" s="33" t="s">
        <v>96</v>
      </c>
      <c r="E1684" s="34" t="n">
        <v>2</v>
      </c>
      <c r="F1684" s="32"/>
      <c r="G1684" s="35" t="n">
        <f aca="false">IF(A1684="","",A1684+7-WEEKDAY(A1684))</f>
        <v>46298</v>
      </c>
      <c r="H1684" s="36" t="n">
        <f aca="false">IF(A1684="","",DATE(YEAR(A1684),MONTH(A1684),1))</f>
        <v>46266</v>
      </c>
      <c r="I1684" s="37" t="str">
        <f aca="false">IF(B1684="","",IFERROR(INDEX(st_ID,MATCH(B1684,st_Name,0)),"Unknown"))</f>
        <v>QP-05</v>
      </c>
      <c r="J1684" s="37" t="str">
        <f aca="false">IF(C1684="","",IFERROR(INDEX(cl_Code,MATCH(C1684,cl_Name,0)),"Unknown"))</f>
        <v/>
      </c>
      <c r="K1684" s="37" t="str">
        <f aca="false">IF(D1684="","",IFERROR(INDEX(rt_Billable,MATCH(D1684,rt_Code,0)),"Unknown"))</f>
        <v>No</v>
      </c>
      <c r="L1684" s="38" t="str">
        <f aca="false">IF(K1684&lt;&gt;"Yes","",IFERROR(INDEX(cr_Rate,MATCH(J1684&amp;"|"&amp;D1684,cr_Key,0)),INDEX(rt_Rate,MATCH(D1684,rt_Code,0))))</f>
        <v/>
      </c>
      <c r="M1684" s="25" t="str">
        <f aca="false">IF(L1684="","",ROUND(N(E1684)*L1684,2))</f>
        <v/>
      </c>
      <c r="N1684" s="39" t="n">
        <f aca="false">IF(OR(A1684="",B1684=""),"",SUMIFS(tl_Hours,tl_StaffID,I1684,tl_Date,A1684))</f>
        <v>8</v>
      </c>
      <c r="O1684" s="40" t="str">
        <f aca="false">IF(A1684&amp;B1684&amp;D1684="","",IF(OR(A1684="",B1684="",D1684="",E1684=""),"Incomplete",IF(K1684="Unknown","Unknown code",IF(AND(K1684="Yes",C1684=""),"Billable, needs client",IF(N1684&gt;MaxDayHours,"Over "&amp;MaxDayHours&amp;" hours that day","")))))</f>
        <v/>
      </c>
    </row>
    <row r="1685" customFormat="false" ht="15" hidden="false" customHeight="false" outlineLevel="0" collapsed="false">
      <c r="A1685" s="31" t="n">
        <v>46293</v>
      </c>
      <c r="B1685" s="32" t="s">
        <v>105</v>
      </c>
      <c r="C1685" s="32" t="s">
        <v>90</v>
      </c>
      <c r="D1685" s="33" t="s">
        <v>88</v>
      </c>
      <c r="E1685" s="34" t="n">
        <v>4.75</v>
      </c>
      <c r="F1685" s="32"/>
      <c r="G1685" s="35" t="n">
        <f aca="false">IF(A1685="","",A1685+7-WEEKDAY(A1685))</f>
        <v>46298</v>
      </c>
      <c r="H1685" s="36" t="n">
        <f aca="false">IF(A1685="","",DATE(YEAR(A1685),MONTH(A1685),1))</f>
        <v>46266</v>
      </c>
      <c r="I1685" s="37" t="str">
        <f aca="false">IF(B1685="","",IFERROR(INDEX(st_ID,MATCH(B1685,st_Name,0)),"Unknown"))</f>
        <v>QP-06</v>
      </c>
      <c r="J1685" s="37" t="str">
        <f aca="false">IF(C1685="","",IFERROR(INDEX(cl_Code,MATCH(C1685,cl_Name,0)),"Unknown"))</f>
        <v>BSE</v>
      </c>
      <c r="K1685" s="37" t="str">
        <f aca="false">IF(D1685="","",IFERROR(INDEX(rt_Billable,MATCH(D1685,rt_Code,0)),"Unknown"))</f>
        <v>Yes</v>
      </c>
      <c r="L1685" s="38" t="n">
        <f aca="false">IF(K1685&lt;&gt;"Yes","",IFERROR(INDEX(cr_Rate,MATCH(J1685&amp;"|"&amp;D1685,cr_Key,0)),INDEX(rt_Rate,MATCH(D1685,rt_Code,0))))</f>
        <v>104</v>
      </c>
      <c r="M1685" s="25" t="n">
        <f aca="false">IF(L1685="","",ROUND(N(E1685)*L1685,2))</f>
        <v>494</v>
      </c>
      <c r="N1685" s="39" t="n">
        <f aca="false">IF(OR(A1685="",B1685=""),"",SUMIFS(tl_Hours,tl_StaffID,I1685,tl_Date,A1685))</f>
        <v>8</v>
      </c>
      <c r="O1685" s="40" t="str">
        <f aca="false">IF(A1685&amp;B1685&amp;D1685="","",IF(OR(A1685="",B1685="",D1685="",E1685=""),"Incomplete",IF(K1685="Unknown","Unknown code",IF(AND(K1685="Yes",C1685=""),"Billable, needs client",IF(N1685&gt;MaxDayHours,"Over "&amp;MaxDayHours&amp;" hours that day","")))))</f>
        <v/>
      </c>
    </row>
    <row r="1686" customFormat="false" ht="15" hidden="false" customHeight="false" outlineLevel="0" collapsed="false">
      <c r="A1686" s="31" t="n">
        <v>46293</v>
      </c>
      <c r="B1686" s="32" t="s">
        <v>105</v>
      </c>
      <c r="C1686" s="32" t="s">
        <v>90</v>
      </c>
      <c r="D1686" s="33" t="s">
        <v>89</v>
      </c>
      <c r="E1686" s="34" t="n">
        <v>1.25</v>
      </c>
      <c r="F1686" s="32"/>
      <c r="G1686" s="35" t="n">
        <f aca="false">IF(A1686="","",A1686+7-WEEKDAY(A1686))</f>
        <v>46298</v>
      </c>
      <c r="H1686" s="36" t="n">
        <f aca="false">IF(A1686="","",DATE(YEAR(A1686),MONTH(A1686),1))</f>
        <v>46266</v>
      </c>
      <c r="I1686" s="37" t="str">
        <f aca="false">IF(B1686="","",IFERROR(INDEX(st_ID,MATCH(B1686,st_Name,0)),"Unknown"))</f>
        <v>QP-06</v>
      </c>
      <c r="J1686" s="37" t="str">
        <f aca="false">IF(C1686="","",IFERROR(INDEX(cl_Code,MATCH(C1686,cl_Name,0)),"Unknown"))</f>
        <v>BSE</v>
      </c>
      <c r="K1686" s="37" t="str">
        <f aca="false">IF(D1686="","",IFERROR(INDEX(rt_Billable,MATCH(D1686,rt_Code,0)),"Unknown"))</f>
        <v>Yes</v>
      </c>
      <c r="L1686" s="38" t="n">
        <f aca="false">IF(K1686&lt;&gt;"Yes","",IFERROR(INDEX(cr_Rate,MATCH(J1686&amp;"|"&amp;D1686,cr_Key,0)),INDEX(rt_Rate,MATCH(D1686,rt_Code,0))))</f>
        <v>95</v>
      </c>
      <c r="M1686" s="25" t="n">
        <f aca="false">IF(L1686="","",ROUND(N(E1686)*L1686,2))</f>
        <v>118.75</v>
      </c>
      <c r="N1686" s="39" t="n">
        <f aca="false">IF(OR(A1686="",B1686=""),"",SUMIFS(tl_Hours,tl_StaffID,I1686,tl_Date,A1686))</f>
        <v>8</v>
      </c>
      <c r="O1686" s="40" t="str">
        <f aca="false">IF(A1686&amp;B1686&amp;D1686="","",IF(OR(A1686="",B1686="",D1686="",E1686=""),"Incomplete",IF(K1686="Unknown","Unknown code",IF(AND(K1686="Yes",C1686=""),"Billable, needs client",IF(N1686&gt;MaxDayHours,"Over "&amp;MaxDayHours&amp;" hours that day","")))))</f>
        <v/>
      </c>
    </row>
    <row r="1687" customFormat="false" ht="15" hidden="false" customHeight="false" outlineLevel="0" collapsed="false">
      <c r="A1687" s="31" t="n">
        <v>46293</v>
      </c>
      <c r="B1687" s="32" t="s">
        <v>105</v>
      </c>
      <c r="C1687" s="32"/>
      <c r="D1687" s="33" t="s">
        <v>96</v>
      </c>
      <c r="E1687" s="34" t="n">
        <v>2</v>
      </c>
      <c r="F1687" s="32"/>
      <c r="G1687" s="35" t="n">
        <f aca="false">IF(A1687="","",A1687+7-WEEKDAY(A1687))</f>
        <v>46298</v>
      </c>
      <c r="H1687" s="36" t="n">
        <f aca="false">IF(A1687="","",DATE(YEAR(A1687),MONTH(A1687),1))</f>
        <v>46266</v>
      </c>
      <c r="I1687" s="37" t="str">
        <f aca="false">IF(B1687="","",IFERROR(INDEX(st_ID,MATCH(B1687,st_Name,0)),"Unknown"))</f>
        <v>QP-06</v>
      </c>
      <c r="J1687" s="37" t="str">
        <f aca="false">IF(C1687="","",IFERROR(INDEX(cl_Code,MATCH(C1687,cl_Name,0)),"Unknown"))</f>
        <v/>
      </c>
      <c r="K1687" s="37" t="str">
        <f aca="false">IF(D1687="","",IFERROR(INDEX(rt_Billable,MATCH(D1687,rt_Code,0)),"Unknown"))</f>
        <v>No</v>
      </c>
      <c r="L1687" s="38" t="str">
        <f aca="false">IF(K1687&lt;&gt;"Yes","",IFERROR(INDEX(cr_Rate,MATCH(J1687&amp;"|"&amp;D1687,cr_Key,0)),INDEX(rt_Rate,MATCH(D1687,rt_Code,0))))</f>
        <v/>
      </c>
      <c r="M1687" s="25" t="str">
        <f aca="false">IF(L1687="","",ROUND(N(E1687)*L1687,2))</f>
        <v/>
      </c>
      <c r="N1687" s="39" t="n">
        <f aca="false">IF(OR(A1687="",B1687=""),"",SUMIFS(tl_Hours,tl_StaffID,I1687,tl_Date,A1687))</f>
        <v>8</v>
      </c>
      <c r="O1687" s="40" t="str">
        <f aca="false">IF(A1687&amp;B1687&amp;D1687="","",IF(OR(A1687="",B1687="",D1687="",E1687=""),"Incomplete",IF(K1687="Unknown","Unknown code",IF(AND(K1687="Yes",C1687=""),"Billable, needs client",IF(N1687&gt;MaxDayHours,"Over "&amp;MaxDayHours&amp;" hours that day","")))))</f>
        <v/>
      </c>
    </row>
    <row r="1688" customFormat="false" ht="15" hidden="false" customHeight="false" outlineLevel="0" collapsed="false">
      <c r="A1688" s="31" t="n">
        <v>46293</v>
      </c>
      <c r="B1688" s="32" t="s">
        <v>106</v>
      </c>
      <c r="C1688" s="32"/>
      <c r="D1688" s="33" t="s">
        <v>109</v>
      </c>
      <c r="E1688" s="34" t="n">
        <v>8</v>
      </c>
      <c r="F1688" s="32"/>
      <c r="G1688" s="35" t="n">
        <f aca="false">IF(A1688="","",A1688+7-WEEKDAY(A1688))</f>
        <v>46298</v>
      </c>
      <c r="H1688" s="36" t="n">
        <f aca="false">IF(A1688="","",DATE(YEAR(A1688),MONTH(A1688),1))</f>
        <v>46266</v>
      </c>
      <c r="I1688" s="37" t="str">
        <f aca="false">IF(B1688="","",IFERROR(INDEX(st_ID,MATCH(B1688,st_Name,0)),"Unknown"))</f>
        <v>QP-07</v>
      </c>
      <c r="J1688" s="37" t="str">
        <f aca="false">IF(C1688="","",IFERROR(INDEX(cl_Code,MATCH(C1688,cl_Name,0)),"Unknown"))</f>
        <v/>
      </c>
      <c r="K1688" s="37" t="str">
        <f aca="false">IF(D1688="","",IFERROR(INDEX(rt_Billable,MATCH(D1688,rt_Code,0)),"Unknown"))</f>
        <v>No</v>
      </c>
      <c r="L1688" s="38" t="str">
        <f aca="false">IF(K1688&lt;&gt;"Yes","",IFERROR(INDEX(cr_Rate,MATCH(J1688&amp;"|"&amp;D1688,cr_Key,0)),INDEX(rt_Rate,MATCH(D1688,rt_Code,0))))</f>
        <v/>
      </c>
      <c r="M1688" s="25" t="str">
        <f aca="false">IF(L1688="","",ROUND(N(E1688)*L1688,2))</f>
        <v/>
      </c>
      <c r="N1688" s="39" t="n">
        <f aca="false">IF(OR(A1688="",B1688=""),"",SUMIFS(tl_Hours,tl_StaffID,I1688,tl_Date,A1688))</f>
        <v>8</v>
      </c>
      <c r="O1688" s="40" t="str">
        <f aca="false">IF(A1688&amp;B1688&amp;D1688="","",IF(OR(A1688="",B1688="",D1688="",E1688=""),"Incomplete",IF(K1688="Unknown","Unknown code",IF(AND(K1688="Yes",C1688=""),"Billable, needs client",IF(N1688&gt;MaxDayHours,"Over "&amp;MaxDayHours&amp;" hours that day","")))))</f>
        <v/>
      </c>
    </row>
    <row r="1689" customFormat="false" ht="15" hidden="false" customHeight="false" outlineLevel="0" collapsed="false">
      <c r="A1689" s="31" t="n">
        <v>46293</v>
      </c>
      <c r="B1689" s="32" t="s">
        <v>107</v>
      </c>
      <c r="C1689" s="32"/>
      <c r="D1689" s="33" t="s">
        <v>108</v>
      </c>
      <c r="E1689" s="34" t="n">
        <v>7</v>
      </c>
      <c r="F1689" s="32"/>
      <c r="G1689" s="35" t="n">
        <f aca="false">IF(A1689="","",A1689+7-WEEKDAY(A1689))</f>
        <v>46298</v>
      </c>
      <c r="H1689" s="36" t="n">
        <f aca="false">IF(A1689="","",DATE(YEAR(A1689),MONTH(A1689),1))</f>
        <v>46266</v>
      </c>
      <c r="I1689" s="37" t="str">
        <f aca="false">IF(B1689="","",IFERROR(INDEX(st_ID,MATCH(B1689,st_Name,0)),"Unknown"))</f>
        <v>QP-08</v>
      </c>
      <c r="J1689" s="37" t="str">
        <f aca="false">IF(C1689="","",IFERROR(INDEX(cl_Code,MATCH(C1689,cl_Name,0)),"Unknown"))</f>
        <v/>
      </c>
      <c r="K1689" s="37" t="str">
        <f aca="false">IF(D1689="","",IFERROR(INDEX(rt_Billable,MATCH(D1689,rt_Code,0)),"Unknown"))</f>
        <v>No</v>
      </c>
      <c r="L1689" s="38" t="str">
        <f aca="false">IF(K1689&lt;&gt;"Yes","",IFERROR(INDEX(cr_Rate,MATCH(J1689&amp;"|"&amp;D1689,cr_Key,0)),INDEX(rt_Rate,MATCH(D1689,rt_Code,0))))</f>
        <v/>
      </c>
      <c r="M1689" s="25" t="str">
        <f aca="false">IF(L1689="","",ROUND(N(E1689)*L1689,2))</f>
        <v/>
      </c>
      <c r="N1689" s="39" t="n">
        <f aca="false">IF(OR(A1689="",B1689=""),"",SUMIFS(tl_Hours,tl_StaffID,I1689,tl_Date,A1689))</f>
        <v>8</v>
      </c>
      <c r="O1689" s="40" t="str">
        <f aca="false">IF(A1689&amp;B1689&amp;D1689="","",IF(OR(A1689="",B1689="",D1689="",E1689=""),"Incomplete",IF(K1689="Unknown","Unknown code",IF(AND(K1689="Yes",C1689=""),"Billable, needs client",IF(N1689&gt;MaxDayHours,"Over "&amp;MaxDayHours&amp;" hours that day","")))))</f>
        <v/>
      </c>
    </row>
    <row r="1690" customFormat="false" ht="15" hidden="false" customHeight="false" outlineLevel="0" collapsed="false">
      <c r="A1690" s="31" t="n">
        <v>46293</v>
      </c>
      <c r="B1690" s="32" t="s">
        <v>107</v>
      </c>
      <c r="C1690" s="32"/>
      <c r="D1690" s="33" t="s">
        <v>98</v>
      </c>
      <c r="E1690" s="34" t="n">
        <v>1</v>
      </c>
      <c r="F1690" s="32"/>
      <c r="G1690" s="35" t="n">
        <f aca="false">IF(A1690="","",A1690+7-WEEKDAY(A1690))</f>
        <v>46298</v>
      </c>
      <c r="H1690" s="36" t="n">
        <f aca="false">IF(A1690="","",DATE(YEAR(A1690),MONTH(A1690),1))</f>
        <v>46266</v>
      </c>
      <c r="I1690" s="37" t="str">
        <f aca="false">IF(B1690="","",IFERROR(INDEX(st_ID,MATCH(B1690,st_Name,0)),"Unknown"))</f>
        <v>QP-08</v>
      </c>
      <c r="J1690" s="37" t="str">
        <f aca="false">IF(C1690="","",IFERROR(INDEX(cl_Code,MATCH(C1690,cl_Name,0)),"Unknown"))</f>
        <v/>
      </c>
      <c r="K1690" s="37" t="str">
        <f aca="false">IF(D1690="","",IFERROR(INDEX(rt_Billable,MATCH(D1690,rt_Code,0)),"Unknown"))</f>
        <v>No</v>
      </c>
      <c r="L1690" s="38" t="str">
        <f aca="false">IF(K1690&lt;&gt;"Yes","",IFERROR(INDEX(cr_Rate,MATCH(J1690&amp;"|"&amp;D1690,cr_Key,0)),INDEX(rt_Rate,MATCH(D1690,rt_Code,0))))</f>
        <v/>
      </c>
      <c r="M1690" s="25" t="str">
        <f aca="false">IF(L1690="","",ROUND(N(E1690)*L1690,2))</f>
        <v/>
      </c>
      <c r="N1690" s="39" t="n">
        <f aca="false">IF(OR(A1690="",B1690=""),"",SUMIFS(tl_Hours,tl_StaffID,I1690,tl_Date,A1690))</f>
        <v>8</v>
      </c>
      <c r="O1690" s="40" t="str">
        <f aca="false">IF(A1690&amp;B1690&amp;D1690="","",IF(OR(A1690="",B1690="",D1690="",E1690=""),"Incomplete",IF(K1690="Unknown","Unknown code",IF(AND(K1690="Yes",C1690=""),"Billable, needs client",IF(N1690&gt;MaxDayHours,"Over "&amp;MaxDayHours&amp;" hours that day","")))))</f>
        <v/>
      </c>
    </row>
    <row r="1691" customFormat="false" ht="15" hidden="false" customHeight="false" outlineLevel="0" collapsed="false">
      <c r="A1691" s="31" t="n">
        <v>46294</v>
      </c>
      <c r="B1691" s="32" t="s">
        <v>86</v>
      </c>
      <c r="C1691" s="32" t="s">
        <v>112</v>
      </c>
      <c r="D1691" s="33" t="s">
        <v>88</v>
      </c>
      <c r="E1691" s="34" t="n">
        <v>4.75</v>
      </c>
      <c r="F1691" s="32"/>
      <c r="G1691" s="35" t="n">
        <f aca="false">IF(A1691="","",A1691+7-WEEKDAY(A1691))</f>
        <v>46298</v>
      </c>
      <c r="H1691" s="36" t="n">
        <f aca="false">IF(A1691="","",DATE(YEAR(A1691),MONTH(A1691),1))</f>
        <v>46266</v>
      </c>
      <c r="I1691" s="37" t="str">
        <f aca="false">IF(B1691="","",IFERROR(INDEX(st_ID,MATCH(B1691,st_Name,0)),"Unknown"))</f>
        <v>QP-01</v>
      </c>
      <c r="J1691" s="37" t="str">
        <f aca="false">IF(C1691="","",IFERROR(INDEX(cl_Code,MATCH(C1691,cl_Name,0)),"Unknown"))</f>
        <v>PCA</v>
      </c>
      <c r="K1691" s="37" t="str">
        <f aca="false">IF(D1691="","",IFERROR(INDEX(rt_Billable,MATCH(D1691,rt_Code,0)),"Unknown"))</f>
        <v>Yes</v>
      </c>
      <c r="L1691" s="38" t="n">
        <f aca="false">IF(K1691&lt;&gt;"Yes","",IFERROR(INDEX(cr_Rate,MATCH(J1691&amp;"|"&amp;D1691,cr_Key,0)),INDEX(rt_Rate,MATCH(D1691,rt_Code,0))))</f>
        <v>110</v>
      </c>
      <c r="M1691" s="25" t="n">
        <f aca="false">IF(L1691="","",ROUND(N(E1691)*L1691,2))</f>
        <v>522.5</v>
      </c>
      <c r="N1691" s="39" t="n">
        <f aca="false">IF(OR(A1691="",B1691=""),"",SUMIFS(tl_Hours,tl_StaffID,I1691,tl_Date,A1691))</f>
        <v>8</v>
      </c>
      <c r="O1691" s="40" t="str">
        <f aca="false">IF(A1691&amp;B1691&amp;D1691="","",IF(OR(A1691="",B1691="",D1691="",E1691=""),"Incomplete",IF(K1691="Unknown","Unknown code",IF(AND(K1691="Yes",C1691=""),"Billable, needs client",IF(N1691&gt;MaxDayHours,"Over "&amp;MaxDayHours&amp;" hours that day","")))))</f>
        <v/>
      </c>
    </row>
    <row r="1692" customFormat="false" ht="15" hidden="false" customHeight="false" outlineLevel="0" collapsed="false">
      <c r="A1692" s="31" t="n">
        <v>46294</v>
      </c>
      <c r="B1692" s="32" t="s">
        <v>86</v>
      </c>
      <c r="C1692" s="32" t="s">
        <v>112</v>
      </c>
      <c r="D1692" s="33" t="s">
        <v>89</v>
      </c>
      <c r="E1692" s="34" t="n">
        <v>1.25</v>
      </c>
      <c r="F1692" s="32"/>
      <c r="G1692" s="35" t="n">
        <f aca="false">IF(A1692="","",A1692+7-WEEKDAY(A1692))</f>
        <v>46298</v>
      </c>
      <c r="H1692" s="36" t="n">
        <f aca="false">IF(A1692="","",DATE(YEAR(A1692),MONTH(A1692),1))</f>
        <v>46266</v>
      </c>
      <c r="I1692" s="37" t="str">
        <f aca="false">IF(B1692="","",IFERROR(INDEX(st_ID,MATCH(B1692,st_Name,0)),"Unknown"))</f>
        <v>QP-01</v>
      </c>
      <c r="J1692" s="37" t="str">
        <f aca="false">IF(C1692="","",IFERROR(INDEX(cl_Code,MATCH(C1692,cl_Name,0)),"Unknown"))</f>
        <v>PCA</v>
      </c>
      <c r="K1692" s="37" t="str">
        <f aca="false">IF(D1692="","",IFERROR(INDEX(rt_Billable,MATCH(D1692,rt_Code,0)),"Unknown"))</f>
        <v>Yes</v>
      </c>
      <c r="L1692" s="38" t="n">
        <f aca="false">IF(K1692&lt;&gt;"Yes","",IFERROR(INDEX(cr_Rate,MATCH(J1692&amp;"|"&amp;D1692,cr_Key,0)),INDEX(rt_Rate,MATCH(D1692,rt_Code,0))))</f>
        <v>95</v>
      </c>
      <c r="M1692" s="25" t="n">
        <f aca="false">IF(L1692="","",ROUND(N(E1692)*L1692,2))</f>
        <v>118.75</v>
      </c>
      <c r="N1692" s="39" t="n">
        <f aca="false">IF(OR(A1692="",B1692=""),"",SUMIFS(tl_Hours,tl_StaffID,I1692,tl_Date,A1692))</f>
        <v>8</v>
      </c>
      <c r="O1692" s="40" t="str">
        <f aca="false">IF(A1692&amp;B1692&amp;D1692="","",IF(OR(A1692="",B1692="",D1692="",E1692=""),"Incomplete",IF(K1692="Unknown","Unknown code",IF(AND(K1692="Yes",C1692=""),"Billable, needs client",IF(N1692&gt;MaxDayHours,"Over "&amp;MaxDayHours&amp;" hours that day","")))))</f>
        <v/>
      </c>
    </row>
    <row r="1693" customFormat="false" ht="15" hidden="false" customHeight="false" outlineLevel="0" collapsed="false">
      <c r="A1693" s="31" t="n">
        <v>46294</v>
      </c>
      <c r="B1693" s="32" t="s">
        <v>86</v>
      </c>
      <c r="C1693" s="32"/>
      <c r="D1693" s="33" t="s">
        <v>94</v>
      </c>
      <c r="E1693" s="34" t="n">
        <v>1.5</v>
      </c>
      <c r="F1693" s="32" t="s">
        <v>95</v>
      </c>
      <c r="G1693" s="35" t="n">
        <f aca="false">IF(A1693="","",A1693+7-WEEKDAY(A1693))</f>
        <v>46298</v>
      </c>
      <c r="H1693" s="36" t="n">
        <f aca="false">IF(A1693="","",DATE(YEAR(A1693),MONTH(A1693),1))</f>
        <v>46266</v>
      </c>
      <c r="I1693" s="37" t="str">
        <f aca="false">IF(B1693="","",IFERROR(INDEX(st_ID,MATCH(B1693,st_Name,0)),"Unknown"))</f>
        <v>QP-01</v>
      </c>
      <c r="J1693" s="37" t="str">
        <f aca="false">IF(C1693="","",IFERROR(INDEX(cl_Code,MATCH(C1693,cl_Name,0)),"Unknown"))</f>
        <v/>
      </c>
      <c r="K1693" s="37" t="str">
        <f aca="false">IF(D1693="","",IFERROR(INDEX(rt_Billable,MATCH(D1693,rt_Code,0)),"Unknown"))</f>
        <v>No</v>
      </c>
      <c r="L1693" s="38" t="str">
        <f aca="false">IF(K1693&lt;&gt;"Yes","",IFERROR(INDEX(cr_Rate,MATCH(J1693&amp;"|"&amp;D1693,cr_Key,0)),INDEX(rt_Rate,MATCH(D1693,rt_Code,0))))</f>
        <v/>
      </c>
      <c r="M1693" s="25" t="str">
        <f aca="false">IF(L1693="","",ROUND(N(E1693)*L1693,2))</f>
        <v/>
      </c>
      <c r="N1693" s="39" t="n">
        <f aca="false">IF(OR(A1693="",B1693=""),"",SUMIFS(tl_Hours,tl_StaffID,I1693,tl_Date,A1693))</f>
        <v>8</v>
      </c>
      <c r="O1693" s="40" t="str">
        <f aca="false">IF(A1693&amp;B1693&amp;D1693="","",IF(OR(A1693="",B1693="",D1693="",E1693=""),"Incomplete",IF(K1693="Unknown","Unknown code",IF(AND(K1693="Yes",C1693=""),"Billable, needs client",IF(N1693&gt;MaxDayHours,"Over "&amp;MaxDayHours&amp;" hours that day","")))))</f>
        <v/>
      </c>
    </row>
    <row r="1694" customFormat="false" ht="15" hidden="false" customHeight="false" outlineLevel="0" collapsed="false">
      <c r="A1694" s="31" t="n">
        <v>46294</v>
      </c>
      <c r="B1694" s="32" t="s">
        <v>86</v>
      </c>
      <c r="C1694" s="32"/>
      <c r="D1694" s="33" t="s">
        <v>96</v>
      </c>
      <c r="E1694" s="34" t="n">
        <v>0.5</v>
      </c>
      <c r="F1694" s="32"/>
      <c r="G1694" s="35" t="n">
        <f aca="false">IF(A1694="","",A1694+7-WEEKDAY(A1694))</f>
        <v>46298</v>
      </c>
      <c r="H1694" s="36" t="n">
        <f aca="false">IF(A1694="","",DATE(YEAR(A1694),MONTH(A1694),1))</f>
        <v>46266</v>
      </c>
      <c r="I1694" s="37" t="str">
        <f aca="false">IF(B1694="","",IFERROR(INDEX(st_ID,MATCH(B1694,st_Name,0)),"Unknown"))</f>
        <v>QP-01</v>
      </c>
      <c r="J1694" s="37" t="str">
        <f aca="false">IF(C1694="","",IFERROR(INDEX(cl_Code,MATCH(C1694,cl_Name,0)),"Unknown"))</f>
        <v/>
      </c>
      <c r="K1694" s="37" t="str">
        <f aca="false">IF(D1694="","",IFERROR(INDEX(rt_Billable,MATCH(D1694,rt_Code,0)),"Unknown"))</f>
        <v>No</v>
      </c>
      <c r="L1694" s="38" t="str">
        <f aca="false">IF(K1694&lt;&gt;"Yes","",IFERROR(INDEX(cr_Rate,MATCH(J1694&amp;"|"&amp;D1694,cr_Key,0)),INDEX(rt_Rate,MATCH(D1694,rt_Code,0))))</f>
        <v/>
      </c>
      <c r="M1694" s="25" t="str">
        <f aca="false">IF(L1694="","",ROUND(N(E1694)*L1694,2))</f>
        <v/>
      </c>
      <c r="N1694" s="39" t="n">
        <f aca="false">IF(OR(A1694="",B1694=""),"",SUMIFS(tl_Hours,tl_StaffID,I1694,tl_Date,A1694))</f>
        <v>8</v>
      </c>
      <c r="O1694" s="40" t="str">
        <f aca="false">IF(A1694&amp;B1694&amp;D1694="","",IF(OR(A1694="",B1694="",D1694="",E1694=""),"Incomplete",IF(K1694="Unknown","Unknown code",IF(AND(K1694="Yes",C1694=""),"Billable, needs client",IF(N1694&gt;MaxDayHours,"Over "&amp;MaxDayHours&amp;" hours that day","")))))</f>
        <v/>
      </c>
    </row>
    <row r="1695" customFormat="false" ht="15" hidden="false" customHeight="false" outlineLevel="0" collapsed="false">
      <c r="A1695" s="31" t="n">
        <v>46294</v>
      </c>
      <c r="B1695" s="32" t="s">
        <v>97</v>
      </c>
      <c r="C1695" s="32" t="s">
        <v>111</v>
      </c>
      <c r="D1695" s="33" t="s">
        <v>104</v>
      </c>
      <c r="E1695" s="34" t="n">
        <v>4.25</v>
      </c>
      <c r="F1695" s="32"/>
      <c r="G1695" s="35" t="n">
        <f aca="false">IF(A1695="","",A1695+7-WEEKDAY(A1695))</f>
        <v>46298</v>
      </c>
      <c r="H1695" s="36" t="n">
        <f aca="false">IF(A1695="","",DATE(YEAR(A1695),MONTH(A1695),1))</f>
        <v>46266</v>
      </c>
      <c r="I1695" s="37" t="str">
        <f aca="false">IF(B1695="","",IFERROR(INDEX(st_ID,MATCH(B1695,st_Name,0)),"Unknown"))</f>
        <v>QP-02</v>
      </c>
      <c r="J1695" s="37" t="str">
        <f aca="false">IF(C1695="","",IFERROR(INDEX(cl_Code,MATCH(C1695,cl_Name,0)),"Unknown"))</f>
        <v>WMS</v>
      </c>
      <c r="K1695" s="37" t="str">
        <f aca="false">IF(D1695="","",IFERROR(INDEX(rt_Billable,MATCH(D1695,rt_Code,0)),"Unknown"))</f>
        <v>Yes</v>
      </c>
      <c r="L1695" s="38" t="n">
        <f aca="false">IF(K1695&lt;&gt;"Yes","",IFERROR(INDEX(cr_Rate,MATCH(J1695&amp;"|"&amp;D1695,cr_Key,0)),INDEX(rt_Rate,MATCH(D1695,rt_Code,0))))</f>
        <v>70</v>
      </c>
      <c r="M1695" s="25" t="n">
        <f aca="false">IF(L1695="","",ROUND(N(E1695)*L1695,2))</f>
        <v>297.5</v>
      </c>
      <c r="N1695" s="39" t="n">
        <f aca="false">IF(OR(A1695="",B1695=""),"",SUMIFS(tl_Hours,tl_StaffID,I1695,tl_Date,A1695))</f>
        <v>8</v>
      </c>
      <c r="O1695" s="40" t="str">
        <f aca="false">IF(A1695&amp;B1695&amp;D1695="","",IF(OR(A1695="",B1695="",D1695="",E1695=""),"Incomplete",IF(K1695="Unknown","Unknown code",IF(AND(K1695="Yes",C1695=""),"Billable, needs client",IF(N1695&gt;MaxDayHours,"Over "&amp;MaxDayHours&amp;" hours that day","")))))</f>
        <v/>
      </c>
    </row>
    <row r="1696" customFormat="false" ht="15" hidden="false" customHeight="false" outlineLevel="0" collapsed="false">
      <c r="A1696" s="31" t="n">
        <v>46294</v>
      </c>
      <c r="B1696" s="32" t="s">
        <v>97</v>
      </c>
      <c r="C1696" s="32" t="s">
        <v>111</v>
      </c>
      <c r="D1696" s="33" t="s">
        <v>92</v>
      </c>
      <c r="E1696" s="34" t="n">
        <v>2</v>
      </c>
      <c r="F1696" s="32"/>
      <c r="G1696" s="35" t="n">
        <f aca="false">IF(A1696="","",A1696+7-WEEKDAY(A1696))</f>
        <v>46298</v>
      </c>
      <c r="H1696" s="36" t="n">
        <f aca="false">IF(A1696="","",DATE(YEAR(A1696),MONTH(A1696),1))</f>
        <v>46266</v>
      </c>
      <c r="I1696" s="37" t="str">
        <f aca="false">IF(B1696="","",IFERROR(INDEX(st_ID,MATCH(B1696,st_Name,0)),"Unknown"))</f>
        <v>QP-02</v>
      </c>
      <c r="J1696" s="37" t="str">
        <f aca="false">IF(C1696="","",IFERROR(INDEX(cl_Code,MATCH(C1696,cl_Name,0)),"Unknown"))</f>
        <v>WMS</v>
      </c>
      <c r="K1696" s="37" t="str">
        <f aca="false">IF(D1696="","",IFERROR(INDEX(rt_Billable,MATCH(D1696,rt_Code,0)),"Unknown"))</f>
        <v>Yes</v>
      </c>
      <c r="L1696" s="38" t="n">
        <f aca="false">IF(K1696&lt;&gt;"Yes","",IFERROR(INDEX(cr_Rate,MATCH(J1696&amp;"|"&amp;D1696,cr_Key,0)),INDEX(rt_Rate,MATCH(D1696,rt_Code,0))))</f>
        <v>150</v>
      </c>
      <c r="M1696" s="25" t="n">
        <f aca="false">IF(L1696="","",ROUND(N(E1696)*L1696,2))</f>
        <v>300</v>
      </c>
      <c r="N1696" s="39" t="n">
        <f aca="false">IF(OR(A1696="",B1696=""),"",SUMIFS(tl_Hours,tl_StaffID,I1696,tl_Date,A1696))</f>
        <v>8</v>
      </c>
      <c r="O1696" s="40" t="str">
        <f aca="false">IF(A1696&amp;B1696&amp;D1696="","",IF(OR(A1696="",B1696="",D1696="",E1696=""),"Incomplete",IF(K1696="Unknown","Unknown code",IF(AND(K1696="Yes",C1696=""),"Billable, needs client",IF(N1696&gt;MaxDayHours,"Over "&amp;MaxDayHours&amp;" hours that day","")))))</f>
        <v/>
      </c>
    </row>
    <row r="1697" customFormat="false" ht="15" hidden="false" customHeight="false" outlineLevel="0" collapsed="false">
      <c r="A1697" s="31" t="n">
        <v>46294</v>
      </c>
      <c r="B1697" s="32" t="s">
        <v>97</v>
      </c>
      <c r="C1697" s="32"/>
      <c r="D1697" s="33" t="s">
        <v>96</v>
      </c>
      <c r="E1697" s="34" t="n">
        <v>1.75</v>
      </c>
      <c r="F1697" s="32"/>
      <c r="G1697" s="35" t="n">
        <f aca="false">IF(A1697="","",A1697+7-WEEKDAY(A1697))</f>
        <v>46298</v>
      </c>
      <c r="H1697" s="36" t="n">
        <f aca="false">IF(A1697="","",DATE(YEAR(A1697),MONTH(A1697),1))</f>
        <v>46266</v>
      </c>
      <c r="I1697" s="37" t="str">
        <f aca="false">IF(B1697="","",IFERROR(INDEX(st_ID,MATCH(B1697,st_Name,0)),"Unknown"))</f>
        <v>QP-02</v>
      </c>
      <c r="J1697" s="37" t="str">
        <f aca="false">IF(C1697="","",IFERROR(INDEX(cl_Code,MATCH(C1697,cl_Name,0)),"Unknown"))</f>
        <v/>
      </c>
      <c r="K1697" s="37" t="str">
        <f aca="false">IF(D1697="","",IFERROR(INDEX(rt_Billable,MATCH(D1697,rt_Code,0)),"Unknown"))</f>
        <v>No</v>
      </c>
      <c r="L1697" s="38" t="str">
        <f aca="false">IF(K1697&lt;&gt;"Yes","",IFERROR(INDEX(cr_Rate,MATCH(J1697&amp;"|"&amp;D1697,cr_Key,0)),INDEX(rt_Rate,MATCH(D1697,rt_Code,0))))</f>
        <v/>
      </c>
      <c r="M1697" s="25" t="str">
        <f aca="false">IF(L1697="","",ROUND(N(E1697)*L1697,2))</f>
        <v/>
      </c>
      <c r="N1697" s="39" t="n">
        <f aca="false">IF(OR(A1697="",B1697=""),"",SUMIFS(tl_Hours,tl_StaffID,I1697,tl_Date,A1697))</f>
        <v>8</v>
      </c>
      <c r="O1697" s="40" t="str">
        <f aca="false">IF(A1697&amp;B1697&amp;D1697="","",IF(OR(A1697="",B1697="",D1697="",E1697=""),"Incomplete",IF(K1697="Unknown","Unknown code",IF(AND(K1697="Yes",C1697=""),"Billable, needs client",IF(N1697&gt;MaxDayHours,"Over "&amp;MaxDayHours&amp;" hours that day","")))))</f>
        <v/>
      </c>
    </row>
    <row r="1698" customFormat="false" ht="15" hidden="false" customHeight="false" outlineLevel="0" collapsed="false">
      <c r="A1698" s="31" t="n">
        <v>46294</v>
      </c>
      <c r="B1698" s="32" t="s">
        <v>100</v>
      </c>
      <c r="C1698" s="32" t="s">
        <v>90</v>
      </c>
      <c r="D1698" s="33" t="s">
        <v>88</v>
      </c>
      <c r="E1698" s="34" t="n">
        <v>4.25</v>
      </c>
      <c r="F1698" s="32"/>
      <c r="G1698" s="35" t="n">
        <f aca="false">IF(A1698="","",A1698+7-WEEKDAY(A1698))</f>
        <v>46298</v>
      </c>
      <c r="H1698" s="36" t="n">
        <f aca="false">IF(A1698="","",DATE(YEAR(A1698),MONTH(A1698),1))</f>
        <v>46266</v>
      </c>
      <c r="I1698" s="37" t="str">
        <f aca="false">IF(B1698="","",IFERROR(INDEX(st_ID,MATCH(B1698,st_Name,0)),"Unknown"))</f>
        <v>QP-03</v>
      </c>
      <c r="J1698" s="37" t="str">
        <f aca="false">IF(C1698="","",IFERROR(INDEX(cl_Code,MATCH(C1698,cl_Name,0)),"Unknown"))</f>
        <v>BSE</v>
      </c>
      <c r="K1698" s="37" t="str">
        <f aca="false">IF(D1698="","",IFERROR(INDEX(rt_Billable,MATCH(D1698,rt_Code,0)),"Unknown"))</f>
        <v>Yes</v>
      </c>
      <c r="L1698" s="38" t="n">
        <f aca="false">IF(K1698&lt;&gt;"Yes","",IFERROR(INDEX(cr_Rate,MATCH(J1698&amp;"|"&amp;D1698,cr_Key,0)),INDEX(rt_Rate,MATCH(D1698,rt_Code,0))))</f>
        <v>104</v>
      </c>
      <c r="M1698" s="25" t="n">
        <f aca="false">IF(L1698="","",ROUND(N(E1698)*L1698,2))</f>
        <v>442</v>
      </c>
      <c r="N1698" s="39" t="n">
        <f aca="false">IF(OR(A1698="",B1698=""),"",SUMIFS(tl_Hours,tl_StaffID,I1698,tl_Date,A1698))</f>
        <v>8</v>
      </c>
      <c r="O1698" s="40" t="str">
        <f aca="false">IF(A1698&amp;B1698&amp;D1698="","",IF(OR(A1698="",B1698="",D1698="",E1698=""),"Incomplete",IF(K1698="Unknown","Unknown code",IF(AND(K1698="Yes",C1698=""),"Billable, needs client",IF(N1698&gt;MaxDayHours,"Over "&amp;MaxDayHours&amp;" hours that day","")))))</f>
        <v/>
      </c>
    </row>
    <row r="1699" customFormat="false" ht="15" hidden="false" customHeight="false" outlineLevel="0" collapsed="false">
      <c r="A1699" s="31" t="n">
        <v>46294</v>
      </c>
      <c r="B1699" s="32" t="s">
        <v>100</v>
      </c>
      <c r="C1699" s="32" t="s">
        <v>90</v>
      </c>
      <c r="D1699" s="33" t="s">
        <v>104</v>
      </c>
      <c r="E1699" s="34" t="n">
        <v>1</v>
      </c>
      <c r="F1699" s="32"/>
      <c r="G1699" s="35" t="n">
        <f aca="false">IF(A1699="","",A1699+7-WEEKDAY(A1699))</f>
        <v>46298</v>
      </c>
      <c r="H1699" s="36" t="n">
        <f aca="false">IF(A1699="","",DATE(YEAR(A1699),MONTH(A1699),1))</f>
        <v>46266</v>
      </c>
      <c r="I1699" s="37" t="str">
        <f aca="false">IF(B1699="","",IFERROR(INDEX(st_ID,MATCH(B1699,st_Name,0)),"Unknown"))</f>
        <v>QP-03</v>
      </c>
      <c r="J1699" s="37" t="str">
        <f aca="false">IF(C1699="","",IFERROR(INDEX(cl_Code,MATCH(C1699,cl_Name,0)),"Unknown"))</f>
        <v>BSE</v>
      </c>
      <c r="K1699" s="37" t="str">
        <f aca="false">IF(D1699="","",IFERROR(INDEX(rt_Billable,MATCH(D1699,rt_Code,0)),"Unknown"))</f>
        <v>Yes</v>
      </c>
      <c r="L1699" s="38" t="n">
        <f aca="false">IF(K1699&lt;&gt;"Yes","",IFERROR(INDEX(cr_Rate,MATCH(J1699&amp;"|"&amp;D1699,cr_Key,0)),INDEX(rt_Rate,MATCH(D1699,rt_Code,0))))</f>
        <v>70</v>
      </c>
      <c r="M1699" s="25" t="n">
        <f aca="false">IF(L1699="","",ROUND(N(E1699)*L1699,2))</f>
        <v>70</v>
      </c>
      <c r="N1699" s="39" t="n">
        <f aca="false">IF(OR(A1699="",B1699=""),"",SUMIFS(tl_Hours,tl_StaffID,I1699,tl_Date,A1699))</f>
        <v>8</v>
      </c>
      <c r="O1699" s="40" t="str">
        <f aca="false">IF(A1699&amp;B1699&amp;D1699="","",IF(OR(A1699="",B1699="",D1699="",E1699=""),"Incomplete",IF(K1699="Unknown","Unknown code",IF(AND(K1699="Yes",C1699=""),"Billable, needs client",IF(N1699&gt;MaxDayHours,"Over "&amp;MaxDayHours&amp;" hours that day","")))))</f>
        <v/>
      </c>
    </row>
    <row r="1700" customFormat="false" ht="15" hidden="false" customHeight="false" outlineLevel="0" collapsed="false">
      <c r="A1700" s="31" t="n">
        <v>46294</v>
      </c>
      <c r="B1700" s="32" t="s">
        <v>100</v>
      </c>
      <c r="C1700" s="32"/>
      <c r="D1700" s="33" t="s">
        <v>96</v>
      </c>
      <c r="E1700" s="34" t="n">
        <v>2.75</v>
      </c>
      <c r="F1700" s="32"/>
      <c r="G1700" s="35" t="n">
        <f aca="false">IF(A1700="","",A1700+7-WEEKDAY(A1700))</f>
        <v>46298</v>
      </c>
      <c r="H1700" s="36" t="n">
        <f aca="false">IF(A1700="","",DATE(YEAR(A1700),MONTH(A1700),1))</f>
        <v>46266</v>
      </c>
      <c r="I1700" s="37" t="str">
        <f aca="false">IF(B1700="","",IFERROR(INDEX(st_ID,MATCH(B1700,st_Name,0)),"Unknown"))</f>
        <v>QP-03</v>
      </c>
      <c r="J1700" s="37" t="str">
        <f aca="false">IF(C1700="","",IFERROR(INDEX(cl_Code,MATCH(C1700,cl_Name,0)),"Unknown"))</f>
        <v/>
      </c>
      <c r="K1700" s="37" t="str">
        <f aca="false">IF(D1700="","",IFERROR(INDEX(rt_Billable,MATCH(D1700,rt_Code,0)),"Unknown"))</f>
        <v>No</v>
      </c>
      <c r="L1700" s="38" t="str">
        <f aca="false">IF(K1700&lt;&gt;"Yes","",IFERROR(INDEX(cr_Rate,MATCH(J1700&amp;"|"&amp;D1700,cr_Key,0)),INDEX(rt_Rate,MATCH(D1700,rt_Code,0))))</f>
        <v/>
      </c>
      <c r="M1700" s="25" t="str">
        <f aca="false">IF(L1700="","",ROUND(N(E1700)*L1700,2))</f>
        <v/>
      </c>
      <c r="N1700" s="39" t="n">
        <f aca="false">IF(OR(A1700="",B1700=""),"",SUMIFS(tl_Hours,tl_StaffID,I1700,tl_Date,A1700))</f>
        <v>8</v>
      </c>
      <c r="O1700" s="40" t="str">
        <f aca="false">IF(A1700&amp;B1700&amp;D1700="","",IF(OR(A1700="",B1700="",D1700="",E1700=""),"Incomplete",IF(K1700="Unknown","Unknown code",IF(AND(K1700="Yes",C1700=""),"Billable, needs client",IF(N1700&gt;MaxDayHours,"Over "&amp;MaxDayHours&amp;" hours that day","")))))</f>
        <v/>
      </c>
    </row>
    <row r="1701" customFormat="false" ht="15" hidden="false" customHeight="false" outlineLevel="0" collapsed="false">
      <c r="A1701" s="31" t="n">
        <v>46294</v>
      </c>
      <c r="B1701" s="32" t="s">
        <v>101</v>
      </c>
      <c r="C1701" s="32" t="s">
        <v>87</v>
      </c>
      <c r="D1701" s="33" t="s">
        <v>88</v>
      </c>
      <c r="E1701" s="34" t="n">
        <v>4</v>
      </c>
      <c r="F1701" s="32"/>
      <c r="G1701" s="35" t="n">
        <f aca="false">IF(A1701="","",A1701+7-WEEKDAY(A1701))</f>
        <v>46298</v>
      </c>
      <c r="H1701" s="36" t="n">
        <f aca="false">IF(A1701="","",DATE(YEAR(A1701),MONTH(A1701),1))</f>
        <v>46266</v>
      </c>
      <c r="I1701" s="37" t="str">
        <f aca="false">IF(B1701="","",IFERROR(INDEX(st_ID,MATCH(B1701,st_Name,0)),"Unknown"))</f>
        <v>QP-04</v>
      </c>
      <c r="J1701" s="37" t="str">
        <f aca="false">IF(C1701="","",IFERROR(INDEX(cl_Code,MATCH(C1701,cl_Name,0)),"Unknown"))</f>
        <v>HCS</v>
      </c>
      <c r="K1701" s="37" t="str">
        <f aca="false">IF(D1701="","",IFERROR(INDEX(rt_Billable,MATCH(D1701,rt_Code,0)),"Unknown"))</f>
        <v>Yes</v>
      </c>
      <c r="L1701" s="38" t="n">
        <f aca="false">IF(K1701&lt;&gt;"Yes","",IFERROR(INDEX(cr_Rate,MATCH(J1701&amp;"|"&amp;D1701,cr_Key,0)),INDEX(rt_Rate,MATCH(D1701,rt_Code,0))))</f>
        <v>98</v>
      </c>
      <c r="M1701" s="25" t="n">
        <f aca="false">IF(L1701="","",ROUND(N(E1701)*L1701,2))</f>
        <v>392</v>
      </c>
      <c r="N1701" s="39" t="n">
        <f aca="false">IF(OR(A1701="",B1701=""),"",SUMIFS(tl_Hours,tl_StaffID,I1701,tl_Date,A1701))</f>
        <v>8</v>
      </c>
      <c r="O1701" s="40" t="str">
        <f aca="false">IF(A1701&amp;B1701&amp;D1701="","",IF(OR(A1701="",B1701="",D1701="",E1701=""),"Incomplete",IF(K1701="Unknown","Unknown code",IF(AND(K1701="Yes",C1701=""),"Billable, needs client",IF(N1701&gt;MaxDayHours,"Over "&amp;MaxDayHours&amp;" hours that day","")))))</f>
        <v/>
      </c>
    </row>
    <row r="1702" customFormat="false" ht="15" hidden="false" customHeight="false" outlineLevel="0" collapsed="false">
      <c r="A1702" s="31" t="n">
        <v>46294</v>
      </c>
      <c r="B1702" s="32" t="s">
        <v>101</v>
      </c>
      <c r="C1702" s="32" t="s">
        <v>87</v>
      </c>
      <c r="D1702" s="33" t="s">
        <v>104</v>
      </c>
      <c r="E1702" s="34" t="n">
        <v>2</v>
      </c>
      <c r="F1702" s="32"/>
      <c r="G1702" s="35" t="n">
        <f aca="false">IF(A1702="","",A1702+7-WEEKDAY(A1702))</f>
        <v>46298</v>
      </c>
      <c r="H1702" s="36" t="n">
        <f aca="false">IF(A1702="","",DATE(YEAR(A1702),MONTH(A1702),1))</f>
        <v>46266</v>
      </c>
      <c r="I1702" s="37" t="str">
        <f aca="false">IF(B1702="","",IFERROR(INDEX(st_ID,MATCH(B1702,st_Name,0)),"Unknown"))</f>
        <v>QP-04</v>
      </c>
      <c r="J1702" s="37" t="str">
        <f aca="false">IF(C1702="","",IFERROR(INDEX(cl_Code,MATCH(C1702,cl_Name,0)),"Unknown"))</f>
        <v>HCS</v>
      </c>
      <c r="K1702" s="37" t="str">
        <f aca="false">IF(D1702="","",IFERROR(INDEX(rt_Billable,MATCH(D1702,rt_Code,0)),"Unknown"))</f>
        <v>Yes</v>
      </c>
      <c r="L1702" s="38" t="n">
        <f aca="false">IF(K1702&lt;&gt;"Yes","",IFERROR(INDEX(cr_Rate,MATCH(J1702&amp;"|"&amp;D1702,cr_Key,0)),INDEX(rt_Rate,MATCH(D1702,rt_Code,0))))</f>
        <v>62</v>
      </c>
      <c r="M1702" s="25" t="n">
        <f aca="false">IF(L1702="","",ROUND(N(E1702)*L1702,2))</f>
        <v>124</v>
      </c>
      <c r="N1702" s="39" t="n">
        <f aca="false">IF(OR(A1702="",B1702=""),"",SUMIFS(tl_Hours,tl_StaffID,I1702,tl_Date,A1702))</f>
        <v>8</v>
      </c>
      <c r="O1702" s="40" t="str">
        <f aca="false">IF(A1702&amp;B1702&amp;D1702="","",IF(OR(A1702="",B1702="",D1702="",E1702=""),"Incomplete",IF(K1702="Unknown","Unknown code",IF(AND(K1702="Yes",C1702=""),"Billable, needs client",IF(N1702&gt;MaxDayHours,"Over "&amp;MaxDayHours&amp;" hours that day","")))))</f>
        <v/>
      </c>
    </row>
    <row r="1703" customFormat="false" ht="15" hidden="false" customHeight="false" outlineLevel="0" collapsed="false">
      <c r="A1703" s="31" t="n">
        <v>46294</v>
      </c>
      <c r="B1703" s="32" t="s">
        <v>101</v>
      </c>
      <c r="C1703" s="32"/>
      <c r="D1703" s="33" t="s">
        <v>96</v>
      </c>
      <c r="E1703" s="34" t="n">
        <v>2</v>
      </c>
      <c r="F1703" s="32"/>
      <c r="G1703" s="35" t="n">
        <f aca="false">IF(A1703="","",A1703+7-WEEKDAY(A1703))</f>
        <v>46298</v>
      </c>
      <c r="H1703" s="36" t="n">
        <f aca="false">IF(A1703="","",DATE(YEAR(A1703),MONTH(A1703),1))</f>
        <v>46266</v>
      </c>
      <c r="I1703" s="37" t="str">
        <f aca="false">IF(B1703="","",IFERROR(INDEX(st_ID,MATCH(B1703,st_Name,0)),"Unknown"))</f>
        <v>QP-04</v>
      </c>
      <c r="J1703" s="37" t="str">
        <f aca="false">IF(C1703="","",IFERROR(INDEX(cl_Code,MATCH(C1703,cl_Name,0)),"Unknown"))</f>
        <v/>
      </c>
      <c r="K1703" s="37" t="str">
        <f aca="false">IF(D1703="","",IFERROR(INDEX(rt_Billable,MATCH(D1703,rt_Code,0)),"Unknown"))</f>
        <v>No</v>
      </c>
      <c r="L1703" s="38" t="str">
        <f aca="false">IF(K1703&lt;&gt;"Yes","",IFERROR(INDEX(cr_Rate,MATCH(J1703&amp;"|"&amp;D1703,cr_Key,0)),INDEX(rt_Rate,MATCH(D1703,rt_Code,0))))</f>
        <v/>
      </c>
      <c r="M1703" s="25" t="str">
        <f aca="false">IF(L1703="","",ROUND(N(E1703)*L1703,2))</f>
        <v/>
      </c>
      <c r="N1703" s="39" t="n">
        <f aca="false">IF(OR(A1703="",B1703=""),"",SUMIFS(tl_Hours,tl_StaffID,I1703,tl_Date,A1703))</f>
        <v>8</v>
      </c>
      <c r="O1703" s="40" t="str">
        <f aca="false">IF(A1703&amp;B1703&amp;D1703="","",IF(OR(A1703="",B1703="",D1703="",E1703=""),"Incomplete",IF(K1703="Unknown","Unknown code",IF(AND(K1703="Yes",C1703=""),"Billable, needs client",IF(N1703&gt;MaxDayHours,"Over "&amp;MaxDayHours&amp;" hours that day","")))))</f>
        <v/>
      </c>
    </row>
    <row r="1704" customFormat="false" ht="15" hidden="false" customHeight="false" outlineLevel="0" collapsed="false">
      <c r="A1704" s="31" t="n">
        <v>46294</v>
      </c>
      <c r="B1704" s="32" t="s">
        <v>103</v>
      </c>
      <c r="C1704" s="32" t="s">
        <v>90</v>
      </c>
      <c r="D1704" s="33" t="s">
        <v>91</v>
      </c>
      <c r="E1704" s="34" t="n">
        <v>1.5</v>
      </c>
      <c r="F1704" s="32"/>
      <c r="G1704" s="35" t="n">
        <f aca="false">IF(A1704="","",A1704+7-WEEKDAY(A1704))</f>
        <v>46298</v>
      </c>
      <c r="H1704" s="36" t="n">
        <f aca="false">IF(A1704="","",DATE(YEAR(A1704),MONTH(A1704),1))</f>
        <v>46266</v>
      </c>
      <c r="I1704" s="37" t="str">
        <f aca="false">IF(B1704="","",IFERROR(INDEX(st_ID,MATCH(B1704,st_Name,0)),"Unknown"))</f>
        <v>QP-05</v>
      </c>
      <c r="J1704" s="37" t="str">
        <f aca="false">IF(C1704="","",IFERROR(INDEX(cl_Code,MATCH(C1704,cl_Name,0)),"Unknown"))</f>
        <v>BSE</v>
      </c>
      <c r="K1704" s="37" t="str">
        <f aca="false">IF(D1704="","",IFERROR(INDEX(rt_Billable,MATCH(D1704,rt_Code,0)),"Unknown"))</f>
        <v>Yes</v>
      </c>
      <c r="L1704" s="38" t="n">
        <f aca="false">IF(K1704&lt;&gt;"Yes","",IFERROR(INDEX(cr_Rate,MATCH(J1704&amp;"|"&amp;D1704,cr_Key,0)),INDEX(rt_Rate,MATCH(D1704,rt_Code,0))))</f>
        <v>100</v>
      </c>
      <c r="M1704" s="25" t="n">
        <f aca="false">IF(L1704="","",ROUND(N(E1704)*L1704,2))</f>
        <v>150</v>
      </c>
      <c r="N1704" s="39" t="n">
        <f aca="false">IF(OR(A1704="",B1704=""),"",SUMIFS(tl_Hours,tl_StaffID,I1704,tl_Date,A1704))</f>
        <v>8</v>
      </c>
      <c r="O1704" s="40" t="str">
        <f aca="false">IF(A1704&amp;B1704&amp;D1704="","",IF(OR(A1704="",B1704="",D1704="",E1704=""),"Incomplete",IF(K1704="Unknown","Unknown code",IF(AND(K1704="Yes",C1704=""),"Billable, needs client",IF(N1704&gt;MaxDayHours,"Over "&amp;MaxDayHours&amp;" hours that day","")))))</f>
        <v/>
      </c>
    </row>
    <row r="1705" customFormat="false" ht="15" hidden="false" customHeight="false" outlineLevel="0" collapsed="false">
      <c r="A1705" s="31" t="n">
        <v>46294</v>
      </c>
      <c r="B1705" s="32" t="s">
        <v>103</v>
      </c>
      <c r="C1705" s="32" t="s">
        <v>90</v>
      </c>
      <c r="D1705" s="33" t="s">
        <v>88</v>
      </c>
      <c r="E1705" s="34" t="n">
        <v>1</v>
      </c>
      <c r="F1705" s="32"/>
      <c r="G1705" s="35" t="n">
        <f aca="false">IF(A1705="","",A1705+7-WEEKDAY(A1705))</f>
        <v>46298</v>
      </c>
      <c r="H1705" s="36" t="n">
        <f aca="false">IF(A1705="","",DATE(YEAR(A1705),MONTH(A1705),1))</f>
        <v>46266</v>
      </c>
      <c r="I1705" s="37" t="str">
        <f aca="false">IF(B1705="","",IFERROR(INDEX(st_ID,MATCH(B1705,st_Name,0)),"Unknown"))</f>
        <v>QP-05</v>
      </c>
      <c r="J1705" s="37" t="str">
        <f aca="false">IF(C1705="","",IFERROR(INDEX(cl_Code,MATCH(C1705,cl_Name,0)),"Unknown"))</f>
        <v>BSE</v>
      </c>
      <c r="K1705" s="37" t="str">
        <f aca="false">IF(D1705="","",IFERROR(INDEX(rt_Billable,MATCH(D1705,rt_Code,0)),"Unknown"))</f>
        <v>Yes</v>
      </c>
      <c r="L1705" s="38" t="n">
        <f aca="false">IF(K1705&lt;&gt;"Yes","",IFERROR(INDEX(cr_Rate,MATCH(J1705&amp;"|"&amp;D1705,cr_Key,0)),INDEX(rt_Rate,MATCH(D1705,rt_Code,0))))</f>
        <v>104</v>
      </c>
      <c r="M1705" s="25" t="n">
        <f aca="false">IF(L1705="","",ROUND(N(E1705)*L1705,2))</f>
        <v>104</v>
      </c>
      <c r="N1705" s="39" t="n">
        <f aca="false">IF(OR(A1705="",B1705=""),"",SUMIFS(tl_Hours,tl_StaffID,I1705,tl_Date,A1705))</f>
        <v>8</v>
      </c>
      <c r="O1705" s="40" t="str">
        <f aca="false">IF(A1705&amp;B1705&amp;D1705="","",IF(OR(A1705="",B1705="",D1705="",E1705=""),"Incomplete",IF(K1705="Unknown","Unknown code",IF(AND(K1705="Yes",C1705=""),"Billable, needs client",IF(N1705&gt;MaxDayHours,"Over "&amp;MaxDayHours&amp;" hours that day","")))))</f>
        <v/>
      </c>
    </row>
    <row r="1706" customFormat="false" ht="15" hidden="false" customHeight="false" outlineLevel="0" collapsed="false">
      <c r="A1706" s="31" t="n">
        <v>46294</v>
      </c>
      <c r="B1706" s="32" t="s">
        <v>103</v>
      </c>
      <c r="C1706" s="32" t="s">
        <v>111</v>
      </c>
      <c r="D1706" s="33" t="s">
        <v>104</v>
      </c>
      <c r="E1706" s="34" t="n">
        <v>1.75</v>
      </c>
      <c r="F1706" s="32"/>
      <c r="G1706" s="35" t="n">
        <f aca="false">IF(A1706="","",A1706+7-WEEKDAY(A1706))</f>
        <v>46298</v>
      </c>
      <c r="H1706" s="36" t="n">
        <f aca="false">IF(A1706="","",DATE(YEAR(A1706),MONTH(A1706),1))</f>
        <v>46266</v>
      </c>
      <c r="I1706" s="37" t="str">
        <f aca="false">IF(B1706="","",IFERROR(INDEX(st_ID,MATCH(B1706,st_Name,0)),"Unknown"))</f>
        <v>QP-05</v>
      </c>
      <c r="J1706" s="37" t="str">
        <f aca="false">IF(C1706="","",IFERROR(INDEX(cl_Code,MATCH(C1706,cl_Name,0)),"Unknown"))</f>
        <v>WMS</v>
      </c>
      <c r="K1706" s="37" t="str">
        <f aca="false">IF(D1706="","",IFERROR(INDEX(rt_Billable,MATCH(D1706,rt_Code,0)),"Unknown"))</f>
        <v>Yes</v>
      </c>
      <c r="L1706" s="38" t="n">
        <f aca="false">IF(K1706&lt;&gt;"Yes","",IFERROR(INDEX(cr_Rate,MATCH(J1706&amp;"|"&amp;D1706,cr_Key,0)),INDEX(rt_Rate,MATCH(D1706,rt_Code,0))))</f>
        <v>70</v>
      </c>
      <c r="M1706" s="25" t="n">
        <f aca="false">IF(L1706="","",ROUND(N(E1706)*L1706,2))</f>
        <v>122.5</v>
      </c>
      <c r="N1706" s="39" t="n">
        <f aca="false">IF(OR(A1706="",B1706=""),"",SUMIFS(tl_Hours,tl_StaffID,I1706,tl_Date,A1706))</f>
        <v>8</v>
      </c>
      <c r="O1706" s="40" t="str">
        <f aca="false">IF(A1706&amp;B1706&amp;D1706="","",IF(OR(A1706="",B1706="",D1706="",E1706=""),"Incomplete",IF(K1706="Unknown","Unknown code",IF(AND(K1706="Yes",C1706=""),"Billable, needs client",IF(N1706&gt;MaxDayHours,"Over "&amp;MaxDayHours&amp;" hours that day","")))))</f>
        <v/>
      </c>
    </row>
    <row r="1707" customFormat="false" ht="15" hidden="false" customHeight="false" outlineLevel="0" collapsed="false">
      <c r="A1707" s="31" t="n">
        <v>46294</v>
      </c>
      <c r="B1707" s="32" t="s">
        <v>103</v>
      </c>
      <c r="C1707" s="32" t="s">
        <v>111</v>
      </c>
      <c r="D1707" s="33" t="s">
        <v>88</v>
      </c>
      <c r="E1707" s="34" t="n">
        <v>0.75</v>
      </c>
      <c r="F1707" s="32"/>
      <c r="G1707" s="35" t="n">
        <f aca="false">IF(A1707="","",A1707+7-WEEKDAY(A1707))</f>
        <v>46298</v>
      </c>
      <c r="H1707" s="36" t="n">
        <f aca="false">IF(A1707="","",DATE(YEAR(A1707),MONTH(A1707),1))</f>
        <v>46266</v>
      </c>
      <c r="I1707" s="37" t="str">
        <f aca="false">IF(B1707="","",IFERROR(INDEX(st_ID,MATCH(B1707,st_Name,0)),"Unknown"))</f>
        <v>QP-05</v>
      </c>
      <c r="J1707" s="37" t="str">
        <f aca="false">IF(C1707="","",IFERROR(INDEX(cl_Code,MATCH(C1707,cl_Name,0)),"Unknown"))</f>
        <v>WMS</v>
      </c>
      <c r="K1707" s="37" t="str">
        <f aca="false">IF(D1707="","",IFERROR(INDEX(rt_Billable,MATCH(D1707,rt_Code,0)),"Unknown"))</f>
        <v>Yes</v>
      </c>
      <c r="L1707" s="38" t="n">
        <f aca="false">IF(K1707&lt;&gt;"Yes","",IFERROR(INDEX(cr_Rate,MATCH(J1707&amp;"|"&amp;D1707,cr_Key,0)),INDEX(rt_Rate,MATCH(D1707,rt_Code,0))))</f>
        <v>110</v>
      </c>
      <c r="M1707" s="25" t="n">
        <f aca="false">IF(L1707="","",ROUND(N(E1707)*L1707,2))</f>
        <v>82.5</v>
      </c>
      <c r="N1707" s="39" t="n">
        <f aca="false">IF(OR(A1707="",B1707=""),"",SUMIFS(tl_Hours,tl_StaffID,I1707,tl_Date,A1707))</f>
        <v>8</v>
      </c>
      <c r="O1707" s="40" t="str">
        <f aca="false">IF(A1707&amp;B1707&amp;D1707="","",IF(OR(A1707="",B1707="",D1707="",E1707=""),"Incomplete",IF(K1707="Unknown","Unknown code",IF(AND(K1707="Yes",C1707=""),"Billable, needs client",IF(N1707&gt;MaxDayHours,"Over "&amp;MaxDayHours&amp;" hours that day","")))))</f>
        <v/>
      </c>
    </row>
    <row r="1708" customFormat="false" ht="15" hidden="false" customHeight="false" outlineLevel="0" collapsed="false">
      <c r="A1708" s="31" t="n">
        <v>46294</v>
      </c>
      <c r="B1708" s="32" t="s">
        <v>103</v>
      </c>
      <c r="C1708" s="32"/>
      <c r="D1708" s="33" t="s">
        <v>93</v>
      </c>
      <c r="E1708" s="34" t="n">
        <v>0.5</v>
      </c>
      <c r="F1708" s="32"/>
      <c r="G1708" s="35" t="n">
        <f aca="false">IF(A1708="","",A1708+7-WEEKDAY(A1708))</f>
        <v>46298</v>
      </c>
      <c r="H1708" s="36" t="n">
        <f aca="false">IF(A1708="","",DATE(YEAR(A1708),MONTH(A1708),1))</f>
        <v>46266</v>
      </c>
      <c r="I1708" s="37" t="str">
        <f aca="false">IF(B1708="","",IFERROR(INDEX(st_ID,MATCH(B1708,st_Name,0)),"Unknown"))</f>
        <v>QP-05</v>
      </c>
      <c r="J1708" s="37" t="str">
        <f aca="false">IF(C1708="","",IFERROR(INDEX(cl_Code,MATCH(C1708,cl_Name,0)),"Unknown"))</f>
        <v/>
      </c>
      <c r="K1708" s="37" t="str">
        <f aca="false">IF(D1708="","",IFERROR(INDEX(rt_Billable,MATCH(D1708,rt_Code,0)),"Unknown"))</f>
        <v>No</v>
      </c>
      <c r="L1708" s="38" t="str">
        <f aca="false">IF(K1708&lt;&gt;"Yes","",IFERROR(INDEX(cr_Rate,MATCH(J1708&amp;"|"&amp;D1708,cr_Key,0)),INDEX(rt_Rate,MATCH(D1708,rt_Code,0))))</f>
        <v/>
      </c>
      <c r="M1708" s="25" t="str">
        <f aca="false">IF(L1708="","",ROUND(N(E1708)*L1708,2))</f>
        <v/>
      </c>
      <c r="N1708" s="39" t="n">
        <f aca="false">IF(OR(A1708="",B1708=""),"",SUMIFS(tl_Hours,tl_StaffID,I1708,tl_Date,A1708))</f>
        <v>8</v>
      </c>
      <c r="O1708" s="40" t="str">
        <f aca="false">IF(A1708&amp;B1708&amp;D1708="","",IF(OR(A1708="",B1708="",D1708="",E1708=""),"Incomplete",IF(K1708="Unknown","Unknown code",IF(AND(K1708="Yes",C1708=""),"Billable, needs client",IF(N1708&gt;MaxDayHours,"Over "&amp;MaxDayHours&amp;" hours that day","")))))</f>
        <v/>
      </c>
    </row>
    <row r="1709" customFormat="false" ht="15" hidden="false" customHeight="false" outlineLevel="0" collapsed="false">
      <c r="A1709" s="31" t="n">
        <v>46294</v>
      </c>
      <c r="B1709" s="32" t="s">
        <v>103</v>
      </c>
      <c r="C1709" s="32"/>
      <c r="D1709" s="33" t="s">
        <v>96</v>
      </c>
      <c r="E1709" s="34" t="n">
        <v>2.5</v>
      </c>
      <c r="F1709" s="32"/>
      <c r="G1709" s="35" t="n">
        <f aca="false">IF(A1709="","",A1709+7-WEEKDAY(A1709))</f>
        <v>46298</v>
      </c>
      <c r="H1709" s="36" t="n">
        <f aca="false">IF(A1709="","",DATE(YEAR(A1709),MONTH(A1709),1))</f>
        <v>46266</v>
      </c>
      <c r="I1709" s="37" t="str">
        <f aca="false">IF(B1709="","",IFERROR(INDEX(st_ID,MATCH(B1709,st_Name,0)),"Unknown"))</f>
        <v>QP-05</v>
      </c>
      <c r="J1709" s="37" t="str">
        <f aca="false">IF(C1709="","",IFERROR(INDEX(cl_Code,MATCH(C1709,cl_Name,0)),"Unknown"))</f>
        <v/>
      </c>
      <c r="K1709" s="37" t="str">
        <f aca="false">IF(D1709="","",IFERROR(INDEX(rt_Billable,MATCH(D1709,rt_Code,0)),"Unknown"))</f>
        <v>No</v>
      </c>
      <c r="L1709" s="38" t="str">
        <f aca="false">IF(K1709&lt;&gt;"Yes","",IFERROR(INDEX(cr_Rate,MATCH(J1709&amp;"|"&amp;D1709,cr_Key,0)),INDEX(rt_Rate,MATCH(D1709,rt_Code,0))))</f>
        <v/>
      </c>
      <c r="M1709" s="25" t="str">
        <f aca="false">IF(L1709="","",ROUND(N(E1709)*L1709,2))</f>
        <v/>
      </c>
      <c r="N1709" s="39" t="n">
        <f aca="false">IF(OR(A1709="",B1709=""),"",SUMIFS(tl_Hours,tl_StaffID,I1709,tl_Date,A1709))</f>
        <v>8</v>
      </c>
      <c r="O1709" s="40" t="str">
        <f aca="false">IF(A1709&amp;B1709&amp;D1709="","",IF(OR(A1709="",B1709="",D1709="",E1709=""),"Incomplete",IF(K1709="Unknown","Unknown code",IF(AND(K1709="Yes",C1709=""),"Billable, needs client",IF(N1709&gt;MaxDayHours,"Over "&amp;MaxDayHours&amp;" hours that day","")))))</f>
        <v/>
      </c>
    </row>
    <row r="1710" customFormat="false" ht="15" hidden="false" customHeight="false" outlineLevel="0" collapsed="false">
      <c r="A1710" s="31" t="n">
        <v>46294</v>
      </c>
      <c r="B1710" s="32" t="s">
        <v>105</v>
      </c>
      <c r="C1710" s="32" t="s">
        <v>90</v>
      </c>
      <c r="D1710" s="33" t="s">
        <v>91</v>
      </c>
      <c r="E1710" s="34" t="n">
        <v>4</v>
      </c>
      <c r="F1710" s="32"/>
      <c r="G1710" s="35" t="n">
        <f aca="false">IF(A1710="","",A1710+7-WEEKDAY(A1710))</f>
        <v>46298</v>
      </c>
      <c r="H1710" s="36" t="n">
        <f aca="false">IF(A1710="","",DATE(YEAR(A1710),MONTH(A1710),1))</f>
        <v>46266</v>
      </c>
      <c r="I1710" s="37" t="str">
        <f aca="false">IF(B1710="","",IFERROR(INDEX(st_ID,MATCH(B1710,st_Name,0)),"Unknown"))</f>
        <v>QP-06</v>
      </c>
      <c r="J1710" s="37" t="str">
        <f aca="false">IF(C1710="","",IFERROR(INDEX(cl_Code,MATCH(C1710,cl_Name,0)),"Unknown"))</f>
        <v>BSE</v>
      </c>
      <c r="K1710" s="37" t="str">
        <f aca="false">IF(D1710="","",IFERROR(INDEX(rt_Billable,MATCH(D1710,rt_Code,0)),"Unknown"))</f>
        <v>Yes</v>
      </c>
      <c r="L1710" s="38" t="n">
        <f aca="false">IF(K1710&lt;&gt;"Yes","",IFERROR(INDEX(cr_Rate,MATCH(J1710&amp;"|"&amp;D1710,cr_Key,0)),INDEX(rt_Rate,MATCH(D1710,rt_Code,0))))</f>
        <v>100</v>
      </c>
      <c r="M1710" s="25" t="n">
        <f aca="false">IF(L1710="","",ROUND(N(E1710)*L1710,2))</f>
        <v>400</v>
      </c>
      <c r="N1710" s="39" t="n">
        <f aca="false">IF(OR(A1710="",B1710=""),"",SUMIFS(tl_Hours,tl_StaffID,I1710,tl_Date,A1710))</f>
        <v>8</v>
      </c>
      <c r="O1710" s="40" t="str">
        <f aca="false">IF(A1710&amp;B1710&amp;D1710="","",IF(OR(A1710="",B1710="",D1710="",E1710=""),"Incomplete",IF(K1710="Unknown","Unknown code",IF(AND(K1710="Yes",C1710=""),"Billable, needs client",IF(N1710&gt;MaxDayHours,"Over "&amp;MaxDayHours&amp;" hours that day","")))))</f>
        <v/>
      </c>
    </row>
    <row r="1711" customFormat="false" ht="15" hidden="false" customHeight="false" outlineLevel="0" collapsed="false">
      <c r="A1711" s="31" t="n">
        <v>46294</v>
      </c>
      <c r="B1711" s="32" t="s">
        <v>105</v>
      </c>
      <c r="C1711" s="32" t="s">
        <v>90</v>
      </c>
      <c r="D1711" s="33" t="s">
        <v>104</v>
      </c>
      <c r="E1711" s="34" t="n">
        <v>1.25</v>
      </c>
      <c r="F1711" s="32"/>
      <c r="G1711" s="35" t="n">
        <f aca="false">IF(A1711="","",A1711+7-WEEKDAY(A1711))</f>
        <v>46298</v>
      </c>
      <c r="H1711" s="36" t="n">
        <f aca="false">IF(A1711="","",DATE(YEAR(A1711),MONTH(A1711),1))</f>
        <v>46266</v>
      </c>
      <c r="I1711" s="37" t="str">
        <f aca="false">IF(B1711="","",IFERROR(INDEX(st_ID,MATCH(B1711,st_Name,0)),"Unknown"))</f>
        <v>QP-06</v>
      </c>
      <c r="J1711" s="37" t="str">
        <f aca="false">IF(C1711="","",IFERROR(INDEX(cl_Code,MATCH(C1711,cl_Name,0)),"Unknown"))</f>
        <v>BSE</v>
      </c>
      <c r="K1711" s="37" t="str">
        <f aca="false">IF(D1711="","",IFERROR(INDEX(rt_Billable,MATCH(D1711,rt_Code,0)),"Unknown"))</f>
        <v>Yes</v>
      </c>
      <c r="L1711" s="38" t="n">
        <f aca="false">IF(K1711&lt;&gt;"Yes","",IFERROR(INDEX(cr_Rate,MATCH(J1711&amp;"|"&amp;D1711,cr_Key,0)),INDEX(rt_Rate,MATCH(D1711,rt_Code,0))))</f>
        <v>70</v>
      </c>
      <c r="M1711" s="25" t="n">
        <f aca="false">IF(L1711="","",ROUND(N(E1711)*L1711,2))</f>
        <v>87.5</v>
      </c>
      <c r="N1711" s="39" t="n">
        <f aca="false">IF(OR(A1711="",B1711=""),"",SUMIFS(tl_Hours,tl_StaffID,I1711,tl_Date,A1711))</f>
        <v>8</v>
      </c>
      <c r="O1711" s="40" t="str">
        <f aca="false">IF(A1711&amp;B1711&amp;D1711="","",IF(OR(A1711="",B1711="",D1711="",E1711=""),"Incomplete",IF(K1711="Unknown","Unknown code",IF(AND(K1711="Yes",C1711=""),"Billable, needs client",IF(N1711&gt;MaxDayHours,"Over "&amp;MaxDayHours&amp;" hours that day","")))))</f>
        <v/>
      </c>
    </row>
    <row r="1712" customFormat="false" ht="15" hidden="false" customHeight="false" outlineLevel="0" collapsed="false">
      <c r="A1712" s="31" t="n">
        <v>46294</v>
      </c>
      <c r="B1712" s="32" t="s">
        <v>105</v>
      </c>
      <c r="C1712" s="32"/>
      <c r="D1712" s="33" t="s">
        <v>96</v>
      </c>
      <c r="E1712" s="34" t="n">
        <v>2.75</v>
      </c>
      <c r="F1712" s="32"/>
      <c r="G1712" s="35" t="n">
        <f aca="false">IF(A1712="","",A1712+7-WEEKDAY(A1712))</f>
        <v>46298</v>
      </c>
      <c r="H1712" s="36" t="n">
        <f aca="false">IF(A1712="","",DATE(YEAR(A1712),MONTH(A1712),1))</f>
        <v>46266</v>
      </c>
      <c r="I1712" s="37" t="str">
        <f aca="false">IF(B1712="","",IFERROR(INDEX(st_ID,MATCH(B1712,st_Name,0)),"Unknown"))</f>
        <v>QP-06</v>
      </c>
      <c r="J1712" s="37" t="str">
        <f aca="false">IF(C1712="","",IFERROR(INDEX(cl_Code,MATCH(C1712,cl_Name,0)),"Unknown"))</f>
        <v/>
      </c>
      <c r="K1712" s="37" t="str">
        <f aca="false">IF(D1712="","",IFERROR(INDEX(rt_Billable,MATCH(D1712,rt_Code,0)),"Unknown"))</f>
        <v>No</v>
      </c>
      <c r="L1712" s="38" t="str">
        <f aca="false">IF(K1712&lt;&gt;"Yes","",IFERROR(INDEX(cr_Rate,MATCH(J1712&amp;"|"&amp;D1712,cr_Key,0)),INDEX(rt_Rate,MATCH(D1712,rt_Code,0))))</f>
        <v/>
      </c>
      <c r="M1712" s="25" t="str">
        <f aca="false">IF(L1712="","",ROUND(N(E1712)*L1712,2))</f>
        <v/>
      </c>
      <c r="N1712" s="39" t="n">
        <f aca="false">IF(OR(A1712="",B1712=""),"",SUMIFS(tl_Hours,tl_StaffID,I1712,tl_Date,A1712))</f>
        <v>8</v>
      </c>
      <c r="O1712" s="40" t="str">
        <f aca="false">IF(A1712&amp;B1712&amp;D1712="","",IF(OR(A1712="",B1712="",D1712="",E1712=""),"Incomplete",IF(K1712="Unknown","Unknown code",IF(AND(K1712="Yes",C1712=""),"Billable, needs client",IF(N1712&gt;MaxDayHours,"Over "&amp;MaxDayHours&amp;" hours that day","")))))</f>
        <v/>
      </c>
    </row>
    <row r="1713" customFormat="false" ht="15" hidden="false" customHeight="false" outlineLevel="0" collapsed="false">
      <c r="A1713" s="31" t="n">
        <v>46294</v>
      </c>
      <c r="B1713" s="32" t="s">
        <v>106</v>
      </c>
      <c r="C1713" s="32" t="s">
        <v>87</v>
      </c>
      <c r="D1713" s="33" t="s">
        <v>104</v>
      </c>
      <c r="E1713" s="34" t="n">
        <v>6</v>
      </c>
      <c r="F1713" s="32"/>
      <c r="G1713" s="35" t="n">
        <f aca="false">IF(A1713="","",A1713+7-WEEKDAY(A1713))</f>
        <v>46298</v>
      </c>
      <c r="H1713" s="36" t="n">
        <f aca="false">IF(A1713="","",DATE(YEAR(A1713),MONTH(A1713),1))</f>
        <v>46266</v>
      </c>
      <c r="I1713" s="37" t="str">
        <f aca="false">IF(B1713="","",IFERROR(INDEX(st_ID,MATCH(B1713,st_Name,0)),"Unknown"))</f>
        <v>QP-07</v>
      </c>
      <c r="J1713" s="37" t="str">
        <f aca="false">IF(C1713="","",IFERROR(INDEX(cl_Code,MATCH(C1713,cl_Name,0)),"Unknown"))</f>
        <v>HCS</v>
      </c>
      <c r="K1713" s="37" t="str">
        <f aca="false">IF(D1713="","",IFERROR(INDEX(rt_Billable,MATCH(D1713,rt_Code,0)),"Unknown"))</f>
        <v>Yes</v>
      </c>
      <c r="L1713" s="38" t="n">
        <f aca="false">IF(K1713&lt;&gt;"Yes","",IFERROR(INDEX(cr_Rate,MATCH(J1713&amp;"|"&amp;D1713,cr_Key,0)),INDEX(rt_Rate,MATCH(D1713,rt_Code,0))))</f>
        <v>62</v>
      </c>
      <c r="M1713" s="25" t="n">
        <f aca="false">IF(L1713="","",ROUND(N(E1713)*L1713,2))</f>
        <v>372</v>
      </c>
      <c r="N1713" s="39" t="n">
        <f aca="false">IF(OR(A1713="",B1713=""),"",SUMIFS(tl_Hours,tl_StaffID,I1713,tl_Date,A1713))</f>
        <v>8</v>
      </c>
      <c r="O1713" s="40" t="str">
        <f aca="false">IF(A1713&amp;B1713&amp;D1713="","",IF(OR(A1713="",B1713="",D1713="",E1713=""),"Incomplete",IF(K1713="Unknown","Unknown code",IF(AND(K1713="Yes",C1713=""),"Billable, needs client",IF(N1713&gt;MaxDayHours,"Over "&amp;MaxDayHours&amp;" hours that day","")))))</f>
        <v/>
      </c>
    </row>
    <row r="1714" customFormat="false" ht="15" hidden="false" customHeight="false" outlineLevel="0" collapsed="false">
      <c r="A1714" s="31" t="n">
        <v>46294</v>
      </c>
      <c r="B1714" s="32" t="s">
        <v>106</v>
      </c>
      <c r="C1714" s="32"/>
      <c r="D1714" s="33" t="s">
        <v>96</v>
      </c>
      <c r="E1714" s="34" t="n">
        <v>2</v>
      </c>
      <c r="F1714" s="32"/>
      <c r="G1714" s="35" t="n">
        <f aca="false">IF(A1714="","",A1714+7-WEEKDAY(A1714))</f>
        <v>46298</v>
      </c>
      <c r="H1714" s="36" t="n">
        <f aca="false">IF(A1714="","",DATE(YEAR(A1714),MONTH(A1714),1))</f>
        <v>46266</v>
      </c>
      <c r="I1714" s="37" t="str">
        <f aca="false">IF(B1714="","",IFERROR(INDEX(st_ID,MATCH(B1714,st_Name,0)),"Unknown"))</f>
        <v>QP-07</v>
      </c>
      <c r="J1714" s="37" t="str">
        <f aca="false">IF(C1714="","",IFERROR(INDEX(cl_Code,MATCH(C1714,cl_Name,0)),"Unknown"))</f>
        <v/>
      </c>
      <c r="K1714" s="37" t="str">
        <f aca="false">IF(D1714="","",IFERROR(INDEX(rt_Billable,MATCH(D1714,rt_Code,0)),"Unknown"))</f>
        <v>No</v>
      </c>
      <c r="L1714" s="38" t="str">
        <f aca="false">IF(K1714&lt;&gt;"Yes","",IFERROR(INDEX(cr_Rate,MATCH(J1714&amp;"|"&amp;D1714,cr_Key,0)),INDEX(rt_Rate,MATCH(D1714,rt_Code,0))))</f>
        <v/>
      </c>
      <c r="M1714" s="25" t="str">
        <f aca="false">IF(L1714="","",ROUND(N(E1714)*L1714,2))</f>
        <v/>
      </c>
      <c r="N1714" s="39" t="n">
        <f aca="false">IF(OR(A1714="",B1714=""),"",SUMIFS(tl_Hours,tl_StaffID,I1714,tl_Date,A1714))</f>
        <v>8</v>
      </c>
      <c r="O1714" s="40" t="str">
        <f aca="false">IF(A1714&amp;B1714&amp;D1714="","",IF(OR(A1714="",B1714="",D1714="",E1714=""),"Incomplete",IF(K1714="Unknown","Unknown code",IF(AND(K1714="Yes",C1714=""),"Billable, needs client",IF(N1714&gt;MaxDayHours,"Over "&amp;MaxDayHours&amp;" hours that day","")))))</f>
        <v/>
      </c>
    </row>
    <row r="1715" customFormat="false" ht="15" hidden="false" customHeight="false" outlineLevel="0" collapsed="false">
      <c r="A1715" s="31" t="n">
        <v>46294</v>
      </c>
      <c r="B1715" s="32" t="s">
        <v>107</v>
      </c>
      <c r="C1715" s="32"/>
      <c r="D1715" s="33" t="s">
        <v>108</v>
      </c>
      <c r="E1715" s="34" t="n">
        <v>6</v>
      </c>
      <c r="F1715" s="32"/>
      <c r="G1715" s="35" t="n">
        <f aca="false">IF(A1715="","",A1715+7-WEEKDAY(A1715))</f>
        <v>46298</v>
      </c>
      <c r="H1715" s="36" t="n">
        <f aca="false">IF(A1715="","",DATE(YEAR(A1715),MONTH(A1715),1))</f>
        <v>46266</v>
      </c>
      <c r="I1715" s="37" t="str">
        <f aca="false">IF(B1715="","",IFERROR(INDEX(st_ID,MATCH(B1715,st_Name,0)),"Unknown"))</f>
        <v>QP-08</v>
      </c>
      <c r="J1715" s="37" t="str">
        <f aca="false">IF(C1715="","",IFERROR(INDEX(cl_Code,MATCH(C1715,cl_Name,0)),"Unknown"))</f>
        <v/>
      </c>
      <c r="K1715" s="37" t="str">
        <f aca="false">IF(D1715="","",IFERROR(INDEX(rt_Billable,MATCH(D1715,rt_Code,0)),"Unknown"))</f>
        <v>No</v>
      </c>
      <c r="L1715" s="38" t="str">
        <f aca="false">IF(K1715&lt;&gt;"Yes","",IFERROR(INDEX(cr_Rate,MATCH(J1715&amp;"|"&amp;D1715,cr_Key,0)),INDEX(rt_Rate,MATCH(D1715,rt_Code,0))))</f>
        <v/>
      </c>
      <c r="M1715" s="25" t="str">
        <f aca="false">IF(L1715="","",ROUND(N(E1715)*L1715,2))</f>
        <v/>
      </c>
      <c r="N1715" s="39" t="n">
        <f aca="false">IF(OR(A1715="",B1715=""),"",SUMIFS(tl_Hours,tl_StaffID,I1715,tl_Date,A1715))</f>
        <v>8</v>
      </c>
      <c r="O1715" s="40" t="str">
        <f aca="false">IF(A1715&amp;B1715&amp;D1715="","",IF(OR(A1715="",B1715="",D1715="",E1715=""),"Incomplete",IF(K1715="Unknown","Unknown code",IF(AND(K1715="Yes",C1715=""),"Billable, needs client",IF(N1715&gt;MaxDayHours,"Over "&amp;MaxDayHours&amp;" hours that day","")))))</f>
        <v/>
      </c>
    </row>
    <row r="1716" customFormat="false" ht="15" hidden="false" customHeight="false" outlineLevel="0" collapsed="false">
      <c r="A1716" s="31" t="n">
        <v>46294</v>
      </c>
      <c r="B1716" s="32" t="s">
        <v>107</v>
      </c>
      <c r="C1716" s="32"/>
      <c r="D1716" s="33" t="s">
        <v>98</v>
      </c>
      <c r="E1716" s="34" t="n">
        <v>2</v>
      </c>
      <c r="F1716" s="32"/>
      <c r="G1716" s="35" t="n">
        <f aca="false">IF(A1716="","",A1716+7-WEEKDAY(A1716))</f>
        <v>46298</v>
      </c>
      <c r="H1716" s="36" t="n">
        <f aca="false">IF(A1716="","",DATE(YEAR(A1716),MONTH(A1716),1))</f>
        <v>46266</v>
      </c>
      <c r="I1716" s="37" t="str">
        <f aca="false">IF(B1716="","",IFERROR(INDEX(st_ID,MATCH(B1716,st_Name,0)),"Unknown"))</f>
        <v>QP-08</v>
      </c>
      <c r="J1716" s="37" t="str">
        <f aca="false">IF(C1716="","",IFERROR(INDEX(cl_Code,MATCH(C1716,cl_Name,0)),"Unknown"))</f>
        <v/>
      </c>
      <c r="K1716" s="37" t="str">
        <f aca="false">IF(D1716="","",IFERROR(INDEX(rt_Billable,MATCH(D1716,rt_Code,0)),"Unknown"))</f>
        <v>No</v>
      </c>
      <c r="L1716" s="38" t="str">
        <f aca="false">IF(K1716&lt;&gt;"Yes","",IFERROR(INDEX(cr_Rate,MATCH(J1716&amp;"|"&amp;D1716,cr_Key,0)),INDEX(rt_Rate,MATCH(D1716,rt_Code,0))))</f>
        <v/>
      </c>
      <c r="M1716" s="25" t="str">
        <f aca="false">IF(L1716="","",ROUND(N(E1716)*L1716,2))</f>
        <v/>
      </c>
      <c r="N1716" s="39" t="n">
        <f aca="false">IF(OR(A1716="",B1716=""),"",SUMIFS(tl_Hours,tl_StaffID,I1716,tl_Date,A1716))</f>
        <v>8</v>
      </c>
      <c r="O1716" s="40" t="str">
        <f aca="false">IF(A1716&amp;B1716&amp;D1716="","",IF(OR(A1716="",B1716="",D1716="",E1716=""),"Incomplete",IF(K1716="Unknown","Unknown code",IF(AND(K1716="Yes",C1716=""),"Billable, needs client",IF(N1716&gt;MaxDayHours,"Over "&amp;MaxDayHours&amp;" hours that day","")))))</f>
        <v/>
      </c>
    </row>
    <row r="1717" customFormat="false" ht="15" hidden="false" customHeight="false" outlineLevel="0" collapsed="false">
      <c r="A1717" s="31" t="n">
        <v>46295</v>
      </c>
      <c r="B1717" s="32" t="s">
        <v>86</v>
      </c>
      <c r="C1717" s="32" t="s">
        <v>87</v>
      </c>
      <c r="D1717" s="33" t="s">
        <v>104</v>
      </c>
      <c r="E1717" s="34" t="n">
        <v>4</v>
      </c>
      <c r="F1717" s="32"/>
      <c r="G1717" s="35" t="n">
        <f aca="false">IF(A1717="","",A1717+7-WEEKDAY(A1717))</f>
        <v>46298</v>
      </c>
      <c r="H1717" s="36" t="n">
        <f aca="false">IF(A1717="","",DATE(YEAR(A1717),MONTH(A1717),1))</f>
        <v>46266</v>
      </c>
      <c r="I1717" s="37" t="str">
        <f aca="false">IF(B1717="","",IFERROR(INDEX(st_ID,MATCH(B1717,st_Name,0)),"Unknown"))</f>
        <v>QP-01</v>
      </c>
      <c r="J1717" s="37" t="str">
        <f aca="false">IF(C1717="","",IFERROR(INDEX(cl_Code,MATCH(C1717,cl_Name,0)),"Unknown"))</f>
        <v>HCS</v>
      </c>
      <c r="K1717" s="37" t="str">
        <f aca="false">IF(D1717="","",IFERROR(INDEX(rt_Billable,MATCH(D1717,rt_Code,0)),"Unknown"))</f>
        <v>Yes</v>
      </c>
      <c r="L1717" s="38" t="n">
        <f aca="false">IF(K1717&lt;&gt;"Yes","",IFERROR(INDEX(cr_Rate,MATCH(J1717&amp;"|"&amp;D1717,cr_Key,0)),INDEX(rt_Rate,MATCH(D1717,rt_Code,0))))</f>
        <v>62</v>
      </c>
      <c r="M1717" s="25" t="n">
        <f aca="false">IF(L1717="","",ROUND(N(E1717)*L1717,2))</f>
        <v>248</v>
      </c>
      <c r="N1717" s="39" t="n">
        <f aca="false">IF(OR(A1717="",B1717=""),"",SUMIFS(tl_Hours,tl_StaffID,I1717,tl_Date,A1717))</f>
        <v>8</v>
      </c>
      <c r="O1717" s="40" t="str">
        <f aca="false">IF(A1717&amp;B1717&amp;D1717="","",IF(OR(A1717="",B1717="",D1717="",E1717=""),"Incomplete",IF(K1717="Unknown","Unknown code",IF(AND(K1717="Yes",C1717=""),"Billable, needs client",IF(N1717&gt;MaxDayHours,"Over "&amp;MaxDayHours&amp;" hours that day","")))))</f>
        <v/>
      </c>
    </row>
    <row r="1718" customFormat="false" ht="15" hidden="false" customHeight="false" outlineLevel="0" collapsed="false">
      <c r="A1718" s="31" t="n">
        <v>46295</v>
      </c>
      <c r="B1718" s="32" t="s">
        <v>86</v>
      </c>
      <c r="C1718" s="32" t="s">
        <v>87</v>
      </c>
      <c r="D1718" s="33" t="s">
        <v>92</v>
      </c>
      <c r="E1718" s="34" t="n">
        <v>2.5</v>
      </c>
      <c r="F1718" s="32"/>
      <c r="G1718" s="35" t="n">
        <f aca="false">IF(A1718="","",A1718+7-WEEKDAY(A1718))</f>
        <v>46298</v>
      </c>
      <c r="H1718" s="36" t="n">
        <f aca="false">IF(A1718="","",DATE(YEAR(A1718),MONTH(A1718),1))</f>
        <v>46266</v>
      </c>
      <c r="I1718" s="37" t="str">
        <f aca="false">IF(B1718="","",IFERROR(INDEX(st_ID,MATCH(B1718,st_Name,0)),"Unknown"))</f>
        <v>QP-01</v>
      </c>
      <c r="J1718" s="37" t="str">
        <f aca="false">IF(C1718="","",IFERROR(INDEX(cl_Code,MATCH(C1718,cl_Name,0)),"Unknown"))</f>
        <v>HCS</v>
      </c>
      <c r="K1718" s="37" t="str">
        <f aca="false">IF(D1718="","",IFERROR(INDEX(rt_Billable,MATCH(D1718,rt_Code,0)),"Unknown"))</f>
        <v>Yes</v>
      </c>
      <c r="L1718" s="38" t="n">
        <f aca="false">IF(K1718&lt;&gt;"Yes","",IFERROR(INDEX(cr_Rate,MATCH(J1718&amp;"|"&amp;D1718,cr_Key,0)),INDEX(rt_Rate,MATCH(D1718,rt_Code,0))))</f>
        <v>140</v>
      </c>
      <c r="M1718" s="25" t="n">
        <f aca="false">IF(L1718="","",ROUND(N(E1718)*L1718,2))</f>
        <v>350</v>
      </c>
      <c r="N1718" s="39" t="n">
        <f aca="false">IF(OR(A1718="",B1718=""),"",SUMIFS(tl_Hours,tl_StaffID,I1718,tl_Date,A1718))</f>
        <v>8</v>
      </c>
      <c r="O1718" s="40" t="str">
        <f aca="false">IF(A1718&amp;B1718&amp;D1718="","",IF(OR(A1718="",B1718="",D1718="",E1718=""),"Incomplete",IF(K1718="Unknown","Unknown code",IF(AND(K1718="Yes",C1718=""),"Billable, needs client",IF(N1718&gt;MaxDayHours,"Over "&amp;MaxDayHours&amp;" hours that day","")))))</f>
        <v/>
      </c>
    </row>
    <row r="1719" customFormat="false" ht="15" hidden="false" customHeight="false" outlineLevel="0" collapsed="false">
      <c r="A1719" s="31" t="n">
        <v>46295</v>
      </c>
      <c r="B1719" s="32" t="s">
        <v>86</v>
      </c>
      <c r="C1719" s="32"/>
      <c r="D1719" s="33" t="s">
        <v>98</v>
      </c>
      <c r="E1719" s="34" t="n">
        <v>1</v>
      </c>
      <c r="F1719" s="32" t="s">
        <v>99</v>
      </c>
      <c r="G1719" s="35" t="n">
        <f aca="false">IF(A1719="","",A1719+7-WEEKDAY(A1719))</f>
        <v>46298</v>
      </c>
      <c r="H1719" s="36" t="n">
        <f aca="false">IF(A1719="","",DATE(YEAR(A1719),MONTH(A1719),1))</f>
        <v>46266</v>
      </c>
      <c r="I1719" s="37" t="str">
        <f aca="false">IF(B1719="","",IFERROR(INDEX(st_ID,MATCH(B1719,st_Name,0)),"Unknown"))</f>
        <v>QP-01</v>
      </c>
      <c r="J1719" s="37" t="str">
        <f aca="false">IF(C1719="","",IFERROR(INDEX(cl_Code,MATCH(C1719,cl_Name,0)),"Unknown"))</f>
        <v/>
      </c>
      <c r="K1719" s="37" t="str">
        <f aca="false">IF(D1719="","",IFERROR(INDEX(rt_Billable,MATCH(D1719,rt_Code,0)),"Unknown"))</f>
        <v>No</v>
      </c>
      <c r="L1719" s="38" t="str">
        <f aca="false">IF(K1719&lt;&gt;"Yes","",IFERROR(INDEX(cr_Rate,MATCH(J1719&amp;"|"&amp;D1719,cr_Key,0)),INDEX(rt_Rate,MATCH(D1719,rt_Code,0))))</f>
        <v/>
      </c>
      <c r="M1719" s="25" t="str">
        <f aca="false">IF(L1719="","",ROUND(N(E1719)*L1719,2))</f>
        <v/>
      </c>
      <c r="N1719" s="39" t="n">
        <f aca="false">IF(OR(A1719="",B1719=""),"",SUMIFS(tl_Hours,tl_StaffID,I1719,tl_Date,A1719))</f>
        <v>8</v>
      </c>
      <c r="O1719" s="40" t="str">
        <f aca="false">IF(A1719&amp;B1719&amp;D1719="","",IF(OR(A1719="",B1719="",D1719="",E1719=""),"Incomplete",IF(K1719="Unknown","Unknown code",IF(AND(K1719="Yes",C1719=""),"Billable, needs client",IF(N1719&gt;MaxDayHours,"Over "&amp;MaxDayHours&amp;" hours that day","")))))</f>
        <v/>
      </c>
    </row>
    <row r="1720" customFormat="false" ht="15" hidden="false" customHeight="false" outlineLevel="0" collapsed="false">
      <c r="A1720" s="31" t="n">
        <v>46295</v>
      </c>
      <c r="B1720" s="32" t="s">
        <v>86</v>
      </c>
      <c r="C1720" s="32"/>
      <c r="D1720" s="33" t="s">
        <v>96</v>
      </c>
      <c r="E1720" s="34" t="n">
        <v>0.5</v>
      </c>
      <c r="F1720" s="32"/>
      <c r="G1720" s="35" t="n">
        <f aca="false">IF(A1720="","",A1720+7-WEEKDAY(A1720))</f>
        <v>46298</v>
      </c>
      <c r="H1720" s="36" t="n">
        <f aca="false">IF(A1720="","",DATE(YEAR(A1720),MONTH(A1720),1))</f>
        <v>46266</v>
      </c>
      <c r="I1720" s="37" t="str">
        <f aca="false">IF(B1720="","",IFERROR(INDEX(st_ID,MATCH(B1720,st_Name,0)),"Unknown"))</f>
        <v>QP-01</v>
      </c>
      <c r="J1720" s="37" t="str">
        <f aca="false">IF(C1720="","",IFERROR(INDEX(cl_Code,MATCH(C1720,cl_Name,0)),"Unknown"))</f>
        <v/>
      </c>
      <c r="K1720" s="37" t="str">
        <f aca="false">IF(D1720="","",IFERROR(INDEX(rt_Billable,MATCH(D1720,rt_Code,0)),"Unknown"))</f>
        <v>No</v>
      </c>
      <c r="L1720" s="38" t="str">
        <f aca="false">IF(K1720&lt;&gt;"Yes","",IFERROR(INDEX(cr_Rate,MATCH(J1720&amp;"|"&amp;D1720,cr_Key,0)),INDEX(rt_Rate,MATCH(D1720,rt_Code,0))))</f>
        <v/>
      </c>
      <c r="M1720" s="25" t="str">
        <f aca="false">IF(L1720="","",ROUND(N(E1720)*L1720,2))</f>
        <v/>
      </c>
      <c r="N1720" s="39" t="n">
        <f aca="false">IF(OR(A1720="",B1720=""),"",SUMIFS(tl_Hours,tl_StaffID,I1720,tl_Date,A1720))</f>
        <v>8</v>
      </c>
      <c r="O1720" s="40" t="str">
        <f aca="false">IF(A1720&amp;B1720&amp;D1720="","",IF(OR(A1720="",B1720="",D1720="",E1720=""),"Incomplete",IF(K1720="Unknown","Unknown code",IF(AND(K1720="Yes",C1720=""),"Billable, needs client",IF(N1720&gt;MaxDayHours,"Over "&amp;MaxDayHours&amp;" hours that day","")))))</f>
        <v/>
      </c>
    </row>
    <row r="1721" customFormat="false" ht="15" hidden="false" customHeight="false" outlineLevel="0" collapsed="false">
      <c r="A1721" s="31" t="n">
        <v>46295</v>
      </c>
      <c r="B1721" s="32" t="s">
        <v>97</v>
      </c>
      <c r="C1721" s="32" t="s">
        <v>111</v>
      </c>
      <c r="D1721" s="33" t="s">
        <v>104</v>
      </c>
      <c r="E1721" s="34" t="n">
        <v>4.5</v>
      </c>
      <c r="F1721" s="32"/>
      <c r="G1721" s="35" t="n">
        <f aca="false">IF(A1721="","",A1721+7-WEEKDAY(A1721))</f>
        <v>46298</v>
      </c>
      <c r="H1721" s="36" t="n">
        <f aca="false">IF(A1721="","",DATE(YEAR(A1721),MONTH(A1721),1))</f>
        <v>46266</v>
      </c>
      <c r="I1721" s="37" t="str">
        <f aca="false">IF(B1721="","",IFERROR(INDEX(st_ID,MATCH(B1721,st_Name,0)),"Unknown"))</f>
        <v>QP-02</v>
      </c>
      <c r="J1721" s="37" t="str">
        <f aca="false">IF(C1721="","",IFERROR(INDEX(cl_Code,MATCH(C1721,cl_Name,0)),"Unknown"))</f>
        <v>WMS</v>
      </c>
      <c r="K1721" s="37" t="str">
        <f aca="false">IF(D1721="","",IFERROR(INDEX(rt_Billable,MATCH(D1721,rt_Code,0)),"Unknown"))</f>
        <v>Yes</v>
      </c>
      <c r="L1721" s="38" t="n">
        <f aca="false">IF(K1721&lt;&gt;"Yes","",IFERROR(INDEX(cr_Rate,MATCH(J1721&amp;"|"&amp;D1721,cr_Key,0)),INDEX(rt_Rate,MATCH(D1721,rt_Code,0))))</f>
        <v>70</v>
      </c>
      <c r="M1721" s="25" t="n">
        <f aca="false">IF(L1721="","",ROUND(N(E1721)*L1721,2))</f>
        <v>315</v>
      </c>
      <c r="N1721" s="39" t="n">
        <f aca="false">IF(OR(A1721="",B1721=""),"",SUMIFS(tl_Hours,tl_StaffID,I1721,tl_Date,A1721))</f>
        <v>8</v>
      </c>
      <c r="O1721" s="40" t="str">
        <f aca="false">IF(A1721&amp;B1721&amp;D1721="","",IF(OR(A1721="",B1721="",D1721="",E1721=""),"Incomplete",IF(K1721="Unknown","Unknown code",IF(AND(K1721="Yes",C1721=""),"Billable, needs client",IF(N1721&gt;MaxDayHours,"Over "&amp;MaxDayHours&amp;" hours that day","")))))</f>
        <v/>
      </c>
    </row>
    <row r="1722" customFormat="false" ht="15" hidden="false" customHeight="false" outlineLevel="0" collapsed="false">
      <c r="A1722" s="31" t="n">
        <v>46295</v>
      </c>
      <c r="B1722" s="32" t="s">
        <v>97</v>
      </c>
      <c r="C1722" s="32" t="s">
        <v>111</v>
      </c>
      <c r="D1722" s="33" t="s">
        <v>88</v>
      </c>
      <c r="E1722" s="34" t="n">
        <v>1.5</v>
      </c>
      <c r="F1722" s="32"/>
      <c r="G1722" s="35" t="n">
        <f aca="false">IF(A1722="","",A1722+7-WEEKDAY(A1722))</f>
        <v>46298</v>
      </c>
      <c r="H1722" s="36" t="n">
        <f aca="false">IF(A1722="","",DATE(YEAR(A1722),MONTH(A1722),1))</f>
        <v>46266</v>
      </c>
      <c r="I1722" s="37" t="str">
        <f aca="false">IF(B1722="","",IFERROR(INDEX(st_ID,MATCH(B1722,st_Name,0)),"Unknown"))</f>
        <v>QP-02</v>
      </c>
      <c r="J1722" s="37" t="str">
        <f aca="false">IF(C1722="","",IFERROR(INDEX(cl_Code,MATCH(C1722,cl_Name,0)),"Unknown"))</f>
        <v>WMS</v>
      </c>
      <c r="K1722" s="37" t="str">
        <f aca="false">IF(D1722="","",IFERROR(INDEX(rt_Billable,MATCH(D1722,rt_Code,0)),"Unknown"))</f>
        <v>Yes</v>
      </c>
      <c r="L1722" s="38" t="n">
        <f aca="false">IF(K1722&lt;&gt;"Yes","",IFERROR(INDEX(cr_Rate,MATCH(J1722&amp;"|"&amp;D1722,cr_Key,0)),INDEX(rt_Rate,MATCH(D1722,rt_Code,0))))</f>
        <v>110</v>
      </c>
      <c r="M1722" s="25" t="n">
        <f aca="false">IF(L1722="","",ROUND(N(E1722)*L1722,2))</f>
        <v>165</v>
      </c>
      <c r="N1722" s="39" t="n">
        <f aca="false">IF(OR(A1722="",B1722=""),"",SUMIFS(tl_Hours,tl_StaffID,I1722,tl_Date,A1722))</f>
        <v>8</v>
      </c>
      <c r="O1722" s="40" t="str">
        <f aca="false">IF(A1722&amp;B1722&amp;D1722="","",IF(OR(A1722="",B1722="",D1722="",E1722=""),"Incomplete",IF(K1722="Unknown","Unknown code",IF(AND(K1722="Yes",C1722=""),"Billable, needs client",IF(N1722&gt;MaxDayHours,"Over "&amp;MaxDayHours&amp;" hours that day","")))))</f>
        <v/>
      </c>
    </row>
    <row r="1723" customFormat="false" ht="15" hidden="false" customHeight="false" outlineLevel="0" collapsed="false">
      <c r="A1723" s="31" t="n">
        <v>46295</v>
      </c>
      <c r="B1723" s="32" t="s">
        <v>97</v>
      </c>
      <c r="C1723" s="32"/>
      <c r="D1723" s="33" t="s">
        <v>98</v>
      </c>
      <c r="E1723" s="34" t="n">
        <v>1</v>
      </c>
      <c r="F1723" s="32" t="s">
        <v>99</v>
      </c>
      <c r="G1723" s="35" t="n">
        <f aca="false">IF(A1723="","",A1723+7-WEEKDAY(A1723))</f>
        <v>46298</v>
      </c>
      <c r="H1723" s="36" t="n">
        <f aca="false">IF(A1723="","",DATE(YEAR(A1723),MONTH(A1723),1))</f>
        <v>46266</v>
      </c>
      <c r="I1723" s="37" t="str">
        <f aca="false">IF(B1723="","",IFERROR(INDEX(st_ID,MATCH(B1723,st_Name,0)),"Unknown"))</f>
        <v>QP-02</v>
      </c>
      <c r="J1723" s="37" t="str">
        <f aca="false">IF(C1723="","",IFERROR(INDEX(cl_Code,MATCH(C1723,cl_Name,0)),"Unknown"))</f>
        <v/>
      </c>
      <c r="K1723" s="37" t="str">
        <f aca="false">IF(D1723="","",IFERROR(INDEX(rt_Billable,MATCH(D1723,rt_Code,0)),"Unknown"))</f>
        <v>No</v>
      </c>
      <c r="L1723" s="38" t="str">
        <f aca="false">IF(K1723&lt;&gt;"Yes","",IFERROR(INDEX(cr_Rate,MATCH(J1723&amp;"|"&amp;D1723,cr_Key,0)),INDEX(rt_Rate,MATCH(D1723,rt_Code,0))))</f>
        <v/>
      </c>
      <c r="M1723" s="25" t="str">
        <f aca="false">IF(L1723="","",ROUND(N(E1723)*L1723,2))</f>
        <v/>
      </c>
      <c r="N1723" s="39" t="n">
        <f aca="false">IF(OR(A1723="",B1723=""),"",SUMIFS(tl_Hours,tl_StaffID,I1723,tl_Date,A1723))</f>
        <v>8</v>
      </c>
      <c r="O1723" s="40" t="str">
        <f aca="false">IF(A1723&amp;B1723&amp;D1723="","",IF(OR(A1723="",B1723="",D1723="",E1723=""),"Incomplete",IF(K1723="Unknown","Unknown code",IF(AND(K1723="Yes",C1723=""),"Billable, needs client",IF(N1723&gt;MaxDayHours,"Over "&amp;MaxDayHours&amp;" hours that day","")))))</f>
        <v/>
      </c>
    </row>
    <row r="1724" customFormat="false" ht="15" hidden="false" customHeight="false" outlineLevel="0" collapsed="false">
      <c r="A1724" s="31" t="n">
        <v>46295</v>
      </c>
      <c r="B1724" s="32" t="s">
        <v>97</v>
      </c>
      <c r="C1724" s="32"/>
      <c r="D1724" s="33" t="s">
        <v>96</v>
      </c>
      <c r="E1724" s="34" t="n">
        <v>1</v>
      </c>
      <c r="F1724" s="32"/>
      <c r="G1724" s="35" t="n">
        <f aca="false">IF(A1724="","",A1724+7-WEEKDAY(A1724))</f>
        <v>46298</v>
      </c>
      <c r="H1724" s="36" t="n">
        <f aca="false">IF(A1724="","",DATE(YEAR(A1724),MONTH(A1724),1))</f>
        <v>46266</v>
      </c>
      <c r="I1724" s="37" t="str">
        <f aca="false">IF(B1724="","",IFERROR(INDEX(st_ID,MATCH(B1724,st_Name,0)),"Unknown"))</f>
        <v>QP-02</v>
      </c>
      <c r="J1724" s="37" t="str">
        <f aca="false">IF(C1724="","",IFERROR(INDEX(cl_Code,MATCH(C1724,cl_Name,0)),"Unknown"))</f>
        <v/>
      </c>
      <c r="K1724" s="37" t="str">
        <f aca="false">IF(D1724="","",IFERROR(INDEX(rt_Billable,MATCH(D1724,rt_Code,0)),"Unknown"))</f>
        <v>No</v>
      </c>
      <c r="L1724" s="38" t="str">
        <f aca="false">IF(K1724&lt;&gt;"Yes","",IFERROR(INDEX(cr_Rate,MATCH(J1724&amp;"|"&amp;D1724,cr_Key,0)),INDEX(rt_Rate,MATCH(D1724,rt_Code,0))))</f>
        <v/>
      </c>
      <c r="M1724" s="25" t="str">
        <f aca="false">IF(L1724="","",ROUND(N(E1724)*L1724,2))</f>
        <v/>
      </c>
      <c r="N1724" s="39" t="n">
        <f aca="false">IF(OR(A1724="",B1724=""),"",SUMIFS(tl_Hours,tl_StaffID,I1724,tl_Date,A1724))</f>
        <v>8</v>
      </c>
      <c r="O1724" s="40" t="str">
        <f aca="false">IF(A1724&amp;B1724&amp;D1724="","",IF(OR(A1724="",B1724="",D1724="",E1724=""),"Incomplete",IF(K1724="Unknown","Unknown code",IF(AND(K1724="Yes",C1724=""),"Billable, needs client",IF(N1724&gt;MaxDayHours,"Over "&amp;MaxDayHours&amp;" hours that day","")))))</f>
        <v/>
      </c>
    </row>
    <row r="1725" customFormat="false" ht="15" hidden="false" customHeight="false" outlineLevel="0" collapsed="false">
      <c r="A1725" s="31" t="n">
        <v>46295</v>
      </c>
      <c r="B1725" s="32" t="s">
        <v>100</v>
      </c>
      <c r="C1725" s="32" t="s">
        <v>90</v>
      </c>
      <c r="D1725" s="33" t="s">
        <v>88</v>
      </c>
      <c r="E1725" s="34" t="n">
        <v>4</v>
      </c>
      <c r="F1725" s="32"/>
      <c r="G1725" s="35" t="n">
        <f aca="false">IF(A1725="","",A1725+7-WEEKDAY(A1725))</f>
        <v>46298</v>
      </c>
      <c r="H1725" s="36" t="n">
        <f aca="false">IF(A1725="","",DATE(YEAR(A1725),MONTH(A1725),1))</f>
        <v>46266</v>
      </c>
      <c r="I1725" s="37" t="str">
        <f aca="false">IF(B1725="","",IFERROR(INDEX(st_ID,MATCH(B1725,st_Name,0)),"Unknown"))</f>
        <v>QP-03</v>
      </c>
      <c r="J1725" s="37" t="str">
        <f aca="false">IF(C1725="","",IFERROR(INDEX(cl_Code,MATCH(C1725,cl_Name,0)),"Unknown"))</f>
        <v>BSE</v>
      </c>
      <c r="K1725" s="37" t="str">
        <f aca="false">IF(D1725="","",IFERROR(INDEX(rt_Billable,MATCH(D1725,rt_Code,0)),"Unknown"))</f>
        <v>Yes</v>
      </c>
      <c r="L1725" s="38" t="n">
        <f aca="false">IF(K1725&lt;&gt;"Yes","",IFERROR(INDEX(cr_Rate,MATCH(J1725&amp;"|"&amp;D1725,cr_Key,0)),INDEX(rt_Rate,MATCH(D1725,rt_Code,0))))</f>
        <v>104</v>
      </c>
      <c r="M1725" s="25" t="n">
        <f aca="false">IF(L1725="","",ROUND(N(E1725)*L1725,2))</f>
        <v>416</v>
      </c>
      <c r="N1725" s="39" t="n">
        <f aca="false">IF(OR(A1725="",B1725=""),"",SUMIFS(tl_Hours,tl_StaffID,I1725,tl_Date,A1725))</f>
        <v>8</v>
      </c>
      <c r="O1725" s="40" t="str">
        <f aca="false">IF(A1725&amp;B1725&amp;D1725="","",IF(OR(A1725="",B1725="",D1725="",E1725=""),"Incomplete",IF(K1725="Unknown","Unknown code",IF(AND(K1725="Yes",C1725=""),"Billable, needs client",IF(N1725&gt;MaxDayHours,"Over "&amp;MaxDayHours&amp;" hours that day","")))))</f>
        <v/>
      </c>
    </row>
    <row r="1726" customFormat="false" ht="15" hidden="false" customHeight="false" outlineLevel="0" collapsed="false">
      <c r="A1726" s="31" t="n">
        <v>46295</v>
      </c>
      <c r="B1726" s="32" t="s">
        <v>100</v>
      </c>
      <c r="C1726" s="32" t="s">
        <v>90</v>
      </c>
      <c r="D1726" s="33" t="s">
        <v>92</v>
      </c>
      <c r="E1726" s="34" t="n">
        <v>1.5</v>
      </c>
      <c r="F1726" s="32"/>
      <c r="G1726" s="35" t="n">
        <f aca="false">IF(A1726="","",A1726+7-WEEKDAY(A1726))</f>
        <v>46298</v>
      </c>
      <c r="H1726" s="36" t="n">
        <f aca="false">IF(A1726="","",DATE(YEAR(A1726),MONTH(A1726),1))</f>
        <v>46266</v>
      </c>
      <c r="I1726" s="37" t="str">
        <f aca="false">IF(B1726="","",IFERROR(INDEX(st_ID,MATCH(B1726,st_Name,0)),"Unknown"))</f>
        <v>QP-03</v>
      </c>
      <c r="J1726" s="37" t="str">
        <f aca="false">IF(C1726="","",IFERROR(INDEX(cl_Code,MATCH(C1726,cl_Name,0)),"Unknown"))</f>
        <v>BSE</v>
      </c>
      <c r="K1726" s="37" t="str">
        <f aca="false">IF(D1726="","",IFERROR(INDEX(rt_Billable,MATCH(D1726,rt_Code,0)),"Unknown"))</f>
        <v>Yes</v>
      </c>
      <c r="L1726" s="38" t="n">
        <f aca="false">IF(K1726&lt;&gt;"Yes","",IFERROR(INDEX(cr_Rate,MATCH(J1726&amp;"|"&amp;D1726,cr_Key,0)),INDEX(rt_Rate,MATCH(D1726,rt_Code,0))))</f>
        <v>145</v>
      </c>
      <c r="M1726" s="25" t="n">
        <f aca="false">IF(L1726="","",ROUND(N(E1726)*L1726,2))</f>
        <v>217.5</v>
      </c>
      <c r="N1726" s="39" t="n">
        <f aca="false">IF(OR(A1726="",B1726=""),"",SUMIFS(tl_Hours,tl_StaffID,I1726,tl_Date,A1726))</f>
        <v>8</v>
      </c>
      <c r="O1726" s="40" t="str">
        <f aca="false">IF(A1726&amp;B1726&amp;D1726="","",IF(OR(A1726="",B1726="",D1726="",E1726=""),"Incomplete",IF(K1726="Unknown","Unknown code",IF(AND(K1726="Yes",C1726=""),"Billable, needs client",IF(N1726&gt;MaxDayHours,"Over "&amp;MaxDayHours&amp;" hours that day","")))))</f>
        <v/>
      </c>
    </row>
    <row r="1727" customFormat="false" ht="15" hidden="false" customHeight="false" outlineLevel="0" collapsed="false">
      <c r="A1727" s="31" t="n">
        <v>46295</v>
      </c>
      <c r="B1727" s="32" t="s">
        <v>100</v>
      </c>
      <c r="C1727" s="32"/>
      <c r="D1727" s="33" t="s">
        <v>98</v>
      </c>
      <c r="E1727" s="34" t="n">
        <v>1</v>
      </c>
      <c r="F1727" s="32" t="s">
        <v>99</v>
      </c>
      <c r="G1727" s="35" t="n">
        <f aca="false">IF(A1727="","",A1727+7-WEEKDAY(A1727))</f>
        <v>46298</v>
      </c>
      <c r="H1727" s="36" t="n">
        <f aca="false">IF(A1727="","",DATE(YEAR(A1727),MONTH(A1727),1))</f>
        <v>46266</v>
      </c>
      <c r="I1727" s="37" t="str">
        <f aca="false">IF(B1727="","",IFERROR(INDEX(st_ID,MATCH(B1727,st_Name,0)),"Unknown"))</f>
        <v>QP-03</v>
      </c>
      <c r="J1727" s="37" t="str">
        <f aca="false">IF(C1727="","",IFERROR(INDEX(cl_Code,MATCH(C1727,cl_Name,0)),"Unknown"))</f>
        <v/>
      </c>
      <c r="K1727" s="37" t="str">
        <f aca="false">IF(D1727="","",IFERROR(INDEX(rt_Billable,MATCH(D1727,rt_Code,0)),"Unknown"))</f>
        <v>No</v>
      </c>
      <c r="L1727" s="38" t="str">
        <f aca="false">IF(K1727&lt;&gt;"Yes","",IFERROR(INDEX(cr_Rate,MATCH(J1727&amp;"|"&amp;D1727,cr_Key,0)),INDEX(rt_Rate,MATCH(D1727,rt_Code,0))))</f>
        <v/>
      </c>
      <c r="M1727" s="25" t="str">
        <f aca="false">IF(L1727="","",ROUND(N(E1727)*L1727,2))</f>
        <v/>
      </c>
      <c r="N1727" s="39" t="n">
        <f aca="false">IF(OR(A1727="",B1727=""),"",SUMIFS(tl_Hours,tl_StaffID,I1727,tl_Date,A1727))</f>
        <v>8</v>
      </c>
      <c r="O1727" s="40" t="str">
        <f aca="false">IF(A1727&amp;B1727&amp;D1727="","",IF(OR(A1727="",B1727="",D1727="",E1727=""),"Incomplete",IF(K1727="Unknown","Unknown code",IF(AND(K1727="Yes",C1727=""),"Billable, needs client",IF(N1727&gt;MaxDayHours,"Over "&amp;MaxDayHours&amp;" hours that day","")))))</f>
        <v/>
      </c>
    </row>
    <row r="1728" customFormat="false" ht="15" hidden="false" customHeight="false" outlineLevel="0" collapsed="false">
      <c r="A1728" s="31" t="n">
        <v>46295</v>
      </c>
      <c r="B1728" s="32" t="s">
        <v>100</v>
      </c>
      <c r="C1728" s="32"/>
      <c r="D1728" s="33" t="s">
        <v>96</v>
      </c>
      <c r="E1728" s="34" t="n">
        <v>1.5</v>
      </c>
      <c r="F1728" s="32"/>
      <c r="G1728" s="35" t="n">
        <f aca="false">IF(A1728="","",A1728+7-WEEKDAY(A1728))</f>
        <v>46298</v>
      </c>
      <c r="H1728" s="36" t="n">
        <f aca="false">IF(A1728="","",DATE(YEAR(A1728),MONTH(A1728),1))</f>
        <v>46266</v>
      </c>
      <c r="I1728" s="37" t="str">
        <f aca="false">IF(B1728="","",IFERROR(INDEX(st_ID,MATCH(B1728,st_Name,0)),"Unknown"))</f>
        <v>QP-03</v>
      </c>
      <c r="J1728" s="37" t="str">
        <f aca="false">IF(C1728="","",IFERROR(INDEX(cl_Code,MATCH(C1728,cl_Name,0)),"Unknown"))</f>
        <v/>
      </c>
      <c r="K1728" s="37" t="str">
        <f aca="false">IF(D1728="","",IFERROR(INDEX(rt_Billable,MATCH(D1728,rt_Code,0)),"Unknown"))</f>
        <v>No</v>
      </c>
      <c r="L1728" s="38" t="str">
        <f aca="false">IF(K1728&lt;&gt;"Yes","",IFERROR(INDEX(cr_Rate,MATCH(J1728&amp;"|"&amp;D1728,cr_Key,0)),INDEX(rt_Rate,MATCH(D1728,rt_Code,0))))</f>
        <v/>
      </c>
      <c r="M1728" s="25" t="str">
        <f aca="false">IF(L1728="","",ROUND(N(E1728)*L1728,2))</f>
        <v/>
      </c>
      <c r="N1728" s="39" t="n">
        <f aca="false">IF(OR(A1728="",B1728=""),"",SUMIFS(tl_Hours,tl_StaffID,I1728,tl_Date,A1728))</f>
        <v>8</v>
      </c>
      <c r="O1728" s="40" t="str">
        <f aca="false">IF(A1728&amp;B1728&amp;D1728="","",IF(OR(A1728="",B1728="",D1728="",E1728=""),"Incomplete",IF(K1728="Unknown","Unknown code",IF(AND(K1728="Yes",C1728=""),"Billable, needs client",IF(N1728&gt;MaxDayHours,"Over "&amp;MaxDayHours&amp;" hours that day","")))))</f>
        <v/>
      </c>
    </row>
    <row r="1729" customFormat="false" ht="15" hidden="false" customHeight="false" outlineLevel="0" collapsed="false">
      <c r="A1729" s="31" t="n">
        <v>46295</v>
      </c>
      <c r="B1729" s="32" t="s">
        <v>101</v>
      </c>
      <c r="C1729" s="32" t="s">
        <v>87</v>
      </c>
      <c r="D1729" s="33" t="s">
        <v>104</v>
      </c>
      <c r="E1729" s="34" t="n">
        <v>5.5</v>
      </c>
      <c r="F1729" s="32"/>
      <c r="G1729" s="35" t="n">
        <f aca="false">IF(A1729="","",A1729+7-WEEKDAY(A1729))</f>
        <v>46298</v>
      </c>
      <c r="H1729" s="36" t="n">
        <f aca="false">IF(A1729="","",DATE(YEAR(A1729),MONTH(A1729),1))</f>
        <v>46266</v>
      </c>
      <c r="I1729" s="37" t="str">
        <f aca="false">IF(B1729="","",IFERROR(INDEX(st_ID,MATCH(B1729,st_Name,0)),"Unknown"))</f>
        <v>QP-04</v>
      </c>
      <c r="J1729" s="37" t="str">
        <f aca="false">IF(C1729="","",IFERROR(INDEX(cl_Code,MATCH(C1729,cl_Name,0)),"Unknown"))</f>
        <v>HCS</v>
      </c>
      <c r="K1729" s="37" t="str">
        <f aca="false">IF(D1729="","",IFERROR(INDEX(rt_Billable,MATCH(D1729,rt_Code,0)),"Unknown"))</f>
        <v>Yes</v>
      </c>
      <c r="L1729" s="38" t="n">
        <f aca="false">IF(K1729&lt;&gt;"Yes","",IFERROR(INDEX(cr_Rate,MATCH(J1729&amp;"|"&amp;D1729,cr_Key,0)),INDEX(rt_Rate,MATCH(D1729,rt_Code,0))))</f>
        <v>62</v>
      </c>
      <c r="M1729" s="25" t="n">
        <f aca="false">IF(L1729="","",ROUND(N(E1729)*L1729,2))</f>
        <v>341</v>
      </c>
      <c r="N1729" s="39" t="n">
        <f aca="false">IF(OR(A1729="",B1729=""),"",SUMIFS(tl_Hours,tl_StaffID,I1729,tl_Date,A1729))</f>
        <v>8.25</v>
      </c>
      <c r="O1729" s="40" t="str">
        <f aca="false">IF(A1729&amp;B1729&amp;D1729="","",IF(OR(A1729="",B1729="",D1729="",E1729=""),"Incomplete",IF(K1729="Unknown","Unknown code",IF(AND(K1729="Yes",C1729=""),"Billable, needs client",IF(N1729&gt;MaxDayHours,"Over "&amp;MaxDayHours&amp;" hours that day","")))))</f>
        <v/>
      </c>
    </row>
    <row r="1730" customFormat="false" ht="15" hidden="false" customHeight="false" outlineLevel="0" collapsed="false">
      <c r="A1730" s="31" t="n">
        <v>46295</v>
      </c>
      <c r="B1730" s="32" t="s">
        <v>101</v>
      </c>
      <c r="C1730" s="32" t="s">
        <v>87</v>
      </c>
      <c r="D1730" s="33" t="s">
        <v>89</v>
      </c>
      <c r="E1730" s="34" t="n">
        <v>1.25</v>
      </c>
      <c r="F1730" s="32"/>
      <c r="G1730" s="35" t="n">
        <f aca="false">IF(A1730="","",A1730+7-WEEKDAY(A1730))</f>
        <v>46298</v>
      </c>
      <c r="H1730" s="36" t="n">
        <f aca="false">IF(A1730="","",DATE(YEAR(A1730),MONTH(A1730),1))</f>
        <v>46266</v>
      </c>
      <c r="I1730" s="37" t="str">
        <f aca="false">IF(B1730="","",IFERROR(INDEX(st_ID,MATCH(B1730,st_Name,0)),"Unknown"))</f>
        <v>QP-04</v>
      </c>
      <c r="J1730" s="37" t="str">
        <f aca="false">IF(C1730="","",IFERROR(INDEX(cl_Code,MATCH(C1730,cl_Name,0)),"Unknown"))</f>
        <v>HCS</v>
      </c>
      <c r="K1730" s="37" t="str">
        <f aca="false">IF(D1730="","",IFERROR(INDEX(rt_Billable,MATCH(D1730,rt_Code,0)),"Unknown"))</f>
        <v>Yes</v>
      </c>
      <c r="L1730" s="38" t="n">
        <f aca="false">IF(K1730&lt;&gt;"Yes","",IFERROR(INDEX(cr_Rate,MATCH(J1730&amp;"|"&amp;D1730,cr_Key,0)),INDEX(rt_Rate,MATCH(D1730,rt_Code,0))))</f>
        <v>88</v>
      </c>
      <c r="M1730" s="25" t="n">
        <f aca="false">IF(L1730="","",ROUND(N(E1730)*L1730,2))</f>
        <v>110</v>
      </c>
      <c r="N1730" s="39" t="n">
        <f aca="false">IF(OR(A1730="",B1730=""),"",SUMIFS(tl_Hours,tl_StaffID,I1730,tl_Date,A1730))</f>
        <v>8.25</v>
      </c>
      <c r="O1730" s="40" t="str">
        <f aca="false">IF(A1730&amp;B1730&amp;D1730="","",IF(OR(A1730="",B1730="",D1730="",E1730=""),"Incomplete",IF(K1730="Unknown","Unknown code",IF(AND(K1730="Yes",C1730=""),"Billable, needs client",IF(N1730&gt;MaxDayHours,"Over "&amp;MaxDayHours&amp;" hours that day","")))))</f>
        <v/>
      </c>
    </row>
    <row r="1731" customFormat="false" ht="15" hidden="false" customHeight="false" outlineLevel="0" collapsed="false">
      <c r="A1731" s="31" t="n">
        <v>46295</v>
      </c>
      <c r="B1731" s="32" t="s">
        <v>101</v>
      </c>
      <c r="C1731" s="32"/>
      <c r="D1731" s="33" t="s">
        <v>98</v>
      </c>
      <c r="E1731" s="34" t="n">
        <v>1</v>
      </c>
      <c r="F1731" s="32" t="s">
        <v>99</v>
      </c>
      <c r="G1731" s="35" t="n">
        <f aca="false">IF(A1731="","",A1731+7-WEEKDAY(A1731))</f>
        <v>46298</v>
      </c>
      <c r="H1731" s="36" t="n">
        <f aca="false">IF(A1731="","",DATE(YEAR(A1731),MONTH(A1731),1))</f>
        <v>46266</v>
      </c>
      <c r="I1731" s="37" t="str">
        <f aca="false">IF(B1731="","",IFERROR(INDEX(st_ID,MATCH(B1731,st_Name,0)),"Unknown"))</f>
        <v>QP-04</v>
      </c>
      <c r="J1731" s="37" t="str">
        <f aca="false">IF(C1731="","",IFERROR(INDEX(cl_Code,MATCH(C1731,cl_Name,0)),"Unknown"))</f>
        <v/>
      </c>
      <c r="K1731" s="37" t="str">
        <f aca="false">IF(D1731="","",IFERROR(INDEX(rt_Billable,MATCH(D1731,rt_Code,0)),"Unknown"))</f>
        <v>No</v>
      </c>
      <c r="L1731" s="38" t="str">
        <f aca="false">IF(K1731&lt;&gt;"Yes","",IFERROR(INDEX(cr_Rate,MATCH(J1731&amp;"|"&amp;D1731,cr_Key,0)),INDEX(rt_Rate,MATCH(D1731,rt_Code,0))))</f>
        <v/>
      </c>
      <c r="M1731" s="25" t="str">
        <f aca="false">IF(L1731="","",ROUND(N(E1731)*L1731,2))</f>
        <v/>
      </c>
      <c r="N1731" s="39" t="n">
        <f aca="false">IF(OR(A1731="",B1731=""),"",SUMIFS(tl_Hours,tl_StaffID,I1731,tl_Date,A1731))</f>
        <v>8.25</v>
      </c>
      <c r="O1731" s="40" t="str">
        <f aca="false">IF(A1731&amp;B1731&amp;D1731="","",IF(OR(A1731="",B1731="",D1731="",E1731=""),"Incomplete",IF(K1731="Unknown","Unknown code",IF(AND(K1731="Yes",C1731=""),"Billable, needs client",IF(N1731&gt;MaxDayHours,"Over "&amp;MaxDayHours&amp;" hours that day","")))))</f>
        <v/>
      </c>
    </row>
    <row r="1732" customFormat="false" ht="15" hidden="false" customHeight="false" outlineLevel="0" collapsed="false">
      <c r="A1732" s="31" t="n">
        <v>46295</v>
      </c>
      <c r="B1732" s="32" t="s">
        <v>101</v>
      </c>
      <c r="C1732" s="32"/>
      <c r="D1732" s="33" t="s">
        <v>96</v>
      </c>
      <c r="E1732" s="34" t="n">
        <v>0.5</v>
      </c>
      <c r="F1732" s="32"/>
      <c r="G1732" s="35" t="n">
        <f aca="false">IF(A1732="","",A1732+7-WEEKDAY(A1732))</f>
        <v>46298</v>
      </c>
      <c r="H1732" s="36" t="n">
        <f aca="false">IF(A1732="","",DATE(YEAR(A1732),MONTH(A1732),1))</f>
        <v>46266</v>
      </c>
      <c r="I1732" s="37" t="str">
        <f aca="false">IF(B1732="","",IFERROR(INDEX(st_ID,MATCH(B1732,st_Name,0)),"Unknown"))</f>
        <v>QP-04</v>
      </c>
      <c r="J1732" s="37" t="str">
        <f aca="false">IF(C1732="","",IFERROR(INDEX(cl_Code,MATCH(C1732,cl_Name,0)),"Unknown"))</f>
        <v/>
      </c>
      <c r="K1732" s="37" t="str">
        <f aca="false">IF(D1732="","",IFERROR(INDEX(rt_Billable,MATCH(D1732,rt_Code,0)),"Unknown"))</f>
        <v>No</v>
      </c>
      <c r="L1732" s="38" t="str">
        <f aca="false">IF(K1732&lt;&gt;"Yes","",IFERROR(INDEX(cr_Rate,MATCH(J1732&amp;"|"&amp;D1732,cr_Key,0)),INDEX(rt_Rate,MATCH(D1732,rt_Code,0))))</f>
        <v/>
      </c>
      <c r="M1732" s="25" t="str">
        <f aca="false">IF(L1732="","",ROUND(N(E1732)*L1732,2))</f>
        <v/>
      </c>
      <c r="N1732" s="39" t="n">
        <f aca="false">IF(OR(A1732="",B1732=""),"",SUMIFS(tl_Hours,tl_StaffID,I1732,tl_Date,A1732))</f>
        <v>8.25</v>
      </c>
      <c r="O1732" s="40" t="str">
        <f aca="false">IF(A1732&amp;B1732&amp;D1732="","",IF(OR(A1732="",B1732="",D1732="",E1732=""),"Incomplete",IF(K1732="Unknown","Unknown code",IF(AND(K1732="Yes",C1732=""),"Billable, needs client",IF(N1732&gt;MaxDayHours,"Over "&amp;MaxDayHours&amp;" hours that day","")))))</f>
        <v/>
      </c>
    </row>
    <row r="1733" customFormat="false" ht="15" hidden="false" customHeight="false" outlineLevel="0" collapsed="false">
      <c r="A1733" s="31" t="n">
        <v>46295</v>
      </c>
      <c r="B1733" s="32" t="s">
        <v>103</v>
      </c>
      <c r="C1733" s="32" t="s">
        <v>87</v>
      </c>
      <c r="D1733" s="33" t="s">
        <v>104</v>
      </c>
      <c r="E1733" s="34" t="n">
        <v>3.75</v>
      </c>
      <c r="F1733" s="32"/>
      <c r="G1733" s="35" t="n">
        <f aca="false">IF(A1733="","",A1733+7-WEEKDAY(A1733))</f>
        <v>46298</v>
      </c>
      <c r="H1733" s="36" t="n">
        <f aca="false">IF(A1733="","",DATE(YEAR(A1733),MONTH(A1733),1))</f>
        <v>46266</v>
      </c>
      <c r="I1733" s="37" t="str">
        <f aca="false">IF(B1733="","",IFERROR(INDEX(st_ID,MATCH(B1733,st_Name,0)),"Unknown"))</f>
        <v>QP-05</v>
      </c>
      <c r="J1733" s="37" t="str">
        <f aca="false">IF(C1733="","",IFERROR(INDEX(cl_Code,MATCH(C1733,cl_Name,0)),"Unknown"))</f>
        <v>HCS</v>
      </c>
      <c r="K1733" s="37" t="str">
        <f aca="false">IF(D1733="","",IFERROR(INDEX(rt_Billable,MATCH(D1733,rt_Code,0)),"Unknown"))</f>
        <v>Yes</v>
      </c>
      <c r="L1733" s="38" t="n">
        <f aca="false">IF(K1733&lt;&gt;"Yes","",IFERROR(INDEX(cr_Rate,MATCH(J1733&amp;"|"&amp;D1733,cr_Key,0)),INDEX(rt_Rate,MATCH(D1733,rt_Code,0))))</f>
        <v>62</v>
      </c>
      <c r="M1733" s="25" t="n">
        <f aca="false">IF(L1733="","",ROUND(N(E1733)*L1733,2))</f>
        <v>232.5</v>
      </c>
      <c r="N1733" s="39" t="n">
        <f aca="false">IF(OR(A1733="",B1733=""),"",SUMIFS(tl_Hours,tl_StaffID,I1733,tl_Date,A1733))</f>
        <v>8</v>
      </c>
      <c r="O1733" s="40" t="str">
        <f aca="false">IF(A1733&amp;B1733&amp;D1733="","",IF(OR(A1733="",B1733="",D1733="",E1733=""),"Incomplete",IF(K1733="Unknown","Unknown code",IF(AND(K1733="Yes",C1733=""),"Billable, needs client",IF(N1733&gt;MaxDayHours,"Over "&amp;MaxDayHours&amp;" hours that day","")))))</f>
        <v/>
      </c>
    </row>
    <row r="1734" customFormat="false" ht="15" hidden="false" customHeight="false" outlineLevel="0" collapsed="false">
      <c r="A1734" s="31" t="n">
        <v>46295</v>
      </c>
      <c r="B1734" s="32" t="s">
        <v>103</v>
      </c>
      <c r="C1734" s="32" t="s">
        <v>87</v>
      </c>
      <c r="D1734" s="33" t="s">
        <v>89</v>
      </c>
      <c r="E1734" s="34" t="n">
        <v>2</v>
      </c>
      <c r="F1734" s="32"/>
      <c r="G1734" s="35" t="n">
        <f aca="false">IF(A1734="","",A1734+7-WEEKDAY(A1734))</f>
        <v>46298</v>
      </c>
      <c r="H1734" s="36" t="n">
        <f aca="false">IF(A1734="","",DATE(YEAR(A1734),MONTH(A1734),1))</f>
        <v>46266</v>
      </c>
      <c r="I1734" s="37" t="str">
        <f aca="false">IF(B1734="","",IFERROR(INDEX(st_ID,MATCH(B1734,st_Name,0)),"Unknown"))</f>
        <v>QP-05</v>
      </c>
      <c r="J1734" s="37" t="str">
        <f aca="false">IF(C1734="","",IFERROR(INDEX(cl_Code,MATCH(C1734,cl_Name,0)),"Unknown"))</f>
        <v>HCS</v>
      </c>
      <c r="K1734" s="37" t="str">
        <f aca="false">IF(D1734="","",IFERROR(INDEX(rt_Billable,MATCH(D1734,rt_Code,0)),"Unknown"))</f>
        <v>Yes</v>
      </c>
      <c r="L1734" s="38" t="n">
        <f aca="false">IF(K1734&lt;&gt;"Yes","",IFERROR(INDEX(cr_Rate,MATCH(J1734&amp;"|"&amp;D1734,cr_Key,0)),INDEX(rt_Rate,MATCH(D1734,rt_Code,0))))</f>
        <v>88</v>
      </c>
      <c r="M1734" s="25" t="n">
        <f aca="false">IF(L1734="","",ROUND(N(E1734)*L1734,2))</f>
        <v>176</v>
      </c>
      <c r="N1734" s="39" t="n">
        <f aca="false">IF(OR(A1734="",B1734=""),"",SUMIFS(tl_Hours,tl_StaffID,I1734,tl_Date,A1734))</f>
        <v>8</v>
      </c>
      <c r="O1734" s="40" t="str">
        <f aca="false">IF(A1734&amp;B1734&amp;D1734="","",IF(OR(A1734="",B1734="",D1734="",E1734=""),"Incomplete",IF(K1734="Unknown","Unknown code",IF(AND(K1734="Yes",C1734=""),"Billable, needs client",IF(N1734&gt;MaxDayHours,"Over "&amp;MaxDayHours&amp;" hours that day","")))))</f>
        <v/>
      </c>
    </row>
    <row r="1735" customFormat="false" ht="15" hidden="false" customHeight="false" outlineLevel="0" collapsed="false">
      <c r="A1735" s="31" t="n">
        <v>46295</v>
      </c>
      <c r="B1735" s="32" t="s">
        <v>103</v>
      </c>
      <c r="C1735" s="32"/>
      <c r="D1735" s="33" t="s">
        <v>98</v>
      </c>
      <c r="E1735" s="34" t="n">
        <v>1</v>
      </c>
      <c r="F1735" s="32" t="s">
        <v>99</v>
      </c>
      <c r="G1735" s="35" t="n">
        <f aca="false">IF(A1735="","",A1735+7-WEEKDAY(A1735))</f>
        <v>46298</v>
      </c>
      <c r="H1735" s="36" t="n">
        <f aca="false">IF(A1735="","",DATE(YEAR(A1735),MONTH(A1735),1))</f>
        <v>46266</v>
      </c>
      <c r="I1735" s="37" t="str">
        <f aca="false">IF(B1735="","",IFERROR(INDEX(st_ID,MATCH(B1735,st_Name,0)),"Unknown"))</f>
        <v>QP-05</v>
      </c>
      <c r="J1735" s="37" t="str">
        <f aca="false">IF(C1735="","",IFERROR(INDEX(cl_Code,MATCH(C1735,cl_Name,0)),"Unknown"))</f>
        <v/>
      </c>
      <c r="K1735" s="37" t="str">
        <f aca="false">IF(D1735="","",IFERROR(INDEX(rt_Billable,MATCH(D1735,rt_Code,0)),"Unknown"))</f>
        <v>No</v>
      </c>
      <c r="L1735" s="38" t="str">
        <f aca="false">IF(K1735&lt;&gt;"Yes","",IFERROR(INDEX(cr_Rate,MATCH(J1735&amp;"|"&amp;D1735,cr_Key,0)),INDEX(rt_Rate,MATCH(D1735,rt_Code,0))))</f>
        <v/>
      </c>
      <c r="M1735" s="25" t="str">
        <f aca="false">IF(L1735="","",ROUND(N(E1735)*L1735,2))</f>
        <v/>
      </c>
      <c r="N1735" s="39" t="n">
        <f aca="false">IF(OR(A1735="",B1735=""),"",SUMIFS(tl_Hours,tl_StaffID,I1735,tl_Date,A1735))</f>
        <v>8</v>
      </c>
      <c r="O1735" s="40" t="str">
        <f aca="false">IF(A1735&amp;B1735&amp;D1735="","",IF(OR(A1735="",B1735="",D1735="",E1735=""),"Incomplete",IF(K1735="Unknown","Unknown code",IF(AND(K1735="Yes",C1735=""),"Billable, needs client",IF(N1735&gt;MaxDayHours,"Over "&amp;MaxDayHours&amp;" hours that day","")))))</f>
        <v/>
      </c>
    </row>
    <row r="1736" customFormat="false" ht="15" hidden="false" customHeight="false" outlineLevel="0" collapsed="false">
      <c r="A1736" s="31" t="n">
        <v>46295</v>
      </c>
      <c r="B1736" s="32" t="s">
        <v>103</v>
      </c>
      <c r="C1736" s="32"/>
      <c r="D1736" s="33" t="s">
        <v>96</v>
      </c>
      <c r="E1736" s="34" t="n">
        <v>1.25</v>
      </c>
      <c r="F1736" s="32"/>
      <c r="G1736" s="35" t="n">
        <f aca="false">IF(A1736="","",A1736+7-WEEKDAY(A1736))</f>
        <v>46298</v>
      </c>
      <c r="H1736" s="36" t="n">
        <f aca="false">IF(A1736="","",DATE(YEAR(A1736),MONTH(A1736),1))</f>
        <v>46266</v>
      </c>
      <c r="I1736" s="37" t="str">
        <f aca="false">IF(B1736="","",IFERROR(INDEX(st_ID,MATCH(B1736,st_Name,0)),"Unknown"))</f>
        <v>QP-05</v>
      </c>
      <c r="J1736" s="37" t="str">
        <f aca="false">IF(C1736="","",IFERROR(INDEX(cl_Code,MATCH(C1736,cl_Name,0)),"Unknown"))</f>
        <v/>
      </c>
      <c r="K1736" s="37" t="str">
        <f aca="false">IF(D1736="","",IFERROR(INDEX(rt_Billable,MATCH(D1736,rt_Code,0)),"Unknown"))</f>
        <v>No</v>
      </c>
      <c r="L1736" s="38" t="str">
        <f aca="false">IF(K1736&lt;&gt;"Yes","",IFERROR(INDEX(cr_Rate,MATCH(J1736&amp;"|"&amp;D1736,cr_Key,0)),INDEX(rt_Rate,MATCH(D1736,rt_Code,0))))</f>
        <v/>
      </c>
      <c r="M1736" s="25" t="str">
        <f aca="false">IF(L1736="","",ROUND(N(E1736)*L1736,2))</f>
        <v/>
      </c>
      <c r="N1736" s="39" t="n">
        <f aca="false">IF(OR(A1736="",B1736=""),"",SUMIFS(tl_Hours,tl_StaffID,I1736,tl_Date,A1736))</f>
        <v>8</v>
      </c>
      <c r="O1736" s="40" t="str">
        <f aca="false">IF(A1736&amp;B1736&amp;D1736="","",IF(OR(A1736="",B1736="",D1736="",E1736=""),"Incomplete",IF(K1736="Unknown","Unknown code",IF(AND(K1736="Yes",C1736=""),"Billable, needs client",IF(N1736&gt;MaxDayHours,"Over "&amp;MaxDayHours&amp;" hours that day","")))))</f>
        <v/>
      </c>
    </row>
    <row r="1737" customFormat="false" ht="15" hidden="false" customHeight="false" outlineLevel="0" collapsed="false">
      <c r="A1737" s="31" t="n">
        <v>46295</v>
      </c>
      <c r="B1737" s="32" t="s">
        <v>105</v>
      </c>
      <c r="C1737" s="32" t="s">
        <v>90</v>
      </c>
      <c r="D1737" s="33" t="s">
        <v>88</v>
      </c>
      <c r="E1737" s="34" t="n">
        <v>4.75</v>
      </c>
      <c r="F1737" s="32"/>
      <c r="G1737" s="35" t="n">
        <f aca="false">IF(A1737="","",A1737+7-WEEKDAY(A1737))</f>
        <v>46298</v>
      </c>
      <c r="H1737" s="36" t="n">
        <f aca="false">IF(A1737="","",DATE(YEAR(A1737),MONTH(A1737),1))</f>
        <v>46266</v>
      </c>
      <c r="I1737" s="37" t="str">
        <f aca="false">IF(B1737="","",IFERROR(INDEX(st_ID,MATCH(B1737,st_Name,0)),"Unknown"))</f>
        <v>QP-06</v>
      </c>
      <c r="J1737" s="37" t="str">
        <f aca="false">IF(C1737="","",IFERROR(INDEX(cl_Code,MATCH(C1737,cl_Name,0)),"Unknown"))</f>
        <v>BSE</v>
      </c>
      <c r="K1737" s="37" t="str">
        <f aca="false">IF(D1737="","",IFERROR(INDEX(rt_Billable,MATCH(D1737,rt_Code,0)),"Unknown"))</f>
        <v>Yes</v>
      </c>
      <c r="L1737" s="38" t="n">
        <f aca="false">IF(K1737&lt;&gt;"Yes","",IFERROR(INDEX(cr_Rate,MATCH(J1737&amp;"|"&amp;D1737,cr_Key,0)),INDEX(rt_Rate,MATCH(D1737,rt_Code,0))))</f>
        <v>104</v>
      </c>
      <c r="M1737" s="25" t="n">
        <f aca="false">IF(L1737="","",ROUND(N(E1737)*L1737,2))</f>
        <v>494</v>
      </c>
      <c r="N1737" s="39" t="n">
        <f aca="false">IF(OR(A1737="",B1737=""),"",SUMIFS(tl_Hours,tl_StaffID,I1737,tl_Date,A1737))</f>
        <v>8</v>
      </c>
      <c r="O1737" s="40" t="str">
        <f aca="false">IF(A1737&amp;B1737&amp;D1737="","",IF(OR(A1737="",B1737="",D1737="",E1737=""),"Incomplete",IF(K1737="Unknown","Unknown code",IF(AND(K1737="Yes",C1737=""),"Billable, needs client",IF(N1737&gt;MaxDayHours,"Over "&amp;MaxDayHours&amp;" hours that day","")))))</f>
        <v/>
      </c>
    </row>
    <row r="1738" customFormat="false" ht="15" hidden="false" customHeight="false" outlineLevel="0" collapsed="false">
      <c r="A1738" s="31" t="n">
        <v>46295</v>
      </c>
      <c r="B1738" s="32" t="s">
        <v>105</v>
      </c>
      <c r="C1738" s="32" t="s">
        <v>90</v>
      </c>
      <c r="D1738" s="33" t="s">
        <v>92</v>
      </c>
      <c r="E1738" s="34" t="n">
        <v>1.75</v>
      </c>
      <c r="F1738" s="32"/>
      <c r="G1738" s="35" t="n">
        <f aca="false">IF(A1738="","",A1738+7-WEEKDAY(A1738))</f>
        <v>46298</v>
      </c>
      <c r="H1738" s="36" t="n">
        <f aca="false">IF(A1738="","",DATE(YEAR(A1738),MONTH(A1738),1))</f>
        <v>46266</v>
      </c>
      <c r="I1738" s="37" t="str">
        <f aca="false">IF(B1738="","",IFERROR(INDEX(st_ID,MATCH(B1738,st_Name,0)),"Unknown"))</f>
        <v>QP-06</v>
      </c>
      <c r="J1738" s="37" t="str">
        <f aca="false">IF(C1738="","",IFERROR(INDEX(cl_Code,MATCH(C1738,cl_Name,0)),"Unknown"))</f>
        <v>BSE</v>
      </c>
      <c r="K1738" s="37" t="str">
        <f aca="false">IF(D1738="","",IFERROR(INDEX(rt_Billable,MATCH(D1738,rt_Code,0)),"Unknown"))</f>
        <v>Yes</v>
      </c>
      <c r="L1738" s="38" t="n">
        <f aca="false">IF(K1738&lt;&gt;"Yes","",IFERROR(INDEX(cr_Rate,MATCH(J1738&amp;"|"&amp;D1738,cr_Key,0)),INDEX(rt_Rate,MATCH(D1738,rt_Code,0))))</f>
        <v>145</v>
      </c>
      <c r="M1738" s="25" t="n">
        <f aca="false">IF(L1738="","",ROUND(N(E1738)*L1738,2))</f>
        <v>253.75</v>
      </c>
      <c r="N1738" s="39" t="n">
        <f aca="false">IF(OR(A1738="",B1738=""),"",SUMIFS(tl_Hours,tl_StaffID,I1738,tl_Date,A1738))</f>
        <v>8</v>
      </c>
      <c r="O1738" s="40" t="str">
        <f aca="false">IF(A1738&amp;B1738&amp;D1738="","",IF(OR(A1738="",B1738="",D1738="",E1738=""),"Incomplete",IF(K1738="Unknown","Unknown code",IF(AND(K1738="Yes",C1738=""),"Billable, needs client",IF(N1738&gt;MaxDayHours,"Over "&amp;MaxDayHours&amp;" hours that day","")))))</f>
        <v/>
      </c>
    </row>
    <row r="1739" customFormat="false" ht="15" hidden="false" customHeight="false" outlineLevel="0" collapsed="false">
      <c r="A1739" s="31" t="n">
        <v>46295</v>
      </c>
      <c r="B1739" s="32" t="s">
        <v>105</v>
      </c>
      <c r="C1739" s="32"/>
      <c r="D1739" s="33" t="s">
        <v>98</v>
      </c>
      <c r="E1739" s="34" t="n">
        <v>1</v>
      </c>
      <c r="F1739" s="32" t="s">
        <v>99</v>
      </c>
      <c r="G1739" s="35" t="n">
        <f aca="false">IF(A1739="","",A1739+7-WEEKDAY(A1739))</f>
        <v>46298</v>
      </c>
      <c r="H1739" s="36" t="n">
        <f aca="false">IF(A1739="","",DATE(YEAR(A1739),MONTH(A1739),1))</f>
        <v>46266</v>
      </c>
      <c r="I1739" s="37" t="str">
        <f aca="false">IF(B1739="","",IFERROR(INDEX(st_ID,MATCH(B1739,st_Name,0)),"Unknown"))</f>
        <v>QP-06</v>
      </c>
      <c r="J1739" s="37" t="str">
        <f aca="false">IF(C1739="","",IFERROR(INDEX(cl_Code,MATCH(C1739,cl_Name,0)),"Unknown"))</f>
        <v/>
      </c>
      <c r="K1739" s="37" t="str">
        <f aca="false">IF(D1739="","",IFERROR(INDEX(rt_Billable,MATCH(D1739,rt_Code,0)),"Unknown"))</f>
        <v>No</v>
      </c>
      <c r="L1739" s="38" t="str">
        <f aca="false">IF(K1739&lt;&gt;"Yes","",IFERROR(INDEX(cr_Rate,MATCH(J1739&amp;"|"&amp;D1739,cr_Key,0)),INDEX(rt_Rate,MATCH(D1739,rt_Code,0))))</f>
        <v/>
      </c>
      <c r="M1739" s="25" t="str">
        <f aca="false">IF(L1739="","",ROUND(N(E1739)*L1739,2))</f>
        <v/>
      </c>
      <c r="N1739" s="39" t="n">
        <f aca="false">IF(OR(A1739="",B1739=""),"",SUMIFS(tl_Hours,tl_StaffID,I1739,tl_Date,A1739))</f>
        <v>8</v>
      </c>
      <c r="O1739" s="40" t="str">
        <f aca="false">IF(A1739&amp;B1739&amp;D1739="","",IF(OR(A1739="",B1739="",D1739="",E1739=""),"Incomplete",IF(K1739="Unknown","Unknown code",IF(AND(K1739="Yes",C1739=""),"Billable, needs client",IF(N1739&gt;MaxDayHours,"Over "&amp;MaxDayHours&amp;" hours that day","")))))</f>
        <v/>
      </c>
    </row>
    <row r="1740" customFormat="false" ht="15" hidden="false" customHeight="false" outlineLevel="0" collapsed="false">
      <c r="A1740" s="31" t="n">
        <v>46295</v>
      </c>
      <c r="B1740" s="32" t="s">
        <v>105</v>
      </c>
      <c r="C1740" s="32"/>
      <c r="D1740" s="33" t="s">
        <v>96</v>
      </c>
      <c r="E1740" s="34" t="n">
        <v>0.5</v>
      </c>
      <c r="F1740" s="32"/>
      <c r="G1740" s="35" t="n">
        <f aca="false">IF(A1740="","",A1740+7-WEEKDAY(A1740))</f>
        <v>46298</v>
      </c>
      <c r="H1740" s="36" t="n">
        <f aca="false">IF(A1740="","",DATE(YEAR(A1740),MONTH(A1740),1))</f>
        <v>46266</v>
      </c>
      <c r="I1740" s="37" t="str">
        <f aca="false">IF(B1740="","",IFERROR(INDEX(st_ID,MATCH(B1740,st_Name,0)),"Unknown"))</f>
        <v>QP-06</v>
      </c>
      <c r="J1740" s="37" t="str">
        <f aca="false">IF(C1740="","",IFERROR(INDEX(cl_Code,MATCH(C1740,cl_Name,0)),"Unknown"))</f>
        <v/>
      </c>
      <c r="K1740" s="37" t="str">
        <f aca="false">IF(D1740="","",IFERROR(INDEX(rt_Billable,MATCH(D1740,rt_Code,0)),"Unknown"))</f>
        <v>No</v>
      </c>
      <c r="L1740" s="38" t="str">
        <f aca="false">IF(K1740&lt;&gt;"Yes","",IFERROR(INDEX(cr_Rate,MATCH(J1740&amp;"|"&amp;D1740,cr_Key,0)),INDEX(rt_Rate,MATCH(D1740,rt_Code,0))))</f>
        <v/>
      </c>
      <c r="M1740" s="25" t="str">
        <f aca="false">IF(L1740="","",ROUND(N(E1740)*L1740,2))</f>
        <v/>
      </c>
      <c r="N1740" s="39" t="n">
        <f aca="false">IF(OR(A1740="",B1740=""),"",SUMIFS(tl_Hours,tl_StaffID,I1740,tl_Date,A1740))</f>
        <v>8</v>
      </c>
      <c r="O1740" s="40" t="str">
        <f aca="false">IF(A1740&amp;B1740&amp;D1740="","",IF(OR(A1740="",B1740="",D1740="",E1740=""),"Incomplete",IF(K1740="Unknown","Unknown code",IF(AND(K1740="Yes",C1740=""),"Billable, needs client",IF(N1740&gt;MaxDayHours,"Over "&amp;MaxDayHours&amp;" hours that day","")))))</f>
        <v/>
      </c>
    </row>
    <row r="1741" customFormat="false" ht="15" hidden="false" customHeight="false" outlineLevel="0" collapsed="false">
      <c r="A1741" s="31" t="n">
        <v>46295</v>
      </c>
      <c r="B1741" s="32" t="s">
        <v>106</v>
      </c>
      <c r="C1741" s="32" t="s">
        <v>102</v>
      </c>
      <c r="D1741" s="33" t="s">
        <v>88</v>
      </c>
      <c r="E1741" s="34" t="n">
        <v>4</v>
      </c>
      <c r="F1741" s="32"/>
      <c r="G1741" s="35" t="n">
        <f aca="false">IF(A1741="","",A1741+7-WEEKDAY(A1741))</f>
        <v>46298</v>
      </c>
      <c r="H1741" s="36" t="n">
        <f aca="false">IF(A1741="","",DATE(YEAR(A1741),MONTH(A1741),1))</f>
        <v>46266</v>
      </c>
      <c r="I1741" s="37" t="str">
        <f aca="false">IF(B1741="","",IFERROR(INDEX(st_ID,MATCH(B1741,st_Name,0)),"Unknown"))</f>
        <v>QP-07</v>
      </c>
      <c r="J1741" s="37" t="str">
        <f aca="false">IF(C1741="","",IFERROR(INDEX(cl_Code,MATCH(C1741,cl_Name,0)),"Unknown"))</f>
        <v>CLH</v>
      </c>
      <c r="K1741" s="37" t="str">
        <f aca="false">IF(D1741="","",IFERROR(INDEX(rt_Billable,MATCH(D1741,rt_Code,0)),"Unknown"))</f>
        <v>Yes</v>
      </c>
      <c r="L1741" s="38" t="n">
        <f aca="false">IF(K1741&lt;&gt;"Yes","",IFERROR(INDEX(cr_Rate,MATCH(J1741&amp;"|"&amp;D1741,cr_Key,0)),INDEX(rt_Rate,MATCH(D1741,rt_Code,0))))</f>
        <v>110</v>
      </c>
      <c r="M1741" s="25" t="n">
        <f aca="false">IF(L1741="","",ROUND(N(E1741)*L1741,2))</f>
        <v>440</v>
      </c>
      <c r="N1741" s="39" t="n">
        <f aca="false">IF(OR(A1741="",B1741=""),"",SUMIFS(tl_Hours,tl_StaffID,I1741,tl_Date,A1741))</f>
        <v>8.25</v>
      </c>
      <c r="O1741" s="40" t="str">
        <f aca="false">IF(A1741&amp;B1741&amp;D1741="","",IF(OR(A1741="",B1741="",D1741="",E1741=""),"Incomplete",IF(K1741="Unknown","Unknown code",IF(AND(K1741="Yes",C1741=""),"Billable, needs client",IF(N1741&gt;MaxDayHours,"Over "&amp;MaxDayHours&amp;" hours that day","")))))</f>
        <v/>
      </c>
    </row>
    <row r="1742" customFormat="false" ht="15" hidden="false" customHeight="false" outlineLevel="0" collapsed="false">
      <c r="A1742" s="31" t="n">
        <v>46295</v>
      </c>
      <c r="B1742" s="32" t="s">
        <v>106</v>
      </c>
      <c r="C1742" s="32" t="s">
        <v>102</v>
      </c>
      <c r="D1742" s="33" t="s">
        <v>104</v>
      </c>
      <c r="E1742" s="34" t="n">
        <v>2.75</v>
      </c>
      <c r="F1742" s="32"/>
      <c r="G1742" s="35" t="n">
        <f aca="false">IF(A1742="","",A1742+7-WEEKDAY(A1742))</f>
        <v>46298</v>
      </c>
      <c r="H1742" s="36" t="n">
        <f aca="false">IF(A1742="","",DATE(YEAR(A1742),MONTH(A1742),1))</f>
        <v>46266</v>
      </c>
      <c r="I1742" s="37" t="str">
        <f aca="false">IF(B1742="","",IFERROR(INDEX(st_ID,MATCH(B1742,st_Name,0)),"Unknown"))</f>
        <v>QP-07</v>
      </c>
      <c r="J1742" s="37" t="str">
        <f aca="false">IF(C1742="","",IFERROR(INDEX(cl_Code,MATCH(C1742,cl_Name,0)),"Unknown"))</f>
        <v>CLH</v>
      </c>
      <c r="K1742" s="37" t="str">
        <f aca="false">IF(D1742="","",IFERROR(INDEX(rt_Billable,MATCH(D1742,rt_Code,0)),"Unknown"))</f>
        <v>Yes</v>
      </c>
      <c r="L1742" s="38" t="n">
        <f aca="false">IF(K1742&lt;&gt;"Yes","",IFERROR(INDEX(cr_Rate,MATCH(J1742&amp;"|"&amp;D1742,cr_Key,0)),INDEX(rt_Rate,MATCH(D1742,rt_Code,0))))</f>
        <v>65</v>
      </c>
      <c r="M1742" s="25" t="n">
        <f aca="false">IF(L1742="","",ROUND(N(E1742)*L1742,2))</f>
        <v>178.75</v>
      </c>
      <c r="N1742" s="39" t="n">
        <f aca="false">IF(OR(A1742="",B1742=""),"",SUMIFS(tl_Hours,tl_StaffID,I1742,tl_Date,A1742))</f>
        <v>8.25</v>
      </c>
      <c r="O1742" s="40" t="str">
        <f aca="false">IF(A1742&amp;B1742&amp;D1742="","",IF(OR(A1742="",B1742="",D1742="",E1742=""),"Incomplete",IF(K1742="Unknown","Unknown code",IF(AND(K1742="Yes",C1742=""),"Billable, needs client",IF(N1742&gt;MaxDayHours,"Over "&amp;MaxDayHours&amp;" hours that day","")))))</f>
        <v/>
      </c>
    </row>
    <row r="1743" customFormat="false" ht="15" hidden="false" customHeight="false" outlineLevel="0" collapsed="false">
      <c r="A1743" s="31" t="n">
        <v>46295</v>
      </c>
      <c r="B1743" s="32" t="s">
        <v>106</v>
      </c>
      <c r="C1743" s="32"/>
      <c r="D1743" s="33" t="s">
        <v>98</v>
      </c>
      <c r="E1743" s="34" t="n">
        <v>1</v>
      </c>
      <c r="F1743" s="32" t="s">
        <v>99</v>
      </c>
      <c r="G1743" s="35" t="n">
        <f aca="false">IF(A1743="","",A1743+7-WEEKDAY(A1743))</f>
        <v>46298</v>
      </c>
      <c r="H1743" s="36" t="n">
        <f aca="false">IF(A1743="","",DATE(YEAR(A1743),MONTH(A1743),1))</f>
        <v>46266</v>
      </c>
      <c r="I1743" s="37" t="str">
        <f aca="false">IF(B1743="","",IFERROR(INDEX(st_ID,MATCH(B1743,st_Name,0)),"Unknown"))</f>
        <v>QP-07</v>
      </c>
      <c r="J1743" s="37" t="str">
        <f aca="false">IF(C1743="","",IFERROR(INDEX(cl_Code,MATCH(C1743,cl_Name,0)),"Unknown"))</f>
        <v/>
      </c>
      <c r="K1743" s="37" t="str">
        <f aca="false">IF(D1743="","",IFERROR(INDEX(rt_Billable,MATCH(D1743,rt_Code,0)),"Unknown"))</f>
        <v>No</v>
      </c>
      <c r="L1743" s="38" t="str">
        <f aca="false">IF(K1743&lt;&gt;"Yes","",IFERROR(INDEX(cr_Rate,MATCH(J1743&amp;"|"&amp;D1743,cr_Key,0)),INDEX(rt_Rate,MATCH(D1743,rt_Code,0))))</f>
        <v/>
      </c>
      <c r="M1743" s="25" t="str">
        <f aca="false">IF(L1743="","",ROUND(N(E1743)*L1743,2))</f>
        <v/>
      </c>
      <c r="N1743" s="39" t="n">
        <f aca="false">IF(OR(A1743="",B1743=""),"",SUMIFS(tl_Hours,tl_StaffID,I1743,tl_Date,A1743))</f>
        <v>8.25</v>
      </c>
      <c r="O1743" s="40" t="str">
        <f aca="false">IF(A1743&amp;B1743&amp;D1743="","",IF(OR(A1743="",B1743="",D1743="",E1743=""),"Incomplete",IF(K1743="Unknown","Unknown code",IF(AND(K1743="Yes",C1743=""),"Billable, needs client",IF(N1743&gt;MaxDayHours,"Over "&amp;MaxDayHours&amp;" hours that day","")))))</f>
        <v/>
      </c>
    </row>
    <row r="1744" customFormat="false" ht="15" hidden="false" customHeight="false" outlineLevel="0" collapsed="false">
      <c r="A1744" s="31" t="n">
        <v>46295</v>
      </c>
      <c r="B1744" s="32" t="s">
        <v>106</v>
      </c>
      <c r="C1744" s="32"/>
      <c r="D1744" s="33" t="s">
        <v>96</v>
      </c>
      <c r="E1744" s="34" t="n">
        <v>0.5</v>
      </c>
      <c r="F1744" s="32"/>
      <c r="G1744" s="35" t="n">
        <f aca="false">IF(A1744="","",A1744+7-WEEKDAY(A1744))</f>
        <v>46298</v>
      </c>
      <c r="H1744" s="36" t="n">
        <f aca="false">IF(A1744="","",DATE(YEAR(A1744),MONTH(A1744),1))</f>
        <v>46266</v>
      </c>
      <c r="I1744" s="37" t="str">
        <f aca="false">IF(B1744="","",IFERROR(INDEX(st_ID,MATCH(B1744,st_Name,0)),"Unknown"))</f>
        <v>QP-07</v>
      </c>
      <c r="J1744" s="37" t="str">
        <f aca="false">IF(C1744="","",IFERROR(INDEX(cl_Code,MATCH(C1744,cl_Name,0)),"Unknown"))</f>
        <v/>
      </c>
      <c r="K1744" s="37" t="str">
        <f aca="false">IF(D1744="","",IFERROR(INDEX(rt_Billable,MATCH(D1744,rt_Code,0)),"Unknown"))</f>
        <v>No</v>
      </c>
      <c r="L1744" s="38" t="str">
        <f aca="false">IF(K1744&lt;&gt;"Yes","",IFERROR(INDEX(cr_Rate,MATCH(J1744&amp;"|"&amp;D1744,cr_Key,0)),INDEX(rt_Rate,MATCH(D1744,rt_Code,0))))</f>
        <v/>
      </c>
      <c r="M1744" s="25" t="str">
        <f aca="false">IF(L1744="","",ROUND(N(E1744)*L1744,2))</f>
        <v/>
      </c>
      <c r="N1744" s="39" t="n">
        <f aca="false">IF(OR(A1744="",B1744=""),"",SUMIFS(tl_Hours,tl_StaffID,I1744,tl_Date,A1744))</f>
        <v>8.25</v>
      </c>
      <c r="O1744" s="40" t="str">
        <f aca="false">IF(A1744&amp;B1744&amp;D1744="","",IF(OR(A1744="",B1744="",D1744="",E1744=""),"Incomplete",IF(K1744="Unknown","Unknown code",IF(AND(K1744="Yes",C1744=""),"Billable, needs client",IF(N1744&gt;MaxDayHours,"Over "&amp;MaxDayHours&amp;" hours that day","")))))</f>
        <v/>
      </c>
    </row>
    <row r="1745" customFormat="false" ht="15" hidden="false" customHeight="false" outlineLevel="0" collapsed="false">
      <c r="A1745" s="31" t="n">
        <v>46295</v>
      </c>
      <c r="B1745" s="32" t="s">
        <v>107</v>
      </c>
      <c r="C1745" s="32"/>
      <c r="D1745" s="33" t="s">
        <v>108</v>
      </c>
      <c r="E1745" s="34" t="n">
        <v>7</v>
      </c>
      <c r="F1745" s="32"/>
      <c r="G1745" s="35" t="n">
        <f aca="false">IF(A1745="","",A1745+7-WEEKDAY(A1745))</f>
        <v>46298</v>
      </c>
      <c r="H1745" s="36" t="n">
        <f aca="false">IF(A1745="","",DATE(YEAR(A1745),MONTH(A1745),1))</f>
        <v>46266</v>
      </c>
      <c r="I1745" s="37" t="str">
        <f aca="false">IF(B1745="","",IFERROR(INDEX(st_ID,MATCH(B1745,st_Name,0)),"Unknown"))</f>
        <v>QP-08</v>
      </c>
      <c r="J1745" s="37" t="str">
        <f aca="false">IF(C1745="","",IFERROR(INDEX(cl_Code,MATCH(C1745,cl_Name,0)),"Unknown"))</f>
        <v/>
      </c>
      <c r="K1745" s="37" t="str">
        <f aca="false">IF(D1745="","",IFERROR(INDEX(rt_Billable,MATCH(D1745,rt_Code,0)),"Unknown"))</f>
        <v>No</v>
      </c>
      <c r="L1745" s="38" t="str">
        <f aca="false">IF(K1745&lt;&gt;"Yes","",IFERROR(INDEX(cr_Rate,MATCH(J1745&amp;"|"&amp;D1745,cr_Key,0)),INDEX(rt_Rate,MATCH(D1745,rt_Code,0))))</f>
        <v/>
      </c>
      <c r="M1745" s="25" t="str">
        <f aca="false">IF(L1745="","",ROUND(N(E1745)*L1745,2))</f>
        <v/>
      </c>
      <c r="N1745" s="39" t="n">
        <f aca="false">IF(OR(A1745="",B1745=""),"",SUMIFS(tl_Hours,tl_StaffID,I1745,tl_Date,A1745))</f>
        <v>8</v>
      </c>
      <c r="O1745" s="40" t="str">
        <f aca="false">IF(A1745&amp;B1745&amp;D1745="","",IF(OR(A1745="",B1745="",D1745="",E1745=""),"Incomplete",IF(K1745="Unknown","Unknown code",IF(AND(K1745="Yes",C1745=""),"Billable, needs client",IF(N1745&gt;MaxDayHours,"Over "&amp;MaxDayHours&amp;" hours that day","")))))</f>
        <v/>
      </c>
    </row>
    <row r="1746" customFormat="false" ht="15" hidden="false" customHeight="false" outlineLevel="0" collapsed="false">
      <c r="A1746" s="31" t="n">
        <v>46295</v>
      </c>
      <c r="B1746" s="32" t="s">
        <v>107</v>
      </c>
      <c r="C1746" s="32"/>
      <c r="D1746" s="33" t="s">
        <v>98</v>
      </c>
      <c r="E1746" s="34" t="n">
        <v>1</v>
      </c>
      <c r="F1746" s="32"/>
      <c r="G1746" s="35" t="n">
        <f aca="false">IF(A1746="","",A1746+7-WEEKDAY(A1746))</f>
        <v>46298</v>
      </c>
      <c r="H1746" s="36" t="n">
        <f aca="false">IF(A1746="","",DATE(YEAR(A1746),MONTH(A1746),1))</f>
        <v>46266</v>
      </c>
      <c r="I1746" s="37" t="str">
        <f aca="false">IF(B1746="","",IFERROR(INDEX(st_ID,MATCH(B1746,st_Name,0)),"Unknown"))</f>
        <v>QP-08</v>
      </c>
      <c r="J1746" s="37" t="str">
        <f aca="false">IF(C1746="","",IFERROR(INDEX(cl_Code,MATCH(C1746,cl_Name,0)),"Unknown"))</f>
        <v/>
      </c>
      <c r="K1746" s="37" t="str">
        <f aca="false">IF(D1746="","",IFERROR(INDEX(rt_Billable,MATCH(D1746,rt_Code,0)),"Unknown"))</f>
        <v>No</v>
      </c>
      <c r="L1746" s="38" t="str">
        <f aca="false">IF(K1746&lt;&gt;"Yes","",IFERROR(INDEX(cr_Rate,MATCH(J1746&amp;"|"&amp;D1746,cr_Key,0)),INDEX(rt_Rate,MATCH(D1746,rt_Code,0))))</f>
        <v/>
      </c>
      <c r="M1746" s="25" t="str">
        <f aca="false">IF(L1746="","",ROUND(N(E1746)*L1746,2))</f>
        <v/>
      </c>
      <c r="N1746" s="39" t="n">
        <f aca="false">IF(OR(A1746="",B1746=""),"",SUMIFS(tl_Hours,tl_StaffID,I1746,tl_Date,A1746))</f>
        <v>8</v>
      </c>
      <c r="O1746" s="40" t="str">
        <f aca="false">IF(A1746&amp;B1746&amp;D1746="","",IF(OR(A1746="",B1746="",D1746="",E1746=""),"Incomplete",IF(K1746="Unknown","Unknown code",IF(AND(K1746="Yes",C1746=""),"Billable, needs client",IF(N1746&gt;MaxDayHours,"Over "&amp;MaxDayHours&amp;" hours that day","")))))</f>
        <v/>
      </c>
    </row>
    <row r="1747" customFormat="false" ht="15" hidden="false" customHeight="false" outlineLevel="0" collapsed="false">
      <c r="A1747" s="31"/>
      <c r="B1747" s="32"/>
      <c r="C1747" s="32"/>
      <c r="D1747" s="33"/>
      <c r="E1747" s="34"/>
      <c r="F1747" s="32"/>
      <c r="G1747" s="35" t="str">
        <f aca="false">IF(A1747="","",A1747+7-WEEKDAY(A1747))</f>
        <v/>
      </c>
      <c r="H1747" s="36" t="str">
        <f aca="false">IF(A1747="","",DATE(YEAR(A1747),MONTH(A1747),1))</f>
        <v/>
      </c>
      <c r="I1747" s="37" t="str">
        <f aca="false">IF(B1747="","",IFERROR(INDEX(st_ID,MATCH(B1747,st_Name,0)),"Unknown"))</f>
        <v/>
      </c>
      <c r="J1747" s="37" t="str">
        <f aca="false">IF(C1747="","",IFERROR(INDEX(cl_Code,MATCH(C1747,cl_Name,0)),"Unknown"))</f>
        <v/>
      </c>
      <c r="K1747" s="37" t="str">
        <f aca="false">IF(D1747="","",IFERROR(INDEX(rt_Billable,MATCH(D1747,rt_Code,0)),"Unknown"))</f>
        <v/>
      </c>
      <c r="L1747" s="38" t="str">
        <f aca="false">IF(K1747&lt;&gt;"Yes","",IFERROR(INDEX(cr_Rate,MATCH(J1747&amp;"|"&amp;D1747,cr_Key,0)),INDEX(rt_Rate,MATCH(D1747,rt_Code,0))))</f>
        <v/>
      </c>
      <c r="M1747" s="25" t="str">
        <f aca="false">IF(L1747="","",ROUND(N(E1747)*L1747,2))</f>
        <v/>
      </c>
      <c r="N1747" s="39" t="str">
        <f aca="false">IF(OR(A1747="",B1747=""),"",SUMIFS(tl_Hours,tl_StaffID,I1747,tl_Date,A1747))</f>
        <v/>
      </c>
      <c r="O1747" s="40" t="str">
        <f aca="false">IF(A1747&amp;B1747&amp;D1747="","",IF(OR(A1747="",B1747="",D1747="",E1747=""),"Incomplete",IF(K1747="Unknown","Unknown code",IF(AND(K1747="Yes",C1747=""),"Billable, needs client",IF(N1747&gt;MaxDayHours,"Over "&amp;MaxDayHours&amp;" hours that day","")))))</f>
        <v/>
      </c>
    </row>
    <row r="1748" customFormat="false" ht="15" hidden="false" customHeight="false" outlineLevel="0" collapsed="false">
      <c r="A1748" s="31"/>
      <c r="B1748" s="32"/>
      <c r="C1748" s="32"/>
      <c r="D1748" s="33"/>
      <c r="E1748" s="34"/>
      <c r="F1748" s="32"/>
      <c r="G1748" s="35" t="str">
        <f aca="false">IF(A1748="","",A1748+7-WEEKDAY(A1748))</f>
        <v/>
      </c>
      <c r="H1748" s="36" t="str">
        <f aca="false">IF(A1748="","",DATE(YEAR(A1748),MONTH(A1748),1))</f>
        <v/>
      </c>
      <c r="I1748" s="37" t="str">
        <f aca="false">IF(B1748="","",IFERROR(INDEX(st_ID,MATCH(B1748,st_Name,0)),"Unknown"))</f>
        <v/>
      </c>
      <c r="J1748" s="37" t="str">
        <f aca="false">IF(C1748="","",IFERROR(INDEX(cl_Code,MATCH(C1748,cl_Name,0)),"Unknown"))</f>
        <v/>
      </c>
      <c r="K1748" s="37" t="str">
        <f aca="false">IF(D1748="","",IFERROR(INDEX(rt_Billable,MATCH(D1748,rt_Code,0)),"Unknown"))</f>
        <v/>
      </c>
      <c r="L1748" s="38" t="str">
        <f aca="false">IF(K1748&lt;&gt;"Yes","",IFERROR(INDEX(cr_Rate,MATCH(J1748&amp;"|"&amp;D1748,cr_Key,0)),INDEX(rt_Rate,MATCH(D1748,rt_Code,0))))</f>
        <v/>
      </c>
      <c r="M1748" s="25" t="str">
        <f aca="false">IF(L1748="","",ROUND(N(E1748)*L1748,2))</f>
        <v/>
      </c>
      <c r="N1748" s="39" t="str">
        <f aca="false">IF(OR(A1748="",B1748=""),"",SUMIFS(tl_Hours,tl_StaffID,I1748,tl_Date,A1748))</f>
        <v/>
      </c>
      <c r="O1748" s="40" t="str">
        <f aca="false">IF(A1748&amp;B1748&amp;D1748="","",IF(OR(A1748="",B1748="",D1748="",E1748=""),"Incomplete",IF(K1748="Unknown","Unknown code",IF(AND(K1748="Yes",C1748=""),"Billable, needs client",IF(N1748&gt;MaxDayHours,"Over "&amp;MaxDayHours&amp;" hours that day","")))))</f>
        <v/>
      </c>
    </row>
    <row r="1749" customFormat="false" ht="15" hidden="false" customHeight="false" outlineLevel="0" collapsed="false">
      <c r="A1749" s="31"/>
      <c r="B1749" s="32"/>
      <c r="C1749" s="32"/>
      <c r="D1749" s="33"/>
      <c r="E1749" s="34"/>
      <c r="F1749" s="32"/>
      <c r="G1749" s="35" t="str">
        <f aca="false">IF(A1749="","",A1749+7-WEEKDAY(A1749))</f>
        <v/>
      </c>
      <c r="H1749" s="36" t="str">
        <f aca="false">IF(A1749="","",DATE(YEAR(A1749),MONTH(A1749),1))</f>
        <v/>
      </c>
      <c r="I1749" s="37" t="str">
        <f aca="false">IF(B1749="","",IFERROR(INDEX(st_ID,MATCH(B1749,st_Name,0)),"Unknown"))</f>
        <v/>
      </c>
      <c r="J1749" s="37" t="str">
        <f aca="false">IF(C1749="","",IFERROR(INDEX(cl_Code,MATCH(C1749,cl_Name,0)),"Unknown"))</f>
        <v/>
      </c>
      <c r="K1749" s="37" t="str">
        <f aca="false">IF(D1749="","",IFERROR(INDEX(rt_Billable,MATCH(D1749,rt_Code,0)),"Unknown"))</f>
        <v/>
      </c>
      <c r="L1749" s="38" t="str">
        <f aca="false">IF(K1749&lt;&gt;"Yes","",IFERROR(INDEX(cr_Rate,MATCH(J1749&amp;"|"&amp;D1749,cr_Key,0)),INDEX(rt_Rate,MATCH(D1749,rt_Code,0))))</f>
        <v/>
      </c>
      <c r="M1749" s="25" t="str">
        <f aca="false">IF(L1749="","",ROUND(N(E1749)*L1749,2))</f>
        <v/>
      </c>
      <c r="N1749" s="39" t="str">
        <f aca="false">IF(OR(A1749="",B1749=""),"",SUMIFS(tl_Hours,tl_StaffID,I1749,tl_Date,A1749))</f>
        <v/>
      </c>
      <c r="O1749" s="40" t="str">
        <f aca="false">IF(A1749&amp;B1749&amp;D1749="","",IF(OR(A1749="",B1749="",D1749="",E1749=""),"Incomplete",IF(K1749="Unknown","Unknown code",IF(AND(K1749="Yes",C1749=""),"Billable, needs client",IF(N1749&gt;MaxDayHours,"Over "&amp;MaxDayHours&amp;" hours that day","")))))</f>
        <v/>
      </c>
    </row>
    <row r="1750" customFormat="false" ht="15" hidden="false" customHeight="false" outlineLevel="0" collapsed="false">
      <c r="A1750" s="31"/>
      <c r="B1750" s="32"/>
      <c r="C1750" s="32"/>
      <c r="D1750" s="33"/>
      <c r="E1750" s="34"/>
      <c r="F1750" s="32"/>
      <c r="G1750" s="35" t="str">
        <f aca="false">IF(A1750="","",A1750+7-WEEKDAY(A1750))</f>
        <v/>
      </c>
      <c r="H1750" s="36" t="str">
        <f aca="false">IF(A1750="","",DATE(YEAR(A1750),MONTH(A1750),1))</f>
        <v/>
      </c>
      <c r="I1750" s="37" t="str">
        <f aca="false">IF(B1750="","",IFERROR(INDEX(st_ID,MATCH(B1750,st_Name,0)),"Unknown"))</f>
        <v/>
      </c>
      <c r="J1750" s="37" t="str">
        <f aca="false">IF(C1750="","",IFERROR(INDEX(cl_Code,MATCH(C1750,cl_Name,0)),"Unknown"))</f>
        <v/>
      </c>
      <c r="K1750" s="37" t="str">
        <f aca="false">IF(D1750="","",IFERROR(INDEX(rt_Billable,MATCH(D1750,rt_Code,0)),"Unknown"))</f>
        <v/>
      </c>
      <c r="L1750" s="38" t="str">
        <f aca="false">IF(K1750&lt;&gt;"Yes","",IFERROR(INDEX(cr_Rate,MATCH(J1750&amp;"|"&amp;D1750,cr_Key,0)),INDEX(rt_Rate,MATCH(D1750,rt_Code,0))))</f>
        <v/>
      </c>
      <c r="M1750" s="25" t="str">
        <f aca="false">IF(L1750="","",ROUND(N(E1750)*L1750,2))</f>
        <v/>
      </c>
      <c r="N1750" s="39" t="str">
        <f aca="false">IF(OR(A1750="",B1750=""),"",SUMIFS(tl_Hours,tl_StaffID,I1750,tl_Date,A1750))</f>
        <v/>
      </c>
      <c r="O1750" s="40" t="str">
        <f aca="false">IF(A1750&amp;B1750&amp;D1750="","",IF(OR(A1750="",B1750="",D1750="",E1750=""),"Incomplete",IF(K1750="Unknown","Unknown code",IF(AND(K1750="Yes",C1750=""),"Billable, needs client",IF(N1750&gt;MaxDayHours,"Over "&amp;MaxDayHours&amp;" hours that day","")))))</f>
        <v/>
      </c>
    </row>
    <row r="1751" customFormat="false" ht="15" hidden="false" customHeight="false" outlineLevel="0" collapsed="false">
      <c r="A1751" s="31"/>
      <c r="B1751" s="32"/>
      <c r="C1751" s="32"/>
      <c r="D1751" s="33"/>
      <c r="E1751" s="34"/>
      <c r="F1751" s="32"/>
      <c r="G1751" s="35" t="str">
        <f aca="false">IF(A1751="","",A1751+7-WEEKDAY(A1751))</f>
        <v/>
      </c>
      <c r="H1751" s="36" t="str">
        <f aca="false">IF(A1751="","",DATE(YEAR(A1751),MONTH(A1751),1))</f>
        <v/>
      </c>
      <c r="I1751" s="37" t="str">
        <f aca="false">IF(B1751="","",IFERROR(INDEX(st_ID,MATCH(B1751,st_Name,0)),"Unknown"))</f>
        <v/>
      </c>
      <c r="J1751" s="37" t="str">
        <f aca="false">IF(C1751="","",IFERROR(INDEX(cl_Code,MATCH(C1751,cl_Name,0)),"Unknown"))</f>
        <v/>
      </c>
      <c r="K1751" s="37" t="str">
        <f aca="false">IF(D1751="","",IFERROR(INDEX(rt_Billable,MATCH(D1751,rt_Code,0)),"Unknown"))</f>
        <v/>
      </c>
      <c r="L1751" s="38" t="str">
        <f aca="false">IF(K1751&lt;&gt;"Yes","",IFERROR(INDEX(cr_Rate,MATCH(J1751&amp;"|"&amp;D1751,cr_Key,0)),INDEX(rt_Rate,MATCH(D1751,rt_Code,0))))</f>
        <v/>
      </c>
      <c r="M1751" s="25" t="str">
        <f aca="false">IF(L1751="","",ROUND(N(E1751)*L1751,2))</f>
        <v/>
      </c>
      <c r="N1751" s="39" t="str">
        <f aca="false">IF(OR(A1751="",B1751=""),"",SUMIFS(tl_Hours,tl_StaffID,I1751,tl_Date,A1751))</f>
        <v/>
      </c>
      <c r="O1751" s="40" t="str">
        <f aca="false">IF(A1751&amp;B1751&amp;D1751="","",IF(OR(A1751="",B1751="",D1751="",E1751=""),"Incomplete",IF(K1751="Unknown","Unknown code",IF(AND(K1751="Yes",C1751=""),"Billable, needs client",IF(N1751&gt;MaxDayHours,"Over "&amp;MaxDayHours&amp;" hours that day","")))))</f>
        <v/>
      </c>
    </row>
    <row r="1752" customFormat="false" ht="15" hidden="false" customHeight="false" outlineLevel="0" collapsed="false">
      <c r="A1752" s="31"/>
      <c r="B1752" s="32"/>
      <c r="C1752" s="32"/>
      <c r="D1752" s="33"/>
      <c r="E1752" s="34"/>
      <c r="F1752" s="32"/>
      <c r="G1752" s="35" t="str">
        <f aca="false">IF(A1752="","",A1752+7-WEEKDAY(A1752))</f>
        <v/>
      </c>
      <c r="H1752" s="36" t="str">
        <f aca="false">IF(A1752="","",DATE(YEAR(A1752),MONTH(A1752),1))</f>
        <v/>
      </c>
      <c r="I1752" s="37" t="str">
        <f aca="false">IF(B1752="","",IFERROR(INDEX(st_ID,MATCH(B1752,st_Name,0)),"Unknown"))</f>
        <v/>
      </c>
      <c r="J1752" s="37" t="str">
        <f aca="false">IF(C1752="","",IFERROR(INDEX(cl_Code,MATCH(C1752,cl_Name,0)),"Unknown"))</f>
        <v/>
      </c>
      <c r="K1752" s="37" t="str">
        <f aca="false">IF(D1752="","",IFERROR(INDEX(rt_Billable,MATCH(D1752,rt_Code,0)),"Unknown"))</f>
        <v/>
      </c>
      <c r="L1752" s="38" t="str">
        <f aca="false">IF(K1752&lt;&gt;"Yes","",IFERROR(INDEX(cr_Rate,MATCH(J1752&amp;"|"&amp;D1752,cr_Key,0)),INDEX(rt_Rate,MATCH(D1752,rt_Code,0))))</f>
        <v/>
      </c>
      <c r="M1752" s="25" t="str">
        <f aca="false">IF(L1752="","",ROUND(N(E1752)*L1752,2))</f>
        <v/>
      </c>
      <c r="N1752" s="39" t="str">
        <f aca="false">IF(OR(A1752="",B1752=""),"",SUMIFS(tl_Hours,tl_StaffID,I1752,tl_Date,A1752))</f>
        <v/>
      </c>
      <c r="O1752" s="40" t="str">
        <f aca="false">IF(A1752&amp;B1752&amp;D1752="","",IF(OR(A1752="",B1752="",D1752="",E1752=""),"Incomplete",IF(K1752="Unknown","Unknown code",IF(AND(K1752="Yes",C1752=""),"Billable, needs client",IF(N1752&gt;MaxDayHours,"Over "&amp;MaxDayHours&amp;" hours that day","")))))</f>
        <v/>
      </c>
    </row>
    <row r="1753" customFormat="false" ht="15" hidden="false" customHeight="false" outlineLevel="0" collapsed="false">
      <c r="A1753" s="31"/>
      <c r="B1753" s="32"/>
      <c r="C1753" s="32"/>
      <c r="D1753" s="33"/>
      <c r="E1753" s="34"/>
      <c r="F1753" s="32"/>
      <c r="G1753" s="35" t="str">
        <f aca="false">IF(A1753="","",A1753+7-WEEKDAY(A1753))</f>
        <v/>
      </c>
      <c r="H1753" s="36" t="str">
        <f aca="false">IF(A1753="","",DATE(YEAR(A1753),MONTH(A1753),1))</f>
        <v/>
      </c>
      <c r="I1753" s="37" t="str">
        <f aca="false">IF(B1753="","",IFERROR(INDEX(st_ID,MATCH(B1753,st_Name,0)),"Unknown"))</f>
        <v/>
      </c>
      <c r="J1753" s="37" t="str">
        <f aca="false">IF(C1753="","",IFERROR(INDEX(cl_Code,MATCH(C1753,cl_Name,0)),"Unknown"))</f>
        <v/>
      </c>
      <c r="K1753" s="37" t="str">
        <f aca="false">IF(D1753="","",IFERROR(INDEX(rt_Billable,MATCH(D1753,rt_Code,0)),"Unknown"))</f>
        <v/>
      </c>
      <c r="L1753" s="38" t="str">
        <f aca="false">IF(K1753&lt;&gt;"Yes","",IFERROR(INDEX(cr_Rate,MATCH(J1753&amp;"|"&amp;D1753,cr_Key,0)),INDEX(rt_Rate,MATCH(D1753,rt_Code,0))))</f>
        <v/>
      </c>
      <c r="M1753" s="25" t="str">
        <f aca="false">IF(L1753="","",ROUND(N(E1753)*L1753,2))</f>
        <v/>
      </c>
      <c r="N1753" s="39" t="str">
        <f aca="false">IF(OR(A1753="",B1753=""),"",SUMIFS(tl_Hours,tl_StaffID,I1753,tl_Date,A1753))</f>
        <v/>
      </c>
      <c r="O1753" s="40" t="str">
        <f aca="false">IF(A1753&amp;B1753&amp;D1753="","",IF(OR(A1753="",B1753="",D1753="",E1753=""),"Incomplete",IF(K1753="Unknown","Unknown code",IF(AND(K1753="Yes",C1753=""),"Billable, needs client",IF(N1753&gt;MaxDayHours,"Over "&amp;MaxDayHours&amp;" hours that day","")))))</f>
        <v/>
      </c>
    </row>
    <row r="1754" customFormat="false" ht="15" hidden="false" customHeight="false" outlineLevel="0" collapsed="false">
      <c r="A1754" s="31"/>
      <c r="B1754" s="32"/>
      <c r="C1754" s="32"/>
      <c r="D1754" s="33"/>
      <c r="E1754" s="34"/>
      <c r="F1754" s="32"/>
      <c r="G1754" s="35" t="str">
        <f aca="false">IF(A1754="","",A1754+7-WEEKDAY(A1754))</f>
        <v/>
      </c>
      <c r="H1754" s="36" t="str">
        <f aca="false">IF(A1754="","",DATE(YEAR(A1754),MONTH(A1754),1))</f>
        <v/>
      </c>
      <c r="I1754" s="37" t="str">
        <f aca="false">IF(B1754="","",IFERROR(INDEX(st_ID,MATCH(B1754,st_Name,0)),"Unknown"))</f>
        <v/>
      </c>
      <c r="J1754" s="37" t="str">
        <f aca="false">IF(C1754="","",IFERROR(INDEX(cl_Code,MATCH(C1754,cl_Name,0)),"Unknown"))</f>
        <v/>
      </c>
      <c r="K1754" s="37" t="str">
        <f aca="false">IF(D1754="","",IFERROR(INDEX(rt_Billable,MATCH(D1754,rt_Code,0)),"Unknown"))</f>
        <v/>
      </c>
      <c r="L1754" s="38" t="str">
        <f aca="false">IF(K1754&lt;&gt;"Yes","",IFERROR(INDEX(cr_Rate,MATCH(J1754&amp;"|"&amp;D1754,cr_Key,0)),INDEX(rt_Rate,MATCH(D1754,rt_Code,0))))</f>
        <v/>
      </c>
      <c r="M1754" s="25" t="str">
        <f aca="false">IF(L1754="","",ROUND(N(E1754)*L1754,2))</f>
        <v/>
      </c>
      <c r="N1754" s="39" t="str">
        <f aca="false">IF(OR(A1754="",B1754=""),"",SUMIFS(tl_Hours,tl_StaffID,I1754,tl_Date,A1754))</f>
        <v/>
      </c>
      <c r="O1754" s="40" t="str">
        <f aca="false">IF(A1754&amp;B1754&amp;D1754="","",IF(OR(A1754="",B1754="",D1754="",E1754=""),"Incomplete",IF(K1754="Unknown","Unknown code",IF(AND(K1754="Yes",C1754=""),"Billable, needs client",IF(N1754&gt;MaxDayHours,"Over "&amp;MaxDayHours&amp;" hours that day","")))))</f>
        <v/>
      </c>
    </row>
    <row r="1755" customFormat="false" ht="15" hidden="false" customHeight="false" outlineLevel="0" collapsed="false">
      <c r="A1755" s="31"/>
      <c r="B1755" s="32"/>
      <c r="C1755" s="32"/>
      <c r="D1755" s="33"/>
      <c r="E1755" s="34"/>
      <c r="F1755" s="32"/>
      <c r="G1755" s="35" t="str">
        <f aca="false">IF(A1755="","",A1755+7-WEEKDAY(A1755))</f>
        <v/>
      </c>
      <c r="H1755" s="36" t="str">
        <f aca="false">IF(A1755="","",DATE(YEAR(A1755),MONTH(A1755),1))</f>
        <v/>
      </c>
      <c r="I1755" s="37" t="str">
        <f aca="false">IF(B1755="","",IFERROR(INDEX(st_ID,MATCH(B1755,st_Name,0)),"Unknown"))</f>
        <v/>
      </c>
      <c r="J1755" s="37" t="str">
        <f aca="false">IF(C1755="","",IFERROR(INDEX(cl_Code,MATCH(C1755,cl_Name,0)),"Unknown"))</f>
        <v/>
      </c>
      <c r="K1755" s="37" t="str">
        <f aca="false">IF(D1755="","",IFERROR(INDEX(rt_Billable,MATCH(D1755,rt_Code,0)),"Unknown"))</f>
        <v/>
      </c>
      <c r="L1755" s="38" t="str">
        <f aca="false">IF(K1755&lt;&gt;"Yes","",IFERROR(INDEX(cr_Rate,MATCH(J1755&amp;"|"&amp;D1755,cr_Key,0)),INDEX(rt_Rate,MATCH(D1755,rt_Code,0))))</f>
        <v/>
      </c>
      <c r="M1755" s="25" t="str">
        <f aca="false">IF(L1755="","",ROUND(N(E1755)*L1755,2))</f>
        <v/>
      </c>
      <c r="N1755" s="39" t="str">
        <f aca="false">IF(OR(A1755="",B1755=""),"",SUMIFS(tl_Hours,tl_StaffID,I1755,tl_Date,A1755))</f>
        <v/>
      </c>
      <c r="O1755" s="40" t="str">
        <f aca="false">IF(A1755&amp;B1755&amp;D1755="","",IF(OR(A1755="",B1755="",D1755="",E1755=""),"Incomplete",IF(K1755="Unknown","Unknown code",IF(AND(K1755="Yes",C1755=""),"Billable, needs client",IF(N1755&gt;MaxDayHours,"Over "&amp;MaxDayHours&amp;" hours that day","")))))</f>
        <v/>
      </c>
    </row>
    <row r="1756" customFormat="false" ht="15" hidden="false" customHeight="false" outlineLevel="0" collapsed="false">
      <c r="A1756" s="31"/>
      <c r="B1756" s="32"/>
      <c r="C1756" s="32"/>
      <c r="D1756" s="33"/>
      <c r="E1756" s="34"/>
      <c r="F1756" s="32"/>
      <c r="G1756" s="35" t="str">
        <f aca="false">IF(A1756="","",A1756+7-WEEKDAY(A1756))</f>
        <v/>
      </c>
      <c r="H1756" s="36" t="str">
        <f aca="false">IF(A1756="","",DATE(YEAR(A1756),MONTH(A1756),1))</f>
        <v/>
      </c>
      <c r="I1756" s="37" t="str">
        <f aca="false">IF(B1756="","",IFERROR(INDEX(st_ID,MATCH(B1756,st_Name,0)),"Unknown"))</f>
        <v/>
      </c>
      <c r="J1756" s="37" t="str">
        <f aca="false">IF(C1756="","",IFERROR(INDEX(cl_Code,MATCH(C1756,cl_Name,0)),"Unknown"))</f>
        <v/>
      </c>
      <c r="K1756" s="37" t="str">
        <f aca="false">IF(D1756="","",IFERROR(INDEX(rt_Billable,MATCH(D1756,rt_Code,0)),"Unknown"))</f>
        <v/>
      </c>
      <c r="L1756" s="38" t="str">
        <f aca="false">IF(K1756&lt;&gt;"Yes","",IFERROR(INDEX(cr_Rate,MATCH(J1756&amp;"|"&amp;D1756,cr_Key,0)),INDEX(rt_Rate,MATCH(D1756,rt_Code,0))))</f>
        <v/>
      </c>
      <c r="M1756" s="25" t="str">
        <f aca="false">IF(L1756="","",ROUND(N(E1756)*L1756,2))</f>
        <v/>
      </c>
      <c r="N1756" s="39" t="str">
        <f aca="false">IF(OR(A1756="",B1756=""),"",SUMIFS(tl_Hours,tl_StaffID,I1756,tl_Date,A1756))</f>
        <v/>
      </c>
      <c r="O1756" s="40" t="str">
        <f aca="false">IF(A1756&amp;B1756&amp;D1756="","",IF(OR(A1756="",B1756="",D1756="",E1756=""),"Incomplete",IF(K1756="Unknown","Unknown code",IF(AND(K1756="Yes",C1756=""),"Billable, needs client",IF(N1756&gt;MaxDayHours,"Over "&amp;MaxDayHours&amp;" hours that day","")))))</f>
        <v/>
      </c>
    </row>
    <row r="1757" customFormat="false" ht="15" hidden="false" customHeight="false" outlineLevel="0" collapsed="false">
      <c r="A1757" s="31"/>
      <c r="B1757" s="32"/>
      <c r="C1757" s="32"/>
      <c r="D1757" s="33"/>
      <c r="E1757" s="34"/>
      <c r="F1757" s="32"/>
      <c r="G1757" s="35" t="str">
        <f aca="false">IF(A1757="","",A1757+7-WEEKDAY(A1757))</f>
        <v/>
      </c>
      <c r="H1757" s="36" t="str">
        <f aca="false">IF(A1757="","",DATE(YEAR(A1757),MONTH(A1757),1))</f>
        <v/>
      </c>
      <c r="I1757" s="37" t="str">
        <f aca="false">IF(B1757="","",IFERROR(INDEX(st_ID,MATCH(B1757,st_Name,0)),"Unknown"))</f>
        <v/>
      </c>
      <c r="J1757" s="37" t="str">
        <f aca="false">IF(C1757="","",IFERROR(INDEX(cl_Code,MATCH(C1757,cl_Name,0)),"Unknown"))</f>
        <v/>
      </c>
      <c r="K1757" s="37" t="str">
        <f aca="false">IF(D1757="","",IFERROR(INDEX(rt_Billable,MATCH(D1757,rt_Code,0)),"Unknown"))</f>
        <v/>
      </c>
      <c r="L1757" s="38" t="str">
        <f aca="false">IF(K1757&lt;&gt;"Yes","",IFERROR(INDEX(cr_Rate,MATCH(J1757&amp;"|"&amp;D1757,cr_Key,0)),INDEX(rt_Rate,MATCH(D1757,rt_Code,0))))</f>
        <v/>
      </c>
      <c r="M1757" s="25" t="str">
        <f aca="false">IF(L1757="","",ROUND(N(E1757)*L1757,2))</f>
        <v/>
      </c>
      <c r="N1757" s="39" t="str">
        <f aca="false">IF(OR(A1757="",B1757=""),"",SUMIFS(tl_Hours,tl_StaffID,I1757,tl_Date,A1757))</f>
        <v/>
      </c>
      <c r="O1757" s="40" t="str">
        <f aca="false">IF(A1757&amp;B1757&amp;D1757="","",IF(OR(A1757="",B1757="",D1757="",E1757=""),"Incomplete",IF(K1757="Unknown","Unknown code",IF(AND(K1757="Yes",C1757=""),"Billable, needs client",IF(N1757&gt;MaxDayHours,"Over "&amp;MaxDayHours&amp;" hours that day","")))))</f>
        <v/>
      </c>
    </row>
    <row r="1758" customFormat="false" ht="15" hidden="false" customHeight="false" outlineLevel="0" collapsed="false">
      <c r="A1758" s="31"/>
      <c r="B1758" s="32"/>
      <c r="C1758" s="32"/>
      <c r="D1758" s="33"/>
      <c r="E1758" s="34"/>
      <c r="F1758" s="32"/>
      <c r="G1758" s="35" t="str">
        <f aca="false">IF(A1758="","",A1758+7-WEEKDAY(A1758))</f>
        <v/>
      </c>
      <c r="H1758" s="36" t="str">
        <f aca="false">IF(A1758="","",DATE(YEAR(A1758),MONTH(A1758),1))</f>
        <v/>
      </c>
      <c r="I1758" s="37" t="str">
        <f aca="false">IF(B1758="","",IFERROR(INDEX(st_ID,MATCH(B1758,st_Name,0)),"Unknown"))</f>
        <v/>
      </c>
      <c r="J1758" s="37" t="str">
        <f aca="false">IF(C1758="","",IFERROR(INDEX(cl_Code,MATCH(C1758,cl_Name,0)),"Unknown"))</f>
        <v/>
      </c>
      <c r="K1758" s="37" t="str">
        <f aca="false">IF(D1758="","",IFERROR(INDEX(rt_Billable,MATCH(D1758,rt_Code,0)),"Unknown"))</f>
        <v/>
      </c>
      <c r="L1758" s="38" t="str">
        <f aca="false">IF(K1758&lt;&gt;"Yes","",IFERROR(INDEX(cr_Rate,MATCH(J1758&amp;"|"&amp;D1758,cr_Key,0)),INDEX(rt_Rate,MATCH(D1758,rt_Code,0))))</f>
        <v/>
      </c>
      <c r="M1758" s="25" t="str">
        <f aca="false">IF(L1758="","",ROUND(N(E1758)*L1758,2))</f>
        <v/>
      </c>
      <c r="N1758" s="39" t="str">
        <f aca="false">IF(OR(A1758="",B1758=""),"",SUMIFS(tl_Hours,tl_StaffID,I1758,tl_Date,A1758))</f>
        <v/>
      </c>
      <c r="O1758" s="40" t="str">
        <f aca="false">IF(A1758&amp;B1758&amp;D1758="","",IF(OR(A1758="",B1758="",D1758="",E1758=""),"Incomplete",IF(K1758="Unknown","Unknown code",IF(AND(K1758="Yes",C1758=""),"Billable, needs client",IF(N1758&gt;MaxDayHours,"Over "&amp;MaxDayHours&amp;" hours that day","")))))</f>
        <v/>
      </c>
    </row>
    <row r="1759" customFormat="false" ht="15" hidden="false" customHeight="false" outlineLevel="0" collapsed="false">
      <c r="A1759" s="31"/>
      <c r="B1759" s="32"/>
      <c r="C1759" s="32"/>
      <c r="D1759" s="33"/>
      <c r="E1759" s="34"/>
      <c r="F1759" s="32"/>
      <c r="G1759" s="35" t="str">
        <f aca="false">IF(A1759="","",A1759+7-WEEKDAY(A1759))</f>
        <v/>
      </c>
      <c r="H1759" s="36" t="str">
        <f aca="false">IF(A1759="","",DATE(YEAR(A1759),MONTH(A1759),1))</f>
        <v/>
      </c>
      <c r="I1759" s="37" t="str">
        <f aca="false">IF(B1759="","",IFERROR(INDEX(st_ID,MATCH(B1759,st_Name,0)),"Unknown"))</f>
        <v/>
      </c>
      <c r="J1759" s="37" t="str">
        <f aca="false">IF(C1759="","",IFERROR(INDEX(cl_Code,MATCH(C1759,cl_Name,0)),"Unknown"))</f>
        <v/>
      </c>
      <c r="K1759" s="37" t="str">
        <f aca="false">IF(D1759="","",IFERROR(INDEX(rt_Billable,MATCH(D1759,rt_Code,0)),"Unknown"))</f>
        <v/>
      </c>
      <c r="L1759" s="38" t="str">
        <f aca="false">IF(K1759&lt;&gt;"Yes","",IFERROR(INDEX(cr_Rate,MATCH(J1759&amp;"|"&amp;D1759,cr_Key,0)),INDEX(rt_Rate,MATCH(D1759,rt_Code,0))))</f>
        <v/>
      </c>
      <c r="M1759" s="25" t="str">
        <f aca="false">IF(L1759="","",ROUND(N(E1759)*L1759,2))</f>
        <v/>
      </c>
      <c r="N1759" s="39" t="str">
        <f aca="false">IF(OR(A1759="",B1759=""),"",SUMIFS(tl_Hours,tl_StaffID,I1759,tl_Date,A1759))</f>
        <v/>
      </c>
      <c r="O1759" s="40" t="str">
        <f aca="false">IF(A1759&amp;B1759&amp;D1759="","",IF(OR(A1759="",B1759="",D1759="",E1759=""),"Incomplete",IF(K1759="Unknown","Unknown code",IF(AND(K1759="Yes",C1759=""),"Billable, needs client",IF(N1759&gt;MaxDayHours,"Over "&amp;MaxDayHours&amp;" hours that day","")))))</f>
        <v/>
      </c>
    </row>
    <row r="1760" customFormat="false" ht="15" hidden="false" customHeight="false" outlineLevel="0" collapsed="false">
      <c r="A1760" s="31"/>
      <c r="B1760" s="32"/>
      <c r="C1760" s="32"/>
      <c r="D1760" s="33"/>
      <c r="E1760" s="34"/>
      <c r="F1760" s="32"/>
      <c r="G1760" s="35" t="str">
        <f aca="false">IF(A1760="","",A1760+7-WEEKDAY(A1760))</f>
        <v/>
      </c>
      <c r="H1760" s="36" t="str">
        <f aca="false">IF(A1760="","",DATE(YEAR(A1760),MONTH(A1760),1))</f>
        <v/>
      </c>
      <c r="I1760" s="37" t="str">
        <f aca="false">IF(B1760="","",IFERROR(INDEX(st_ID,MATCH(B1760,st_Name,0)),"Unknown"))</f>
        <v/>
      </c>
      <c r="J1760" s="37" t="str">
        <f aca="false">IF(C1760="","",IFERROR(INDEX(cl_Code,MATCH(C1760,cl_Name,0)),"Unknown"))</f>
        <v/>
      </c>
      <c r="K1760" s="37" t="str">
        <f aca="false">IF(D1760="","",IFERROR(INDEX(rt_Billable,MATCH(D1760,rt_Code,0)),"Unknown"))</f>
        <v/>
      </c>
      <c r="L1760" s="38" t="str">
        <f aca="false">IF(K1760&lt;&gt;"Yes","",IFERROR(INDEX(cr_Rate,MATCH(J1760&amp;"|"&amp;D1760,cr_Key,0)),INDEX(rt_Rate,MATCH(D1760,rt_Code,0))))</f>
        <v/>
      </c>
      <c r="M1760" s="25" t="str">
        <f aca="false">IF(L1760="","",ROUND(N(E1760)*L1760,2))</f>
        <v/>
      </c>
      <c r="N1760" s="39" t="str">
        <f aca="false">IF(OR(A1760="",B1760=""),"",SUMIFS(tl_Hours,tl_StaffID,I1760,tl_Date,A1760))</f>
        <v/>
      </c>
      <c r="O1760" s="40" t="str">
        <f aca="false">IF(A1760&amp;B1760&amp;D1760="","",IF(OR(A1760="",B1760="",D1760="",E1760=""),"Incomplete",IF(K1760="Unknown","Unknown code",IF(AND(K1760="Yes",C1760=""),"Billable, needs client",IF(N1760&gt;MaxDayHours,"Over "&amp;MaxDayHours&amp;" hours that day","")))))</f>
        <v/>
      </c>
    </row>
    <row r="1761" customFormat="false" ht="15" hidden="false" customHeight="false" outlineLevel="0" collapsed="false">
      <c r="A1761" s="31"/>
      <c r="B1761" s="32"/>
      <c r="C1761" s="32"/>
      <c r="D1761" s="33"/>
      <c r="E1761" s="34"/>
      <c r="F1761" s="32"/>
      <c r="G1761" s="35" t="str">
        <f aca="false">IF(A1761="","",A1761+7-WEEKDAY(A1761))</f>
        <v/>
      </c>
      <c r="H1761" s="36" t="str">
        <f aca="false">IF(A1761="","",DATE(YEAR(A1761),MONTH(A1761),1))</f>
        <v/>
      </c>
      <c r="I1761" s="37" t="str">
        <f aca="false">IF(B1761="","",IFERROR(INDEX(st_ID,MATCH(B1761,st_Name,0)),"Unknown"))</f>
        <v/>
      </c>
      <c r="J1761" s="37" t="str">
        <f aca="false">IF(C1761="","",IFERROR(INDEX(cl_Code,MATCH(C1761,cl_Name,0)),"Unknown"))</f>
        <v/>
      </c>
      <c r="K1761" s="37" t="str">
        <f aca="false">IF(D1761="","",IFERROR(INDEX(rt_Billable,MATCH(D1761,rt_Code,0)),"Unknown"))</f>
        <v/>
      </c>
      <c r="L1761" s="38" t="str">
        <f aca="false">IF(K1761&lt;&gt;"Yes","",IFERROR(INDEX(cr_Rate,MATCH(J1761&amp;"|"&amp;D1761,cr_Key,0)),INDEX(rt_Rate,MATCH(D1761,rt_Code,0))))</f>
        <v/>
      </c>
      <c r="M1761" s="25" t="str">
        <f aca="false">IF(L1761="","",ROUND(N(E1761)*L1761,2))</f>
        <v/>
      </c>
      <c r="N1761" s="39" t="str">
        <f aca="false">IF(OR(A1761="",B1761=""),"",SUMIFS(tl_Hours,tl_StaffID,I1761,tl_Date,A1761))</f>
        <v/>
      </c>
      <c r="O1761" s="40" t="str">
        <f aca="false">IF(A1761&amp;B1761&amp;D1761="","",IF(OR(A1761="",B1761="",D1761="",E1761=""),"Incomplete",IF(K1761="Unknown","Unknown code",IF(AND(K1761="Yes",C1761=""),"Billable, needs client",IF(N1761&gt;MaxDayHours,"Over "&amp;MaxDayHours&amp;" hours that day","")))))</f>
        <v/>
      </c>
    </row>
    <row r="1762" customFormat="false" ht="15" hidden="false" customHeight="false" outlineLevel="0" collapsed="false">
      <c r="A1762" s="31"/>
      <c r="B1762" s="32"/>
      <c r="C1762" s="32"/>
      <c r="D1762" s="33"/>
      <c r="E1762" s="34"/>
      <c r="F1762" s="32"/>
      <c r="G1762" s="35" t="str">
        <f aca="false">IF(A1762="","",A1762+7-WEEKDAY(A1762))</f>
        <v/>
      </c>
      <c r="H1762" s="36" t="str">
        <f aca="false">IF(A1762="","",DATE(YEAR(A1762),MONTH(A1762),1))</f>
        <v/>
      </c>
      <c r="I1762" s="37" t="str">
        <f aca="false">IF(B1762="","",IFERROR(INDEX(st_ID,MATCH(B1762,st_Name,0)),"Unknown"))</f>
        <v/>
      </c>
      <c r="J1762" s="37" t="str">
        <f aca="false">IF(C1762="","",IFERROR(INDEX(cl_Code,MATCH(C1762,cl_Name,0)),"Unknown"))</f>
        <v/>
      </c>
      <c r="K1762" s="37" t="str">
        <f aca="false">IF(D1762="","",IFERROR(INDEX(rt_Billable,MATCH(D1762,rt_Code,0)),"Unknown"))</f>
        <v/>
      </c>
      <c r="L1762" s="38" t="str">
        <f aca="false">IF(K1762&lt;&gt;"Yes","",IFERROR(INDEX(cr_Rate,MATCH(J1762&amp;"|"&amp;D1762,cr_Key,0)),INDEX(rt_Rate,MATCH(D1762,rt_Code,0))))</f>
        <v/>
      </c>
      <c r="M1762" s="25" t="str">
        <f aca="false">IF(L1762="","",ROUND(N(E1762)*L1762,2))</f>
        <v/>
      </c>
      <c r="N1762" s="39" t="str">
        <f aca="false">IF(OR(A1762="",B1762=""),"",SUMIFS(tl_Hours,tl_StaffID,I1762,tl_Date,A1762))</f>
        <v/>
      </c>
      <c r="O1762" s="40" t="str">
        <f aca="false">IF(A1762&amp;B1762&amp;D1762="","",IF(OR(A1762="",B1762="",D1762="",E1762=""),"Incomplete",IF(K1762="Unknown","Unknown code",IF(AND(K1762="Yes",C1762=""),"Billable, needs client",IF(N1762&gt;MaxDayHours,"Over "&amp;MaxDayHours&amp;" hours that day","")))))</f>
        <v/>
      </c>
    </row>
    <row r="1763" customFormat="false" ht="15" hidden="false" customHeight="false" outlineLevel="0" collapsed="false">
      <c r="A1763" s="31"/>
      <c r="B1763" s="32"/>
      <c r="C1763" s="32"/>
      <c r="D1763" s="33"/>
      <c r="E1763" s="34"/>
      <c r="F1763" s="32"/>
      <c r="G1763" s="35" t="str">
        <f aca="false">IF(A1763="","",A1763+7-WEEKDAY(A1763))</f>
        <v/>
      </c>
      <c r="H1763" s="36" t="str">
        <f aca="false">IF(A1763="","",DATE(YEAR(A1763),MONTH(A1763),1))</f>
        <v/>
      </c>
      <c r="I1763" s="37" t="str">
        <f aca="false">IF(B1763="","",IFERROR(INDEX(st_ID,MATCH(B1763,st_Name,0)),"Unknown"))</f>
        <v/>
      </c>
      <c r="J1763" s="37" t="str">
        <f aca="false">IF(C1763="","",IFERROR(INDEX(cl_Code,MATCH(C1763,cl_Name,0)),"Unknown"))</f>
        <v/>
      </c>
      <c r="K1763" s="37" t="str">
        <f aca="false">IF(D1763="","",IFERROR(INDEX(rt_Billable,MATCH(D1763,rt_Code,0)),"Unknown"))</f>
        <v/>
      </c>
      <c r="L1763" s="38" t="str">
        <f aca="false">IF(K1763&lt;&gt;"Yes","",IFERROR(INDEX(cr_Rate,MATCH(J1763&amp;"|"&amp;D1763,cr_Key,0)),INDEX(rt_Rate,MATCH(D1763,rt_Code,0))))</f>
        <v/>
      </c>
      <c r="M1763" s="25" t="str">
        <f aca="false">IF(L1763="","",ROUND(N(E1763)*L1763,2))</f>
        <v/>
      </c>
      <c r="N1763" s="39" t="str">
        <f aca="false">IF(OR(A1763="",B1763=""),"",SUMIFS(tl_Hours,tl_StaffID,I1763,tl_Date,A1763))</f>
        <v/>
      </c>
      <c r="O1763" s="40" t="str">
        <f aca="false">IF(A1763&amp;B1763&amp;D1763="","",IF(OR(A1763="",B1763="",D1763="",E1763=""),"Incomplete",IF(K1763="Unknown","Unknown code",IF(AND(K1763="Yes",C1763=""),"Billable, needs client",IF(N1763&gt;MaxDayHours,"Over "&amp;MaxDayHours&amp;" hours that day","")))))</f>
        <v/>
      </c>
    </row>
    <row r="1764" customFormat="false" ht="15" hidden="false" customHeight="false" outlineLevel="0" collapsed="false">
      <c r="A1764" s="31"/>
      <c r="B1764" s="32"/>
      <c r="C1764" s="32"/>
      <c r="D1764" s="33"/>
      <c r="E1764" s="34"/>
      <c r="F1764" s="32"/>
      <c r="G1764" s="35" t="str">
        <f aca="false">IF(A1764="","",A1764+7-WEEKDAY(A1764))</f>
        <v/>
      </c>
      <c r="H1764" s="36" t="str">
        <f aca="false">IF(A1764="","",DATE(YEAR(A1764),MONTH(A1764),1))</f>
        <v/>
      </c>
      <c r="I1764" s="37" t="str">
        <f aca="false">IF(B1764="","",IFERROR(INDEX(st_ID,MATCH(B1764,st_Name,0)),"Unknown"))</f>
        <v/>
      </c>
      <c r="J1764" s="37" t="str">
        <f aca="false">IF(C1764="","",IFERROR(INDEX(cl_Code,MATCH(C1764,cl_Name,0)),"Unknown"))</f>
        <v/>
      </c>
      <c r="K1764" s="37" t="str">
        <f aca="false">IF(D1764="","",IFERROR(INDEX(rt_Billable,MATCH(D1764,rt_Code,0)),"Unknown"))</f>
        <v/>
      </c>
      <c r="L1764" s="38" t="str">
        <f aca="false">IF(K1764&lt;&gt;"Yes","",IFERROR(INDEX(cr_Rate,MATCH(J1764&amp;"|"&amp;D1764,cr_Key,0)),INDEX(rt_Rate,MATCH(D1764,rt_Code,0))))</f>
        <v/>
      </c>
      <c r="M1764" s="25" t="str">
        <f aca="false">IF(L1764="","",ROUND(N(E1764)*L1764,2))</f>
        <v/>
      </c>
      <c r="N1764" s="39" t="str">
        <f aca="false">IF(OR(A1764="",B1764=""),"",SUMIFS(tl_Hours,tl_StaffID,I1764,tl_Date,A1764))</f>
        <v/>
      </c>
      <c r="O1764" s="40" t="str">
        <f aca="false">IF(A1764&amp;B1764&amp;D1764="","",IF(OR(A1764="",B1764="",D1764="",E1764=""),"Incomplete",IF(K1764="Unknown","Unknown code",IF(AND(K1764="Yes",C1764=""),"Billable, needs client",IF(N1764&gt;MaxDayHours,"Over "&amp;MaxDayHours&amp;" hours that day","")))))</f>
        <v/>
      </c>
    </row>
    <row r="1765" customFormat="false" ht="15" hidden="false" customHeight="false" outlineLevel="0" collapsed="false">
      <c r="A1765" s="31"/>
      <c r="B1765" s="32"/>
      <c r="C1765" s="32"/>
      <c r="D1765" s="33"/>
      <c r="E1765" s="34"/>
      <c r="F1765" s="32"/>
      <c r="G1765" s="35" t="str">
        <f aca="false">IF(A1765="","",A1765+7-WEEKDAY(A1765))</f>
        <v/>
      </c>
      <c r="H1765" s="36" t="str">
        <f aca="false">IF(A1765="","",DATE(YEAR(A1765),MONTH(A1765),1))</f>
        <v/>
      </c>
      <c r="I1765" s="37" t="str">
        <f aca="false">IF(B1765="","",IFERROR(INDEX(st_ID,MATCH(B1765,st_Name,0)),"Unknown"))</f>
        <v/>
      </c>
      <c r="J1765" s="37" t="str">
        <f aca="false">IF(C1765="","",IFERROR(INDEX(cl_Code,MATCH(C1765,cl_Name,0)),"Unknown"))</f>
        <v/>
      </c>
      <c r="K1765" s="37" t="str">
        <f aca="false">IF(D1765="","",IFERROR(INDEX(rt_Billable,MATCH(D1765,rt_Code,0)),"Unknown"))</f>
        <v/>
      </c>
      <c r="L1765" s="38" t="str">
        <f aca="false">IF(K1765&lt;&gt;"Yes","",IFERROR(INDEX(cr_Rate,MATCH(J1765&amp;"|"&amp;D1765,cr_Key,0)),INDEX(rt_Rate,MATCH(D1765,rt_Code,0))))</f>
        <v/>
      </c>
      <c r="M1765" s="25" t="str">
        <f aca="false">IF(L1765="","",ROUND(N(E1765)*L1765,2))</f>
        <v/>
      </c>
      <c r="N1765" s="39" t="str">
        <f aca="false">IF(OR(A1765="",B1765=""),"",SUMIFS(tl_Hours,tl_StaffID,I1765,tl_Date,A1765))</f>
        <v/>
      </c>
      <c r="O1765" s="40" t="str">
        <f aca="false">IF(A1765&amp;B1765&amp;D1765="","",IF(OR(A1765="",B1765="",D1765="",E1765=""),"Incomplete",IF(K1765="Unknown","Unknown code",IF(AND(K1765="Yes",C1765=""),"Billable, needs client",IF(N1765&gt;MaxDayHours,"Over "&amp;MaxDayHours&amp;" hours that day","")))))</f>
        <v/>
      </c>
    </row>
    <row r="1766" customFormat="false" ht="15" hidden="false" customHeight="false" outlineLevel="0" collapsed="false">
      <c r="A1766" s="31"/>
      <c r="B1766" s="32"/>
      <c r="C1766" s="32"/>
      <c r="D1766" s="33"/>
      <c r="E1766" s="34"/>
      <c r="F1766" s="32"/>
      <c r="G1766" s="35" t="str">
        <f aca="false">IF(A1766="","",A1766+7-WEEKDAY(A1766))</f>
        <v/>
      </c>
      <c r="H1766" s="36" t="str">
        <f aca="false">IF(A1766="","",DATE(YEAR(A1766),MONTH(A1766),1))</f>
        <v/>
      </c>
      <c r="I1766" s="37" t="str">
        <f aca="false">IF(B1766="","",IFERROR(INDEX(st_ID,MATCH(B1766,st_Name,0)),"Unknown"))</f>
        <v/>
      </c>
      <c r="J1766" s="37" t="str">
        <f aca="false">IF(C1766="","",IFERROR(INDEX(cl_Code,MATCH(C1766,cl_Name,0)),"Unknown"))</f>
        <v/>
      </c>
      <c r="K1766" s="37" t="str">
        <f aca="false">IF(D1766="","",IFERROR(INDEX(rt_Billable,MATCH(D1766,rt_Code,0)),"Unknown"))</f>
        <v/>
      </c>
      <c r="L1766" s="38" t="str">
        <f aca="false">IF(K1766&lt;&gt;"Yes","",IFERROR(INDEX(cr_Rate,MATCH(J1766&amp;"|"&amp;D1766,cr_Key,0)),INDEX(rt_Rate,MATCH(D1766,rt_Code,0))))</f>
        <v/>
      </c>
      <c r="M1766" s="25" t="str">
        <f aca="false">IF(L1766="","",ROUND(N(E1766)*L1766,2))</f>
        <v/>
      </c>
      <c r="N1766" s="39" t="str">
        <f aca="false">IF(OR(A1766="",B1766=""),"",SUMIFS(tl_Hours,tl_StaffID,I1766,tl_Date,A1766))</f>
        <v/>
      </c>
      <c r="O1766" s="40" t="str">
        <f aca="false">IF(A1766&amp;B1766&amp;D1766="","",IF(OR(A1766="",B1766="",D1766="",E1766=""),"Incomplete",IF(K1766="Unknown","Unknown code",IF(AND(K1766="Yes",C1766=""),"Billable, needs client",IF(N1766&gt;MaxDayHours,"Over "&amp;MaxDayHours&amp;" hours that day","")))))</f>
        <v/>
      </c>
    </row>
    <row r="1767" customFormat="false" ht="15" hidden="false" customHeight="false" outlineLevel="0" collapsed="false">
      <c r="A1767" s="31"/>
      <c r="B1767" s="32"/>
      <c r="C1767" s="32"/>
      <c r="D1767" s="33"/>
      <c r="E1767" s="34"/>
      <c r="F1767" s="32"/>
      <c r="G1767" s="35" t="str">
        <f aca="false">IF(A1767="","",A1767+7-WEEKDAY(A1767))</f>
        <v/>
      </c>
      <c r="H1767" s="36" t="str">
        <f aca="false">IF(A1767="","",DATE(YEAR(A1767),MONTH(A1767),1))</f>
        <v/>
      </c>
      <c r="I1767" s="37" t="str">
        <f aca="false">IF(B1767="","",IFERROR(INDEX(st_ID,MATCH(B1767,st_Name,0)),"Unknown"))</f>
        <v/>
      </c>
      <c r="J1767" s="37" t="str">
        <f aca="false">IF(C1767="","",IFERROR(INDEX(cl_Code,MATCH(C1767,cl_Name,0)),"Unknown"))</f>
        <v/>
      </c>
      <c r="K1767" s="37" t="str">
        <f aca="false">IF(D1767="","",IFERROR(INDEX(rt_Billable,MATCH(D1767,rt_Code,0)),"Unknown"))</f>
        <v/>
      </c>
      <c r="L1767" s="38" t="str">
        <f aca="false">IF(K1767&lt;&gt;"Yes","",IFERROR(INDEX(cr_Rate,MATCH(J1767&amp;"|"&amp;D1767,cr_Key,0)),INDEX(rt_Rate,MATCH(D1767,rt_Code,0))))</f>
        <v/>
      </c>
      <c r="M1767" s="25" t="str">
        <f aca="false">IF(L1767="","",ROUND(N(E1767)*L1767,2))</f>
        <v/>
      </c>
      <c r="N1767" s="39" t="str">
        <f aca="false">IF(OR(A1767="",B1767=""),"",SUMIFS(tl_Hours,tl_StaffID,I1767,tl_Date,A1767))</f>
        <v/>
      </c>
      <c r="O1767" s="40" t="str">
        <f aca="false">IF(A1767&amp;B1767&amp;D1767="","",IF(OR(A1767="",B1767="",D1767="",E1767=""),"Incomplete",IF(K1767="Unknown","Unknown code",IF(AND(K1767="Yes",C1767=""),"Billable, needs client",IF(N1767&gt;MaxDayHours,"Over "&amp;MaxDayHours&amp;" hours that day","")))))</f>
        <v/>
      </c>
    </row>
    <row r="1768" customFormat="false" ht="15" hidden="false" customHeight="false" outlineLevel="0" collapsed="false">
      <c r="A1768" s="31"/>
      <c r="B1768" s="32"/>
      <c r="C1768" s="32"/>
      <c r="D1768" s="33"/>
      <c r="E1768" s="34"/>
      <c r="F1768" s="32"/>
      <c r="G1768" s="35" t="str">
        <f aca="false">IF(A1768="","",A1768+7-WEEKDAY(A1768))</f>
        <v/>
      </c>
      <c r="H1768" s="36" t="str">
        <f aca="false">IF(A1768="","",DATE(YEAR(A1768),MONTH(A1768),1))</f>
        <v/>
      </c>
      <c r="I1768" s="37" t="str">
        <f aca="false">IF(B1768="","",IFERROR(INDEX(st_ID,MATCH(B1768,st_Name,0)),"Unknown"))</f>
        <v/>
      </c>
      <c r="J1768" s="37" t="str">
        <f aca="false">IF(C1768="","",IFERROR(INDEX(cl_Code,MATCH(C1768,cl_Name,0)),"Unknown"))</f>
        <v/>
      </c>
      <c r="K1768" s="37" t="str">
        <f aca="false">IF(D1768="","",IFERROR(INDEX(rt_Billable,MATCH(D1768,rt_Code,0)),"Unknown"))</f>
        <v/>
      </c>
      <c r="L1768" s="38" t="str">
        <f aca="false">IF(K1768&lt;&gt;"Yes","",IFERROR(INDEX(cr_Rate,MATCH(J1768&amp;"|"&amp;D1768,cr_Key,0)),INDEX(rt_Rate,MATCH(D1768,rt_Code,0))))</f>
        <v/>
      </c>
      <c r="M1768" s="25" t="str">
        <f aca="false">IF(L1768="","",ROUND(N(E1768)*L1768,2))</f>
        <v/>
      </c>
      <c r="N1768" s="39" t="str">
        <f aca="false">IF(OR(A1768="",B1768=""),"",SUMIFS(tl_Hours,tl_StaffID,I1768,tl_Date,A1768))</f>
        <v/>
      </c>
      <c r="O1768" s="40" t="str">
        <f aca="false">IF(A1768&amp;B1768&amp;D1768="","",IF(OR(A1768="",B1768="",D1768="",E1768=""),"Incomplete",IF(K1768="Unknown","Unknown code",IF(AND(K1768="Yes",C1768=""),"Billable, needs client",IF(N1768&gt;MaxDayHours,"Over "&amp;MaxDayHours&amp;" hours that day","")))))</f>
        <v/>
      </c>
    </row>
    <row r="1769" customFormat="false" ht="15" hidden="false" customHeight="false" outlineLevel="0" collapsed="false">
      <c r="A1769" s="31"/>
      <c r="B1769" s="32"/>
      <c r="C1769" s="32"/>
      <c r="D1769" s="33"/>
      <c r="E1769" s="34"/>
      <c r="F1769" s="32"/>
      <c r="G1769" s="35" t="str">
        <f aca="false">IF(A1769="","",A1769+7-WEEKDAY(A1769))</f>
        <v/>
      </c>
      <c r="H1769" s="36" t="str">
        <f aca="false">IF(A1769="","",DATE(YEAR(A1769),MONTH(A1769),1))</f>
        <v/>
      </c>
      <c r="I1769" s="37" t="str">
        <f aca="false">IF(B1769="","",IFERROR(INDEX(st_ID,MATCH(B1769,st_Name,0)),"Unknown"))</f>
        <v/>
      </c>
      <c r="J1769" s="37" t="str">
        <f aca="false">IF(C1769="","",IFERROR(INDEX(cl_Code,MATCH(C1769,cl_Name,0)),"Unknown"))</f>
        <v/>
      </c>
      <c r="K1769" s="37" t="str">
        <f aca="false">IF(D1769="","",IFERROR(INDEX(rt_Billable,MATCH(D1769,rt_Code,0)),"Unknown"))</f>
        <v/>
      </c>
      <c r="L1769" s="38" t="str">
        <f aca="false">IF(K1769&lt;&gt;"Yes","",IFERROR(INDEX(cr_Rate,MATCH(J1769&amp;"|"&amp;D1769,cr_Key,0)),INDEX(rt_Rate,MATCH(D1769,rt_Code,0))))</f>
        <v/>
      </c>
      <c r="M1769" s="25" t="str">
        <f aca="false">IF(L1769="","",ROUND(N(E1769)*L1769,2))</f>
        <v/>
      </c>
      <c r="N1769" s="39" t="str">
        <f aca="false">IF(OR(A1769="",B1769=""),"",SUMIFS(tl_Hours,tl_StaffID,I1769,tl_Date,A1769))</f>
        <v/>
      </c>
      <c r="O1769" s="40" t="str">
        <f aca="false">IF(A1769&amp;B1769&amp;D1769="","",IF(OR(A1769="",B1769="",D1769="",E1769=""),"Incomplete",IF(K1769="Unknown","Unknown code",IF(AND(K1769="Yes",C1769=""),"Billable, needs client",IF(N1769&gt;MaxDayHours,"Over "&amp;MaxDayHours&amp;" hours that day","")))))</f>
        <v/>
      </c>
    </row>
    <row r="1770" customFormat="false" ht="15" hidden="false" customHeight="false" outlineLevel="0" collapsed="false">
      <c r="A1770" s="31"/>
      <c r="B1770" s="32"/>
      <c r="C1770" s="32"/>
      <c r="D1770" s="33"/>
      <c r="E1770" s="34"/>
      <c r="F1770" s="32"/>
      <c r="G1770" s="35" t="str">
        <f aca="false">IF(A1770="","",A1770+7-WEEKDAY(A1770))</f>
        <v/>
      </c>
      <c r="H1770" s="36" t="str">
        <f aca="false">IF(A1770="","",DATE(YEAR(A1770),MONTH(A1770),1))</f>
        <v/>
      </c>
      <c r="I1770" s="37" t="str">
        <f aca="false">IF(B1770="","",IFERROR(INDEX(st_ID,MATCH(B1770,st_Name,0)),"Unknown"))</f>
        <v/>
      </c>
      <c r="J1770" s="37" t="str">
        <f aca="false">IF(C1770="","",IFERROR(INDEX(cl_Code,MATCH(C1770,cl_Name,0)),"Unknown"))</f>
        <v/>
      </c>
      <c r="K1770" s="37" t="str">
        <f aca="false">IF(D1770="","",IFERROR(INDEX(rt_Billable,MATCH(D1770,rt_Code,0)),"Unknown"))</f>
        <v/>
      </c>
      <c r="L1770" s="38" t="str">
        <f aca="false">IF(K1770&lt;&gt;"Yes","",IFERROR(INDEX(cr_Rate,MATCH(J1770&amp;"|"&amp;D1770,cr_Key,0)),INDEX(rt_Rate,MATCH(D1770,rt_Code,0))))</f>
        <v/>
      </c>
      <c r="M1770" s="25" t="str">
        <f aca="false">IF(L1770="","",ROUND(N(E1770)*L1770,2))</f>
        <v/>
      </c>
      <c r="N1770" s="39" t="str">
        <f aca="false">IF(OR(A1770="",B1770=""),"",SUMIFS(tl_Hours,tl_StaffID,I1770,tl_Date,A1770))</f>
        <v/>
      </c>
      <c r="O1770" s="40" t="str">
        <f aca="false">IF(A1770&amp;B1770&amp;D1770="","",IF(OR(A1770="",B1770="",D1770="",E1770=""),"Incomplete",IF(K1770="Unknown","Unknown code",IF(AND(K1770="Yes",C1770=""),"Billable, needs client",IF(N1770&gt;MaxDayHours,"Over "&amp;MaxDayHours&amp;" hours that day","")))))</f>
        <v/>
      </c>
    </row>
    <row r="1771" customFormat="false" ht="15" hidden="false" customHeight="false" outlineLevel="0" collapsed="false">
      <c r="A1771" s="31"/>
      <c r="B1771" s="32"/>
      <c r="C1771" s="32"/>
      <c r="D1771" s="33"/>
      <c r="E1771" s="34"/>
      <c r="F1771" s="32"/>
      <c r="G1771" s="35" t="str">
        <f aca="false">IF(A1771="","",A1771+7-WEEKDAY(A1771))</f>
        <v/>
      </c>
      <c r="H1771" s="36" t="str">
        <f aca="false">IF(A1771="","",DATE(YEAR(A1771),MONTH(A1771),1))</f>
        <v/>
      </c>
      <c r="I1771" s="37" t="str">
        <f aca="false">IF(B1771="","",IFERROR(INDEX(st_ID,MATCH(B1771,st_Name,0)),"Unknown"))</f>
        <v/>
      </c>
      <c r="J1771" s="37" t="str">
        <f aca="false">IF(C1771="","",IFERROR(INDEX(cl_Code,MATCH(C1771,cl_Name,0)),"Unknown"))</f>
        <v/>
      </c>
      <c r="K1771" s="37" t="str">
        <f aca="false">IF(D1771="","",IFERROR(INDEX(rt_Billable,MATCH(D1771,rt_Code,0)),"Unknown"))</f>
        <v/>
      </c>
      <c r="L1771" s="38" t="str">
        <f aca="false">IF(K1771&lt;&gt;"Yes","",IFERROR(INDEX(cr_Rate,MATCH(J1771&amp;"|"&amp;D1771,cr_Key,0)),INDEX(rt_Rate,MATCH(D1771,rt_Code,0))))</f>
        <v/>
      </c>
      <c r="M1771" s="25" t="str">
        <f aca="false">IF(L1771="","",ROUND(N(E1771)*L1771,2))</f>
        <v/>
      </c>
      <c r="N1771" s="39" t="str">
        <f aca="false">IF(OR(A1771="",B1771=""),"",SUMIFS(tl_Hours,tl_StaffID,I1771,tl_Date,A1771))</f>
        <v/>
      </c>
      <c r="O1771" s="40" t="str">
        <f aca="false">IF(A1771&amp;B1771&amp;D1771="","",IF(OR(A1771="",B1771="",D1771="",E1771=""),"Incomplete",IF(K1771="Unknown","Unknown code",IF(AND(K1771="Yes",C1771=""),"Billable, needs client",IF(N1771&gt;MaxDayHours,"Over "&amp;MaxDayHours&amp;" hours that day","")))))</f>
        <v/>
      </c>
    </row>
    <row r="1772" customFormat="false" ht="15" hidden="false" customHeight="false" outlineLevel="0" collapsed="false">
      <c r="A1772" s="31"/>
      <c r="B1772" s="32"/>
      <c r="C1772" s="32"/>
      <c r="D1772" s="33"/>
      <c r="E1772" s="34"/>
      <c r="F1772" s="32"/>
      <c r="G1772" s="35" t="str">
        <f aca="false">IF(A1772="","",A1772+7-WEEKDAY(A1772))</f>
        <v/>
      </c>
      <c r="H1772" s="36" t="str">
        <f aca="false">IF(A1772="","",DATE(YEAR(A1772),MONTH(A1772),1))</f>
        <v/>
      </c>
      <c r="I1772" s="37" t="str">
        <f aca="false">IF(B1772="","",IFERROR(INDEX(st_ID,MATCH(B1772,st_Name,0)),"Unknown"))</f>
        <v/>
      </c>
      <c r="J1772" s="37" t="str">
        <f aca="false">IF(C1772="","",IFERROR(INDEX(cl_Code,MATCH(C1772,cl_Name,0)),"Unknown"))</f>
        <v/>
      </c>
      <c r="K1772" s="37" t="str">
        <f aca="false">IF(D1772="","",IFERROR(INDEX(rt_Billable,MATCH(D1772,rt_Code,0)),"Unknown"))</f>
        <v/>
      </c>
      <c r="L1772" s="38" t="str">
        <f aca="false">IF(K1772&lt;&gt;"Yes","",IFERROR(INDEX(cr_Rate,MATCH(J1772&amp;"|"&amp;D1772,cr_Key,0)),INDEX(rt_Rate,MATCH(D1772,rt_Code,0))))</f>
        <v/>
      </c>
      <c r="M1772" s="25" t="str">
        <f aca="false">IF(L1772="","",ROUND(N(E1772)*L1772,2))</f>
        <v/>
      </c>
      <c r="N1772" s="39" t="str">
        <f aca="false">IF(OR(A1772="",B1772=""),"",SUMIFS(tl_Hours,tl_StaffID,I1772,tl_Date,A1772))</f>
        <v/>
      </c>
      <c r="O1772" s="40" t="str">
        <f aca="false">IF(A1772&amp;B1772&amp;D1772="","",IF(OR(A1772="",B1772="",D1772="",E1772=""),"Incomplete",IF(K1772="Unknown","Unknown code",IF(AND(K1772="Yes",C1772=""),"Billable, needs client",IF(N1772&gt;MaxDayHours,"Over "&amp;MaxDayHours&amp;" hours that day","")))))</f>
        <v/>
      </c>
    </row>
    <row r="1773" customFormat="false" ht="15" hidden="false" customHeight="false" outlineLevel="0" collapsed="false">
      <c r="A1773" s="31"/>
      <c r="B1773" s="32"/>
      <c r="C1773" s="32"/>
      <c r="D1773" s="33"/>
      <c r="E1773" s="34"/>
      <c r="F1773" s="32"/>
      <c r="G1773" s="35" t="str">
        <f aca="false">IF(A1773="","",A1773+7-WEEKDAY(A1773))</f>
        <v/>
      </c>
      <c r="H1773" s="36" t="str">
        <f aca="false">IF(A1773="","",DATE(YEAR(A1773),MONTH(A1773),1))</f>
        <v/>
      </c>
      <c r="I1773" s="37" t="str">
        <f aca="false">IF(B1773="","",IFERROR(INDEX(st_ID,MATCH(B1773,st_Name,0)),"Unknown"))</f>
        <v/>
      </c>
      <c r="J1773" s="37" t="str">
        <f aca="false">IF(C1773="","",IFERROR(INDEX(cl_Code,MATCH(C1773,cl_Name,0)),"Unknown"))</f>
        <v/>
      </c>
      <c r="K1773" s="37" t="str">
        <f aca="false">IF(D1773="","",IFERROR(INDEX(rt_Billable,MATCH(D1773,rt_Code,0)),"Unknown"))</f>
        <v/>
      </c>
      <c r="L1773" s="38" t="str">
        <f aca="false">IF(K1773&lt;&gt;"Yes","",IFERROR(INDEX(cr_Rate,MATCH(J1773&amp;"|"&amp;D1773,cr_Key,0)),INDEX(rt_Rate,MATCH(D1773,rt_Code,0))))</f>
        <v/>
      </c>
      <c r="M1773" s="25" t="str">
        <f aca="false">IF(L1773="","",ROUND(N(E1773)*L1773,2))</f>
        <v/>
      </c>
      <c r="N1773" s="39" t="str">
        <f aca="false">IF(OR(A1773="",B1773=""),"",SUMIFS(tl_Hours,tl_StaffID,I1773,tl_Date,A1773))</f>
        <v/>
      </c>
      <c r="O1773" s="40" t="str">
        <f aca="false">IF(A1773&amp;B1773&amp;D1773="","",IF(OR(A1773="",B1773="",D1773="",E1773=""),"Incomplete",IF(K1773="Unknown","Unknown code",IF(AND(K1773="Yes",C1773=""),"Billable, needs client",IF(N1773&gt;MaxDayHours,"Over "&amp;MaxDayHours&amp;" hours that day","")))))</f>
        <v/>
      </c>
    </row>
    <row r="1774" customFormat="false" ht="15" hidden="false" customHeight="false" outlineLevel="0" collapsed="false">
      <c r="A1774" s="31"/>
      <c r="B1774" s="32"/>
      <c r="C1774" s="32"/>
      <c r="D1774" s="33"/>
      <c r="E1774" s="34"/>
      <c r="F1774" s="32"/>
      <c r="G1774" s="35" t="str">
        <f aca="false">IF(A1774="","",A1774+7-WEEKDAY(A1774))</f>
        <v/>
      </c>
      <c r="H1774" s="36" t="str">
        <f aca="false">IF(A1774="","",DATE(YEAR(A1774),MONTH(A1774),1))</f>
        <v/>
      </c>
      <c r="I1774" s="37" t="str">
        <f aca="false">IF(B1774="","",IFERROR(INDEX(st_ID,MATCH(B1774,st_Name,0)),"Unknown"))</f>
        <v/>
      </c>
      <c r="J1774" s="37" t="str">
        <f aca="false">IF(C1774="","",IFERROR(INDEX(cl_Code,MATCH(C1774,cl_Name,0)),"Unknown"))</f>
        <v/>
      </c>
      <c r="K1774" s="37" t="str">
        <f aca="false">IF(D1774="","",IFERROR(INDEX(rt_Billable,MATCH(D1774,rt_Code,0)),"Unknown"))</f>
        <v/>
      </c>
      <c r="L1774" s="38" t="str">
        <f aca="false">IF(K1774&lt;&gt;"Yes","",IFERROR(INDEX(cr_Rate,MATCH(J1774&amp;"|"&amp;D1774,cr_Key,0)),INDEX(rt_Rate,MATCH(D1774,rt_Code,0))))</f>
        <v/>
      </c>
      <c r="M1774" s="25" t="str">
        <f aca="false">IF(L1774="","",ROUND(N(E1774)*L1774,2))</f>
        <v/>
      </c>
      <c r="N1774" s="39" t="str">
        <f aca="false">IF(OR(A1774="",B1774=""),"",SUMIFS(tl_Hours,tl_StaffID,I1774,tl_Date,A1774))</f>
        <v/>
      </c>
      <c r="O1774" s="40" t="str">
        <f aca="false">IF(A1774&amp;B1774&amp;D1774="","",IF(OR(A1774="",B1774="",D1774="",E1774=""),"Incomplete",IF(K1774="Unknown","Unknown code",IF(AND(K1774="Yes",C1774=""),"Billable, needs client",IF(N1774&gt;MaxDayHours,"Over "&amp;MaxDayHours&amp;" hours that day","")))))</f>
        <v/>
      </c>
    </row>
    <row r="1775" customFormat="false" ht="15" hidden="false" customHeight="false" outlineLevel="0" collapsed="false">
      <c r="A1775" s="31"/>
      <c r="B1775" s="32"/>
      <c r="C1775" s="32"/>
      <c r="D1775" s="33"/>
      <c r="E1775" s="34"/>
      <c r="F1775" s="32"/>
      <c r="G1775" s="35" t="str">
        <f aca="false">IF(A1775="","",A1775+7-WEEKDAY(A1775))</f>
        <v/>
      </c>
      <c r="H1775" s="36" t="str">
        <f aca="false">IF(A1775="","",DATE(YEAR(A1775),MONTH(A1775),1))</f>
        <v/>
      </c>
      <c r="I1775" s="37" t="str">
        <f aca="false">IF(B1775="","",IFERROR(INDEX(st_ID,MATCH(B1775,st_Name,0)),"Unknown"))</f>
        <v/>
      </c>
      <c r="J1775" s="37" t="str">
        <f aca="false">IF(C1775="","",IFERROR(INDEX(cl_Code,MATCH(C1775,cl_Name,0)),"Unknown"))</f>
        <v/>
      </c>
      <c r="K1775" s="37" t="str">
        <f aca="false">IF(D1775="","",IFERROR(INDEX(rt_Billable,MATCH(D1775,rt_Code,0)),"Unknown"))</f>
        <v/>
      </c>
      <c r="L1775" s="38" t="str">
        <f aca="false">IF(K1775&lt;&gt;"Yes","",IFERROR(INDEX(cr_Rate,MATCH(J1775&amp;"|"&amp;D1775,cr_Key,0)),INDEX(rt_Rate,MATCH(D1775,rt_Code,0))))</f>
        <v/>
      </c>
      <c r="M1775" s="25" t="str">
        <f aca="false">IF(L1775="","",ROUND(N(E1775)*L1775,2))</f>
        <v/>
      </c>
      <c r="N1775" s="39" t="str">
        <f aca="false">IF(OR(A1775="",B1775=""),"",SUMIFS(tl_Hours,tl_StaffID,I1775,tl_Date,A1775))</f>
        <v/>
      </c>
      <c r="O1775" s="40" t="str">
        <f aca="false">IF(A1775&amp;B1775&amp;D1775="","",IF(OR(A1775="",B1775="",D1775="",E1775=""),"Incomplete",IF(K1775="Unknown","Unknown code",IF(AND(K1775="Yes",C1775=""),"Billable, needs client",IF(N1775&gt;MaxDayHours,"Over "&amp;MaxDayHours&amp;" hours that day","")))))</f>
        <v/>
      </c>
    </row>
    <row r="1776" customFormat="false" ht="15" hidden="false" customHeight="false" outlineLevel="0" collapsed="false">
      <c r="A1776" s="31"/>
      <c r="B1776" s="32"/>
      <c r="C1776" s="32"/>
      <c r="D1776" s="33"/>
      <c r="E1776" s="34"/>
      <c r="F1776" s="32"/>
      <c r="G1776" s="35" t="str">
        <f aca="false">IF(A1776="","",A1776+7-WEEKDAY(A1776))</f>
        <v/>
      </c>
      <c r="H1776" s="36" t="str">
        <f aca="false">IF(A1776="","",DATE(YEAR(A1776),MONTH(A1776),1))</f>
        <v/>
      </c>
      <c r="I1776" s="37" t="str">
        <f aca="false">IF(B1776="","",IFERROR(INDEX(st_ID,MATCH(B1776,st_Name,0)),"Unknown"))</f>
        <v/>
      </c>
      <c r="J1776" s="37" t="str">
        <f aca="false">IF(C1776="","",IFERROR(INDEX(cl_Code,MATCH(C1776,cl_Name,0)),"Unknown"))</f>
        <v/>
      </c>
      <c r="K1776" s="37" t="str">
        <f aca="false">IF(D1776="","",IFERROR(INDEX(rt_Billable,MATCH(D1776,rt_Code,0)),"Unknown"))</f>
        <v/>
      </c>
      <c r="L1776" s="38" t="str">
        <f aca="false">IF(K1776&lt;&gt;"Yes","",IFERROR(INDEX(cr_Rate,MATCH(J1776&amp;"|"&amp;D1776,cr_Key,0)),INDEX(rt_Rate,MATCH(D1776,rt_Code,0))))</f>
        <v/>
      </c>
      <c r="M1776" s="25" t="str">
        <f aca="false">IF(L1776="","",ROUND(N(E1776)*L1776,2))</f>
        <v/>
      </c>
      <c r="N1776" s="39" t="str">
        <f aca="false">IF(OR(A1776="",B1776=""),"",SUMIFS(tl_Hours,tl_StaffID,I1776,tl_Date,A1776))</f>
        <v/>
      </c>
      <c r="O1776" s="40" t="str">
        <f aca="false">IF(A1776&amp;B1776&amp;D1776="","",IF(OR(A1776="",B1776="",D1776="",E1776=""),"Incomplete",IF(K1776="Unknown","Unknown code",IF(AND(K1776="Yes",C1776=""),"Billable, needs client",IF(N1776&gt;MaxDayHours,"Over "&amp;MaxDayHours&amp;" hours that day","")))))</f>
        <v/>
      </c>
    </row>
    <row r="1777" customFormat="false" ht="15" hidden="false" customHeight="false" outlineLevel="0" collapsed="false">
      <c r="A1777" s="31"/>
      <c r="B1777" s="32"/>
      <c r="C1777" s="32"/>
      <c r="D1777" s="33"/>
      <c r="E1777" s="34"/>
      <c r="F1777" s="32"/>
      <c r="G1777" s="35" t="str">
        <f aca="false">IF(A1777="","",A1777+7-WEEKDAY(A1777))</f>
        <v/>
      </c>
      <c r="H1777" s="36" t="str">
        <f aca="false">IF(A1777="","",DATE(YEAR(A1777),MONTH(A1777),1))</f>
        <v/>
      </c>
      <c r="I1777" s="37" t="str">
        <f aca="false">IF(B1777="","",IFERROR(INDEX(st_ID,MATCH(B1777,st_Name,0)),"Unknown"))</f>
        <v/>
      </c>
      <c r="J1777" s="37" t="str">
        <f aca="false">IF(C1777="","",IFERROR(INDEX(cl_Code,MATCH(C1777,cl_Name,0)),"Unknown"))</f>
        <v/>
      </c>
      <c r="K1777" s="37" t="str">
        <f aca="false">IF(D1777="","",IFERROR(INDEX(rt_Billable,MATCH(D1777,rt_Code,0)),"Unknown"))</f>
        <v/>
      </c>
      <c r="L1777" s="38" t="str">
        <f aca="false">IF(K1777&lt;&gt;"Yes","",IFERROR(INDEX(cr_Rate,MATCH(J1777&amp;"|"&amp;D1777,cr_Key,0)),INDEX(rt_Rate,MATCH(D1777,rt_Code,0))))</f>
        <v/>
      </c>
      <c r="M1777" s="25" t="str">
        <f aca="false">IF(L1777="","",ROUND(N(E1777)*L1777,2))</f>
        <v/>
      </c>
      <c r="N1777" s="39" t="str">
        <f aca="false">IF(OR(A1777="",B1777=""),"",SUMIFS(tl_Hours,tl_StaffID,I1777,tl_Date,A1777))</f>
        <v/>
      </c>
      <c r="O1777" s="40" t="str">
        <f aca="false">IF(A1777&amp;B1777&amp;D1777="","",IF(OR(A1777="",B1777="",D1777="",E1777=""),"Incomplete",IF(K1777="Unknown","Unknown code",IF(AND(K1777="Yes",C1777=""),"Billable, needs client",IF(N1777&gt;MaxDayHours,"Over "&amp;MaxDayHours&amp;" hours that day","")))))</f>
        <v/>
      </c>
    </row>
    <row r="1778" customFormat="false" ht="15" hidden="false" customHeight="false" outlineLevel="0" collapsed="false">
      <c r="A1778" s="31"/>
      <c r="B1778" s="32"/>
      <c r="C1778" s="32"/>
      <c r="D1778" s="33"/>
      <c r="E1778" s="34"/>
      <c r="F1778" s="32"/>
      <c r="G1778" s="35" t="str">
        <f aca="false">IF(A1778="","",A1778+7-WEEKDAY(A1778))</f>
        <v/>
      </c>
      <c r="H1778" s="36" t="str">
        <f aca="false">IF(A1778="","",DATE(YEAR(A1778),MONTH(A1778),1))</f>
        <v/>
      </c>
      <c r="I1778" s="37" t="str">
        <f aca="false">IF(B1778="","",IFERROR(INDEX(st_ID,MATCH(B1778,st_Name,0)),"Unknown"))</f>
        <v/>
      </c>
      <c r="J1778" s="37" t="str">
        <f aca="false">IF(C1778="","",IFERROR(INDEX(cl_Code,MATCH(C1778,cl_Name,0)),"Unknown"))</f>
        <v/>
      </c>
      <c r="K1778" s="37" t="str">
        <f aca="false">IF(D1778="","",IFERROR(INDEX(rt_Billable,MATCH(D1778,rt_Code,0)),"Unknown"))</f>
        <v/>
      </c>
      <c r="L1778" s="38" t="str">
        <f aca="false">IF(K1778&lt;&gt;"Yes","",IFERROR(INDEX(cr_Rate,MATCH(J1778&amp;"|"&amp;D1778,cr_Key,0)),INDEX(rt_Rate,MATCH(D1778,rt_Code,0))))</f>
        <v/>
      </c>
      <c r="M1778" s="25" t="str">
        <f aca="false">IF(L1778="","",ROUND(N(E1778)*L1778,2))</f>
        <v/>
      </c>
      <c r="N1778" s="39" t="str">
        <f aca="false">IF(OR(A1778="",B1778=""),"",SUMIFS(tl_Hours,tl_StaffID,I1778,tl_Date,A1778))</f>
        <v/>
      </c>
      <c r="O1778" s="40" t="str">
        <f aca="false">IF(A1778&amp;B1778&amp;D1778="","",IF(OR(A1778="",B1778="",D1778="",E1778=""),"Incomplete",IF(K1778="Unknown","Unknown code",IF(AND(K1778="Yes",C1778=""),"Billable, needs client",IF(N1778&gt;MaxDayHours,"Over "&amp;MaxDayHours&amp;" hours that day","")))))</f>
        <v/>
      </c>
    </row>
    <row r="1779" customFormat="false" ht="15" hidden="false" customHeight="false" outlineLevel="0" collapsed="false">
      <c r="A1779" s="31"/>
      <c r="B1779" s="32"/>
      <c r="C1779" s="32"/>
      <c r="D1779" s="33"/>
      <c r="E1779" s="34"/>
      <c r="F1779" s="32"/>
      <c r="G1779" s="35" t="str">
        <f aca="false">IF(A1779="","",A1779+7-WEEKDAY(A1779))</f>
        <v/>
      </c>
      <c r="H1779" s="36" t="str">
        <f aca="false">IF(A1779="","",DATE(YEAR(A1779),MONTH(A1779),1))</f>
        <v/>
      </c>
      <c r="I1779" s="37" t="str">
        <f aca="false">IF(B1779="","",IFERROR(INDEX(st_ID,MATCH(B1779,st_Name,0)),"Unknown"))</f>
        <v/>
      </c>
      <c r="J1779" s="37" t="str">
        <f aca="false">IF(C1779="","",IFERROR(INDEX(cl_Code,MATCH(C1779,cl_Name,0)),"Unknown"))</f>
        <v/>
      </c>
      <c r="K1779" s="37" t="str">
        <f aca="false">IF(D1779="","",IFERROR(INDEX(rt_Billable,MATCH(D1779,rt_Code,0)),"Unknown"))</f>
        <v/>
      </c>
      <c r="L1779" s="38" t="str">
        <f aca="false">IF(K1779&lt;&gt;"Yes","",IFERROR(INDEX(cr_Rate,MATCH(J1779&amp;"|"&amp;D1779,cr_Key,0)),INDEX(rt_Rate,MATCH(D1779,rt_Code,0))))</f>
        <v/>
      </c>
      <c r="M1779" s="25" t="str">
        <f aca="false">IF(L1779="","",ROUND(N(E1779)*L1779,2))</f>
        <v/>
      </c>
      <c r="N1779" s="39" t="str">
        <f aca="false">IF(OR(A1779="",B1779=""),"",SUMIFS(tl_Hours,tl_StaffID,I1779,tl_Date,A1779))</f>
        <v/>
      </c>
      <c r="O1779" s="40" t="str">
        <f aca="false">IF(A1779&amp;B1779&amp;D1779="","",IF(OR(A1779="",B1779="",D1779="",E1779=""),"Incomplete",IF(K1779="Unknown","Unknown code",IF(AND(K1779="Yes",C1779=""),"Billable, needs client",IF(N1779&gt;MaxDayHours,"Over "&amp;MaxDayHours&amp;" hours that day","")))))</f>
        <v/>
      </c>
    </row>
    <row r="1780" customFormat="false" ht="15" hidden="false" customHeight="false" outlineLevel="0" collapsed="false">
      <c r="A1780" s="31"/>
      <c r="B1780" s="32"/>
      <c r="C1780" s="32"/>
      <c r="D1780" s="33"/>
      <c r="E1780" s="34"/>
      <c r="F1780" s="32"/>
      <c r="G1780" s="35" t="str">
        <f aca="false">IF(A1780="","",A1780+7-WEEKDAY(A1780))</f>
        <v/>
      </c>
      <c r="H1780" s="36" t="str">
        <f aca="false">IF(A1780="","",DATE(YEAR(A1780),MONTH(A1780),1))</f>
        <v/>
      </c>
      <c r="I1780" s="37" t="str">
        <f aca="false">IF(B1780="","",IFERROR(INDEX(st_ID,MATCH(B1780,st_Name,0)),"Unknown"))</f>
        <v/>
      </c>
      <c r="J1780" s="37" t="str">
        <f aca="false">IF(C1780="","",IFERROR(INDEX(cl_Code,MATCH(C1780,cl_Name,0)),"Unknown"))</f>
        <v/>
      </c>
      <c r="K1780" s="37" t="str">
        <f aca="false">IF(D1780="","",IFERROR(INDEX(rt_Billable,MATCH(D1780,rt_Code,0)),"Unknown"))</f>
        <v/>
      </c>
      <c r="L1780" s="38" t="str">
        <f aca="false">IF(K1780&lt;&gt;"Yes","",IFERROR(INDEX(cr_Rate,MATCH(J1780&amp;"|"&amp;D1780,cr_Key,0)),INDEX(rt_Rate,MATCH(D1780,rt_Code,0))))</f>
        <v/>
      </c>
      <c r="M1780" s="25" t="str">
        <f aca="false">IF(L1780="","",ROUND(N(E1780)*L1780,2))</f>
        <v/>
      </c>
      <c r="N1780" s="39" t="str">
        <f aca="false">IF(OR(A1780="",B1780=""),"",SUMIFS(tl_Hours,tl_StaffID,I1780,tl_Date,A1780))</f>
        <v/>
      </c>
      <c r="O1780" s="40" t="str">
        <f aca="false">IF(A1780&amp;B1780&amp;D1780="","",IF(OR(A1780="",B1780="",D1780="",E1780=""),"Incomplete",IF(K1780="Unknown","Unknown code",IF(AND(K1780="Yes",C1780=""),"Billable, needs client",IF(N1780&gt;MaxDayHours,"Over "&amp;MaxDayHours&amp;" hours that day","")))))</f>
        <v/>
      </c>
    </row>
    <row r="1781" customFormat="false" ht="15" hidden="false" customHeight="false" outlineLevel="0" collapsed="false">
      <c r="A1781" s="31"/>
      <c r="B1781" s="32"/>
      <c r="C1781" s="32"/>
      <c r="D1781" s="33"/>
      <c r="E1781" s="34"/>
      <c r="F1781" s="32"/>
      <c r="G1781" s="35" t="str">
        <f aca="false">IF(A1781="","",A1781+7-WEEKDAY(A1781))</f>
        <v/>
      </c>
      <c r="H1781" s="36" t="str">
        <f aca="false">IF(A1781="","",DATE(YEAR(A1781),MONTH(A1781),1))</f>
        <v/>
      </c>
      <c r="I1781" s="37" t="str">
        <f aca="false">IF(B1781="","",IFERROR(INDEX(st_ID,MATCH(B1781,st_Name,0)),"Unknown"))</f>
        <v/>
      </c>
      <c r="J1781" s="37" t="str">
        <f aca="false">IF(C1781="","",IFERROR(INDEX(cl_Code,MATCH(C1781,cl_Name,0)),"Unknown"))</f>
        <v/>
      </c>
      <c r="K1781" s="37" t="str">
        <f aca="false">IF(D1781="","",IFERROR(INDEX(rt_Billable,MATCH(D1781,rt_Code,0)),"Unknown"))</f>
        <v/>
      </c>
      <c r="L1781" s="38" t="str">
        <f aca="false">IF(K1781&lt;&gt;"Yes","",IFERROR(INDEX(cr_Rate,MATCH(J1781&amp;"|"&amp;D1781,cr_Key,0)),INDEX(rt_Rate,MATCH(D1781,rt_Code,0))))</f>
        <v/>
      </c>
      <c r="M1781" s="25" t="str">
        <f aca="false">IF(L1781="","",ROUND(N(E1781)*L1781,2))</f>
        <v/>
      </c>
      <c r="N1781" s="39" t="str">
        <f aca="false">IF(OR(A1781="",B1781=""),"",SUMIFS(tl_Hours,tl_StaffID,I1781,tl_Date,A1781))</f>
        <v/>
      </c>
      <c r="O1781" s="40" t="str">
        <f aca="false">IF(A1781&amp;B1781&amp;D1781="","",IF(OR(A1781="",B1781="",D1781="",E1781=""),"Incomplete",IF(K1781="Unknown","Unknown code",IF(AND(K1781="Yes",C1781=""),"Billable, needs client",IF(N1781&gt;MaxDayHours,"Over "&amp;MaxDayHours&amp;" hours that day","")))))</f>
        <v/>
      </c>
    </row>
    <row r="1782" customFormat="false" ht="15" hidden="false" customHeight="false" outlineLevel="0" collapsed="false">
      <c r="A1782" s="31"/>
      <c r="B1782" s="32"/>
      <c r="C1782" s="32"/>
      <c r="D1782" s="33"/>
      <c r="E1782" s="34"/>
      <c r="F1782" s="32"/>
      <c r="G1782" s="35" t="str">
        <f aca="false">IF(A1782="","",A1782+7-WEEKDAY(A1782))</f>
        <v/>
      </c>
      <c r="H1782" s="36" t="str">
        <f aca="false">IF(A1782="","",DATE(YEAR(A1782),MONTH(A1782),1))</f>
        <v/>
      </c>
      <c r="I1782" s="37" t="str">
        <f aca="false">IF(B1782="","",IFERROR(INDEX(st_ID,MATCH(B1782,st_Name,0)),"Unknown"))</f>
        <v/>
      </c>
      <c r="J1782" s="37" t="str">
        <f aca="false">IF(C1782="","",IFERROR(INDEX(cl_Code,MATCH(C1782,cl_Name,0)),"Unknown"))</f>
        <v/>
      </c>
      <c r="K1782" s="37" t="str">
        <f aca="false">IF(D1782="","",IFERROR(INDEX(rt_Billable,MATCH(D1782,rt_Code,0)),"Unknown"))</f>
        <v/>
      </c>
      <c r="L1782" s="38" t="str">
        <f aca="false">IF(K1782&lt;&gt;"Yes","",IFERROR(INDEX(cr_Rate,MATCH(J1782&amp;"|"&amp;D1782,cr_Key,0)),INDEX(rt_Rate,MATCH(D1782,rt_Code,0))))</f>
        <v/>
      </c>
      <c r="M1782" s="25" t="str">
        <f aca="false">IF(L1782="","",ROUND(N(E1782)*L1782,2))</f>
        <v/>
      </c>
      <c r="N1782" s="39" t="str">
        <f aca="false">IF(OR(A1782="",B1782=""),"",SUMIFS(tl_Hours,tl_StaffID,I1782,tl_Date,A1782))</f>
        <v/>
      </c>
      <c r="O1782" s="40" t="str">
        <f aca="false">IF(A1782&amp;B1782&amp;D1782="","",IF(OR(A1782="",B1782="",D1782="",E1782=""),"Incomplete",IF(K1782="Unknown","Unknown code",IF(AND(K1782="Yes",C1782=""),"Billable, needs client",IF(N1782&gt;MaxDayHours,"Over "&amp;MaxDayHours&amp;" hours that day","")))))</f>
        <v/>
      </c>
    </row>
    <row r="1783" customFormat="false" ht="15" hidden="false" customHeight="false" outlineLevel="0" collapsed="false">
      <c r="A1783" s="31"/>
      <c r="B1783" s="32"/>
      <c r="C1783" s="32"/>
      <c r="D1783" s="33"/>
      <c r="E1783" s="34"/>
      <c r="F1783" s="32"/>
      <c r="G1783" s="35" t="str">
        <f aca="false">IF(A1783="","",A1783+7-WEEKDAY(A1783))</f>
        <v/>
      </c>
      <c r="H1783" s="36" t="str">
        <f aca="false">IF(A1783="","",DATE(YEAR(A1783),MONTH(A1783),1))</f>
        <v/>
      </c>
      <c r="I1783" s="37" t="str">
        <f aca="false">IF(B1783="","",IFERROR(INDEX(st_ID,MATCH(B1783,st_Name,0)),"Unknown"))</f>
        <v/>
      </c>
      <c r="J1783" s="37" t="str">
        <f aca="false">IF(C1783="","",IFERROR(INDEX(cl_Code,MATCH(C1783,cl_Name,0)),"Unknown"))</f>
        <v/>
      </c>
      <c r="K1783" s="37" t="str">
        <f aca="false">IF(D1783="","",IFERROR(INDEX(rt_Billable,MATCH(D1783,rt_Code,0)),"Unknown"))</f>
        <v/>
      </c>
      <c r="L1783" s="38" t="str">
        <f aca="false">IF(K1783&lt;&gt;"Yes","",IFERROR(INDEX(cr_Rate,MATCH(J1783&amp;"|"&amp;D1783,cr_Key,0)),INDEX(rt_Rate,MATCH(D1783,rt_Code,0))))</f>
        <v/>
      </c>
      <c r="M1783" s="25" t="str">
        <f aca="false">IF(L1783="","",ROUND(N(E1783)*L1783,2))</f>
        <v/>
      </c>
      <c r="N1783" s="39" t="str">
        <f aca="false">IF(OR(A1783="",B1783=""),"",SUMIFS(tl_Hours,tl_StaffID,I1783,tl_Date,A1783))</f>
        <v/>
      </c>
      <c r="O1783" s="40" t="str">
        <f aca="false">IF(A1783&amp;B1783&amp;D1783="","",IF(OR(A1783="",B1783="",D1783="",E1783=""),"Incomplete",IF(K1783="Unknown","Unknown code",IF(AND(K1783="Yes",C1783=""),"Billable, needs client",IF(N1783&gt;MaxDayHours,"Over "&amp;MaxDayHours&amp;" hours that day","")))))</f>
        <v/>
      </c>
    </row>
    <row r="1784" customFormat="false" ht="15" hidden="false" customHeight="false" outlineLevel="0" collapsed="false">
      <c r="A1784" s="31"/>
      <c r="B1784" s="32"/>
      <c r="C1784" s="32"/>
      <c r="D1784" s="33"/>
      <c r="E1784" s="34"/>
      <c r="F1784" s="32"/>
      <c r="G1784" s="35" t="str">
        <f aca="false">IF(A1784="","",A1784+7-WEEKDAY(A1784))</f>
        <v/>
      </c>
      <c r="H1784" s="36" t="str">
        <f aca="false">IF(A1784="","",DATE(YEAR(A1784),MONTH(A1784),1))</f>
        <v/>
      </c>
      <c r="I1784" s="37" t="str">
        <f aca="false">IF(B1784="","",IFERROR(INDEX(st_ID,MATCH(B1784,st_Name,0)),"Unknown"))</f>
        <v/>
      </c>
      <c r="J1784" s="37" t="str">
        <f aca="false">IF(C1784="","",IFERROR(INDEX(cl_Code,MATCH(C1784,cl_Name,0)),"Unknown"))</f>
        <v/>
      </c>
      <c r="K1784" s="37" t="str">
        <f aca="false">IF(D1784="","",IFERROR(INDEX(rt_Billable,MATCH(D1784,rt_Code,0)),"Unknown"))</f>
        <v/>
      </c>
      <c r="L1784" s="38" t="str">
        <f aca="false">IF(K1784&lt;&gt;"Yes","",IFERROR(INDEX(cr_Rate,MATCH(J1784&amp;"|"&amp;D1784,cr_Key,0)),INDEX(rt_Rate,MATCH(D1784,rt_Code,0))))</f>
        <v/>
      </c>
      <c r="M1784" s="25" t="str">
        <f aca="false">IF(L1784="","",ROUND(N(E1784)*L1784,2))</f>
        <v/>
      </c>
      <c r="N1784" s="39" t="str">
        <f aca="false">IF(OR(A1784="",B1784=""),"",SUMIFS(tl_Hours,tl_StaffID,I1784,tl_Date,A1784))</f>
        <v/>
      </c>
      <c r="O1784" s="40" t="str">
        <f aca="false">IF(A1784&amp;B1784&amp;D1784="","",IF(OR(A1784="",B1784="",D1784="",E1784=""),"Incomplete",IF(K1784="Unknown","Unknown code",IF(AND(K1784="Yes",C1784=""),"Billable, needs client",IF(N1784&gt;MaxDayHours,"Over "&amp;MaxDayHours&amp;" hours that day","")))))</f>
        <v/>
      </c>
    </row>
    <row r="1785" customFormat="false" ht="15" hidden="false" customHeight="false" outlineLevel="0" collapsed="false">
      <c r="A1785" s="31"/>
      <c r="B1785" s="32"/>
      <c r="C1785" s="32"/>
      <c r="D1785" s="33"/>
      <c r="E1785" s="34"/>
      <c r="F1785" s="32"/>
      <c r="G1785" s="35" t="str">
        <f aca="false">IF(A1785="","",A1785+7-WEEKDAY(A1785))</f>
        <v/>
      </c>
      <c r="H1785" s="36" t="str">
        <f aca="false">IF(A1785="","",DATE(YEAR(A1785),MONTH(A1785),1))</f>
        <v/>
      </c>
      <c r="I1785" s="37" t="str">
        <f aca="false">IF(B1785="","",IFERROR(INDEX(st_ID,MATCH(B1785,st_Name,0)),"Unknown"))</f>
        <v/>
      </c>
      <c r="J1785" s="37" t="str">
        <f aca="false">IF(C1785="","",IFERROR(INDEX(cl_Code,MATCH(C1785,cl_Name,0)),"Unknown"))</f>
        <v/>
      </c>
      <c r="K1785" s="37" t="str">
        <f aca="false">IF(D1785="","",IFERROR(INDEX(rt_Billable,MATCH(D1785,rt_Code,0)),"Unknown"))</f>
        <v/>
      </c>
      <c r="L1785" s="38" t="str">
        <f aca="false">IF(K1785&lt;&gt;"Yes","",IFERROR(INDEX(cr_Rate,MATCH(J1785&amp;"|"&amp;D1785,cr_Key,0)),INDEX(rt_Rate,MATCH(D1785,rt_Code,0))))</f>
        <v/>
      </c>
      <c r="M1785" s="25" t="str">
        <f aca="false">IF(L1785="","",ROUND(N(E1785)*L1785,2))</f>
        <v/>
      </c>
      <c r="N1785" s="39" t="str">
        <f aca="false">IF(OR(A1785="",B1785=""),"",SUMIFS(tl_Hours,tl_StaffID,I1785,tl_Date,A1785))</f>
        <v/>
      </c>
      <c r="O1785" s="40" t="str">
        <f aca="false">IF(A1785&amp;B1785&amp;D1785="","",IF(OR(A1785="",B1785="",D1785="",E1785=""),"Incomplete",IF(K1785="Unknown","Unknown code",IF(AND(K1785="Yes",C1785=""),"Billable, needs client",IF(N1785&gt;MaxDayHours,"Over "&amp;MaxDayHours&amp;" hours that day","")))))</f>
        <v/>
      </c>
    </row>
    <row r="1786" customFormat="false" ht="15" hidden="false" customHeight="false" outlineLevel="0" collapsed="false">
      <c r="A1786" s="31"/>
      <c r="B1786" s="32"/>
      <c r="C1786" s="32"/>
      <c r="D1786" s="33"/>
      <c r="E1786" s="34"/>
      <c r="F1786" s="32"/>
      <c r="G1786" s="35" t="str">
        <f aca="false">IF(A1786="","",A1786+7-WEEKDAY(A1786))</f>
        <v/>
      </c>
      <c r="H1786" s="36" t="str">
        <f aca="false">IF(A1786="","",DATE(YEAR(A1786),MONTH(A1786),1))</f>
        <v/>
      </c>
      <c r="I1786" s="37" t="str">
        <f aca="false">IF(B1786="","",IFERROR(INDEX(st_ID,MATCH(B1786,st_Name,0)),"Unknown"))</f>
        <v/>
      </c>
      <c r="J1786" s="37" t="str">
        <f aca="false">IF(C1786="","",IFERROR(INDEX(cl_Code,MATCH(C1786,cl_Name,0)),"Unknown"))</f>
        <v/>
      </c>
      <c r="K1786" s="37" t="str">
        <f aca="false">IF(D1786="","",IFERROR(INDEX(rt_Billable,MATCH(D1786,rt_Code,0)),"Unknown"))</f>
        <v/>
      </c>
      <c r="L1786" s="38" t="str">
        <f aca="false">IF(K1786&lt;&gt;"Yes","",IFERROR(INDEX(cr_Rate,MATCH(J1786&amp;"|"&amp;D1786,cr_Key,0)),INDEX(rt_Rate,MATCH(D1786,rt_Code,0))))</f>
        <v/>
      </c>
      <c r="M1786" s="25" t="str">
        <f aca="false">IF(L1786="","",ROUND(N(E1786)*L1786,2))</f>
        <v/>
      </c>
      <c r="N1786" s="39" t="str">
        <f aca="false">IF(OR(A1786="",B1786=""),"",SUMIFS(tl_Hours,tl_StaffID,I1786,tl_Date,A1786))</f>
        <v/>
      </c>
      <c r="O1786" s="40" t="str">
        <f aca="false">IF(A1786&amp;B1786&amp;D1786="","",IF(OR(A1786="",B1786="",D1786="",E1786=""),"Incomplete",IF(K1786="Unknown","Unknown code",IF(AND(K1786="Yes",C1786=""),"Billable, needs client",IF(N1786&gt;MaxDayHours,"Over "&amp;MaxDayHours&amp;" hours that day","")))))</f>
        <v/>
      </c>
    </row>
    <row r="1787" customFormat="false" ht="15" hidden="false" customHeight="false" outlineLevel="0" collapsed="false">
      <c r="A1787" s="31"/>
      <c r="B1787" s="32"/>
      <c r="C1787" s="32"/>
      <c r="D1787" s="33"/>
      <c r="E1787" s="34"/>
      <c r="F1787" s="32"/>
      <c r="G1787" s="35" t="str">
        <f aca="false">IF(A1787="","",A1787+7-WEEKDAY(A1787))</f>
        <v/>
      </c>
      <c r="H1787" s="36" t="str">
        <f aca="false">IF(A1787="","",DATE(YEAR(A1787),MONTH(A1787),1))</f>
        <v/>
      </c>
      <c r="I1787" s="37" t="str">
        <f aca="false">IF(B1787="","",IFERROR(INDEX(st_ID,MATCH(B1787,st_Name,0)),"Unknown"))</f>
        <v/>
      </c>
      <c r="J1787" s="37" t="str">
        <f aca="false">IF(C1787="","",IFERROR(INDEX(cl_Code,MATCH(C1787,cl_Name,0)),"Unknown"))</f>
        <v/>
      </c>
      <c r="K1787" s="37" t="str">
        <f aca="false">IF(D1787="","",IFERROR(INDEX(rt_Billable,MATCH(D1787,rt_Code,0)),"Unknown"))</f>
        <v/>
      </c>
      <c r="L1787" s="38" t="str">
        <f aca="false">IF(K1787&lt;&gt;"Yes","",IFERROR(INDEX(cr_Rate,MATCH(J1787&amp;"|"&amp;D1787,cr_Key,0)),INDEX(rt_Rate,MATCH(D1787,rt_Code,0))))</f>
        <v/>
      </c>
      <c r="M1787" s="25" t="str">
        <f aca="false">IF(L1787="","",ROUND(N(E1787)*L1787,2))</f>
        <v/>
      </c>
      <c r="N1787" s="39" t="str">
        <f aca="false">IF(OR(A1787="",B1787=""),"",SUMIFS(tl_Hours,tl_StaffID,I1787,tl_Date,A1787))</f>
        <v/>
      </c>
      <c r="O1787" s="40" t="str">
        <f aca="false">IF(A1787&amp;B1787&amp;D1787="","",IF(OR(A1787="",B1787="",D1787="",E1787=""),"Incomplete",IF(K1787="Unknown","Unknown code",IF(AND(K1787="Yes",C1787=""),"Billable, needs client",IF(N1787&gt;MaxDayHours,"Over "&amp;MaxDayHours&amp;" hours that day","")))))</f>
        <v/>
      </c>
    </row>
    <row r="1788" customFormat="false" ht="15" hidden="false" customHeight="false" outlineLevel="0" collapsed="false">
      <c r="A1788" s="31"/>
      <c r="B1788" s="32"/>
      <c r="C1788" s="32"/>
      <c r="D1788" s="33"/>
      <c r="E1788" s="34"/>
      <c r="F1788" s="32"/>
      <c r="G1788" s="35" t="str">
        <f aca="false">IF(A1788="","",A1788+7-WEEKDAY(A1788))</f>
        <v/>
      </c>
      <c r="H1788" s="36" t="str">
        <f aca="false">IF(A1788="","",DATE(YEAR(A1788),MONTH(A1788),1))</f>
        <v/>
      </c>
      <c r="I1788" s="37" t="str">
        <f aca="false">IF(B1788="","",IFERROR(INDEX(st_ID,MATCH(B1788,st_Name,0)),"Unknown"))</f>
        <v/>
      </c>
      <c r="J1788" s="37" t="str">
        <f aca="false">IF(C1788="","",IFERROR(INDEX(cl_Code,MATCH(C1788,cl_Name,0)),"Unknown"))</f>
        <v/>
      </c>
      <c r="K1788" s="37" t="str">
        <f aca="false">IF(D1788="","",IFERROR(INDEX(rt_Billable,MATCH(D1788,rt_Code,0)),"Unknown"))</f>
        <v/>
      </c>
      <c r="L1788" s="38" t="str">
        <f aca="false">IF(K1788&lt;&gt;"Yes","",IFERROR(INDEX(cr_Rate,MATCH(J1788&amp;"|"&amp;D1788,cr_Key,0)),INDEX(rt_Rate,MATCH(D1788,rt_Code,0))))</f>
        <v/>
      </c>
      <c r="M1788" s="25" t="str">
        <f aca="false">IF(L1788="","",ROUND(N(E1788)*L1788,2))</f>
        <v/>
      </c>
      <c r="N1788" s="39" t="str">
        <f aca="false">IF(OR(A1788="",B1788=""),"",SUMIFS(tl_Hours,tl_StaffID,I1788,tl_Date,A1788))</f>
        <v/>
      </c>
      <c r="O1788" s="40" t="str">
        <f aca="false">IF(A1788&amp;B1788&amp;D1788="","",IF(OR(A1788="",B1788="",D1788="",E1788=""),"Incomplete",IF(K1788="Unknown","Unknown code",IF(AND(K1788="Yes",C1788=""),"Billable, needs client",IF(N1788&gt;MaxDayHours,"Over "&amp;MaxDayHours&amp;" hours that day","")))))</f>
        <v/>
      </c>
    </row>
    <row r="1789" customFormat="false" ht="15" hidden="false" customHeight="false" outlineLevel="0" collapsed="false">
      <c r="A1789" s="31"/>
      <c r="B1789" s="32"/>
      <c r="C1789" s="32"/>
      <c r="D1789" s="33"/>
      <c r="E1789" s="34"/>
      <c r="F1789" s="32"/>
      <c r="G1789" s="35" t="str">
        <f aca="false">IF(A1789="","",A1789+7-WEEKDAY(A1789))</f>
        <v/>
      </c>
      <c r="H1789" s="36" t="str">
        <f aca="false">IF(A1789="","",DATE(YEAR(A1789),MONTH(A1789),1))</f>
        <v/>
      </c>
      <c r="I1789" s="37" t="str">
        <f aca="false">IF(B1789="","",IFERROR(INDEX(st_ID,MATCH(B1789,st_Name,0)),"Unknown"))</f>
        <v/>
      </c>
      <c r="J1789" s="37" t="str">
        <f aca="false">IF(C1789="","",IFERROR(INDEX(cl_Code,MATCH(C1789,cl_Name,0)),"Unknown"))</f>
        <v/>
      </c>
      <c r="K1789" s="37" t="str">
        <f aca="false">IF(D1789="","",IFERROR(INDEX(rt_Billable,MATCH(D1789,rt_Code,0)),"Unknown"))</f>
        <v/>
      </c>
      <c r="L1789" s="38" t="str">
        <f aca="false">IF(K1789&lt;&gt;"Yes","",IFERROR(INDEX(cr_Rate,MATCH(J1789&amp;"|"&amp;D1789,cr_Key,0)),INDEX(rt_Rate,MATCH(D1789,rt_Code,0))))</f>
        <v/>
      </c>
      <c r="M1789" s="25" t="str">
        <f aca="false">IF(L1789="","",ROUND(N(E1789)*L1789,2))</f>
        <v/>
      </c>
      <c r="N1789" s="39" t="str">
        <f aca="false">IF(OR(A1789="",B1789=""),"",SUMIFS(tl_Hours,tl_StaffID,I1789,tl_Date,A1789))</f>
        <v/>
      </c>
      <c r="O1789" s="40" t="str">
        <f aca="false">IF(A1789&amp;B1789&amp;D1789="","",IF(OR(A1789="",B1789="",D1789="",E1789=""),"Incomplete",IF(K1789="Unknown","Unknown code",IF(AND(K1789="Yes",C1789=""),"Billable, needs client",IF(N1789&gt;MaxDayHours,"Over "&amp;MaxDayHours&amp;" hours that day","")))))</f>
        <v/>
      </c>
    </row>
    <row r="1790" customFormat="false" ht="15" hidden="false" customHeight="false" outlineLevel="0" collapsed="false">
      <c r="A1790" s="31"/>
      <c r="B1790" s="32"/>
      <c r="C1790" s="32"/>
      <c r="D1790" s="33"/>
      <c r="E1790" s="34"/>
      <c r="F1790" s="32"/>
      <c r="G1790" s="35" t="str">
        <f aca="false">IF(A1790="","",A1790+7-WEEKDAY(A1790))</f>
        <v/>
      </c>
      <c r="H1790" s="36" t="str">
        <f aca="false">IF(A1790="","",DATE(YEAR(A1790),MONTH(A1790),1))</f>
        <v/>
      </c>
      <c r="I1790" s="37" t="str">
        <f aca="false">IF(B1790="","",IFERROR(INDEX(st_ID,MATCH(B1790,st_Name,0)),"Unknown"))</f>
        <v/>
      </c>
      <c r="J1790" s="37" t="str">
        <f aca="false">IF(C1790="","",IFERROR(INDEX(cl_Code,MATCH(C1790,cl_Name,0)),"Unknown"))</f>
        <v/>
      </c>
      <c r="K1790" s="37" t="str">
        <f aca="false">IF(D1790="","",IFERROR(INDEX(rt_Billable,MATCH(D1790,rt_Code,0)),"Unknown"))</f>
        <v/>
      </c>
      <c r="L1790" s="38" t="str">
        <f aca="false">IF(K1790&lt;&gt;"Yes","",IFERROR(INDEX(cr_Rate,MATCH(J1790&amp;"|"&amp;D1790,cr_Key,0)),INDEX(rt_Rate,MATCH(D1790,rt_Code,0))))</f>
        <v/>
      </c>
      <c r="M1790" s="25" t="str">
        <f aca="false">IF(L1790="","",ROUND(N(E1790)*L1790,2))</f>
        <v/>
      </c>
      <c r="N1790" s="39" t="str">
        <f aca="false">IF(OR(A1790="",B1790=""),"",SUMIFS(tl_Hours,tl_StaffID,I1790,tl_Date,A1790))</f>
        <v/>
      </c>
      <c r="O1790" s="40" t="str">
        <f aca="false">IF(A1790&amp;B1790&amp;D1790="","",IF(OR(A1790="",B1790="",D1790="",E1790=""),"Incomplete",IF(K1790="Unknown","Unknown code",IF(AND(K1790="Yes",C1790=""),"Billable, needs client",IF(N1790&gt;MaxDayHours,"Over "&amp;MaxDayHours&amp;" hours that day","")))))</f>
        <v/>
      </c>
    </row>
    <row r="1791" customFormat="false" ht="15" hidden="false" customHeight="false" outlineLevel="0" collapsed="false">
      <c r="A1791" s="31"/>
      <c r="B1791" s="32"/>
      <c r="C1791" s="32"/>
      <c r="D1791" s="33"/>
      <c r="E1791" s="34"/>
      <c r="F1791" s="32"/>
      <c r="G1791" s="35" t="str">
        <f aca="false">IF(A1791="","",A1791+7-WEEKDAY(A1791))</f>
        <v/>
      </c>
      <c r="H1791" s="36" t="str">
        <f aca="false">IF(A1791="","",DATE(YEAR(A1791),MONTH(A1791),1))</f>
        <v/>
      </c>
      <c r="I1791" s="37" t="str">
        <f aca="false">IF(B1791="","",IFERROR(INDEX(st_ID,MATCH(B1791,st_Name,0)),"Unknown"))</f>
        <v/>
      </c>
      <c r="J1791" s="37" t="str">
        <f aca="false">IF(C1791="","",IFERROR(INDEX(cl_Code,MATCH(C1791,cl_Name,0)),"Unknown"))</f>
        <v/>
      </c>
      <c r="K1791" s="37" t="str">
        <f aca="false">IF(D1791="","",IFERROR(INDEX(rt_Billable,MATCH(D1791,rt_Code,0)),"Unknown"))</f>
        <v/>
      </c>
      <c r="L1791" s="38" t="str">
        <f aca="false">IF(K1791&lt;&gt;"Yes","",IFERROR(INDEX(cr_Rate,MATCH(J1791&amp;"|"&amp;D1791,cr_Key,0)),INDEX(rt_Rate,MATCH(D1791,rt_Code,0))))</f>
        <v/>
      </c>
      <c r="M1791" s="25" t="str">
        <f aca="false">IF(L1791="","",ROUND(N(E1791)*L1791,2))</f>
        <v/>
      </c>
      <c r="N1791" s="39" t="str">
        <f aca="false">IF(OR(A1791="",B1791=""),"",SUMIFS(tl_Hours,tl_StaffID,I1791,tl_Date,A1791))</f>
        <v/>
      </c>
      <c r="O1791" s="40" t="str">
        <f aca="false">IF(A1791&amp;B1791&amp;D1791="","",IF(OR(A1791="",B1791="",D1791="",E1791=""),"Incomplete",IF(K1791="Unknown","Unknown code",IF(AND(K1791="Yes",C1791=""),"Billable, needs client",IF(N1791&gt;MaxDayHours,"Over "&amp;MaxDayHours&amp;" hours that day","")))))</f>
        <v/>
      </c>
    </row>
    <row r="1792" customFormat="false" ht="15" hidden="false" customHeight="false" outlineLevel="0" collapsed="false">
      <c r="A1792" s="31"/>
      <c r="B1792" s="32"/>
      <c r="C1792" s="32"/>
      <c r="D1792" s="33"/>
      <c r="E1792" s="34"/>
      <c r="F1792" s="32"/>
      <c r="G1792" s="35" t="str">
        <f aca="false">IF(A1792="","",A1792+7-WEEKDAY(A1792))</f>
        <v/>
      </c>
      <c r="H1792" s="36" t="str">
        <f aca="false">IF(A1792="","",DATE(YEAR(A1792),MONTH(A1792),1))</f>
        <v/>
      </c>
      <c r="I1792" s="37" t="str">
        <f aca="false">IF(B1792="","",IFERROR(INDEX(st_ID,MATCH(B1792,st_Name,0)),"Unknown"))</f>
        <v/>
      </c>
      <c r="J1792" s="37" t="str">
        <f aca="false">IF(C1792="","",IFERROR(INDEX(cl_Code,MATCH(C1792,cl_Name,0)),"Unknown"))</f>
        <v/>
      </c>
      <c r="K1792" s="37" t="str">
        <f aca="false">IF(D1792="","",IFERROR(INDEX(rt_Billable,MATCH(D1792,rt_Code,0)),"Unknown"))</f>
        <v/>
      </c>
      <c r="L1792" s="38" t="str">
        <f aca="false">IF(K1792&lt;&gt;"Yes","",IFERROR(INDEX(cr_Rate,MATCH(J1792&amp;"|"&amp;D1792,cr_Key,0)),INDEX(rt_Rate,MATCH(D1792,rt_Code,0))))</f>
        <v/>
      </c>
      <c r="M1792" s="25" t="str">
        <f aca="false">IF(L1792="","",ROUND(N(E1792)*L1792,2))</f>
        <v/>
      </c>
      <c r="N1792" s="39" t="str">
        <f aca="false">IF(OR(A1792="",B1792=""),"",SUMIFS(tl_Hours,tl_StaffID,I1792,tl_Date,A1792))</f>
        <v/>
      </c>
      <c r="O1792" s="40" t="str">
        <f aca="false">IF(A1792&amp;B1792&amp;D1792="","",IF(OR(A1792="",B1792="",D1792="",E1792=""),"Incomplete",IF(K1792="Unknown","Unknown code",IF(AND(K1792="Yes",C1792=""),"Billable, needs client",IF(N1792&gt;MaxDayHours,"Over "&amp;MaxDayHours&amp;" hours that day","")))))</f>
        <v/>
      </c>
    </row>
    <row r="1793" customFormat="false" ht="15" hidden="false" customHeight="false" outlineLevel="0" collapsed="false">
      <c r="A1793" s="31"/>
      <c r="B1793" s="32"/>
      <c r="C1793" s="32"/>
      <c r="D1793" s="33"/>
      <c r="E1793" s="34"/>
      <c r="F1793" s="32"/>
      <c r="G1793" s="35" t="str">
        <f aca="false">IF(A1793="","",A1793+7-WEEKDAY(A1793))</f>
        <v/>
      </c>
      <c r="H1793" s="36" t="str">
        <f aca="false">IF(A1793="","",DATE(YEAR(A1793),MONTH(A1793),1))</f>
        <v/>
      </c>
      <c r="I1793" s="37" t="str">
        <f aca="false">IF(B1793="","",IFERROR(INDEX(st_ID,MATCH(B1793,st_Name,0)),"Unknown"))</f>
        <v/>
      </c>
      <c r="J1793" s="37" t="str">
        <f aca="false">IF(C1793="","",IFERROR(INDEX(cl_Code,MATCH(C1793,cl_Name,0)),"Unknown"))</f>
        <v/>
      </c>
      <c r="K1793" s="37" t="str">
        <f aca="false">IF(D1793="","",IFERROR(INDEX(rt_Billable,MATCH(D1793,rt_Code,0)),"Unknown"))</f>
        <v/>
      </c>
      <c r="L1793" s="38" t="str">
        <f aca="false">IF(K1793&lt;&gt;"Yes","",IFERROR(INDEX(cr_Rate,MATCH(J1793&amp;"|"&amp;D1793,cr_Key,0)),INDEX(rt_Rate,MATCH(D1793,rt_Code,0))))</f>
        <v/>
      </c>
      <c r="M1793" s="25" t="str">
        <f aca="false">IF(L1793="","",ROUND(N(E1793)*L1793,2))</f>
        <v/>
      </c>
      <c r="N1793" s="39" t="str">
        <f aca="false">IF(OR(A1793="",B1793=""),"",SUMIFS(tl_Hours,tl_StaffID,I1793,tl_Date,A1793))</f>
        <v/>
      </c>
      <c r="O1793" s="40" t="str">
        <f aca="false">IF(A1793&amp;B1793&amp;D1793="","",IF(OR(A1793="",B1793="",D1793="",E1793=""),"Incomplete",IF(K1793="Unknown","Unknown code",IF(AND(K1793="Yes",C1793=""),"Billable, needs client",IF(N1793&gt;MaxDayHours,"Over "&amp;MaxDayHours&amp;" hours that day","")))))</f>
        <v/>
      </c>
    </row>
    <row r="1794" customFormat="false" ht="15" hidden="false" customHeight="false" outlineLevel="0" collapsed="false">
      <c r="A1794" s="31"/>
      <c r="B1794" s="32"/>
      <c r="C1794" s="32"/>
      <c r="D1794" s="33"/>
      <c r="E1794" s="34"/>
      <c r="F1794" s="32"/>
      <c r="G1794" s="35" t="str">
        <f aca="false">IF(A1794="","",A1794+7-WEEKDAY(A1794))</f>
        <v/>
      </c>
      <c r="H1794" s="36" t="str">
        <f aca="false">IF(A1794="","",DATE(YEAR(A1794),MONTH(A1794),1))</f>
        <v/>
      </c>
      <c r="I1794" s="37" t="str">
        <f aca="false">IF(B1794="","",IFERROR(INDEX(st_ID,MATCH(B1794,st_Name,0)),"Unknown"))</f>
        <v/>
      </c>
      <c r="J1794" s="37" t="str">
        <f aca="false">IF(C1794="","",IFERROR(INDEX(cl_Code,MATCH(C1794,cl_Name,0)),"Unknown"))</f>
        <v/>
      </c>
      <c r="K1794" s="37" t="str">
        <f aca="false">IF(D1794="","",IFERROR(INDEX(rt_Billable,MATCH(D1794,rt_Code,0)),"Unknown"))</f>
        <v/>
      </c>
      <c r="L1794" s="38" t="str">
        <f aca="false">IF(K1794&lt;&gt;"Yes","",IFERROR(INDEX(cr_Rate,MATCH(J1794&amp;"|"&amp;D1794,cr_Key,0)),INDEX(rt_Rate,MATCH(D1794,rt_Code,0))))</f>
        <v/>
      </c>
      <c r="M1794" s="25" t="str">
        <f aca="false">IF(L1794="","",ROUND(N(E1794)*L1794,2))</f>
        <v/>
      </c>
      <c r="N1794" s="39" t="str">
        <f aca="false">IF(OR(A1794="",B1794=""),"",SUMIFS(tl_Hours,tl_StaffID,I1794,tl_Date,A1794))</f>
        <v/>
      </c>
      <c r="O1794" s="40" t="str">
        <f aca="false">IF(A1794&amp;B1794&amp;D1794="","",IF(OR(A1794="",B1794="",D1794="",E1794=""),"Incomplete",IF(K1794="Unknown","Unknown code",IF(AND(K1794="Yes",C1794=""),"Billable, needs client",IF(N1794&gt;MaxDayHours,"Over "&amp;MaxDayHours&amp;" hours that day","")))))</f>
        <v/>
      </c>
    </row>
    <row r="1795" customFormat="false" ht="15" hidden="false" customHeight="false" outlineLevel="0" collapsed="false">
      <c r="A1795" s="31"/>
      <c r="B1795" s="32"/>
      <c r="C1795" s="32"/>
      <c r="D1795" s="33"/>
      <c r="E1795" s="34"/>
      <c r="F1795" s="32"/>
      <c r="G1795" s="35" t="str">
        <f aca="false">IF(A1795="","",A1795+7-WEEKDAY(A1795))</f>
        <v/>
      </c>
      <c r="H1795" s="36" t="str">
        <f aca="false">IF(A1795="","",DATE(YEAR(A1795),MONTH(A1795),1))</f>
        <v/>
      </c>
      <c r="I1795" s="37" t="str">
        <f aca="false">IF(B1795="","",IFERROR(INDEX(st_ID,MATCH(B1795,st_Name,0)),"Unknown"))</f>
        <v/>
      </c>
      <c r="J1795" s="37" t="str">
        <f aca="false">IF(C1795="","",IFERROR(INDEX(cl_Code,MATCH(C1795,cl_Name,0)),"Unknown"))</f>
        <v/>
      </c>
      <c r="K1795" s="37" t="str">
        <f aca="false">IF(D1795="","",IFERROR(INDEX(rt_Billable,MATCH(D1795,rt_Code,0)),"Unknown"))</f>
        <v/>
      </c>
      <c r="L1795" s="38" t="str">
        <f aca="false">IF(K1795&lt;&gt;"Yes","",IFERROR(INDEX(cr_Rate,MATCH(J1795&amp;"|"&amp;D1795,cr_Key,0)),INDEX(rt_Rate,MATCH(D1795,rt_Code,0))))</f>
        <v/>
      </c>
      <c r="M1795" s="25" t="str">
        <f aca="false">IF(L1795="","",ROUND(N(E1795)*L1795,2))</f>
        <v/>
      </c>
      <c r="N1795" s="39" t="str">
        <f aca="false">IF(OR(A1795="",B1795=""),"",SUMIFS(tl_Hours,tl_StaffID,I1795,tl_Date,A1795))</f>
        <v/>
      </c>
      <c r="O1795" s="40" t="str">
        <f aca="false">IF(A1795&amp;B1795&amp;D1795="","",IF(OR(A1795="",B1795="",D1795="",E1795=""),"Incomplete",IF(K1795="Unknown","Unknown code",IF(AND(K1795="Yes",C1795=""),"Billable, needs client",IF(N1795&gt;MaxDayHours,"Over "&amp;MaxDayHours&amp;" hours that day","")))))</f>
        <v/>
      </c>
    </row>
    <row r="1796" customFormat="false" ht="15" hidden="false" customHeight="false" outlineLevel="0" collapsed="false">
      <c r="A1796" s="31"/>
      <c r="B1796" s="32"/>
      <c r="C1796" s="32"/>
      <c r="D1796" s="33"/>
      <c r="E1796" s="34"/>
      <c r="F1796" s="32"/>
      <c r="G1796" s="35" t="str">
        <f aca="false">IF(A1796="","",A1796+7-WEEKDAY(A1796))</f>
        <v/>
      </c>
      <c r="H1796" s="36" t="str">
        <f aca="false">IF(A1796="","",DATE(YEAR(A1796),MONTH(A1796),1))</f>
        <v/>
      </c>
      <c r="I1796" s="37" t="str">
        <f aca="false">IF(B1796="","",IFERROR(INDEX(st_ID,MATCH(B1796,st_Name,0)),"Unknown"))</f>
        <v/>
      </c>
      <c r="J1796" s="37" t="str">
        <f aca="false">IF(C1796="","",IFERROR(INDEX(cl_Code,MATCH(C1796,cl_Name,0)),"Unknown"))</f>
        <v/>
      </c>
      <c r="K1796" s="37" t="str">
        <f aca="false">IF(D1796="","",IFERROR(INDEX(rt_Billable,MATCH(D1796,rt_Code,0)),"Unknown"))</f>
        <v/>
      </c>
      <c r="L1796" s="38" t="str">
        <f aca="false">IF(K1796&lt;&gt;"Yes","",IFERROR(INDEX(cr_Rate,MATCH(J1796&amp;"|"&amp;D1796,cr_Key,0)),INDEX(rt_Rate,MATCH(D1796,rt_Code,0))))</f>
        <v/>
      </c>
      <c r="M1796" s="25" t="str">
        <f aca="false">IF(L1796="","",ROUND(N(E1796)*L1796,2))</f>
        <v/>
      </c>
      <c r="N1796" s="39" t="str">
        <f aca="false">IF(OR(A1796="",B1796=""),"",SUMIFS(tl_Hours,tl_StaffID,I1796,tl_Date,A1796))</f>
        <v/>
      </c>
      <c r="O1796" s="40" t="str">
        <f aca="false">IF(A1796&amp;B1796&amp;D1796="","",IF(OR(A1796="",B1796="",D1796="",E1796=""),"Incomplete",IF(K1796="Unknown","Unknown code",IF(AND(K1796="Yes",C1796=""),"Billable, needs client",IF(N1796&gt;MaxDayHours,"Over "&amp;MaxDayHours&amp;" hours that day","")))))</f>
        <v/>
      </c>
    </row>
    <row r="1797" customFormat="false" ht="15" hidden="false" customHeight="false" outlineLevel="0" collapsed="false">
      <c r="A1797" s="31"/>
      <c r="B1797" s="32"/>
      <c r="C1797" s="32"/>
      <c r="D1797" s="33"/>
      <c r="E1797" s="34"/>
      <c r="F1797" s="32"/>
      <c r="G1797" s="35" t="str">
        <f aca="false">IF(A1797="","",A1797+7-WEEKDAY(A1797))</f>
        <v/>
      </c>
      <c r="H1797" s="36" t="str">
        <f aca="false">IF(A1797="","",DATE(YEAR(A1797),MONTH(A1797),1))</f>
        <v/>
      </c>
      <c r="I1797" s="37" t="str">
        <f aca="false">IF(B1797="","",IFERROR(INDEX(st_ID,MATCH(B1797,st_Name,0)),"Unknown"))</f>
        <v/>
      </c>
      <c r="J1797" s="37" t="str">
        <f aca="false">IF(C1797="","",IFERROR(INDEX(cl_Code,MATCH(C1797,cl_Name,0)),"Unknown"))</f>
        <v/>
      </c>
      <c r="K1797" s="37" t="str">
        <f aca="false">IF(D1797="","",IFERROR(INDEX(rt_Billable,MATCH(D1797,rt_Code,0)),"Unknown"))</f>
        <v/>
      </c>
      <c r="L1797" s="38" t="str">
        <f aca="false">IF(K1797&lt;&gt;"Yes","",IFERROR(INDEX(cr_Rate,MATCH(J1797&amp;"|"&amp;D1797,cr_Key,0)),INDEX(rt_Rate,MATCH(D1797,rt_Code,0))))</f>
        <v/>
      </c>
      <c r="M1797" s="25" t="str">
        <f aca="false">IF(L1797="","",ROUND(N(E1797)*L1797,2))</f>
        <v/>
      </c>
      <c r="N1797" s="39" t="str">
        <f aca="false">IF(OR(A1797="",B1797=""),"",SUMIFS(tl_Hours,tl_StaffID,I1797,tl_Date,A1797))</f>
        <v/>
      </c>
      <c r="O1797" s="40" t="str">
        <f aca="false">IF(A1797&amp;B1797&amp;D1797="","",IF(OR(A1797="",B1797="",D1797="",E1797=""),"Incomplete",IF(K1797="Unknown","Unknown code",IF(AND(K1797="Yes",C1797=""),"Billable, needs client",IF(N1797&gt;MaxDayHours,"Over "&amp;MaxDayHours&amp;" hours that day","")))))</f>
        <v/>
      </c>
    </row>
    <row r="1798" customFormat="false" ht="15" hidden="false" customHeight="false" outlineLevel="0" collapsed="false">
      <c r="A1798" s="31"/>
      <c r="B1798" s="32"/>
      <c r="C1798" s="32"/>
      <c r="D1798" s="33"/>
      <c r="E1798" s="34"/>
      <c r="F1798" s="32"/>
      <c r="G1798" s="35" t="str">
        <f aca="false">IF(A1798="","",A1798+7-WEEKDAY(A1798))</f>
        <v/>
      </c>
      <c r="H1798" s="36" t="str">
        <f aca="false">IF(A1798="","",DATE(YEAR(A1798),MONTH(A1798),1))</f>
        <v/>
      </c>
      <c r="I1798" s="37" t="str">
        <f aca="false">IF(B1798="","",IFERROR(INDEX(st_ID,MATCH(B1798,st_Name,0)),"Unknown"))</f>
        <v/>
      </c>
      <c r="J1798" s="37" t="str">
        <f aca="false">IF(C1798="","",IFERROR(INDEX(cl_Code,MATCH(C1798,cl_Name,0)),"Unknown"))</f>
        <v/>
      </c>
      <c r="K1798" s="37" t="str">
        <f aca="false">IF(D1798="","",IFERROR(INDEX(rt_Billable,MATCH(D1798,rt_Code,0)),"Unknown"))</f>
        <v/>
      </c>
      <c r="L1798" s="38" t="str">
        <f aca="false">IF(K1798&lt;&gt;"Yes","",IFERROR(INDEX(cr_Rate,MATCH(J1798&amp;"|"&amp;D1798,cr_Key,0)),INDEX(rt_Rate,MATCH(D1798,rt_Code,0))))</f>
        <v/>
      </c>
      <c r="M1798" s="25" t="str">
        <f aca="false">IF(L1798="","",ROUND(N(E1798)*L1798,2))</f>
        <v/>
      </c>
      <c r="N1798" s="39" t="str">
        <f aca="false">IF(OR(A1798="",B1798=""),"",SUMIFS(tl_Hours,tl_StaffID,I1798,tl_Date,A1798))</f>
        <v/>
      </c>
      <c r="O1798" s="40" t="str">
        <f aca="false">IF(A1798&amp;B1798&amp;D1798="","",IF(OR(A1798="",B1798="",D1798="",E1798=""),"Incomplete",IF(K1798="Unknown","Unknown code",IF(AND(K1798="Yes",C1798=""),"Billable, needs client",IF(N1798&gt;MaxDayHours,"Over "&amp;MaxDayHours&amp;" hours that day","")))))</f>
        <v/>
      </c>
    </row>
    <row r="1799" customFormat="false" ht="15" hidden="false" customHeight="false" outlineLevel="0" collapsed="false">
      <c r="A1799" s="31"/>
      <c r="B1799" s="32"/>
      <c r="C1799" s="32"/>
      <c r="D1799" s="33"/>
      <c r="E1799" s="34"/>
      <c r="F1799" s="32"/>
      <c r="G1799" s="35" t="str">
        <f aca="false">IF(A1799="","",A1799+7-WEEKDAY(A1799))</f>
        <v/>
      </c>
      <c r="H1799" s="36" t="str">
        <f aca="false">IF(A1799="","",DATE(YEAR(A1799),MONTH(A1799),1))</f>
        <v/>
      </c>
      <c r="I1799" s="37" t="str">
        <f aca="false">IF(B1799="","",IFERROR(INDEX(st_ID,MATCH(B1799,st_Name,0)),"Unknown"))</f>
        <v/>
      </c>
      <c r="J1799" s="37" t="str">
        <f aca="false">IF(C1799="","",IFERROR(INDEX(cl_Code,MATCH(C1799,cl_Name,0)),"Unknown"))</f>
        <v/>
      </c>
      <c r="K1799" s="37" t="str">
        <f aca="false">IF(D1799="","",IFERROR(INDEX(rt_Billable,MATCH(D1799,rt_Code,0)),"Unknown"))</f>
        <v/>
      </c>
      <c r="L1799" s="38" t="str">
        <f aca="false">IF(K1799&lt;&gt;"Yes","",IFERROR(INDEX(cr_Rate,MATCH(J1799&amp;"|"&amp;D1799,cr_Key,0)),INDEX(rt_Rate,MATCH(D1799,rt_Code,0))))</f>
        <v/>
      </c>
      <c r="M1799" s="25" t="str">
        <f aca="false">IF(L1799="","",ROUND(N(E1799)*L1799,2))</f>
        <v/>
      </c>
      <c r="N1799" s="39" t="str">
        <f aca="false">IF(OR(A1799="",B1799=""),"",SUMIFS(tl_Hours,tl_StaffID,I1799,tl_Date,A1799))</f>
        <v/>
      </c>
      <c r="O1799" s="40" t="str">
        <f aca="false">IF(A1799&amp;B1799&amp;D1799="","",IF(OR(A1799="",B1799="",D1799="",E1799=""),"Incomplete",IF(K1799="Unknown","Unknown code",IF(AND(K1799="Yes",C1799=""),"Billable, needs client",IF(N1799&gt;MaxDayHours,"Over "&amp;MaxDayHours&amp;" hours that day","")))))</f>
        <v/>
      </c>
    </row>
    <row r="1800" customFormat="false" ht="15" hidden="false" customHeight="false" outlineLevel="0" collapsed="false">
      <c r="A1800" s="31"/>
      <c r="B1800" s="32"/>
      <c r="C1800" s="32"/>
      <c r="D1800" s="33"/>
      <c r="E1800" s="34"/>
      <c r="F1800" s="32"/>
      <c r="G1800" s="35" t="str">
        <f aca="false">IF(A1800="","",A1800+7-WEEKDAY(A1800))</f>
        <v/>
      </c>
      <c r="H1800" s="36" t="str">
        <f aca="false">IF(A1800="","",DATE(YEAR(A1800),MONTH(A1800),1))</f>
        <v/>
      </c>
      <c r="I1800" s="37" t="str">
        <f aca="false">IF(B1800="","",IFERROR(INDEX(st_ID,MATCH(B1800,st_Name,0)),"Unknown"))</f>
        <v/>
      </c>
      <c r="J1800" s="37" t="str">
        <f aca="false">IF(C1800="","",IFERROR(INDEX(cl_Code,MATCH(C1800,cl_Name,0)),"Unknown"))</f>
        <v/>
      </c>
      <c r="K1800" s="37" t="str">
        <f aca="false">IF(D1800="","",IFERROR(INDEX(rt_Billable,MATCH(D1800,rt_Code,0)),"Unknown"))</f>
        <v/>
      </c>
      <c r="L1800" s="38" t="str">
        <f aca="false">IF(K1800&lt;&gt;"Yes","",IFERROR(INDEX(cr_Rate,MATCH(J1800&amp;"|"&amp;D1800,cr_Key,0)),INDEX(rt_Rate,MATCH(D1800,rt_Code,0))))</f>
        <v/>
      </c>
      <c r="M1800" s="25" t="str">
        <f aca="false">IF(L1800="","",ROUND(N(E1800)*L1800,2))</f>
        <v/>
      </c>
      <c r="N1800" s="39" t="str">
        <f aca="false">IF(OR(A1800="",B1800=""),"",SUMIFS(tl_Hours,tl_StaffID,I1800,tl_Date,A1800))</f>
        <v/>
      </c>
      <c r="O1800" s="40" t="str">
        <f aca="false">IF(A1800&amp;B1800&amp;D1800="","",IF(OR(A1800="",B1800="",D1800="",E1800=""),"Incomplete",IF(K1800="Unknown","Unknown code",IF(AND(K1800="Yes",C1800=""),"Billable, needs client",IF(N1800&gt;MaxDayHours,"Over "&amp;MaxDayHours&amp;" hours that day","")))))</f>
        <v/>
      </c>
    </row>
    <row r="1801" customFormat="false" ht="15" hidden="false" customHeight="false" outlineLevel="0" collapsed="false">
      <c r="A1801" s="31"/>
      <c r="B1801" s="32"/>
      <c r="C1801" s="32"/>
      <c r="D1801" s="33"/>
      <c r="E1801" s="34"/>
      <c r="F1801" s="32"/>
      <c r="G1801" s="35" t="str">
        <f aca="false">IF(A1801="","",A1801+7-WEEKDAY(A1801))</f>
        <v/>
      </c>
      <c r="H1801" s="36" t="str">
        <f aca="false">IF(A1801="","",DATE(YEAR(A1801),MONTH(A1801),1))</f>
        <v/>
      </c>
      <c r="I1801" s="37" t="str">
        <f aca="false">IF(B1801="","",IFERROR(INDEX(st_ID,MATCH(B1801,st_Name,0)),"Unknown"))</f>
        <v/>
      </c>
      <c r="J1801" s="37" t="str">
        <f aca="false">IF(C1801="","",IFERROR(INDEX(cl_Code,MATCH(C1801,cl_Name,0)),"Unknown"))</f>
        <v/>
      </c>
      <c r="K1801" s="37" t="str">
        <f aca="false">IF(D1801="","",IFERROR(INDEX(rt_Billable,MATCH(D1801,rt_Code,0)),"Unknown"))</f>
        <v/>
      </c>
      <c r="L1801" s="38" t="str">
        <f aca="false">IF(K1801&lt;&gt;"Yes","",IFERROR(INDEX(cr_Rate,MATCH(J1801&amp;"|"&amp;D1801,cr_Key,0)),INDEX(rt_Rate,MATCH(D1801,rt_Code,0))))</f>
        <v/>
      </c>
      <c r="M1801" s="25" t="str">
        <f aca="false">IF(L1801="","",ROUND(N(E1801)*L1801,2))</f>
        <v/>
      </c>
      <c r="N1801" s="39" t="str">
        <f aca="false">IF(OR(A1801="",B1801=""),"",SUMIFS(tl_Hours,tl_StaffID,I1801,tl_Date,A1801))</f>
        <v/>
      </c>
      <c r="O1801" s="40" t="str">
        <f aca="false">IF(A1801&amp;B1801&amp;D1801="","",IF(OR(A1801="",B1801="",D1801="",E1801=""),"Incomplete",IF(K1801="Unknown","Unknown code",IF(AND(K1801="Yes",C1801=""),"Billable, needs client",IF(N1801&gt;MaxDayHours,"Over "&amp;MaxDayHours&amp;" hours that day","")))))</f>
        <v/>
      </c>
    </row>
    <row r="1802" customFormat="false" ht="15" hidden="false" customHeight="false" outlineLevel="0" collapsed="false">
      <c r="A1802" s="31"/>
      <c r="B1802" s="32"/>
      <c r="C1802" s="32"/>
      <c r="D1802" s="33"/>
      <c r="E1802" s="34"/>
      <c r="F1802" s="32"/>
      <c r="G1802" s="35" t="str">
        <f aca="false">IF(A1802="","",A1802+7-WEEKDAY(A1802))</f>
        <v/>
      </c>
      <c r="H1802" s="36" t="str">
        <f aca="false">IF(A1802="","",DATE(YEAR(A1802),MONTH(A1802),1))</f>
        <v/>
      </c>
      <c r="I1802" s="37" t="str">
        <f aca="false">IF(B1802="","",IFERROR(INDEX(st_ID,MATCH(B1802,st_Name,0)),"Unknown"))</f>
        <v/>
      </c>
      <c r="J1802" s="37" t="str">
        <f aca="false">IF(C1802="","",IFERROR(INDEX(cl_Code,MATCH(C1802,cl_Name,0)),"Unknown"))</f>
        <v/>
      </c>
      <c r="K1802" s="37" t="str">
        <f aca="false">IF(D1802="","",IFERROR(INDEX(rt_Billable,MATCH(D1802,rt_Code,0)),"Unknown"))</f>
        <v/>
      </c>
      <c r="L1802" s="38" t="str">
        <f aca="false">IF(K1802&lt;&gt;"Yes","",IFERROR(INDEX(cr_Rate,MATCH(J1802&amp;"|"&amp;D1802,cr_Key,0)),INDEX(rt_Rate,MATCH(D1802,rt_Code,0))))</f>
        <v/>
      </c>
      <c r="M1802" s="25" t="str">
        <f aca="false">IF(L1802="","",ROUND(N(E1802)*L1802,2))</f>
        <v/>
      </c>
      <c r="N1802" s="39" t="str">
        <f aca="false">IF(OR(A1802="",B1802=""),"",SUMIFS(tl_Hours,tl_StaffID,I1802,tl_Date,A1802))</f>
        <v/>
      </c>
      <c r="O1802" s="40" t="str">
        <f aca="false">IF(A1802&amp;B1802&amp;D1802="","",IF(OR(A1802="",B1802="",D1802="",E1802=""),"Incomplete",IF(K1802="Unknown","Unknown code",IF(AND(K1802="Yes",C1802=""),"Billable, needs client",IF(N1802&gt;MaxDayHours,"Over "&amp;MaxDayHours&amp;" hours that day","")))))</f>
        <v/>
      </c>
    </row>
    <row r="1803" customFormat="false" ht="15" hidden="false" customHeight="false" outlineLevel="0" collapsed="false">
      <c r="A1803" s="31"/>
      <c r="B1803" s="32"/>
      <c r="C1803" s="32"/>
      <c r="D1803" s="33"/>
      <c r="E1803" s="34"/>
      <c r="F1803" s="32"/>
      <c r="G1803" s="35" t="str">
        <f aca="false">IF(A1803="","",A1803+7-WEEKDAY(A1803))</f>
        <v/>
      </c>
      <c r="H1803" s="36" t="str">
        <f aca="false">IF(A1803="","",DATE(YEAR(A1803),MONTH(A1803),1))</f>
        <v/>
      </c>
      <c r="I1803" s="37" t="str">
        <f aca="false">IF(B1803="","",IFERROR(INDEX(st_ID,MATCH(B1803,st_Name,0)),"Unknown"))</f>
        <v/>
      </c>
      <c r="J1803" s="37" t="str">
        <f aca="false">IF(C1803="","",IFERROR(INDEX(cl_Code,MATCH(C1803,cl_Name,0)),"Unknown"))</f>
        <v/>
      </c>
      <c r="K1803" s="37" t="str">
        <f aca="false">IF(D1803="","",IFERROR(INDEX(rt_Billable,MATCH(D1803,rt_Code,0)),"Unknown"))</f>
        <v/>
      </c>
      <c r="L1803" s="38" t="str">
        <f aca="false">IF(K1803&lt;&gt;"Yes","",IFERROR(INDEX(cr_Rate,MATCH(J1803&amp;"|"&amp;D1803,cr_Key,0)),INDEX(rt_Rate,MATCH(D1803,rt_Code,0))))</f>
        <v/>
      </c>
      <c r="M1803" s="25" t="str">
        <f aca="false">IF(L1803="","",ROUND(N(E1803)*L1803,2))</f>
        <v/>
      </c>
      <c r="N1803" s="39" t="str">
        <f aca="false">IF(OR(A1803="",B1803=""),"",SUMIFS(tl_Hours,tl_StaffID,I1803,tl_Date,A1803))</f>
        <v/>
      </c>
      <c r="O1803" s="40" t="str">
        <f aca="false">IF(A1803&amp;B1803&amp;D1803="","",IF(OR(A1803="",B1803="",D1803="",E1803=""),"Incomplete",IF(K1803="Unknown","Unknown code",IF(AND(K1803="Yes",C1803=""),"Billable, needs client",IF(N1803&gt;MaxDayHours,"Over "&amp;MaxDayHours&amp;" hours that day","")))))</f>
        <v/>
      </c>
    </row>
    <row r="1804" customFormat="false" ht="15" hidden="false" customHeight="false" outlineLevel="0" collapsed="false">
      <c r="A1804" s="31"/>
      <c r="B1804" s="32"/>
      <c r="C1804" s="32"/>
      <c r="D1804" s="33"/>
      <c r="E1804" s="34"/>
      <c r="F1804" s="32"/>
      <c r="G1804" s="35" t="str">
        <f aca="false">IF(A1804="","",A1804+7-WEEKDAY(A1804))</f>
        <v/>
      </c>
      <c r="H1804" s="36" t="str">
        <f aca="false">IF(A1804="","",DATE(YEAR(A1804),MONTH(A1804),1))</f>
        <v/>
      </c>
      <c r="I1804" s="37" t="str">
        <f aca="false">IF(B1804="","",IFERROR(INDEX(st_ID,MATCH(B1804,st_Name,0)),"Unknown"))</f>
        <v/>
      </c>
      <c r="J1804" s="37" t="str">
        <f aca="false">IF(C1804="","",IFERROR(INDEX(cl_Code,MATCH(C1804,cl_Name,0)),"Unknown"))</f>
        <v/>
      </c>
      <c r="K1804" s="37" t="str">
        <f aca="false">IF(D1804="","",IFERROR(INDEX(rt_Billable,MATCH(D1804,rt_Code,0)),"Unknown"))</f>
        <v/>
      </c>
      <c r="L1804" s="38" t="str">
        <f aca="false">IF(K1804&lt;&gt;"Yes","",IFERROR(INDEX(cr_Rate,MATCH(J1804&amp;"|"&amp;D1804,cr_Key,0)),INDEX(rt_Rate,MATCH(D1804,rt_Code,0))))</f>
        <v/>
      </c>
      <c r="M1804" s="25" t="str">
        <f aca="false">IF(L1804="","",ROUND(N(E1804)*L1804,2))</f>
        <v/>
      </c>
      <c r="N1804" s="39" t="str">
        <f aca="false">IF(OR(A1804="",B1804=""),"",SUMIFS(tl_Hours,tl_StaffID,I1804,tl_Date,A1804))</f>
        <v/>
      </c>
      <c r="O1804" s="40" t="str">
        <f aca="false">IF(A1804&amp;B1804&amp;D1804="","",IF(OR(A1804="",B1804="",D1804="",E1804=""),"Incomplete",IF(K1804="Unknown","Unknown code",IF(AND(K1804="Yes",C1804=""),"Billable, needs client",IF(N1804&gt;MaxDayHours,"Over "&amp;MaxDayHours&amp;" hours that day","")))))</f>
        <v/>
      </c>
    </row>
    <row r="1805" customFormat="false" ht="15" hidden="false" customHeight="false" outlineLevel="0" collapsed="false">
      <c r="A1805" s="31"/>
      <c r="B1805" s="32"/>
      <c r="C1805" s="32"/>
      <c r="D1805" s="33"/>
      <c r="E1805" s="34"/>
      <c r="F1805" s="32"/>
      <c r="G1805" s="35" t="str">
        <f aca="false">IF(A1805="","",A1805+7-WEEKDAY(A1805))</f>
        <v/>
      </c>
      <c r="H1805" s="36" t="str">
        <f aca="false">IF(A1805="","",DATE(YEAR(A1805),MONTH(A1805),1))</f>
        <v/>
      </c>
      <c r="I1805" s="37" t="str">
        <f aca="false">IF(B1805="","",IFERROR(INDEX(st_ID,MATCH(B1805,st_Name,0)),"Unknown"))</f>
        <v/>
      </c>
      <c r="J1805" s="37" t="str">
        <f aca="false">IF(C1805="","",IFERROR(INDEX(cl_Code,MATCH(C1805,cl_Name,0)),"Unknown"))</f>
        <v/>
      </c>
      <c r="K1805" s="37" t="str">
        <f aca="false">IF(D1805="","",IFERROR(INDEX(rt_Billable,MATCH(D1805,rt_Code,0)),"Unknown"))</f>
        <v/>
      </c>
      <c r="L1805" s="38" t="str">
        <f aca="false">IF(K1805&lt;&gt;"Yes","",IFERROR(INDEX(cr_Rate,MATCH(J1805&amp;"|"&amp;D1805,cr_Key,0)),INDEX(rt_Rate,MATCH(D1805,rt_Code,0))))</f>
        <v/>
      </c>
      <c r="M1805" s="25" t="str">
        <f aca="false">IF(L1805="","",ROUND(N(E1805)*L1805,2))</f>
        <v/>
      </c>
      <c r="N1805" s="39" t="str">
        <f aca="false">IF(OR(A1805="",B1805=""),"",SUMIFS(tl_Hours,tl_StaffID,I1805,tl_Date,A1805))</f>
        <v/>
      </c>
      <c r="O1805" s="40" t="str">
        <f aca="false">IF(A1805&amp;B1805&amp;D1805="","",IF(OR(A1805="",B1805="",D1805="",E1805=""),"Incomplete",IF(K1805="Unknown","Unknown code",IF(AND(K1805="Yes",C1805=""),"Billable, needs client",IF(N1805&gt;MaxDayHours,"Over "&amp;MaxDayHours&amp;" hours that day","")))))</f>
        <v/>
      </c>
    </row>
    <row r="1806" customFormat="false" ht="15" hidden="false" customHeight="false" outlineLevel="0" collapsed="false">
      <c r="A1806" s="31"/>
      <c r="B1806" s="32"/>
      <c r="C1806" s="32"/>
      <c r="D1806" s="33"/>
      <c r="E1806" s="34"/>
      <c r="F1806" s="32"/>
      <c r="G1806" s="35" t="str">
        <f aca="false">IF(A1806="","",A1806+7-WEEKDAY(A1806))</f>
        <v/>
      </c>
      <c r="H1806" s="36" t="str">
        <f aca="false">IF(A1806="","",DATE(YEAR(A1806),MONTH(A1806),1))</f>
        <v/>
      </c>
      <c r="I1806" s="37" t="str">
        <f aca="false">IF(B1806="","",IFERROR(INDEX(st_ID,MATCH(B1806,st_Name,0)),"Unknown"))</f>
        <v/>
      </c>
      <c r="J1806" s="37" t="str">
        <f aca="false">IF(C1806="","",IFERROR(INDEX(cl_Code,MATCH(C1806,cl_Name,0)),"Unknown"))</f>
        <v/>
      </c>
      <c r="K1806" s="37" t="str">
        <f aca="false">IF(D1806="","",IFERROR(INDEX(rt_Billable,MATCH(D1806,rt_Code,0)),"Unknown"))</f>
        <v/>
      </c>
      <c r="L1806" s="38" t="str">
        <f aca="false">IF(K1806&lt;&gt;"Yes","",IFERROR(INDEX(cr_Rate,MATCH(J1806&amp;"|"&amp;D1806,cr_Key,0)),INDEX(rt_Rate,MATCH(D1806,rt_Code,0))))</f>
        <v/>
      </c>
      <c r="M1806" s="25" t="str">
        <f aca="false">IF(L1806="","",ROUND(N(E1806)*L1806,2))</f>
        <v/>
      </c>
      <c r="N1806" s="39" t="str">
        <f aca="false">IF(OR(A1806="",B1806=""),"",SUMIFS(tl_Hours,tl_StaffID,I1806,tl_Date,A1806))</f>
        <v/>
      </c>
      <c r="O1806" s="40" t="str">
        <f aca="false">IF(A1806&amp;B1806&amp;D1806="","",IF(OR(A1806="",B1806="",D1806="",E1806=""),"Incomplete",IF(K1806="Unknown","Unknown code",IF(AND(K1806="Yes",C1806=""),"Billable, needs client",IF(N1806&gt;MaxDayHours,"Over "&amp;MaxDayHours&amp;" hours that day","")))))</f>
        <v/>
      </c>
    </row>
    <row r="1807" customFormat="false" ht="15" hidden="false" customHeight="false" outlineLevel="0" collapsed="false">
      <c r="A1807" s="31"/>
      <c r="B1807" s="32"/>
      <c r="C1807" s="32"/>
      <c r="D1807" s="33"/>
      <c r="E1807" s="34"/>
      <c r="F1807" s="32"/>
      <c r="G1807" s="35" t="str">
        <f aca="false">IF(A1807="","",A1807+7-WEEKDAY(A1807))</f>
        <v/>
      </c>
      <c r="H1807" s="36" t="str">
        <f aca="false">IF(A1807="","",DATE(YEAR(A1807),MONTH(A1807),1))</f>
        <v/>
      </c>
      <c r="I1807" s="37" t="str">
        <f aca="false">IF(B1807="","",IFERROR(INDEX(st_ID,MATCH(B1807,st_Name,0)),"Unknown"))</f>
        <v/>
      </c>
      <c r="J1807" s="37" t="str">
        <f aca="false">IF(C1807="","",IFERROR(INDEX(cl_Code,MATCH(C1807,cl_Name,0)),"Unknown"))</f>
        <v/>
      </c>
      <c r="K1807" s="37" t="str">
        <f aca="false">IF(D1807="","",IFERROR(INDEX(rt_Billable,MATCH(D1807,rt_Code,0)),"Unknown"))</f>
        <v/>
      </c>
      <c r="L1807" s="38" t="str">
        <f aca="false">IF(K1807&lt;&gt;"Yes","",IFERROR(INDEX(cr_Rate,MATCH(J1807&amp;"|"&amp;D1807,cr_Key,0)),INDEX(rt_Rate,MATCH(D1807,rt_Code,0))))</f>
        <v/>
      </c>
      <c r="M1807" s="25" t="str">
        <f aca="false">IF(L1807="","",ROUND(N(E1807)*L1807,2))</f>
        <v/>
      </c>
      <c r="N1807" s="39" t="str">
        <f aca="false">IF(OR(A1807="",B1807=""),"",SUMIFS(tl_Hours,tl_StaffID,I1807,tl_Date,A1807))</f>
        <v/>
      </c>
      <c r="O1807" s="40" t="str">
        <f aca="false">IF(A1807&amp;B1807&amp;D1807="","",IF(OR(A1807="",B1807="",D1807="",E1807=""),"Incomplete",IF(K1807="Unknown","Unknown code",IF(AND(K1807="Yes",C1807=""),"Billable, needs client",IF(N1807&gt;MaxDayHours,"Over "&amp;MaxDayHours&amp;" hours that day","")))))</f>
        <v/>
      </c>
    </row>
    <row r="1808" customFormat="false" ht="15" hidden="false" customHeight="false" outlineLevel="0" collapsed="false">
      <c r="A1808" s="31"/>
      <c r="B1808" s="32"/>
      <c r="C1808" s="32"/>
      <c r="D1808" s="33"/>
      <c r="E1808" s="34"/>
      <c r="F1808" s="32"/>
      <c r="G1808" s="35" t="str">
        <f aca="false">IF(A1808="","",A1808+7-WEEKDAY(A1808))</f>
        <v/>
      </c>
      <c r="H1808" s="36" t="str">
        <f aca="false">IF(A1808="","",DATE(YEAR(A1808),MONTH(A1808),1))</f>
        <v/>
      </c>
      <c r="I1808" s="37" t="str">
        <f aca="false">IF(B1808="","",IFERROR(INDEX(st_ID,MATCH(B1808,st_Name,0)),"Unknown"))</f>
        <v/>
      </c>
      <c r="J1808" s="37" t="str">
        <f aca="false">IF(C1808="","",IFERROR(INDEX(cl_Code,MATCH(C1808,cl_Name,0)),"Unknown"))</f>
        <v/>
      </c>
      <c r="K1808" s="37" t="str">
        <f aca="false">IF(D1808="","",IFERROR(INDEX(rt_Billable,MATCH(D1808,rt_Code,0)),"Unknown"))</f>
        <v/>
      </c>
      <c r="L1808" s="38" t="str">
        <f aca="false">IF(K1808&lt;&gt;"Yes","",IFERROR(INDEX(cr_Rate,MATCH(J1808&amp;"|"&amp;D1808,cr_Key,0)),INDEX(rt_Rate,MATCH(D1808,rt_Code,0))))</f>
        <v/>
      </c>
      <c r="M1808" s="25" t="str">
        <f aca="false">IF(L1808="","",ROUND(N(E1808)*L1808,2))</f>
        <v/>
      </c>
      <c r="N1808" s="39" t="str">
        <f aca="false">IF(OR(A1808="",B1808=""),"",SUMIFS(tl_Hours,tl_StaffID,I1808,tl_Date,A1808))</f>
        <v/>
      </c>
      <c r="O1808" s="40" t="str">
        <f aca="false">IF(A1808&amp;B1808&amp;D1808="","",IF(OR(A1808="",B1808="",D1808="",E1808=""),"Incomplete",IF(K1808="Unknown","Unknown code",IF(AND(K1808="Yes",C1808=""),"Billable, needs client",IF(N1808&gt;MaxDayHours,"Over "&amp;MaxDayHours&amp;" hours that day","")))))</f>
        <v/>
      </c>
    </row>
    <row r="1809" customFormat="false" ht="15" hidden="false" customHeight="false" outlineLevel="0" collapsed="false">
      <c r="A1809" s="31"/>
      <c r="B1809" s="32"/>
      <c r="C1809" s="32"/>
      <c r="D1809" s="33"/>
      <c r="E1809" s="34"/>
      <c r="F1809" s="32"/>
      <c r="G1809" s="35" t="str">
        <f aca="false">IF(A1809="","",A1809+7-WEEKDAY(A1809))</f>
        <v/>
      </c>
      <c r="H1809" s="36" t="str">
        <f aca="false">IF(A1809="","",DATE(YEAR(A1809),MONTH(A1809),1))</f>
        <v/>
      </c>
      <c r="I1809" s="37" t="str">
        <f aca="false">IF(B1809="","",IFERROR(INDEX(st_ID,MATCH(B1809,st_Name,0)),"Unknown"))</f>
        <v/>
      </c>
      <c r="J1809" s="37" t="str">
        <f aca="false">IF(C1809="","",IFERROR(INDEX(cl_Code,MATCH(C1809,cl_Name,0)),"Unknown"))</f>
        <v/>
      </c>
      <c r="K1809" s="37" t="str">
        <f aca="false">IF(D1809="","",IFERROR(INDEX(rt_Billable,MATCH(D1809,rt_Code,0)),"Unknown"))</f>
        <v/>
      </c>
      <c r="L1809" s="38" t="str">
        <f aca="false">IF(K1809&lt;&gt;"Yes","",IFERROR(INDEX(cr_Rate,MATCH(J1809&amp;"|"&amp;D1809,cr_Key,0)),INDEX(rt_Rate,MATCH(D1809,rt_Code,0))))</f>
        <v/>
      </c>
      <c r="M1809" s="25" t="str">
        <f aca="false">IF(L1809="","",ROUND(N(E1809)*L1809,2))</f>
        <v/>
      </c>
      <c r="N1809" s="39" t="str">
        <f aca="false">IF(OR(A1809="",B1809=""),"",SUMIFS(tl_Hours,tl_StaffID,I1809,tl_Date,A1809))</f>
        <v/>
      </c>
      <c r="O1809" s="40" t="str">
        <f aca="false">IF(A1809&amp;B1809&amp;D1809="","",IF(OR(A1809="",B1809="",D1809="",E1809=""),"Incomplete",IF(K1809="Unknown","Unknown code",IF(AND(K1809="Yes",C1809=""),"Billable, needs client",IF(N1809&gt;MaxDayHours,"Over "&amp;MaxDayHours&amp;" hours that day","")))))</f>
        <v/>
      </c>
    </row>
    <row r="1810" customFormat="false" ht="15" hidden="false" customHeight="false" outlineLevel="0" collapsed="false">
      <c r="A1810" s="31"/>
      <c r="B1810" s="32"/>
      <c r="C1810" s="32"/>
      <c r="D1810" s="33"/>
      <c r="E1810" s="34"/>
      <c r="F1810" s="32"/>
      <c r="G1810" s="35" t="str">
        <f aca="false">IF(A1810="","",A1810+7-WEEKDAY(A1810))</f>
        <v/>
      </c>
      <c r="H1810" s="36" t="str">
        <f aca="false">IF(A1810="","",DATE(YEAR(A1810),MONTH(A1810),1))</f>
        <v/>
      </c>
      <c r="I1810" s="37" t="str">
        <f aca="false">IF(B1810="","",IFERROR(INDEX(st_ID,MATCH(B1810,st_Name,0)),"Unknown"))</f>
        <v/>
      </c>
      <c r="J1810" s="37" t="str">
        <f aca="false">IF(C1810="","",IFERROR(INDEX(cl_Code,MATCH(C1810,cl_Name,0)),"Unknown"))</f>
        <v/>
      </c>
      <c r="K1810" s="37" t="str">
        <f aca="false">IF(D1810="","",IFERROR(INDEX(rt_Billable,MATCH(D1810,rt_Code,0)),"Unknown"))</f>
        <v/>
      </c>
      <c r="L1810" s="38" t="str">
        <f aca="false">IF(K1810&lt;&gt;"Yes","",IFERROR(INDEX(cr_Rate,MATCH(J1810&amp;"|"&amp;D1810,cr_Key,0)),INDEX(rt_Rate,MATCH(D1810,rt_Code,0))))</f>
        <v/>
      </c>
      <c r="M1810" s="25" t="str">
        <f aca="false">IF(L1810="","",ROUND(N(E1810)*L1810,2))</f>
        <v/>
      </c>
      <c r="N1810" s="39" t="str">
        <f aca="false">IF(OR(A1810="",B1810=""),"",SUMIFS(tl_Hours,tl_StaffID,I1810,tl_Date,A1810))</f>
        <v/>
      </c>
      <c r="O1810" s="40" t="str">
        <f aca="false">IF(A1810&amp;B1810&amp;D1810="","",IF(OR(A1810="",B1810="",D1810="",E1810=""),"Incomplete",IF(K1810="Unknown","Unknown code",IF(AND(K1810="Yes",C1810=""),"Billable, needs client",IF(N1810&gt;MaxDayHours,"Over "&amp;MaxDayHours&amp;" hours that day","")))))</f>
        <v/>
      </c>
    </row>
    <row r="1811" customFormat="false" ht="15" hidden="false" customHeight="false" outlineLevel="0" collapsed="false">
      <c r="A1811" s="31"/>
      <c r="B1811" s="32"/>
      <c r="C1811" s="32"/>
      <c r="D1811" s="33"/>
      <c r="E1811" s="34"/>
      <c r="F1811" s="32"/>
      <c r="G1811" s="35" t="str">
        <f aca="false">IF(A1811="","",A1811+7-WEEKDAY(A1811))</f>
        <v/>
      </c>
      <c r="H1811" s="36" t="str">
        <f aca="false">IF(A1811="","",DATE(YEAR(A1811),MONTH(A1811),1))</f>
        <v/>
      </c>
      <c r="I1811" s="37" t="str">
        <f aca="false">IF(B1811="","",IFERROR(INDEX(st_ID,MATCH(B1811,st_Name,0)),"Unknown"))</f>
        <v/>
      </c>
      <c r="J1811" s="37" t="str">
        <f aca="false">IF(C1811="","",IFERROR(INDEX(cl_Code,MATCH(C1811,cl_Name,0)),"Unknown"))</f>
        <v/>
      </c>
      <c r="K1811" s="37" t="str">
        <f aca="false">IF(D1811="","",IFERROR(INDEX(rt_Billable,MATCH(D1811,rt_Code,0)),"Unknown"))</f>
        <v/>
      </c>
      <c r="L1811" s="38" t="str">
        <f aca="false">IF(K1811&lt;&gt;"Yes","",IFERROR(INDEX(cr_Rate,MATCH(J1811&amp;"|"&amp;D1811,cr_Key,0)),INDEX(rt_Rate,MATCH(D1811,rt_Code,0))))</f>
        <v/>
      </c>
      <c r="M1811" s="25" t="str">
        <f aca="false">IF(L1811="","",ROUND(N(E1811)*L1811,2))</f>
        <v/>
      </c>
      <c r="N1811" s="39" t="str">
        <f aca="false">IF(OR(A1811="",B1811=""),"",SUMIFS(tl_Hours,tl_StaffID,I1811,tl_Date,A1811))</f>
        <v/>
      </c>
      <c r="O1811" s="40" t="str">
        <f aca="false">IF(A1811&amp;B1811&amp;D1811="","",IF(OR(A1811="",B1811="",D1811="",E1811=""),"Incomplete",IF(K1811="Unknown","Unknown code",IF(AND(K1811="Yes",C1811=""),"Billable, needs client",IF(N1811&gt;MaxDayHours,"Over "&amp;MaxDayHours&amp;" hours that day","")))))</f>
        <v/>
      </c>
    </row>
    <row r="1812" customFormat="false" ht="15" hidden="false" customHeight="false" outlineLevel="0" collapsed="false">
      <c r="A1812" s="31"/>
      <c r="B1812" s="32"/>
      <c r="C1812" s="32"/>
      <c r="D1812" s="33"/>
      <c r="E1812" s="34"/>
      <c r="F1812" s="32"/>
      <c r="G1812" s="35" t="str">
        <f aca="false">IF(A1812="","",A1812+7-WEEKDAY(A1812))</f>
        <v/>
      </c>
      <c r="H1812" s="36" t="str">
        <f aca="false">IF(A1812="","",DATE(YEAR(A1812),MONTH(A1812),1))</f>
        <v/>
      </c>
      <c r="I1812" s="37" t="str">
        <f aca="false">IF(B1812="","",IFERROR(INDEX(st_ID,MATCH(B1812,st_Name,0)),"Unknown"))</f>
        <v/>
      </c>
      <c r="J1812" s="37" t="str">
        <f aca="false">IF(C1812="","",IFERROR(INDEX(cl_Code,MATCH(C1812,cl_Name,0)),"Unknown"))</f>
        <v/>
      </c>
      <c r="K1812" s="37" t="str">
        <f aca="false">IF(D1812="","",IFERROR(INDEX(rt_Billable,MATCH(D1812,rt_Code,0)),"Unknown"))</f>
        <v/>
      </c>
      <c r="L1812" s="38" t="str">
        <f aca="false">IF(K1812&lt;&gt;"Yes","",IFERROR(INDEX(cr_Rate,MATCH(J1812&amp;"|"&amp;D1812,cr_Key,0)),INDEX(rt_Rate,MATCH(D1812,rt_Code,0))))</f>
        <v/>
      </c>
      <c r="M1812" s="25" t="str">
        <f aca="false">IF(L1812="","",ROUND(N(E1812)*L1812,2))</f>
        <v/>
      </c>
      <c r="N1812" s="39" t="str">
        <f aca="false">IF(OR(A1812="",B1812=""),"",SUMIFS(tl_Hours,tl_StaffID,I1812,tl_Date,A1812))</f>
        <v/>
      </c>
      <c r="O1812" s="40" t="str">
        <f aca="false">IF(A1812&amp;B1812&amp;D1812="","",IF(OR(A1812="",B1812="",D1812="",E1812=""),"Incomplete",IF(K1812="Unknown","Unknown code",IF(AND(K1812="Yes",C1812=""),"Billable, needs client",IF(N1812&gt;MaxDayHours,"Over "&amp;MaxDayHours&amp;" hours that day","")))))</f>
        <v/>
      </c>
    </row>
    <row r="1813" customFormat="false" ht="15" hidden="false" customHeight="false" outlineLevel="0" collapsed="false">
      <c r="A1813" s="31"/>
      <c r="B1813" s="32"/>
      <c r="C1813" s="32"/>
      <c r="D1813" s="33"/>
      <c r="E1813" s="34"/>
      <c r="F1813" s="32"/>
      <c r="G1813" s="35" t="str">
        <f aca="false">IF(A1813="","",A1813+7-WEEKDAY(A1813))</f>
        <v/>
      </c>
      <c r="H1813" s="36" t="str">
        <f aca="false">IF(A1813="","",DATE(YEAR(A1813),MONTH(A1813),1))</f>
        <v/>
      </c>
      <c r="I1813" s="37" t="str">
        <f aca="false">IF(B1813="","",IFERROR(INDEX(st_ID,MATCH(B1813,st_Name,0)),"Unknown"))</f>
        <v/>
      </c>
      <c r="J1813" s="37" t="str">
        <f aca="false">IF(C1813="","",IFERROR(INDEX(cl_Code,MATCH(C1813,cl_Name,0)),"Unknown"))</f>
        <v/>
      </c>
      <c r="K1813" s="37" t="str">
        <f aca="false">IF(D1813="","",IFERROR(INDEX(rt_Billable,MATCH(D1813,rt_Code,0)),"Unknown"))</f>
        <v/>
      </c>
      <c r="L1813" s="38" t="str">
        <f aca="false">IF(K1813&lt;&gt;"Yes","",IFERROR(INDEX(cr_Rate,MATCH(J1813&amp;"|"&amp;D1813,cr_Key,0)),INDEX(rt_Rate,MATCH(D1813,rt_Code,0))))</f>
        <v/>
      </c>
      <c r="M1813" s="25" t="str">
        <f aca="false">IF(L1813="","",ROUND(N(E1813)*L1813,2))</f>
        <v/>
      </c>
      <c r="N1813" s="39" t="str">
        <f aca="false">IF(OR(A1813="",B1813=""),"",SUMIFS(tl_Hours,tl_StaffID,I1813,tl_Date,A1813))</f>
        <v/>
      </c>
      <c r="O1813" s="40" t="str">
        <f aca="false">IF(A1813&amp;B1813&amp;D1813="","",IF(OR(A1813="",B1813="",D1813="",E1813=""),"Incomplete",IF(K1813="Unknown","Unknown code",IF(AND(K1813="Yes",C1813=""),"Billable, needs client",IF(N1813&gt;MaxDayHours,"Over "&amp;MaxDayHours&amp;" hours that day","")))))</f>
        <v/>
      </c>
    </row>
    <row r="1814" customFormat="false" ht="15" hidden="false" customHeight="false" outlineLevel="0" collapsed="false">
      <c r="A1814" s="31"/>
      <c r="B1814" s="32"/>
      <c r="C1814" s="32"/>
      <c r="D1814" s="33"/>
      <c r="E1814" s="34"/>
      <c r="F1814" s="32"/>
      <c r="G1814" s="35" t="str">
        <f aca="false">IF(A1814="","",A1814+7-WEEKDAY(A1814))</f>
        <v/>
      </c>
      <c r="H1814" s="36" t="str">
        <f aca="false">IF(A1814="","",DATE(YEAR(A1814),MONTH(A1814),1))</f>
        <v/>
      </c>
      <c r="I1814" s="37" t="str">
        <f aca="false">IF(B1814="","",IFERROR(INDEX(st_ID,MATCH(B1814,st_Name,0)),"Unknown"))</f>
        <v/>
      </c>
      <c r="J1814" s="37" t="str">
        <f aca="false">IF(C1814="","",IFERROR(INDEX(cl_Code,MATCH(C1814,cl_Name,0)),"Unknown"))</f>
        <v/>
      </c>
      <c r="K1814" s="37" t="str">
        <f aca="false">IF(D1814="","",IFERROR(INDEX(rt_Billable,MATCH(D1814,rt_Code,0)),"Unknown"))</f>
        <v/>
      </c>
      <c r="L1814" s="38" t="str">
        <f aca="false">IF(K1814&lt;&gt;"Yes","",IFERROR(INDEX(cr_Rate,MATCH(J1814&amp;"|"&amp;D1814,cr_Key,0)),INDEX(rt_Rate,MATCH(D1814,rt_Code,0))))</f>
        <v/>
      </c>
      <c r="M1814" s="25" t="str">
        <f aca="false">IF(L1814="","",ROUND(N(E1814)*L1814,2))</f>
        <v/>
      </c>
      <c r="N1814" s="39" t="str">
        <f aca="false">IF(OR(A1814="",B1814=""),"",SUMIFS(tl_Hours,tl_StaffID,I1814,tl_Date,A1814))</f>
        <v/>
      </c>
      <c r="O1814" s="40" t="str">
        <f aca="false">IF(A1814&amp;B1814&amp;D1814="","",IF(OR(A1814="",B1814="",D1814="",E1814=""),"Incomplete",IF(K1814="Unknown","Unknown code",IF(AND(K1814="Yes",C1814=""),"Billable, needs client",IF(N1814&gt;MaxDayHours,"Over "&amp;MaxDayHours&amp;" hours that day","")))))</f>
        <v/>
      </c>
    </row>
    <row r="1815" customFormat="false" ht="15" hidden="false" customHeight="false" outlineLevel="0" collapsed="false">
      <c r="A1815" s="31"/>
      <c r="B1815" s="32"/>
      <c r="C1815" s="32"/>
      <c r="D1815" s="33"/>
      <c r="E1815" s="34"/>
      <c r="F1815" s="32"/>
      <c r="G1815" s="35" t="str">
        <f aca="false">IF(A1815="","",A1815+7-WEEKDAY(A1815))</f>
        <v/>
      </c>
      <c r="H1815" s="36" t="str">
        <f aca="false">IF(A1815="","",DATE(YEAR(A1815),MONTH(A1815),1))</f>
        <v/>
      </c>
      <c r="I1815" s="37" t="str">
        <f aca="false">IF(B1815="","",IFERROR(INDEX(st_ID,MATCH(B1815,st_Name,0)),"Unknown"))</f>
        <v/>
      </c>
      <c r="J1815" s="37" t="str">
        <f aca="false">IF(C1815="","",IFERROR(INDEX(cl_Code,MATCH(C1815,cl_Name,0)),"Unknown"))</f>
        <v/>
      </c>
      <c r="K1815" s="37" t="str">
        <f aca="false">IF(D1815="","",IFERROR(INDEX(rt_Billable,MATCH(D1815,rt_Code,0)),"Unknown"))</f>
        <v/>
      </c>
      <c r="L1815" s="38" t="str">
        <f aca="false">IF(K1815&lt;&gt;"Yes","",IFERROR(INDEX(cr_Rate,MATCH(J1815&amp;"|"&amp;D1815,cr_Key,0)),INDEX(rt_Rate,MATCH(D1815,rt_Code,0))))</f>
        <v/>
      </c>
      <c r="M1815" s="25" t="str">
        <f aca="false">IF(L1815="","",ROUND(N(E1815)*L1815,2))</f>
        <v/>
      </c>
      <c r="N1815" s="39" t="str">
        <f aca="false">IF(OR(A1815="",B1815=""),"",SUMIFS(tl_Hours,tl_StaffID,I1815,tl_Date,A1815))</f>
        <v/>
      </c>
      <c r="O1815" s="40" t="str">
        <f aca="false">IF(A1815&amp;B1815&amp;D1815="","",IF(OR(A1815="",B1815="",D1815="",E1815=""),"Incomplete",IF(K1815="Unknown","Unknown code",IF(AND(K1815="Yes",C1815=""),"Billable, needs client",IF(N1815&gt;MaxDayHours,"Over "&amp;MaxDayHours&amp;" hours that day","")))))</f>
        <v/>
      </c>
    </row>
    <row r="1816" customFormat="false" ht="15" hidden="false" customHeight="false" outlineLevel="0" collapsed="false">
      <c r="A1816" s="31"/>
      <c r="B1816" s="32"/>
      <c r="C1816" s="32"/>
      <c r="D1816" s="33"/>
      <c r="E1816" s="34"/>
      <c r="F1816" s="32"/>
      <c r="G1816" s="35" t="str">
        <f aca="false">IF(A1816="","",A1816+7-WEEKDAY(A1816))</f>
        <v/>
      </c>
      <c r="H1816" s="36" t="str">
        <f aca="false">IF(A1816="","",DATE(YEAR(A1816),MONTH(A1816),1))</f>
        <v/>
      </c>
      <c r="I1816" s="37" t="str">
        <f aca="false">IF(B1816="","",IFERROR(INDEX(st_ID,MATCH(B1816,st_Name,0)),"Unknown"))</f>
        <v/>
      </c>
      <c r="J1816" s="37" t="str">
        <f aca="false">IF(C1816="","",IFERROR(INDEX(cl_Code,MATCH(C1816,cl_Name,0)),"Unknown"))</f>
        <v/>
      </c>
      <c r="K1816" s="37" t="str">
        <f aca="false">IF(D1816="","",IFERROR(INDEX(rt_Billable,MATCH(D1816,rt_Code,0)),"Unknown"))</f>
        <v/>
      </c>
      <c r="L1816" s="38" t="str">
        <f aca="false">IF(K1816&lt;&gt;"Yes","",IFERROR(INDEX(cr_Rate,MATCH(J1816&amp;"|"&amp;D1816,cr_Key,0)),INDEX(rt_Rate,MATCH(D1816,rt_Code,0))))</f>
        <v/>
      </c>
      <c r="M1816" s="25" t="str">
        <f aca="false">IF(L1816="","",ROUND(N(E1816)*L1816,2))</f>
        <v/>
      </c>
      <c r="N1816" s="39" t="str">
        <f aca="false">IF(OR(A1816="",B1816=""),"",SUMIFS(tl_Hours,tl_StaffID,I1816,tl_Date,A1816))</f>
        <v/>
      </c>
      <c r="O1816" s="40" t="str">
        <f aca="false">IF(A1816&amp;B1816&amp;D1816="","",IF(OR(A1816="",B1816="",D1816="",E1816=""),"Incomplete",IF(K1816="Unknown","Unknown code",IF(AND(K1816="Yes",C1816=""),"Billable, needs client",IF(N1816&gt;MaxDayHours,"Over "&amp;MaxDayHours&amp;" hours that day","")))))</f>
        <v/>
      </c>
    </row>
    <row r="1817" customFormat="false" ht="15" hidden="false" customHeight="false" outlineLevel="0" collapsed="false">
      <c r="A1817" s="31"/>
      <c r="B1817" s="32"/>
      <c r="C1817" s="32"/>
      <c r="D1817" s="33"/>
      <c r="E1817" s="34"/>
      <c r="F1817" s="32"/>
      <c r="G1817" s="35" t="str">
        <f aca="false">IF(A1817="","",A1817+7-WEEKDAY(A1817))</f>
        <v/>
      </c>
      <c r="H1817" s="36" t="str">
        <f aca="false">IF(A1817="","",DATE(YEAR(A1817),MONTH(A1817),1))</f>
        <v/>
      </c>
      <c r="I1817" s="37" t="str">
        <f aca="false">IF(B1817="","",IFERROR(INDEX(st_ID,MATCH(B1817,st_Name,0)),"Unknown"))</f>
        <v/>
      </c>
      <c r="J1817" s="37" t="str">
        <f aca="false">IF(C1817="","",IFERROR(INDEX(cl_Code,MATCH(C1817,cl_Name,0)),"Unknown"))</f>
        <v/>
      </c>
      <c r="K1817" s="37" t="str">
        <f aca="false">IF(D1817="","",IFERROR(INDEX(rt_Billable,MATCH(D1817,rt_Code,0)),"Unknown"))</f>
        <v/>
      </c>
      <c r="L1817" s="38" t="str">
        <f aca="false">IF(K1817&lt;&gt;"Yes","",IFERROR(INDEX(cr_Rate,MATCH(J1817&amp;"|"&amp;D1817,cr_Key,0)),INDEX(rt_Rate,MATCH(D1817,rt_Code,0))))</f>
        <v/>
      </c>
      <c r="M1817" s="25" t="str">
        <f aca="false">IF(L1817="","",ROUND(N(E1817)*L1817,2))</f>
        <v/>
      </c>
      <c r="N1817" s="39" t="str">
        <f aca="false">IF(OR(A1817="",B1817=""),"",SUMIFS(tl_Hours,tl_StaffID,I1817,tl_Date,A1817))</f>
        <v/>
      </c>
      <c r="O1817" s="40" t="str">
        <f aca="false">IF(A1817&amp;B1817&amp;D1817="","",IF(OR(A1817="",B1817="",D1817="",E1817=""),"Incomplete",IF(K1817="Unknown","Unknown code",IF(AND(K1817="Yes",C1817=""),"Billable, needs client",IF(N1817&gt;MaxDayHours,"Over "&amp;MaxDayHours&amp;" hours that day","")))))</f>
        <v/>
      </c>
    </row>
    <row r="1818" customFormat="false" ht="15" hidden="false" customHeight="false" outlineLevel="0" collapsed="false">
      <c r="A1818" s="31"/>
      <c r="B1818" s="32"/>
      <c r="C1818" s="32"/>
      <c r="D1818" s="33"/>
      <c r="E1818" s="34"/>
      <c r="F1818" s="32"/>
      <c r="G1818" s="35" t="str">
        <f aca="false">IF(A1818="","",A1818+7-WEEKDAY(A1818))</f>
        <v/>
      </c>
      <c r="H1818" s="36" t="str">
        <f aca="false">IF(A1818="","",DATE(YEAR(A1818),MONTH(A1818),1))</f>
        <v/>
      </c>
      <c r="I1818" s="37" t="str">
        <f aca="false">IF(B1818="","",IFERROR(INDEX(st_ID,MATCH(B1818,st_Name,0)),"Unknown"))</f>
        <v/>
      </c>
      <c r="J1818" s="37" t="str">
        <f aca="false">IF(C1818="","",IFERROR(INDEX(cl_Code,MATCH(C1818,cl_Name,0)),"Unknown"))</f>
        <v/>
      </c>
      <c r="K1818" s="37" t="str">
        <f aca="false">IF(D1818="","",IFERROR(INDEX(rt_Billable,MATCH(D1818,rt_Code,0)),"Unknown"))</f>
        <v/>
      </c>
      <c r="L1818" s="38" t="str">
        <f aca="false">IF(K1818&lt;&gt;"Yes","",IFERROR(INDEX(cr_Rate,MATCH(J1818&amp;"|"&amp;D1818,cr_Key,0)),INDEX(rt_Rate,MATCH(D1818,rt_Code,0))))</f>
        <v/>
      </c>
      <c r="M1818" s="25" t="str">
        <f aca="false">IF(L1818="","",ROUND(N(E1818)*L1818,2))</f>
        <v/>
      </c>
      <c r="N1818" s="39" t="str">
        <f aca="false">IF(OR(A1818="",B1818=""),"",SUMIFS(tl_Hours,tl_StaffID,I1818,tl_Date,A1818))</f>
        <v/>
      </c>
      <c r="O1818" s="40" t="str">
        <f aca="false">IF(A1818&amp;B1818&amp;D1818="","",IF(OR(A1818="",B1818="",D1818="",E1818=""),"Incomplete",IF(K1818="Unknown","Unknown code",IF(AND(K1818="Yes",C1818=""),"Billable, needs client",IF(N1818&gt;MaxDayHours,"Over "&amp;MaxDayHours&amp;" hours that day","")))))</f>
        <v/>
      </c>
    </row>
    <row r="1819" customFormat="false" ht="15" hidden="false" customHeight="false" outlineLevel="0" collapsed="false">
      <c r="A1819" s="31"/>
      <c r="B1819" s="32"/>
      <c r="C1819" s="32"/>
      <c r="D1819" s="33"/>
      <c r="E1819" s="34"/>
      <c r="F1819" s="32"/>
      <c r="G1819" s="35" t="str">
        <f aca="false">IF(A1819="","",A1819+7-WEEKDAY(A1819))</f>
        <v/>
      </c>
      <c r="H1819" s="36" t="str">
        <f aca="false">IF(A1819="","",DATE(YEAR(A1819),MONTH(A1819),1))</f>
        <v/>
      </c>
      <c r="I1819" s="37" t="str">
        <f aca="false">IF(B1819="","",IFERROR(INDEX(st_ID,MATCH(B1819,st_Name,0)),"Unknown"))</f>
        <v/>
      </c>
      <c r="J1819" s="37" t="str">
        <f aca="false">IF(C1819="","",IFERROR(INDEX(cl_Code,MATCH(C1819,cl_Name,0)),"Unknown"))</f>
        <v/>
      </c>
      <c r="K1819" s="37" t="str">
        <f aca="false">IF(D1819="","",IFERROR(INDEX(rt_Billable,MATCH(D1819,rt_Code,0)),"Unknown"))</f>
        <v/>
      </c>
      <c r="L1819" s="38" t="str">
        <f aca="false">IF(K1819&lt;&gt;"Yes","",IFERROR(INDEX(cr_Rate,MATCH(J1819&amp;"|"&amp;D1819,cr_Key,0)),INDEX(rt_Rate,MATCH(D1819,rt_Code,0))))</f>
        <v/>
      </c>
      <c r="M1819" s="25" t="str">
        <f aca="false">IF(L1819="","",ROUND(N(E1819)*L1819,2))</f>
        <v/>
      </c>
      <c r="N1819" s="39" t="str">
        <f aca="false">IF(OR(A1819="",B1819=""),"",SUMIFS(tl_Hours,tl_StaffID,I1819,tl_Date,A1819))</f>
        <v/>
      </c>
      <c r="O1819" s="40" t="str">
        <f aca="false">IF(A1819&amp;B1819&amp;D1819="","",IF(OR(A1819="",B1819="",D1819="",E1819=""),"Incomplete",IF(K1819="Unknown","Unknown code",IF(AND(K1819="Yes",C1819=""),"Billable, needs client",IF(N1819&gt;MaxDayHours,"Over "&amp;MaxDayHours&amp;" hours that day","")))))</f>
        <v/>
      </c>
    </row>
    <row r="1820" customFormat="false" ht="15" hidden="false" customHeight="false" outlineLevel="0" collapsed="false">
      <c r="A1820" s="31"/>
      <c r="B1820" s="32"/>
      <c r="C1820" s="32"/>
      <c r="D1820" s="33"/>
      <c r="E1820" s="34"/>
      <c r="F1820" s="32"/>
      <c r="G1820" s="35" t="str">
        <f aca="false">IF(A1820="","",A1820+7-WEEKDAY(A1820))</f>
        <v/>
      </c>
      <c r="H1820" s="36" t="str">
        <f aca="false">IF(A1820="","",DATE(YEAR(A1820),MONTH(A1820),1))</f>
        <v/>
      </c>
      <c r="I1820" s="37" t="str">
        <f aca="false">IF(B1820="","",IFERROR(INDEX(st_ID,MATCH(B1820,st_Name,0)),"Unknown"))</f>
        <v/>
      </c>
      <c r="J1820" s="37" t="str">
        <f aca="false">IF(C1820="","",IFERROR(INDEX(cl_Code,MATCH(C1820,cl_Name,0)),"Unknown"))</f>
        <v/>
      </c>
      <c r="K1820" s="37" t="str">
        <f aca="false">IF(D1820="","",IFERROR(INDEX(rt_Billable,MATCH(D1820,rt_Code,0)),"Unknown"))</f>
        <v/>
      </c>
      <c r="L1820" s="38" t="str">
        <f aca="false">IF(K1820&lt;&gt;"Yes","",IFERROR(INDEX(cr_Rate,MATCH(J1820&amp;"|"&amp;D1820,cr_Key,0)),INDEX(rt_Rate,MATCH(D1820,rt_Code,0))))</f>
        <v/>
      </c>
      <c r="M1820" s="25" t="str">
        <f aca="false">IF(L1820="","",ROUND(N(E1820)*L1820,2))</f>
        <v/>
      </c>
      <c r="N1820" s="39" t="str">
        <f aca="false">IF(OR(A1820="",B1820=""),"",SUMIFS(tl_Hours,tl_StaffID,I1820,tl_Date,A1820))</f>
        <v/>
      </c>
      <c r="O1820" s="40" t="str">
        <f aca="false">IF(A1820&amp;B1820&amp;D1820="","",IF(OR(A1820="",B1820="",D1820="",E1820=""),"Incomplete",IF(K1820="Unknown","Unknown code",IF(AND(K1820="Yes",C1820=""),"Billable, needs client",IF(N1820&gt;MaxDayHours,"Over "&amp;MaxDayHours&amp;" hours that day","")))))</f>
        <v/>
      </c>
    </row>
    <row r="1821" customFormat="false" ht="15" hidden="false" customHeight="false" outlineLevel="0" collapsed="false">
      <c r="A1821" s="31"/>
      <c r="B1821" s="32"/>
      <c r="C1821" s="32"/>
      <c r="D1821" s="33"/>
      <c r="E1821" s="34"/>
      <c r="F1821" s="32"/>
      <c r="G1821" s="35" t="str">
        <f aca="false">IF(A1821="","",A1821+7-WEEKDAY(A1821))</f>
        <v/>
      </c>
      <c r="H1821" s="36" t="str">
        <f aca="false">IF(A1821="","",DATE(YEAR(A1821),MONTH(A1821),1))</f>
        <v/>
      </c>
      <c r="I1821" s="37" t="str">
        <f aca="false">IF(B1821="","",IFERROR(INDEX(st_ID,MATCH(B1821,st_Name,0)),"Unknown"))</f>
        <v/>
      </c>
      <c r="J1821" s="37" t="str">
        <f aca="false">IF(C1821="","",IFERROR(INDEX(cl_Code,MATCH(C1821,cl_Name,0)),"Unknown"))</f>
        <v/>
      </c>
      <c r="K1821" s="37" t="str">
        <f aca="false">IF(D1821="","",IFERROR(INDEX(rt_Billable,MATCH(D1821,rt_Code,0)),"Unknown"))</f>
        <v/>
      </c>
      <c r="L1821" s="38" t="str">
        <f aca="false">IF(K1821&lt;&gt;"Yes","",IFERROR(INDEX(cr_Rate,MATCH(J1821&amp;"|"&amp;D1821,cr_Key,0)),INDEX(rt_Rate,MATCH(D1821,rt_Code,0))))</f>
        <v/>
      </c>
      <c r="M1821" s="25" t="str">
        <f aca="false">IF(L1821="","",ROUND(N(E1821)*L1821,2))</f>
        <v/>
      </c>
      <c r="N1821" s="39" t="str">
        <f aca="false">IF(OR(A1821="",B1821=""),"",SUMIFS(tl_Hours,tl_StaffID,I1821,tl_Date,A1821))</f>
        <v/>
      </c>
      <c r="O1821" s="40" t="str">
        <f aca="false">IF(A1821&amp;B1821&amp;D1821="","",IF(OR(A1821="",B1821="",D1821="",E1821=""),"Incomplete",IF(K1821="Unknown","Unknown code",IF(AND(K1821="Yes",C1821=""),"Billable, needs client",IF(N1821&gt;MaxDayHours,"Over "&amp;MaxDayHours&amp;" hours that day","")))))</f>
        <v/>
      </c>
    </row>
    <row r="1822" customFormat="false" ht="15" hidden="false" customHeight="false" outlineLevel="0" collapsed="false">
      <c r="A1822" s="31"/>
      <c r="B1822" s="32"/>
      <c r="C1822" s="32"/>
      <c r="D1822" s="33"/>
      <c r="E1822" s="34"/>
      <c r="F1822" s="32"/>
      <c r="G1822" s="35" t="str">
        <f aca="false">IF(A1822="","",A1822+7-WEEKDAY(A1822))</f>
        <v/>
      </c>
      <c r="H1822" s="36" t="str">
        <f aca="false">IF(A1822="","",DATE(YEAR(A1822),MONTH(A1822),1))</f>
        <v/>
      </c>
      <c r="I1822" s="37" t="str">
        <f aca="false">IF(B1822="","",IFERROR(INDEX(st_ID,MATCH(B1822,st_Name,0)),"Unknown"))</f>
        <v/>
      </c>
      <c r="J1822" s="37" t="str">
        <f aca="false">IF(C1822="","",IFERROR(INDEX(cl_Code,MATCH(C1822,cl_Name,0)),"Unknown"))</f>
        <v/>
      </c>
      <c r="K1822" s="37" t="str">
        <f aca="false">IF(D1822="","",IFERROR(INDEX(rt_Billable,MATCH(D1822,rt_Code,0)),"Unknown"))</f>
        <v/>
      </c>
      <c r="L1822" s="38" t="str">
        <f aca="false">IF(K1822&lt;&gt;"Yes","",IFERROR(INDEX(cr_Rate,MATCH(J1822&amp;"|"&amp;D1822,cr_Key,0)),INDEX(rt_Rate,MATCH(D1822,rt_Code,0))))</f>
        <v/>
      </c>
      <c r="M1822" s="25" t="str">
        <f aca="false">IF(L1822="","",ROUND(N(E1822)*L1822,2))</f>
        <v/>
      </c>
      <c r="N1822" s="39" t="str">
        <f aca="false">IF(OR(A1822="",B1822=""),"",SUMIFS(tl_Hours,tl_StaffID,I1822,tl_Date,A1822))</f>
        <v/>
      </c>
      <c r="O1822" s="40" t="str">
        <f aca="false">IF(A1822&amp;B1822&amp;D1822="","",IF(OR(A1822="",B1822="",D1822="",E1822=""),"Incomplete",IF(K1822="Unknown","Unknown code",IF(AND(K1822="Yes",C1822=""),"Billable, needs client",IF(N1822&gt;MaxDayHours,"Over "&amp;MaxDayHours&amp;" hours that day","")))))</f>
        <v/>
      </c>
    </row>
    <row r="1823" customFormat="false" ht="15" hidden="false" customHeight="false" outlineLevel="0" collapsed="false">
      <c r="A1823" s="31"/>
      <c r="B1823" s="32"/>
      <c r="C1823" s="32"/>
      <c r="D1823" s="33"/>
      <c r="E1823" s="34"/>
      <c r="F1823" s="32"/>
      <c r="G1823" s="35" t="str">
        <f aca="false">IF(A1823="","",A1823+7-WEEKDAY(A1823))</f>
        <v/>
      </c>
      <c r="H1823" s="36" t="str">
        <f aca="false">IF(A1823="","",DATE(YEAR(A1823),MONTH(A1823),1))</f>
        <v/>
      </c>
      <c r="I1823" s="37" t="str">
        <f aca="false">IF(B1823="","",IFERROR(INDEX(st_ID,MATCH(B1823,st_Name,0)),"Unknown"))</f>
        <v/>
      </c>
      <c r="J1823" s="37" t="str">
        <f aca="false">IF(C1823="","",IFERROR(INDEX(cl_Code,MATCH(C1823,cl_Name,0)),"Unknown"))</f>
        <v/>
      </c>
      <c r="K1823" s="37" t="str">
        <f aca="false">IF(D1823="","",IFERROR(INDEX(rt_Billable,MATCH(D1823,rt_Code,0)),"Unknown"))</f>
        <v/>
      </c>
      <c r="L1823" s="38" t="str">
        <f aca="false">IF(K1823&lt;&gt;"Yes","",IFERROR(INDEX(cr_Rate,MATCH(J1823&amp;"|"&amp;D1823,cr_Key,0)),INDEX(rt_Rate,MATCH(D1823,rt_Code,0))))</f>
        <v/>
      </c>
      <c r="M1823" s="25" t="str">
        <f aca="false">IF(L1823="","",ROUND(N(E1823)*L1823,2))</f>
        <v/>
      </c>
      <c r="N1823" s="39" t="str">
        <f aca="false">IF(OR(A1823="",B1823=""),"",SUMIFS(tl_Hours,tl_StaffID,I1823,tl_Date,A1823))</f>
        <v/>
      </c>
      <c r="O1823" s="40" t="str">
        <f aca="false">IF(A1823&amp;B1823&amp;D1823="","",IF(OR(A1823="",B1823="",D1823="",E1823=""),"Incomplete",IF(K1823="Unknown","Unknown code",IF(AND(K1823="Yes",C1823=""),"Billable, needs client",IF(N1823&gt;MaxDayHours,"Over "&amp;MaxDayHours&amp;" hours that day","")))))</f>
        <v/>
      </c>
    </row>
    <row r="1824" customFormat="false" ht="15" hidden="false" customHeight="false" outlineLevel="0" collapsed="false">
      <c r="A1824" s="31"/>
      <c r="B1824" s="32"/>
      <c r="C1824" s="32"/>
      <c r="D1824" s="33"/>
      <c r="E1824" s="34"/>
      <c r="F1824" s="32"/>
      <c r="G1824" s="35" t="str">
        <f aca="false">IF(A1824="","",A1824+7-WEEKDAY(A1824))</f>
        <v/>
      </c>
      <c r="H1824" s="36" t="str">
        <f aca="false">IF(A1824="","",DATE(YEAR(A1824),MONTH(A1824),1))</f>
        <v/>
      </c>
      <c r="I1824" s="37" t="str">
        <f aca="false">IF(B1824="","",IFERROR(INDEX(st_ID,MATCH(B1824,st_Name,0)),"Unknown"))</f>
        <v/>
      </c>
      <c r="J1824" s="37" t="str">
        <f aca="false">IF(C1824="","",IFERROR(INDEX(cl_Code,MATCH(C1824,cl_Name,0)),"Unknown"))</f>
        <v/>
      </c>
      <c r="K1824" s="37" t="str">
        <f aca="false">IF(D1824="","",IFERROR(INDEX(rt_Billable,MATCH(D1824,rt_Code,0)),"Unknown"))</f>
        <v/>
      </c>
      <c r="L1824" s="38" t="str">
        <f aca="false">IF(K1824&lt;&gt;"Yes","",IFERROR(INDEX(cr_Rate,MATCH(J1824&amp;"|"&amp;D1824,cr_Key,0)),INDEX(rt_Rate,MATCH(D1824,rt_Code,0))))</f>
        <v/>
      </c>
      <c r="M1824" s="25" t="str">
        <f aca="false">IF(L1824="","",ROUND(N(E1824)*L1824,2))</f>
        <v/>
      </c>
      <c r="N1824" s="39" t="str">
        <f aca="false">IF(OR(A1824="",B1824=""),"",SUMIFS(tl_Hours,tl_StaffID,I1824,tl_Date,A1824))</f>
        <v/>
      </c>
      <c r="O1824" s="40" t="str">
        <f aca="false">IF(A1824&amp;B1824&amp;D1824="","",IF(OR(A1824="",B1824="",D1824="",E1824=""),"Incomplete",IF(K1824="Unknown","Unknown code",IF(AND(K1824="Yes",C1824=""),"Billable, needs client",IF(N1824&gt;MaxDayHours,"Over "&amp;MaxDayHours&amp;" hours that day","")))))</f>
        <v/>
      </c>
    </row>
    <row r="1825" customFormat="false" ht="15" hidden="false" customHeight="false" outlineLevel="0" collapsed="false">
      <c r="A1825" s="31"/>
      <c r="B1825" s="32"/>
      <c r="C1825" s="32"/>
      <c r="D1825" s="33"/>
      <c r="E1825" s="34"/>
      <c r="F1825" s="32"/>
      <c r="G1825" s="35" t="str">
        <f aca="false">IF(A1825="","",A1825+7-WEEKDAY(A1825))</f>
        <v/>
      </c>
      <c r="H1825" s="36" t="str">
        <f aca="false">IF(A1825="","",DATE(YEAR(A1825),MONTH(A1825),1))</f>
        <v/>
      </c>
      <c r="I1825" s="37" t="str">
        <f aca="false">IF(B1825="","",IFERROR(INDEX(st_ID,MATCH(B1825,st_Name,0)),"Unknown"))</f>
        <v/>
      </c>
      <c r="J1825" s="37" t="str">
        <f aca="false">IF(C1825="","",IFERROR(INDEX(cl_Code,MATCH(C1825,cl_Name,0)),"Unknown"))</f>
        <v/>
      </c>
      <c r="K1825" s="37" t="str">
        <f aca="false">IF(D1825="","",IFERROR(INDEX(rt_Billable,MATCH(D1825,rt_Code,0)),"Unknown"))</f>
        <v/>
      </c>
      <c r="L1825" s="38" t="str">
        <f aca="false">IF(K1825&lt;&gt;"Yes","",IFERROR(INDEX(cr_Rate,MATCH(J1825&amp;"|"&amp;D1825,cr_Key,0)),INDEX(rt_Rate,MATCH(D1825,rt_Code,0))))</f>
        <v/>
      </c>
      <c r="M1825" s="25" t="str">
        <f aca="false">IF(L1825="","",ROUND(N(E1825)*L1825,2))</f>
        <v/>
      </c>
      <c r="N1825" s="39" t="str">
        <f aca="false">IF(OR(A1825="",B1825=""),"",SUMIFS(tl_Hours,tl_StaffID,I1825,tl_Date,A1825))</f>
        <v/>
      </c>
      <c r="O1825" s="40" t="str">
        <f aca="false">IF(A1825&amp;B1825&amp;D1825="","",IF(OR(A1825="",B1825="",D1825="",E1825=""),"Incomplete",IF(K1825="Unknown","Unknown code",IF(AND(K1825="Yes",C1825=""),"Billable, needs client",IF(N1825&gt;MaxDayHours,"Over "&amp;MaxDayHours&amp;" hours that day","")))))</f>
        <v/>
      </c>
    </row>
    <row r="1826" customFormat="false" ht="15" hidden="false" customHeight="false" outlineLevel="0" collapsed="false">
      <c r="A1826" s="31"/>
      <c r="B1826" s="32"/>
      <c r="C1826" s="32"/>
      <c r="D1826" s="33"/>
      <c r="E1826" s="34"/>
      <c r="F1826" s="32"/>
      <c r="G1826" s="35" t="str">
        <f aca="false">IF(A1826="","",A1826+7-WEEKDAY(A1826))</f>
        <v/>
      </c>
      <c r="H1826" s="36" t="str">
        <f aca="false">IF(A1826="","",DATE(YEAR(A1826),MONTH(A1826),1))</f>
        <v/>
      </c>
      <c r="I1826" s="37" t="str">
        <f aca="false">IF(B1826="","",IFERROR(INDEX(st_ID,MATCH(B1826,st_Name,0)),"Unknown"))</f>
        <v/>
      </c>
      <c r="J1826" s="37" t="str">
        <f aca="false">IF(C1826="","",IFERROR(INDEX(cl_Code,MATCH(C1826,cl_Name,0)),"Unknown"))</f>
        <v/>
      </c>
      <c r="K1826" s="37" t="str">
        <f aca="false">IF(D1826="","",IFERROR(INDEX(rt_Billable,MATCH(D1826,rt_Code,0)),"Unknown"))</f>
        <v/>
      </c>
      <c r="L1826" s="38" t="str">
        <f aca="false">IF(K1826&lt;&gt;"Yes","",IFERROR(INDEX(cr_Rate,MATCH(J1826&amp;"|"&amp;D1826,cr_Key,0)),INDEX(rt_Rate,MATCH(D1826,rt_Code,0))))</f>
        <v/>
      </c>
      <c r="M1826" s="25" t="str">
        <f aca="false">IF(L1826="","",ROUND(N(E1826)*L1826,2))</f>
        <v/>
      </c>
      <c r="N1826" s="39" t="str">
        <f aca="false">IF(OR(A1826="",B1826=""),"",SUMIFS(tl_Hours,tl_StaffID,I1826,tl_Date,A1826))</f>
        <v/>
      </c>
      <c r="O1826" s="40" t="str">
        <f aca="false">IF(A1826&amp;B1826&amp;D1826="","",IF(OR(A1826="",B1826="",D1826="",E1826=""),"Incomplete",IF(K1826="Unknown","Unknown code",IF(AND(K1826="Yes",C1826=""),"Billable, needs client",IF(N1826&gt;MaxDayHours,"Over "&amp;MaxDayHours&amp;" hours that day","")))))</f>
        <v/>
      </c>
    </row>
    <row r="1827" customFormat="false" ht="15" hidden="false" customHeight="false" outlineLevel="0" collapsed="false">
      <c r="A1827" s="31"/>
      <c r="B1827" s="32"/>
      <c r="C1827" s="32"/>
      <c r="D1827" s="33"/>
      <c r="E1827" s="34"/>
      <c r="F1827" s="32"/>
      <c r="G1827" s="35" t="str">
        <f aca="false">IF(A1827="","",A1827+7-WEEKDAY(A1827))</f>
        <v/>
      </c>
      <c r="H1827" s="36" t="str">
        <f aca="false">IF(A1827="","",DATE(YEAR(A1827),MONTH(A1827),1))</f>
        <v/>
      </c>
      <c r="I1827" s="37" t="str">
        <f aca="false">IF(B1827="","",IFERROR(INDEX(st_ID,MATCH(B1827,st_Name,0)),"Unknown"))</f>
        <v/>
      </c>
      <c r="J1827" s="37" t="str">
        <f aca="false">IF(C1827="","",IFERROR(INDEX(cl_Code,MATCH(C1827,cl_Name,0)),"Unknown"))</f>
        <v/>
      </c>
      <c r="K1827" s="37" t="str">
        <f aca="false">IF(D1827="","",IFERROR(INDEX(rt_Billable,MATCH(D1827,rt_Code,0)),"Unknown"))</f>
        <v/>
      </c>
      <c r="L1827" s="38" t="str">
        <f aca="false">IF(K1827&lt;&gt;"Yes","",IFERROR(INDEX(cr_Rate,MATCH(J1827&amp;"|"&amp;D1827,cr_Key,0)),INDEX(rt_Rate,MATCH(D1827,rt_Code,0))))</f>
        <v/>
      </c>
      <c r="M1827" s="25" t="str">
        <f aca="false">IF(L1827="","",ROUND(N(E1827)*L1827,2))</f>
        <v/>
      </c>
      <c r="N1827" s="39" t="str">
        <f aca="false">IF(OR(A1827="",B1827=""),"",SUMIFS(tl_Hours,tl_StaffID,I1827,tl_Date,A1827))</f>
        <v/>
      </c>
      <c r="O1827" s="40" t="str">
        <f aca="false">IF(A1827&amp;B1827&amp;D1827="","",IF(OR(A1827="",B1827="",D1827="",E1827=""),"Incomplete",IF(K1827="Unknown","Unknown code",IF(AND(K1827="Yes",C1827=""),"Billable, needs client",IF(N1827&gt;MaxDayHours,"Over "&amp;MaxDayHours&amp;" hours that day","")))))</f>
        <v/>
      </c>
    </row>
    <row r="1828" customFormat="false" ht="15" hidden="false" customHeight="false" outlineLevel="0" collapsed="false">
      <c r="A1828" s="31"/>
      <c r="B1828" s="32"/>
      <c r="C1828" s="32"/>
      <c r="D1828" s="33"/>
      <c r="E1828" s="34"/>
      <c r="F1828" s="32"/>
      <c r="G1828" s="35" t="str">
        <f aca="false">IF(A1828="","",A1828+7-WEEKDAY(A1828))</f>
        <v/>
      </c>
      <c r="H1828" s="36" t="str">
        <f aca="false">IF(A1828="","",DATE(YEAR(A1828),MONTH(A1828),1))</f>
        <v/>
      </c>
      <c r="I1828" s="37" t="str">
        <f aca="false">IF(B1828="","",IFERROR(INDEX(st_ID,MATCH(B1828,st_Name,0)),"Unknown"))</f>
        <v/>
      </c>
      <c r="J1828" s="37" t="str">
        <f aca="false">IF(C1828="","",IFERROR(INDEX(cl_Code,MATCH(C1828,cl_Name,0)),"Unknown"))</f>
        <v/>
      </c>
      <c r="K1828" s="37" t="str">
        <f aca="false">IF(D1828="","",IFERROR(INDEX(rt_Billable,MATCH(D1828,rt_Code,0)),"Unknown"))</f>
        <v/>
      </c>
      <c r="L1828" s="38" t="str">
        <f aca="false">IF(K1828&lt;&gt;"Yes","",IFERROR(INDEX(cr_Rate,MATCH(J1828&amp;"|"&amp;D1828,cr_Key,0)),INDEX(rt_Rate,MATCH(D1828,rt_Code,0))))</f>
        <v/>
      </c>
      <c r="M1828" s="25" t="str">
        <f aca="false">IF(L1828="","",ROUND(N(E1828)*L1828,2))</f>
        <v/>
      </c>
      <c r="N1828" s="39" t="str">
        <f aca="false">IF(OR(A1828="",B1828=""),"",SUMIFS(tl_Hours,tl_StaffID,I1828,tl_Date,A1828))</f>
        <v/>
      </c>
      <c r="O1828" s="40" t="str">
        <f aca="false">IF(A1828&amp;B1828&amp;D1828="","",IF(OR(A1828="",B1828="",D1828="",E1828=""),"Incomplete",IF(K1828="Unknown","Unknown code",IF(AND(K1828="Yes",C1828=""),"Billable, needs client",IF(N1828&gt;MaxDayHours,"Over "&amp;MaxDayHours&amp;" hours that day","")))))</f>
        <v/>
      </c>
    </row>
    <row r="1829" customFormat="false" ht="15" hidden="false" customHeight="false" outlineLevel="0" collapsed="false">
      <c r="A1829" s="31"/>
      <c r="B1829" s="32"/>
      <c r="C1829" s="32"/>
      <c r="D1829" s="33"/>
      <c r="E1829" s="34"/>
      <c r="F1829" s="32"/>
      <c r="G1829" s="35" t="str">
        <f aca="false">IF(A1829="","",A1829+7-WEEKDAY(A1829))</f>
        <v/>
      </c>
      <c r="H1829" s="36" t="str">
        <f aca="false">IF(A1829="","",DATE(YEAR(A1829),MONTH(A1829),1))</f>
        <v/>
      </c>
      <c r="I1829" s="37" t="str">
        <f aca="false">IF(B1829="","",IFERROR(INDEX(st_ID,MATCH(B1829,st_Name,0)),"Unknown"))</f>
        <v/>
      </c>
      <c r="J1829" s="37" t="str">
        <f aca="false">IF(C1829="","",IFERROR(INDEX(cl_Code,MATCH(C1829,cl_Name,0)),"Unknown"))</f>
        <v/>
      </c>
      <c r="K1829" s="37" t="str">
        <f aca="false">IF(D1829="","",IFERROR(INDEX(rt_Billable,MATCH(D1829,rt_Code,0)),"Unknown"))</f>
        <v/>
      </c>
      <c r="L1829" s="38" t="str">
        <f aca="false">IF(K1829&lt;&gt;"Yes","",IFERROR(INDEX(cr_Rate,MATCH(J1829&amp;"|"&amp;D1829,cr_Key,0)),INDEX(rt_Rate,MATCH(D1829,rt_Code,0))))</f>
        <v/>
      </c>
      <c r="M1829" s="25" t="str">
        <f aca="false">IF(L1829="","",ROUND(N(E1829)*L1829,2))</f>
        <v/>
      </c>
      <c r="N1829" s="39" t="str">
        <f aca="false">IF(OR(A1829="",B1829=""),"",SUMIFS(tl_Hours,tl_StaffID,I1829,tl_Date,A1829))</f>
        <v/>
      </c>
      <c r="O1829" s="40" t="str">
        <f aca="false">IF(A1829&amp;B1829&amp;D1829="","",IF(OR(A1829="",B1829="",D1829="",E1829=""),"Incomplete",IF(K1829="Unknown","Unknown code",IF(AND(K1829="Yes",C1829=""),"Billable, needs client",IF(N1829&gt;MaxDayHours,"Over "&amp;MaxDayHours&amp;" hours that day","")))))</f>
        <v/>
      </c>
    </row>
    <row r="1830" customFormat="false" ht="15" hidden="false" customHeight="false" outlineLevel="0" collapsed="false">
      <c r="A1830" s="31"/>
      <c r="B1830" s="32"/>
      <c r="C1830" s="32"/>
      <c r="D1830" s="33"/>
      <c r="E1830" s="34"/>
      <c r="F1830" s="32"/>
      <c r="G1830" s="35" t="str">
        <f aca="false">IF(A1830="","",A1830+7-WEEKDAY(A1830))</f>
        <v/>
      </c>
      <c r="H1830" s="36" t="str">
        <f aca="false">IF(A1830="","",DATE(YEAR(A1830),MONTH(A1830),1))</f>
        <v/>
      </c>
      <c r="I1830" s="37" t="str">
        <f aca="false">IF(B1830="","",IFERROR(INDEX(st_ID,MATCH(B1830,st_Name,0)),"Unknown"))</f>
        <v/>
      </c>
      <c r="J1830" s="37" t="str">
        <f aca="false">IF(C1830="","",IFERROR(INDEX(cl_Code,MATCH(C1830,cl_Name,0)),"Unknown"))</f>
        <v/>
      </c>
      <c r="K1830" s="37" t="str">
        <f aca="false">IF(D1830="","",IFERROR(INDEX(rt_Billable,MATCH(D1830,rt_Code,0)),"Unknown"))</f>
        <v/>
      </c>
      <c r="L1830" s="38" t="str">
        <f aca="false">IF(K1830&lt;&gt;"Yes","",IFERROR(INDEX(cr_Rate,MATCH(J1830&amp;"|"&amp;D1830,cr_Key,0)),INDEX(rt_Rate,MATCH(D1830,rt_Code,0))))</f>
        <v/>
      </c>
      <c r="M1830" s="25" t="str">
        <f aca="false">IF(L1830="","",ROUND(N(E1830)*L1830,2))</f>
        <v/>
      </c>
      <c r="N1830" s="39" t="str">
        <f aca="false">IF(OR(A1830="",B1830=""),"",SUMIFS(tl_Hours,tl_StaffID,I1830,tl_Date,A1830))</f>
        <v/>
      </c>
      <c r="O1830" s="40" t="str">
        <f aca="false">IF(A1830&amp;B1830&amp;D1830="","",IF(OR(A1830="",B1830="",D1830="",E1830=""),"Incomplete",IF(K1830="Unknown","Unknown code",IF(AND(K1830="Yes",C1830=""),"Billable, needs client",IF(N1830&gt;MaxDayHours,"Over "&amp;MaxDayHours&amp;" hours that day","")))))</f>
        <v/>
      </c>
    </row>
    <row r="1831" customFormat="false" ht="15" hidden="false" customHeight="false" outlineLevel="0" collapsed="false">
      <c r="A1831" s="31"/>
      <c r="B1831" s="32"/>
      <c r="C1831" s="32"/>
      <c r="D1831" s="33"/>
      <c r="E1831" s="34"/>
      <c r="F1831" s="32"/>
      <c r="G1831" s="35" t="str">
        <f aca="false">IF(A1831="","",A1831+7-WEEKDAY(A1831))</f>
        <v/>
      </c>
      <c r="H1831" s="36" t="str">
        <f aca="false">IF(A1831="","",DATE(YEAR(A1831),MONTH(A1831),1))</f>
        <v/>
      </c>
      <c r="I1831" s="37" t="str">
        <f aca="false">IF(B1831="","",IFERROR(INDEX(st_ID,MATCH(B1831,st_Name,0)),"Unknown"))</f>
        <v/>
      </c>
      <c r="J1831" s="37" t="str">
        <f aca="false">IF(C1831="","",IFERROR(INDEX(cl_Code,MATCH(C1831,cl_Name,0)),"Unknown"))</f>
        <v/>
      </c>
      <c r="K1831" s="37" t="str">
        <f aca="false">IF(D1831="","",IFERROR(INDEX(rt_Billable,MATCH(D1831,rt_Code,0)),"Unknown"))</f>
        <v/>
      </c>
      <c r="L1831" s="38" t="str">
        <f aca="false">IF(K1831&lt;&gt;"Yes","",IFERROR(INDEX(cr_Rate,MATCH(J1831&amp;"|"&amp;D1831,cr_Key,0)),INDEX(rt_Rate,MATCH(D1831,rt_Code,0))))</f>
        <v/>
      </c>
      <c r="M1831" s="25" t="str">
        <f aca="false">IF(L1831="","",ROUND(N(E1831)*L1831,2))</f>
        <v/>
      </c>
      <c r="N1831" s="39" t="str">
        <f aca="false">IF(OR(A1831="",B1831=""),"",SUMIFS(tl_Hours,tl_StaffID,I1831,tl_Date,A1831))</f>
        <v/>
      </c>
      <c r="O1831" s="40" t="str">
        <f aca="false">IF(A1831&amp;B1831&amp;D1831="","",IF(OR(A1831="",B1831="",D1831="",E1831=""),"Incomplete",IF(K1831="Unknown","Unknown code",IF(AND(K1831="Yes",C1831=""),"Billable, needs client",IF(N1831&gt;MaxDayHours,"Over "&amp;MaxDayHours&amp;" hours that day","")))))</f>
        <v/>
      </c>
    </row>
    <row r="1832" customFormat="false" ht="15" hidden="false" customHeight="false" outlineLevel="0" collapsed="false">
      <c r="A1832" s="31"/>
      <c r="B1832" s="32"/>
      <c r="C1832" s="32"/>
      <c r="D1832" s="33"/>
      <c r="E1832" s="34"/>
      <c r="F1832" s="32"/>
      <c r="G1832" s="35" t="str">
        <f aca="false">IF(A1832="","",A1832+7-WEEKDAY(A1832))</f>
        <v/>
      </c>
      <c r="H1832" s="36" t="str">
        <f aca="false">IF(A1832="","",DATE(YEAR(A1832),MONTH(A1832),1))</f>
        <v/>
      </c>
      <c r="I1832" s="37" t="str">
        <f aca="false">IF(B1832="","",IFERROR(INDEX(st_ID,MATCH(B1832,st_Name,0)),"Unknown"))</f>
        <v/>
      </c>
      <c r="J1832" s="37" t="str">
        <f aca="false">IF(C1832="","",IFERROR(INDEX(cl_Code,MATCH(C1832,cl_Name,0)),"Unknown"))</f>
        <v/>
      </c>
      <c r="K1832" s="37" t="str">
        <f aca="false">IF(D1832="","",IFERROR(INDEX(rt_Billable,MATCH(D1832,rt_Code,0)),"Unknown"))</f>
        <v/>
      </c>
      <c r="L1832" s="38" t="str">
        <f aca="false">IF(K1832&lt;&gt;"Yes","",IFERROR(INDEX(cr_Rate,MATCH(J1832&amp;"|"&amp;D1832,cr_Key,0)),INDEX(rt_Rate,MATCH(D1832,rt_Code,0))))</f>
        <v/>
      </c>
      <c r="M1832" s="25" t="str">
        <f aca="false">IF(L1832="","",ROUND(N(E1832)*L1832,2))</f>
        <v/>
      </c>
      <c r="N1832" s="39" t="str">
        <f aca="false">IF(OR(A1832="",B1832=""),"",SUMIFS(tl_Hours,tl_StaffID,I1832,tl_Date,A1832))</f>
        <v/>
      </c>
      <c r="O1832" s="40" t="str">
        <f aca="false">IF(A1832&amp;B1832&amp;D1832="","",IF(OR(A1832="",B1832="",D1832="",E1832=""),"Incomplete",IF(K1832="Unknown","Unknown code",IF(AND(K1832="Yes",C1832=""),"Billable, needs client",IF(N1832&gt;MaxDayHours,"Over "&amp;MaxDayHours&amp;" hours that day","")))))</f>
        <v/>
      </c>
    </row>
    <row r="1833" customFormat="false" ht="15" hidden="false" customHeight="false" outlineLevel="0" collapsed="false">
      <c r="A1833" s="31"/>
      <c r="B1833" s="32"/>
      <c r="C1833" s="32"/>
      <c r="D1833" s="33"/>
      <c r="E1833" s="34"/>
      <c r="F1833" s="32"/>
      <c r="G1833" s="35" t="str">
        <f aca="false">IF(A1833="","",A1833+7-WEEKDAY(A1833))</f>
        <v/>
      </c>
      <c r="H1833" s="36" t="str">
        <f aca="false">IF(A1833="","",DATE(YEAR(A1833),MONTH(A1833),1))</f>
        <v/>
      </c>
      <c r="I1833" s="37" t="str">
        <f aca="false">IF(B1833="","",IFERROR(INDEX(st_ID,MATCH(B1833,st_Name,0)),"Unknown"))</f>
        <v/>
      </c>
      <c r="J1833" s="37" t="str">
        <f aca="false">IF(C1833="","",IFERROR(INDEX(cl_Code,MATCH(C1833,cl_Name,0)),"Unknown"))</f>
        <v/>
      </c>
      <c r="K1833" s="37" t="str">
        <f aca="false">IF(D1833="","",IFERROR(INDEX(rt_Billable,MATCH(D1833,rt_Code,0)),"Unknown"))</f>
        <v/>
      </c>
      <c r="L1833" s="38" t="str">
        <f aca="false">IF(K1833&lt;&gt;"Yes","",IFERROR(INDEX(cr_Rate,MATCH(J1833&amp;"|"&amp;D1833,cr_Key,0)),INDEX(rt_Rate,MATCH(D1833,rt_Code,0))))</f>
        <v/>
      </c>
      <c r="M1833" s="25" t="str">
        <f aca="false">IF(L1833="","",ROUND(N(E1833)*L1833,2))</f>
        <v/>
      </c>
      <c r="N1833" s="39" t="str">
        <f aca="false">IF(OR(A1833="",B1833=""),"",SUMIFS(tl_Hours,tl_StaffID,I1833,tl_Date,A1833))</f>
        <v/>
      </c>
      <c r="O1833" s="40" t="str">
        <f aca="false">IF(A1833&amp;B1833&amp;D1833="","",IF(OR(A1833="",B1833="",D1833="",E1833=""),"Incomplete",IF(K1833="Unknown","Unknown code",IF(AND(K1833="Yes",C1833=""),"Billable, needs client",IF(N1833&gt;MaxDayHours,"Over "&amp;MaxDayHours&amp;" hours that day","")))))</f>
        <v/>
      </c>
    </row>
    <row r="1834" customFormat="false" ht="15" hidden="false" customHeight="false" outlineLevel="0" collapsed="false">
      <c r="A1834" s="31"/>
      <c r="B1834" s="32"/>
      <c r="C1834" s="32"/>
      <c r="D1834" s="33"/>
      <c r="E1834" s="34"/>
      <c r="F1834" s="32"/>
      <c r="G1834" s="35" t="str">
        <f aca="false">IF(A1834="","",A1834+7-WEEKDAY(A1834))</f>
        <v/>
      </c>
      <c r="H1834" s="36" t="str">
        <f aca="false">IF(A1834="","",DATE(YEAR(A1834),MONTH(A1834),1))</f>
        <v/>
      </c>
      <c r="I1834" s="37" t="str">
        <f aca="false">IF(B1834="","",IFERROR(INDEX(st_ID,MATCH(B1834,st_Name,0)),"Unknown"))</f>
        <v/>
      </c>
      <c r="J1834" s="37" t="str">
        <f aca="false">IF(C1834="","",IFERROR(INDEX(cl_Code,MATCH(C1834,cl_Name,0)),"Unknown"))</f>
        <v/>
      </c>
      <c r="K1834" s="37" t="str">
        <f aca="false">IF(D1834="","",IFERROR(INDEX(rt_Billable,MATCH(D1834,rt_Code,0)),"Unknown"))</f>
        <v/>
      </c>
      <c r="L1834" s="38" t="str">
        <f aca="false">IF(K1834&lt;&gt;"Yes","",IFERROR(INDEX(cr_Rate,MATCH(J1834&amp;"|"&amp;D1834,cr_Key,0)),INDEX(rt_Rate,MATCH(D1834,rt_Code,0))))</f>
        <v/>
      </c>
      <c r="M1834" s="25" t="str">
        <f aca="false">IF(L1834="","",ROUND(N(E1834)*L1834,2))</f>
        <v/>
      </c>
      <c r="N1834" s="39" t="str">
        <f aca="false">IF(OR(A1834="",B1834=""),"",SUMIFS(tl_Hours,tl_StaffID,I1834,tl_Date,A1834))</f>
        <v/>
      </c>
      <c r="O1834" s="40" t="str">
        <f aca="false">IF(A1834&amp;B1834&amp;D1834="","",IF(OR(A1834="",B1834="",D1834="",E1834=""),"Incomplete",IF(K1834="Unknown","Unknown code",IF(AND(K1834="Yes",C1834=""),"Billable, needs client",IF(N1834&gt;MaxDayHours,"Over "&amp;MaxDayHours&amp;" hours that day","")))))</f>
        <v/>
      </c>
    </row>
    <row r="1835" customFormat="false" ht="15" hidden="false" customHeight="false" outlineLevel="0" collapsed="false">
      <c r="A1835" s="31"/>
      <c r="B1835" s="32"/>
      <c r="C1835" s="32"/>
      <c r="D1835" s="33"/>
      <c r="E1835" s="34"/>
      <c r="F1835" s="32"/>
      <c r="G1835" s="35" t="str">
        <f aca="false">IF(A1835="","",A1835+7-WEEKDAY(A1835))</f>
        <v/>
      </c>
      <c r="H1835" s="36" t="str">
        <f aca="false">IF(A1835="","",DATE(YEAR(A1835),MONTH(A1835),1))</f>
        <v/>
      </c>
      <c r="I1835" s="37" t="str">
        <f aca="false">IF(B1835="","",IFERROR(INDEX(st_ID,MATCH(B1835,st_Name,0)),"Unknown"))</f>
        <v/>
      </c>
      <c r="J1835" s="37" t="str">
        <f aca="false">IF(C1835="","",IFERROR(INDEX(cl_Code,MATCH(C1835,cl_Name,0)),"Unknown"))</f>
        <v/>
      </c>
      <c r="K1835" s="37" t="str">
        <f aca="false">IF(D1835="","",IFERROR(INDEX(rt_Billable,MATCH(D1835,rt_Code,0)),"Unknown"))</f>
        <v/>
      </c>
      <c r="L1835" s="38" t="str">
        <f aca="false">IF(K1835&lt;&gt;"Yes","",IFERROR(INDEX(cr_Rate,MATCH(J1835&amp;"|"&amp;D1835,cr_Key,0)),INDEX(rt_Rate,MATCH(D1835,rt_Code,0))))</f>
        <v/>
      </c>
      <c r="M1835" s="25" t="str">
        <f aca="false">IF(L1835="","",ROUND(N(E1835)*L1835,2))</f>
        <v/>
      </c>
      <c r="N1835" s="39" t="str">
        <f aca="false">IF(OR(A1835="",B1835=""),"",SUMIFS(tl_Hours,tl_StaffID,I1835,tl_Date,A1835))</f>
        <v/>
      </c>
      <c r="O1835" s="40" t="str">
        <f aca="false">IF(A1835&amp;B1835&amp;D1835="","",IF(OR(A1835="",B1835="",D1835="",E1835=""),"Incomplete",IF(K1835="Unknown","Unknown code",IF(AND(K1835="Yes",C1835=""),"Billable, needs client",IF(N1835&gt;MaxDayHours,"Over "&amp;MaxDayHours&amp;" hours that day","")))))</f>
        <v/>
      </c>
    </row>
    <row r="1836" customFormat="false" ht="15" hidden="false" customHeight="false" outlineLevel="0" collapsed="false">
      <c r="A1836" s="31"/>
      <c r="B1836" s="32"/>
      <c r="C1836" s="32"/>
      <c r="D1836" s="33"/>
      <c r="E1836" s="34"/>
      <c r="F1836" s="32"/>
      <c r="G1836" s="35" t="str">
        <f aca="false">IF(A1836="","",A1836+7-WEEKDAY(A1836))</f>
        <v/>
      </c>
      <c r="H1836" s="36" t="str">
        <f aca="false">IF(A1836="","",DATE(YEAR(A1836),MONTH(A1836),1))</f>
        <v/>
      </c>
      <c r="I1836" s="37" t="str">
        <f aca="false">IF(B1836="","",IFERROR(INDEX(st_ID,MATCH(B1836,st_Name,0)),"Unknown"))</f>
        <v/>
      </c>
      <c r="J1836" s="37" t="str">
        <f aca="false">IF(C1836="","",IFERROR(INDEX(cl_Code,MATCH(C1836,cl_Name,0)),"Unknown"))</f>
        <v/>
      </c>
      <c r="K1836" s="37" t="str">
        <f aca="false">IF(D1836="","",IFERROR(INDEX(rt_Billable,MATCH(D1836,rt_Code,0)),"Unknown"))</f>
        <v/>
      </c>
      <c r="L1836" s="38" t="str">
        <f aca="false">IF(K1836&lt;&gt;"Yes","",IFERROR(INDEX(cr_Rate,MATCH(J1836&amp;"|"&amp;D1836,cr_Key,0)),INDEX(rt_Rate,MATCH(D1836,rt_Code,0))))</f>
        <v/>
      </c>
      <c r="M1836" s="25" t="str">
        <f aca="false">IF(L1836="","",ROUND(N(E1836)*L1836,2))</f>
        <v/>
      </c>
      <c r="N1836" s="39" t="str">
        <f aca="false">IF(OR(A1836="",B1836=""),"",SUMIFS(tl_Hours,tl_StaffID,I1836,tl_Date,A1836))</f>
        <v/>
      </c>
      <c r="O1836" s="40" t="str">
        <f aca="false">IF(A1836&amp;B1836&amp;D1836="","",IF(OR(A1836="",B1836="",D1836="",E1836=""),"Incomplete",IF(K1836="Unknown","Unknown code",IF(AND(K1836="Yes",C1836=""),"Billable, needs client",IF(N1836&gt;MaxDayHours,"Over "&amp;MaxDayHours&amp;" hours that day","")))))</f>
        <v/>
      </c>
    </row>
    <row r="1837" customFormat="false" ht="15" hidden="false" customHeight="false" outlineLevel="0" collapsed="false">
      <c r="A1837" s="31"/>
      <c r="B1837" s="32"/>
      <c r="C1837" s="32"/>
      <c r="D1837" s="33"/>
      <c r="E1837" s="34"/>
      <c r="F1837" s="32"/>
      <c r="G1837" s="35" t="str">
        <f aca="false">IF(A1837="","",A1837+7-WEEKDAY(A1837))</f>
        <v/>
      </c>
      <c r="H1837" s="36" t="str">
        <f aca="false">IF(A1837="","",DATE(YEAR(A1837),MONTH(A1837),1))</f>
        <v/>
      </c>
      <c r="I1837" s="37" t="str">
        <f aca="false">IF(B1837="","",IFERROR(INDEX(st_ID,MATCH(B1837,st_Name,0)),"Unknown"))</f>
        <v/>
      </c>
      <c r="J1837" s="37" t="str">
        <f aca="false">IF(C1837="","",IFERROR(INDEX(cl_Code,MATCH(C1837,cl_Name,0)),"Unknown"))</f>
        <v/>
      </c>
      <c r="K1837" s="37" t="str">
        <f aca="false">IF(D1837="","",IFERROR(INDEX(rt_Billable,MATCH(D1837,rt_Code,0)),"Unknown"))</f>
        <v/>
      </c>
      <c r="L1837" s="38" t="str">
        <f aca="false">IF(K1837&lt;&gt;"Yes","",IFERROR(INDEX(cr_Rate,MATCH(J1837&amp;"|"&amp;D1837,cr_Key,0)),INDEX(rt_Rate,MATCH(D1837,rt_Code,0))))</f>
        <v/>
      </c>
      <c r="M1837" s="25" t="str">
        <f aca="false">IF(L1837="","",ROUND(N(E1837)*L1837,2))</f>
        <v/>
      </c>
      <c r="N1837" s="39" t="str">
        <f aca="false">IF(OR(A1837="",B1837=""),"",SUMIFS(tl_Hours,tl_StaffID,I1837,tl_Date,A1837))</f>
        <v/>
      </c>
      <c r="O1837" s="40" t="str">
        <f aca="false">IF(A1837&amp;B1837&amp;D1837="","",IF(OR(A1837="",B1837="",D1837="",E1837=""),"Incomplete",IF(K1837="Unknown","Unknown code",IF(AND(K1837="Yes",C1837=""),"Billable, needs client",IF(N1837&gt;MaxDayHours,"Over "&amp;MaxDayHours&amp;" hours that day","")))))</f>
        <v/>
      </c>
    </row>
    <row r="1838" customFormat="false" ht="15" hidden="false" customHeight="false" outlineLevel="0" collapsed="false">
      <c r="A1838" s="31"/>
      <c r="B1838" s="32"/>
      <c r="C1838" s="32"/>
      <c r="D1838" s="33"/>
      <c r="E1838" s="34"/>
      <c r="F1838" s="32"/>
      <c r="G1838" s="35" t="str">
        <f aca="false">IF(A1838="","",A1838+7-WEEKDAY(A1838))</f>
        <v/>
      </c>
      <c r="H1838" s="36" t="str">
        <f aca="false">IF(A1838="","",DATE(YEAR(A1838),MONTH(A1838),1))</f>
        <v/>
      </c>
      <c r="I1838" s="37" t="str">
        <f aca="false">IF(B1838="","",IFERROR(INDEX(st_ID,MATCH(B1838,st_Name,0)),"Unknown"))</f>
        <v/>
      </c>
      <c r="J1838" s="37" t="str">
        <f aca="false">IF(C1838="","",IFERROR(INDEX(cl_Code,MATCH(C1838,cl_Name,0)),"Unknown"))</f>
        <v/>
      </c>
      <c r="K1838" s="37" t="str">
        <f aca="false">IF(D1838="","",IFERROR(INDEX(rt_Billable,MATCH(D1838,rt_Code,0)),"Unknown"))</f>
        <v/>
      </c>
      <c r="L1838" s="38" t="str">
        <f aca="false">IF(K1838&lt;&gt;"Yes","",IFERROR(INDEX(cr_Rate,MATCH(J1838&amp;"|"&amp;D1838,cr_Key,0)),INDEX(rt_Rate,MATCH(D1838,rt_Code,0))))</f>
        <v/>
      </c>
      <c r="M1838" s="25" t="str">
        <f aca="false">IF(L1838="","",ROUND(N(E1838)*L1838,2))</f>
        <v/>
      </c>
      <c r="N1838" s="39" t="str">
        <f aca="false">IF(OR(A1838="",B1838=""),"",SUMIFS(tl_Hours,tl_StaffID,I1838,tl_Date,A1838))</f>
        <v/>
      </c>
      <c r="O1838" s="40" t="str">
        <f aca="false">IF(A1838&amp;B1838&amp;D1838="","",IF(OR(A1838="",B1838="",D1838="",E1838=""),"Incomplete",IF(K1838="Unknown","Unknown code",IF(AND(K1838="Yes",C1838=""),"Billable, needs client",IF(N1838&gt;MaxDayHours,"Over "&amp;MaxDayHours&amp;" hours that day","")))))</f>
        <v/>
      </c>
    </row>
    <row r="1839" customFormat="false" ht="15" hidden="false" customHeight="false" outlineLevel="0" collapsed="false">
      <c r="A1839" s="31"/>
      <c r="B1839" s="32"/>
      <c r="C1839" s="32"/>
      <c r="D1839" s="33"/>
      <c r="E1839" s="34"/>
      <c r="F1839" s="32"/>
      <c r="G1839" s="35" t="str">
        <f aca="false">IF(A1839="","",A1839+7-WEEKDAY(A1839))</f>
        <v/>
      </c>
      <c r="H1839" s="36" t="str">
        <f aca="false">IF(A1839="","",DATE(YEAR(A1839),MONTH(A1839),1))</f>
        <v/>
      </c>
      <c r="I1839" s="37" t="str">
        <f aca="false">IF(B1839="","",IFERROR(INDEX(st_ID,MATCH(B1839,st_Name,0)),"Unknown"))</f>
        <v/>
      </c>
      <c r="J1839" s="37" t="str">
        <f aca="false">IF(C1839="","",IFERROR(INDEX(cl_Code,MATCH(C1839,cl_Name,0)),"Unknown"))</f>
        <v/>
      </c>
      <c r="K1839" s="37" t="str">
        <f aca="false">IF(D1839="","",IFERROR(INDEX(rt_Billable,MATCH(D1839,rt_Code,0)),"Unknown"))</f>
        <v/>
      </c>
      <c r="L1839" s="38" t="str">
        <f aca="false">IF(K1839&lt;&gt;"Yes","",IFERROR(INDEX(cr_Rate,MATCH(J1839&amp;"|"&amp;D1839,cr_Key,0)),INDEX(rt_Rate,MATCH(D1839,rt_Code,0))))</f>
        <v/>
      </c>
      <c r="M1839" s="25" t="str">
        <f aca="false">IF(L1839="","",ROUND(N(E1839)*L1839,2))</f>
        <v/>
      </c>
      <c r="N1839" s="39" t="str">
        <f aca="false">IF(OR(A1839="",B1839=""),"",SUMIFS(tl_Hours,tl_StaffID,I1839,tl_Date,A1839))</f>
        <v/>
      </c>
      <c r="O1839" s="40" t="str">
        <f aca="false">IF(A1839&amp;B1839&amp;D1839="","",IF(OR(A1839="",B1839="",D1839="",E1839=""),"Incomplete",IF(K1839="Unknown","Unknown code",IF(AND(K1839="Yes",C1839=""),"Billable, needs client",IF(N1839&gt;MaxDayHours,"Over "&amp;MaxDayHours&amp;" hours that day","")))))</f>
        <v/>
      </c>
    </row>
    <row r="1840" customFormat="false" ht="15" hidden="false" customHeight="false" outlineLevel="0" collapsed="false">
      <c r="A1840" s="31"/>
      <c r="B1840" s="32"/>
      <c r="C1840" s="32"/>
      <c r="D1840" s="33"/>
      <c r="E1840" s="34"/>
      <c r="F1840" s="32"/>
      <c r="G1840" s="35" t="str">
        <f aca="false">IF(A1840="","",A1840+7-WEEKDAY(A1840))</f>
        <v/>
      </c>
      <c r="H1840" s="36" t="str">
        <f aca="false">IF(A1840="","",DATE(YEAR(A1840),MONTH(A1840),1))</f>
        <v/>
      </c>
      <c r="I1840" s="37" t="str">
        <f aca="false">IF(B1840="","",IFERROR(INDEX(st_ID,MATCH(B1840,st_Name,0)),"Unknown"))</f>
        <v/>
      </c>
      <c r="J1840" s="37" t="str">
        <f aca="false">IF(C1840="","",IFERROR(INDEX(cl_Code,MATCH(C1840,cl_Name,0)),"Unknown"))</f>
        <v/>
      </c>
      <c r="K1840" s="37" t="str">
        <f aca="false">IF(D1840="","",IFERROR(INDEX(rt_Billable,MATCH(D1840,rt_Code,0)),"Unknown"))</f>
        <v/>
      </c>
      <c r="L1840" s="38" t="str">
        <f aca="false">IF(K1840&lt;&gt;"Yes","",IFERROR(INDEX(cr_Rate,MATCH(J1840&amp;"|"&amp;D1840,cr_Key,0)),INDEX(rt_Rate,MATCH(D1840,rt_Code,0))))</f>
        <v/>
      </c>
      <c r="M1840" s="25" t="str">
        <f aca="false">IF(L1840="","",ROUND(N(E1840)*L1840,2))</f>
        <v/>
      </c>
      <c r="N1840" s="39" t="str">
        <f aca="false">IF(OR(A1840="",B1840=""),"",SUMIFS(tl_Hours,tl_StaffID,I1840,tl_Date,A1840))</f>
        <v/>
      </c>
      <c r="O1840" s="40" t="str">
        <f aca="false">IF(A1840&amp;B1840&amp;D1840="","",IF(OR(A1840="",B1840="",D1840="",E1840=""),"Incomplete",IF(K1840="Unknown","Unknown code",IF(AND(K1840="Yes",C1840=""),"Billable, needs client",IF(N1840&gt;MaxDayHours,"Over "&amp;MaxDayHours&amp;" hours that day","")))))</f>
        <v/>
      </c>
    </row>
    <row r="1841" customFormat="false" ht="15" hidden="false" customHeight="false" outlineLevel="0" collapsed="false">
      <c r="A1841" s="31"/>
      <c r="B1841" s="32"/>
      <c r="C1841" s="32"/>
      <c r="D1841" s="33"/>
      <c r="E1841" s="34"/>
      <c r="F1841" s="32"/>
      <c r="G1841" s="35" t="str">
        <f aca="false">IF(A1841="","",A1841+7-WEEKDAY(A1841))</f>
        <v/>
      </c>
      <c r="H1841" s="36" t="str">
        <f aca="false">IF(A1841="","",DATE(YEAR(A1841),MONTH(A1841),1))</f>
        <v/>
      </c>
      <c r="I1841" s="37" t="str">
        <f aca="false">IF(B1841="","",IFERROR(INDEX(st_ID,MATCH(B1841,st_Name,0)),"Unknown"))</f>
        <v/>
      </c>
      <c r="J1841" s="37" t="str">
        <f aca="false">IF(C1841="","",IFERROR(INDEX(cl_Code,MATCH(C1841,cl_Name,0)),"Unknown"))</f>
        <v/>
      </c>
      <c r="K1841" s="37" t="str">
        <f aca="false">IF(D1841="","",IFERROR(INDEX(rt_Billable,MATCH(D1841,rt_Code,0)),"Unknown"))</f>
        <v/>
      </c>
      <c r="L1841" s="38" t="str">
        <f aca="false">IF(K1841&lt;&gt;"Yes","",IFERROR(INDEX(cr_Rate,MATCH(J1841&amp;"|"&amp;D1841,cr_Key,0)),INDEX(rt_Rate,MATCH(D1841,rt_Code,0))))</f>
        <v/>
      </c>
      <c r="M1841" s="25" t="str">
        <f aca="false">IF(L1841="","",ROUND(N(E1841)*L1841,2))</f>
        <v/>
      </c>
      <c r="N1841" s="39" t="str">
        <f aca="false">IF(OR(A1841="",B1841=""),"",SUMIFS(tl_Hours,tl_StaffID,I1841,tl_Date,A1841))</f>
        <v/>
      </c>
      <c r="O1841" s="40" t="str">
        <f aca="false">IF(A1841&amp;B1841&amp;D1841="","",IF(OR(A1841="",B1841="",D1841="",E1841=""),"Incomplete",IF(K1841="Unknown","Unknown code",IF(AND(K1841="Yes",C1841=""),"Billable, needs client",IF(N1841&gt;MaxDayHours,"Over "&amp;MaxDayHours&amp;" hours that day","")))))</f>
        <v/>
      </c>
    </row>
    <row r="1842" customFormat="false" ht="15" hidden="false" customHeight="false" outlineLevel="0" collapsed="false">
      <c r="A1842" s="31"/>
      <c r="B1842" s="32"/>
      <c r="C1842" s="32"/>
      <c r="D1842" s="33"/>
      <c r="E1842" s="34"/>
      <c r="F1842" s="32"/>
      <c r="G1842" s="35" t="str">
        <f aca="false">IF(A1842="","",A1842+7-WEEKDAY(A1842))</f>
        <v/>
      </c>
      <c r="H1842" s="36" t="str">
        <f aca="false">IF(A1842="","",DATE(YEAR(A1842),MONTH(A1842),1))</f>
        <v/>
      </c>
      <c r="I1842" s="37" t="str">
        <f aca="false">IF(B1842="","",IFERROR(INDEX(st_ID,MATCH(B1842,st_Name,0)),"Unknown"))</f>
        <v/>
      </c>
      <c r="J1842" s="37" t="str">
        <f aca="false">IF(C1842="","",IFERROR(INDEX(cl_Code,MATCH(C1842,cl_Name,0)),"Unknown"))</f>
        <v/>
      </c>
      <c r="K1842" s="37" t="str">
        <f aca="false">IF(D1842="","",IFERROR(INDEX(rt_Billable,MATCH(D1842,rt_Code,0)),"Unknown"))</f>
        <v/>
      </c>
      <c r="L1842" s="38" t="str">
        <f aca="false">IF(K1842&lt;&gt;"Yes","",IFERROR(INDEX(cr_Rate,MATCH(J1842&amp;"|"&amp;D1842,cr_Key,0)),INDEX(rt_Rate,MATCH(D1842,rt_Code,0))))</f>
        <v/>
      </c>
      <c r="M1842" s="25" t="str">
        <f aca="false">IF(L1842="","",ROUND(N(E1842)*L1842,2))</f>
        <v/>
      </c>
      <c r="N1842" s="39" t="str">
        <f aca="false">IF(OR(A1842="",B1842=""),"",SUMIFS(tl_Hours,tl_StaffID,I1842,tl_Date,A1842))</f>
        <v/>
      </c>
      <c r="O1842" s="40" t="str">
        <f aca="false">IF(A1842&amp;B1842&amp;D1842="","",IF(OR(A1842="",B1842="",D1842="",E1842=""),"Incomplete",IF(K1842="Unknown","Unknown code",IF(AND(K1842="Yes",C1842=""),"Billable, needs client",IF(N1842&gt;MaxDayHours,"Over "&amp;MaxDayHours&amp;" hours that day","")))))</f>
        <v/>
      </c>
    </row>
    <row r="1843" customFormat="false" ht="15" hidden="false" customHeight="false" outlineLevel="0" collapsed="false">
      <c r="A1843" s="31"/>
      <c r="B1843" s="32"/>
      <c r="C1843" s="32"/>
      <c r="D1843" s="33"/>
      <c r="E1843" s="34"/>
      <c r="F1843" s="32"/>
      <c r="G1843" s="35" t="str">
        <f aca="false">IF(A1843="","",A1843+7-WEEKDAY(A1843))</f>
        <v/>
      </c>
      <c r="H1843" s="36" t="str">
        <f aca="false">IF(A1843="","",DATE(YEAR(A1843),MONTH(A1843),1))</f>
        <v/>
      </c>
      <c r="I1843" s="37" t="str">
        <f aca="false">IF(B1843="","",IFERROR(INDEX(st_ID,MATCH(B1843,st_Name,0)),"Unknown"))</f>
        <v/>
      </c>
      <c r="J1843" s="37" t="str">
        <f aca="false">IF(C1843="","",IFERROR(INDEX(cl_Code,MATCH(C1843,cl_Name,0)),"Unknown"))</f>
        <v/>
      </c>
      <c r="K1843" s="37" t="str">
        <f aca="false">IF(D1843="","",IFERROR(INDEX(rt_Billable,MATCH(D1843,rt_Code,0)),"Unknown"))</f>
        <v/>
      </c>
      <c r="L1843" s="38" t="str">
        <f aca="false">IF(K1843&lt;&gt;"Yes","",IFERROR(INDEX(cr_Rate,MATCH(J1843&amp;"|"&amp;D1843,cr_Key,0)),INDEX(rt_Rate,MATCH(D1843,rt_Code,0))))</f>
        <v/>
      </c>
      <c r="M1843" s="25" t="str">
        <f aca="false">IF(L1843="","",ROUND(N(E1843)*L1843,2))</f>
        <v/>
      </c>
      <c r="N1843" s="39" t="str">
        <f aca="false">IF(OR(A1843="",B1843=""),"",SUMIFS(tl_Hours,tl_StaffID,I1843,tl_Date,A1843))</f>
        <v/>
      </c>
      <c r="O1843" s="40" t="str">
        <f aca="false">IF(A1843&amp;B1843&amp;D1843="","",IF(OR(A1843="",B1843="",D1843="",E1843=""),"Incomplete",IF(K1843="Unknown","Unknown code",IF(AND(K1843="Yes",C1843=""),"Billable, needs client",IF(N1843&gt;MaxDayHours,"Over "&amp;MaxDayHours&amp;" hours that day","")))))</f>
        <v/>
      </c>
    </row>
    <row r="1844" customFormat="false" ht="15" hidden="false" customHeight="false" outlineLevel="0" collapsed="false">
      <c r="A1844" s="31"/>
      <c r="B1844" s="32"/>
      <c r="C1844" s="32"/>
      <c r="D1844" s="33"/>
      <c r="E1844" s="34"/>
      <c r="F1844" s="32"/>
      <c r="G1844" s="35" t="str">
        <f aca="false">IF(A1844="","",A1844+7-WEEKDAY(A1844))</f>
        <v/>
      </c>
      <c r="H1844" s="36" t="str">
        <f aca="false">IF(A1844="","",DATE(YEAR(A1844),MONTH(A1844),1))</f>
        <v/>
      </c>
      <c r="I1844" s="37" t="str">
        <f aca="false">IF(B1844="","",IFERROR(INDEX(st_ID,MATCH(B1844,st_Name,0)),"Unknown"))</f>
        <v/>
      </c>
      <c r="J1844" s="37" t="str">
        <f aca="false">IF(C1844="","",IFERROR(INDEX(cl_Code,MATCH(C1844,cl_Name,0)),"Unknown"))</f>
        <v/>
      </c>
      <c r="K1844" s="37" t="str">
        <f aca="false">IF(D1844="","",IFERROR(INDEX(rt_Billable,MATCH(D1844,rt_Code,0)),"Unknown"))</f>
        <v/>
      </c>
      <c r="L1844" s="38" t="str">
        <f aca="false">IF(K1844&lt;&gt;"Yes","",IFERROR(INDEX(cr_Rate,MATCH(J1844&amp;"|"&amp;D1844,cr_Key,0)),INDEX(rt_Rate,MATCH(D1844,rt_Code,0))))</f>
        <v/>
      </c>
      <c r="M1844" s="25" t="str">
        <f aca="false">IF(L1844="","",ROUND(N(E1844)*L1844,2))</f>
        <v/>
      </c>
      <c r="N1844" s="39" t="str">
        <f aca="false">IF(OR(A1844="",B1844=""),"",SUMIFS(tl_Hours,tl_StaffID,I1844,tl_Date,A1844))</f>
        <v/>
      </c>
      <c r="O1844" s="40" t="str">
        <f aca="false">IF(A1844&amp;B1844&amp;D1844="","",IF(OR(A1844="",B1844="",D1844="",E1844=""),"Incomplete",IF(K1844="Unknown","Unknown code",IF(AND(K1844="Yes",C1844=""),"Billable, needs client",IF(N1844&gt;MaxDayHours,"Over "&amp;MaxDayHours&amp;" hours that day","")))))</f>
        <v/>
      </c>
    </row>
    <row r="1845" customFormat="false" ht="15" hidden="false" customHeight="false" outlineLevel="0" collapsed="false">
      <c r="A1845" s="31"/>
      <c r="B1845" s="32"/>
      <c r="C1845" s="32"/>
      <c r="D1845" s="33"/>
      <c r="E1845" s="34"/>
      <c r="F1845" s="32"/>
      <c r="G1845" s="35" t="str">
        <f aca="false">IF(A1845="","",A1845+7-WEEKDAY(A1845))</f>
        <v/>
      </c>
      <c r="H1845" s="36" t="str">
        <f aca="false">IF(A1845="","",DATE(YEAR(A1845),MONTH(A1845),1))</f>
        <v/>
      </c>
      <c r="I1845" s="37" t="str">
        <f aca="false">IF(B1845="","",IFERROR(INDEX(st_ID,MATCH(B1845,st_Name,0)),"Unknown"))</f>
        <v/>
      </c>
      <c r="J1845" s="37" t="str">
        <f aca="false">IF(C1845="","",IFERROR(INDEX(cl_Code,MATCH(C1845,cl_Name,0)),"Unknown"))</f>
        <v/>
      </c>
      <c r="K1845" s="37" t="str">
        <f aca="false">IF(D1845="","",IFERROR(INDEX(rt_Billable,MATCH(D1845,rt_Code,0)),"Unknown"))</f>
        <v/>
      </c>
      <c r="L1845" s="38" t="str">
        <f aca="false">IF(K1845&lt;&gt;"Yes","",IFERROR(INDEX(cr_Rate,MATCH(J1845&amp;"|"&amp;D1845,cr_Key,0)),INDEX(rt_Rate,MATCH(D1845,rt_Code,0))))</f>
        <v/>
      </c>
      <c r="M1845" s="25" t="str">
        <f aca="false">IF(L1845="","",ROUND(N(E1845)*L1845,2))</f>
        <v/>
      </c>
      <c r="N1845" s="39" t="str">
        <f aca="false">IF(OR(A1845="",B1845=""),"",SUMIFS(tl_Hours,tl_StaffID,I1845,tl_Date,A1845))</f>
        <v/>
      </c>
      <c r="O1845" s="40" t="str">
        <f aca="false">IF(A1845&amp;B1845&amp;D1845="","",IF(OR(A1845="",B1845="",D1845="",E1845=""),"Incomplete",IF(K1845="Unknown","Unknown code",IF(AND(K1845="Yes",C1845=""),"Billable, needs client",IF(N1845&gt;MaxDayHours,"Over "&amp;MaxDayHours&amp;" hours that day","")))))</f>
        <v/>
      </c>
    </row>
    <row r="1846" customFormat="false" ht="15" hidden="false" customHeight="false" outlineLevel="0" collapsed="false">
      <c r="A1846" s="31"/>
      <c r="B1846" s="32"/>
      <c r="C1846" s="32"/>
      <c r="D1846" s="33"/>
      <c r="E1846" s="34"/>
      <c r="F1846" s="32"/>
      <c r="G1846" s="35" t="str">
        <f aca="false">IF(A1846="","",A1846+7-WEEKDAY(A1846))</f>
        <v/>
      </c>
      <c r="H1846" s="36" t="str">
        <f aca="false">IF(A1846="","",DATE(YEAR(A1846),MONTH(A1846),1))</f>
        <v/>
      </c>
      <c r="I1846" s="37" t="str">
        <f aca="false">IF(B1846="","",IFERROR(INDEX(st_ID,MATCH(B1846,st_Name,0)),"Unknown"))</f>
        <v/>
      </c>
      <c r="J1846" s="37" t="str">
        <f aca="false">IF(C1846="","",IFERROR(INDEX(cl_Code,MATCH(C1846,cl_Name,0)),"Unknown"))</f>
        <v/>
      </c>
      <c r="K1846" s="37" t="str">
        <f aca="false">IF(D1846="","",IFERROR(INDEX(rt_Billable,MATCH(D1846,rt_Code,0)),"Unknown"))</f>
        <v/>
      </c>
      <c r="L1846" s="38" t="str">
        <f aca="false">IF(K1846&lt;&gt;"Yes","",IFERROR(INDEX(cr_Rate,MATCH(J1846&amp;"|"&amp;D1846,cr_Key,0)),INDEX(rt_Rate,MATCH(D1846,rt_Code,0))))</f>
        <v/>
      </c>
      <c r="M1846" s="25" t="str">
        <f aca="false">IF(L1846="","",ROUND(N(E1846)*L1846,2))</f>
        <v/>
      </c>
      <c r="N1846" s="39" t="str">
        <f aca="false">IF(OR(A1846="",B1846=""),"",SUMIFS(tl_Hours,tl_StaffID,I1846,tl_Date,A1846))</f>
        <v/>
      </c>
      <c r="O1846" s="40" t="str">
        <f aca="false">IF(A1846&amp;B1846&amp;D1846="","",IF(OR(A1846="",B1846="",D1846="",E1846=""),"Incomplete",IF(K1846="Unknown","Unknown code",IF(AND(K1846="Yes",C1846=""),"Billable, needs client",IF(N1846&gt;MaxDayHours,"Over "&amp;MaxDayHours&amp;" hours that day","")))))</f>
        <v/>
      </c>
    </row>
    <row r="1847" customFormat="false" ht="15" hidden="false" customHeight="false" outlineLevel="0" collapsed="false">
      <c r="A1847" s="31"/>
      <c r="B1847" s="32"/>
      <c r="C1847" s="32"/>
      <c r="D1847" s="33"/>
      <c r="E1847" s="34"/>
      <c r="F1847" s="32"/>
      <c r="G1847" s="35" t="str">
        <f aca="false">IF(A1847="","",A1847+7-WEEKDAY(A1847))</f>
        <v/>
      </c>
      <c r="H1847" s="36" t="str">
        <f aca="false">IF(A1847="","",DATE(YEAR(A1847),MONTH(A1847),1))</f>
        <v/>
      </c>
      <c r="I1847" s="37" t="str">
        <f aca="false">IF(B1847="","",IFERROR(INDEX(st_ID,MATCH(B1847,st_Name,0)),"Unknown"))</f>
        <v/>
      </c>
      <c r="J1847" s="37" t="str">
        <f aca="false">IF(C1847="","",IFERROR(INDEX(cl_Code,MATCH(C1847,cl_Name,0)),"Unknown"))</f>
        <v/>
      </c>
      <c r="K1847" s="37" t="str">
        <f aca="false">IF(D1847="","",IFERROR(INDEX(rt_Billable,MATCH(D1847,rt_Code,0)),"Unknown"))</f>
        <v/>
      </c>
      <c r="L1847" s="38" t="str">
        <f aca="false">IF(K1847&lt;&gt;"Yes","",IFERROR(INDEX(cr_Rate,MATCH(J1847&amp;"|"&amp;D1847,cr_Key,0)),INDEX(rt_Rate,MATCH(D1847,rt_Code,0))))</f>
        <v/>
      </c>
      <c r="M1847" s="25" t="str">
        <f aca="false">IF(L1847="","",ROUND(N(E1847)*L1847,2))</f>
        <v/>
      </c>
      <c r="N1847" s="39" t="str">
        <f aca="false">IF(OR(A1847="",B1847=""),"",SUMIFS(tl_Hours,tl_StaffID,I1847,tl_Date,A1847))</f>
        <v/>
      </c>
      <c r="O1847" s="40" t="str">
        <f aca="false">IF(A1847&amp;B1847&amp;D1847="","",IF(OR(A1847="",B1847="",D1847="",E1847=""),"Incomplete",IF(K1847="Unknown","Unknown code",IF(AND(K1847="Yes",C1847=""),"Billable, needs client",IF(N1847&gt;MaxDayHours,"Over "&amp;MaxDayHours&amp;" hours that day","")))))</f>
        <v/>
      </c>
    </row>
    <row r="1848" customFormat="false" ht="15" hidden="false" customHeight="false" outlineLevel="0" collapsed="false">
      <c r="A1848" s="31"/>
      <c r="B1848" s="32"/>
      <c r="C1848" s="32"/>
      <c r="D1848" s="33"/>
      <c r="E1848" s="34"/>
      <c r="F1848" s="32"/>
      <c r="G1848" s="35" t="str">
        <f aca="false">IF(A1848="","",A1848+7-WEEKDAY(A1848))</f>
        <v/>
      </c>
      <c r="H1848" s="36" t="str">
        <f aca="false">IF(A1848="","",DATE(YEAR(A1848),MONTH(A1848),1))</f>
        <v/>
      </c>
      <c r="I1848" s="37" t="str">
        <f aca="false">IF(B1848="","",IFERROR(INDEX(st_ID,MATCH(B1848,st_Name,0)),"Unknown"))</f>
        <v/>
      </c>
      <c r="J1848" s="37" t="str">
        <f aca="false">IF(C1848="","",IFERROR(INDEX(cl_Code,MATCH(C1848,cl_Name,0)),"Unknown"))</f>
        <v/>
      </c>
      <c r="K1848" s="37" t="str">
        <f aca="false">IF(D1848="","",IFERROR(INDEX(rt_Billable,MATCH(D1848,rt_Code,0)),"Unknown"))</f>
        <v/>
      </c>
      <c r="L1848" s="38" t="str">
        <f aca="false">IF(K1848&lt;&gt;"Yes","",IFERROR(INDEX(cr_Rate,MATCH(J1848&amp;"|"&amp;D1848,cr_Key,0)),INDEX(rt_Rate,MATCH(D1848,rt_Code,0))))</f>
        <v/>
      </c>
      <c r="M1848" s="25" t="str">
        <f aca="false">IF(L1848="","",ROUND(N(E1848)*L1848,2))</f>
        <v/>
      </c>
      <c r="N1848" s="39" t="str">
        <f aca="false">IF(OR(A1848="",B1848=""),"",SUMIFS(tl_Hours,tl_StaffID,I1848,tl_Date,A1848))</f>
        <v/>
      </c>
      <c r="O1848" s="40" t="str">
        <f aca="false">IF(A1848&amp;B1848&amp;D1848="","",IF(OR(A1848="",B1848="",D1848="",E1848=""),"Incomplete",IF(K1848="Unknown","Unknown code",IF(AND(K1848="Yes",C1848=""),"Billable, needs client",IF(N1848&gt;MaxDayHours,"Over "&amp;MaxDayHours&amp;" hours that day","")))))</f>
        <v/>
      </c>
    </row>
    <row r="1849" customFormat="false" ht="15" hidden="false" customHeight="false" outlineLevel="0" collapsed="false">
      <c r="A1849" s="31"/>
      <c r="B1849" s="32"/>
      <c r="C1849" s="32"/>
      <c r="D1849" s="33"/>
      <c r="E1849" s="34"/>
      <c r="F1849" s="32"/>
      <c r="G1849" s="35" t="str">
        <f aca="false">IF(A1849="","",A1849+7-WEEKDAY(A1849))</f>
        <v/>
      </c>
      <c r="H1849" s="36" t="str">
        <f aca="false">IF(A1849="","",DATE(YEAR(A1849),MONTH(A1849),1))</f>
        <v/>
      </c>
      <c r="I1849" s="37" t="str">
        <f aca="false">IF(B1849="","",IFERROR(INDEX(st_ID,MATCH(B1849,st_Name,0)),"Unknown"))</f>
        <v/>
      </c>
      <c r="J1849" s="37" t="str">
        <f aca="false">IF(C1849="","",IFERROR(INDEX(cl_Code,MATCH(C1849,cl_Name,0)),"Unknown"))</f>
        <v/>
      </c>
      <c r="K1849" s="37" t="str">
        <f aca="false">IF(D1849="","",IFERROR(INDEX(rt_Billable,MATCH(D1849,rt_Code,0)),"Unknown"))</f>
        <v/>
      </c>
      <c r="L1849" s="38" t="str">
        <f aca="false">IF(K1849&lt;&gt;"Yes","",IFERROR(INDEX(cr_Rate,MATCH(J1849&amp;"|"&amp;D1849,cr_Key,0)),INDEX(rt_Rate,MATCH(D1849,rt_Code,0))))</f>
        <v/>
      </c>
      <c r="M1849" s="25" t="str">
        <f aca="false">IF(L1849="","",ROUND(N(E1849)*L1849,2))</f>
        <v/>
      </c>
      <c r="N1849" s="39" t="str">
        <f aca="false">IF(OR(A1849="",B1849=""),"",SUMIFS(tl_Hours,tl_StaffID,I1849,tl_Date,A1849))</f>
        <v/>
      </c>
      <c r="O1849" s="40" t="str">
        <f aca="false">IF(A1849&amp;B1849&amp;D1849="","",IF(OR(A1849="",B1849="",D1849="",E1849=""),"Incomplete",IF(K1849="Unknown","Unknown code",IF(AND(K1849="Yes",C1849=""),"Billable, needs client",IF(N1849&gt;MaxDayHours,"Over "&amp;MaxDayHours&amp;" hours that day","")))))</f>
        <v/>
      </c>
    </row>
    <row r="1850" customFormat="false" ht="15" hidden="false" customHeight="false" outlineLevel="0" collapsed="false">
      <c r="A1850" s="31"/>
      <c r="B1850" s="32"/>
      <c r="C1850" s="32"/>
      <c r="D1850" s="33"/>
      <c r="E1850" s="34"/>
      <c r="F1850" s="32"/>
      <c r="G1850" s="35" t="str">
        <f aca="false">IF(A1850="","",A1850+7-WEEKDAY(A1850))</f>
        <v/>
      </c>
      <c r="H1850" s="36" t="str">
        <f aca="false">IF(A1850="","",DATE(YEAR(A1850),MONTH(A1850),1))</f>
        <v/>
      </c>
      <c r="I1850" s="37" t="str">
        <f aca="false">IF(B1850="","",IFERROR(INDEX(st_ID,MATCH(B1850,st_Name,0)),"Unknown"))</f>
        <v/>
      </c>
      <c r="J1850" s="37" t="str">
        <f aca="false">IF(C1850="","",IFERROR(INDEX(cl_Code,MATCH(C1850,cl_Name,0)),"Unknown"))</f>
        <v/>
      </c>
      <c r="K1850" s="37" t="str">
        <f aca="false">IF(D1850="","",IFERROR(INDEX(rt_Billable,MATCH(D1850,rt_Code,0)),"Unknown"))</f>
        <v/>
      </c>
      <c r="L1850" s="38" t="str">
        <f aca="false">IF(K1850&lt;&gt;"Yes","",IFERROR(INDEX(cr_Rate,MATCH(J1850&amp;"|"&amp;D1850,cr_Key,0)),INDEX(rt_Rate,MATCH(D1850,rt_Code,0))))</f>
        <v/>
      </c>
      <c r="M1850" s="25" t="str">
        <f aca="false">IF(L1850="","",ROUND(N(E1850)*L1850,2))</f>
        <v/>
      </c>
      <c r="N1850" s="39" t="str">
        <f aca="false">IF(OR(A1850="",B1850=""),"",SUMIFS(tl_Hours,tl_StaffID,I1850,tl_Date,A1850))</f>
        <v/>
      </c>
      <c r="O1850" s="40" t="str">
        <f aca="false">IF(A1850&amp;B1850&amp;D1850="","",IF(OR(A1850="",B1850="",D1850="",E1850=""),"Incomplete",IF(K1850="Unknown","Unknown code",IF(AND(K1850="Yes",C1850=""),"Billable, needs client",IF(N1850&gt;MaxDayHours,"Over "&amp;MaxDayHours&amp;" hours that day","")))))</f>
        <v/>
      </c>
    </row>
    <row r="1851" customFormat="false" ht="15" hidden="false" customHeight="false" outlineLevel="0" collapsed="false">
      <c r="A1851" s="31"/>
      <c r="B1851" s="32"/>
      <c r="C1851" s="32"/>
      <c r="D1851" s="33"/>
      <c r="E1851" s="34"/>
      <c r="F1851" s="32"/>
      <c r="G1851" s="35" t="str">
        <f aca="false">IF(A1851="","",A1851+7-WEEKDAY(A1851))</f>
        <v/>
      </c>
      <c r="H1851" s="36" t="str">
        <f aca="false">IF(A1851="","",DATE(YEAR(A1851),MONTH(A1851),1))</f>
        <v/>
      </c>
      <c r="I1851" s="37" t="str">
        <f aca="false">IF(B1851="","",IFERROR(INDEX(st_ID,MATCH(B1851,st_Name,0)),"Unknown"))</f>
        <v/>
      </c>
      <c r="J1851" s="37" t="str">
        <f aca="false">IF(C1851="","",IFERROR(INDEX(cl_Code,MATCH(C1851,cl_Name,0)),"Unknown"))</f>
        <v/>
      </c>
      <c r="K1851" s="37" t="str">
        <f aca="false">IF(D1851="","",IFERROR(INDEX(rt_Billable,MATCH(D1851,rt_Code,0)),"Unknown"))</f>
        <v/>
      </c>
      <c r="L1851" s="38" t="str">
        <f aca="false">IF(K1851&lt;&gt;"Yes","",IFERROR(INDEX(cr_Rate,MATCH(J1851&amp;"|"&amp;D1851,cr_Key,0)),INDEX(rt_Rate,MATCH(D1851,rt_Code,0))))</f>
        <v/>
      </c>
      <c r="M1851" s="25" t="str">
        <f aca="false">IF(L1851="","",ROUND(N(E1851)*L1851,2))</f>
        <v/>
      </c>
      <c r="N1851" s="39" t="str">
        <f aca="false">IF(OR(A1851="",B1851=""),"",SUMIFS(tl_Hours,tl_StaffID,I1851,tl_Date,A1851))</f>
        <v/>
      </c>
      <c r="O1851" s="40" t="str">
        <f aca="false">IF(A1851&amp;B1851&amp;D1851="","",IF(OR(A1851="",B1851="",D1851="",E1851=""),"Incomplete",IF(K1851="Unknown","Unknown code",IF(AND(K1851="Yes",C1851=""),"Billable, needs client",IF(N1851&gt;MaxDayHours,"Over "&amp;MaxDayHours&amp;" hours that day","")))))</f>
        <v/>
      </c>
    </row>
    <row r="1852" customFormat="false" ht="15" hidden="false" customHeight="false" outlineLevel="0" collapsed="false">
      <c r="A1852" s="31"/>
      <c r="B1852" s="32"/>
      <c r="C1852" s="32"/>
      <c r="D1852" s="33"/>
      <c r="E1852" s="34"/>
      <c r="F1852" s="32"/>
      <c r="G1852" s="35" t="str">
        <f aca="false">IF(A1852="","",A1852+7-WEEKDAY(A1852))</f>
        <v/>
      </c>
      <c r="H1852" s="36" t="str">
        <f aca="false">IF(A1852="","",DATE(YEAR(A1852),MONTH(A1852),1))</f>
        <v/>
      </c>
      <c r="I1852" s="37" t="str">
        <f aca="false">IF(B1852="","",IFERROR(INDEX(st_ID,MATCH(B1852,st_Name,0)),"Unknown"))</f>
        <v/>
      </c>
      <c r="J1852" s="37" t="str">
        <f aca="false">IF(C1852="","",IFERROR(INDEX(cl_Code,MATCH(C1852,cl_Name,0)),"Unknown"))</f>
        <v/>
      </c>
      <c r="K1852" s="37" t="str">
        <f aca="false">IF(D1852="","",IFERROR(INDEX(rt_Billable,MATCH(D1852,rt_Code,0)),"Unknown"))</f>
        <v/>
      </c>
      <c r="L1852" s="38" t="str">
        <f aca="false">IF(K1852&lt;&gt;"Yes","",IFERROR(INDEX(cr_Rate,MATCH(J1852&amp;"|"&amp;D1852,cr_Key,0)),INDEX(rt_Rate,MATCH(D1852,rt_Code,0))))</f>
        <v/>
      </c>
      <c r="M1852" s="25" t="str">
        <f aca="false">IF(L1852="","",ROUND(N(E1852)*L1852,2))</f>
        <v/>
      </c>
      <c r="N1852" s="39" t="str">
        <f aca="false">IF(OR(A1852="",B1852=""),"",SUMIFS(tl_Hours,tl_StaffID,I1852,tl_Date,A1852))</f>
        <v/>
      </c>
      <c r="O1852" s="40" t="str">
        <f aca="false">IF(A1852&amp;B1852&amp;D1852="","",IF(OR(A1852="",B1852="",D1852="",E1852=""),"Incomplete",IF(K1852="Unknown","Unknown code",IF(AND(K1852="Yes",C1852=""),"Billable, needs client",IF(N1852&gt;MaxDayHours,"Over "&amp;MaxDayHours&amp;" hours that day","")))))</f>
        <v/>
      </c>
    </row>
    <row r="1853" customFormat="false" ht="15" hidden="false" customHeight="false" outlineLevel="0" collapsed="false">
      <c r="A1853" s="31"/>
      <c r="B1853" s="32"/>
      <c r="C1853" s="32"/>
      <c r="D1853" s="33"/>
      <c r="E1853" s="34"/>
      <c r="F1853" s="32"/>
      <c r="G1853" s="35" t="str">
        <f aca="false">IF(A1853="","",A1853+7-WEEKDAY(A1853))</f>
        <v/>
      </c>
      <c r="H1853" s="36" t="str">
        <f aca="false">IF(A1853="","",DATE(YEAR(A1853),MONTH(A1853),1))</f>
        <v/>
      </c>
      <c r="I1853" s="37" t="str">
        <f aca="false">IF(B1853="","",IFERROR(INDEX(st_ID,MATCH(B1853,st_Name,0)),"Unknown"))</f>
        <v/>
      </c>
      <c r="J1853" s="37" t="str">
        <f aca="false">IF(C1853="","",IFERROR(INDEX(cl_Code,MATCH(C1853,cl_Name,0)),"Unknown"))</f>
        <v/>
      </c>
      <c r="K1853" s="37" t="str">
        <f aca="false">IF(D1853="","",IFERROR(INDEX(rt_Billable,MATCH(D1853,rt_Code,0)),"Unknown"))</f>
        <v/>
      </c>
      <c r="L1853" s="38" t="str">
        <f aca="false">IF(K1853&lt;&gt;"Yes","",IFERROR(INDEX(cr_Rate,MATCH(J1853&amp;"|"&amp;D1853,cr_Key,0)),INDEX(rt_Rate,MATCH(D1853,rt_Code,0))))</f>
        <v/>
      </c>
      <c r="M1853" s="25" t="str">
        <f aca="false">IF(L1853="","",ROUND(N(E1853)*L1853,2))</f>
        <v/>
      </c>
      <c r="N1853" s="39" t="str">
        <f aca="false">IF(OR(A1853="",B1853=""),"",SUMIFS(tl_Hours,tl_StaffID,I1853,tl_Date,A1853))</f>
        <v/>
      </c>
      <c r="O1853" s="40" t="str">
        <f aca="false">IF(A1853&amp;B1853&amp;D1853="","",IF(OR(A1853="",B1853="",D1853="",E1853=""),"Incomplete",IF(K1853="Unknown","Unknown code",IF(AND(K1853="Yes",C1853=""),"Billable, needs client",IF(N1853&gt;MaxDayHours,"Over "&amp;MaxDayHours&amp;" hours that day","")))))</f>
        <v/>
      </c>
    </row>
    <row r="1854" customFormat="false" ht="15" hidden="false" customHeight="false" outlineLevel="0" collapsed="false">
      <c r="A1854" s="31"/>
      <c r="B1854" s="32"/>
      <c r="C1854" s="32"/>
      <c r="D1854" s="33"/>
      <c r="E1854" s="34"/>
      <c r="F1854" s="32"/>
      <c r="G1854" s="35" t="str">
        <f aca="false">IF(A1854="","",A1854+7-WEEKDAY(A1854))</f>
        <v/>
      </c>
      <c r="H1854" s="36" t="str">
        <f aca="false">IF(A1854="","",DATE(YEAR(A1854),MONTH(A1854),1))</f>
        <v/>
      </c>
      <c r="I1854" s="37" t="str">
        <f aca="false">IF(B1854="","",IFERROR(INDEX(st_ID,MATCH(B1854,st_Name,0)),"Unknown"))</f>
        <v/>
      </c>
      <c r="J1854" s="37" t="str">
        <f aca="false">IF(C1854="","",IFERROR(INDEX(cl_Code,MATCH(C1854,cl_Name,0)),"Unknown"))</f>
        <v/>
      </c>
      <c r="K1854" s="37" t="str">
        <f aca="false">IF(D1854="","",IFERROR(INDEX(rt_Billable,MATCH(D1854,rt_Code,0)),"Unknown"))</f>
        <v/>
      </c>
      <c r="L1854" s="38" t="str">
        <f aca="false">IF(K1854&lt;&gt;"Yes","",IFERROR(INDEX(cr_Rate,MATCH(J1854&amp;"|"&amp;D1854,cr_Key,0)),INDEX(rt_Rate,MATCH(D1854,rt_Code,0))))</f>
        <v/>
      </c>
      <c r="M1854" s="25" t="str">
        <f aca="false">IF(L1854="","",ROUND(N(E1854)*L1854,2))</f>
        <v/>
      </c>
      <c r="N1854" s="39" t="str">
        <f aca="false">IF(OR(A1854="",B1854=""),"",SUMIFS(tl_Hours,tl_StaffID,I1854,tl_Date,A1854))</f>
        <v/>
      </c>
      <c r="O1854" s="40" t="str">
        <f aca="false">IF(A1854&amp;B1854&amp;D1854="","",IF(OR(A1854="",B1854="",D1854="",E1854=""),"Incomplete",IF(K1854="Unknown","Unknown code",IF(AND(K1854="Yes",C1854=""),"Billable, needs client",IF(N1854&gt;MaxDayHours,"Over "&amp;MaxDayHours&amp;" hours that day","")))))</f>
        <v/>
      </c>
    </row>
    <row r="1855" customFormat="false" ht="15" hidden="false" customHeight="false" outlineLevel="0" collapsed="false">
      <c r="A1855" s="31"/>
      <c r="B1855" s="32"/>
      <c r="C1855" s="32"/>
      <c r="D1855" s="33"/>
      <c r="E1855" s="34"/>
      <c r="F1855" s="32"/>
      <c r="G1855" s="35" t="str">
        <f aca="false">IF(A1855="","",A1855+7-WEEKDAY(A1855))</f>
        <v/>
      </c>
      <c r="H1855" s="36" t="str">
        <f aca="false">IF(A1855="","",DATE(YEAR(A1855),MONTH(A1855),1))</f>
        <v/>
      </c>
      <c r="I1855" s="37" t="str">
        <f aca="false">IF(B1855="","",IFERROR(INDEX(st_ID,MATCH(B1855,st_Name,0)),"Unknown"))</f>
        <v/>
      </c>
      <c r="J1855" s="37" t="str">
        <f aca="false">IF(C1855="","",IFERROR(INDEX(cl_Code,MATCH(C1855,cl_Name,0)),"Unknown"))</f>
        <v/>
      </c>
      <c r="K1855" s="37" t="str">
        <f aca="false">IF(D1855="","",IFERROR(INDEX(rt_Billable,MATCH(D1855,rt_Code,0)),"Unknown"))</f>
        <v/>
      </c>
      <c r="L1855" s="38" t="str">
        <f aca="false">IF(K1855&lt;&gt;"Yes","",IFERROR(INDEX(cr_Rate,MATCH(J1855&amp;"|"&amp;D1855,cr_Key,0)),INDEX(rt_Rate,MATCH(D1855,rt_Code,0))))</f>
        <v/>
      </c>
      <c r="M1855" s="25" t="str">
        <f aca="false">IF(L1855="","",ROUND(N(E1855)*L1855,2))</f>
        <v/>
      </c>
      <c r="N1855" s="39" t="str">
        <f aca="false">IF(OR(A1855="",B1855=""),"",SUMIFS(tl_Hours,tl_StaffID,I1855,tl_Date,A1855))</f>
        <v/>
      </c>
      <c r="O1855" s="40" t="str">
        <f aca="false">IF(A1855&amp;B1855&amp;D1855="","",IF(OR(A1855="",B1855="",D1855="",E1855=""),"Incomplete",IF(K1855="Unknown","Unknown code",IF(AND(K1855="Yes",C1855=""),"Billable, needs client",IF(N1855&gt;MaxDayHours,"Over "&amp;MaxDayHours&amp;" hours that day","")))))</f>
        <v/>
      </c>
    </row>
    <row r="1856" customFormat="false" ht="15" hidden="false" customHeight="false" outlineLevel="0" collapsed="false">
      <c r="A1856" s="31"/>
      <c r="B1856" s="32"/>
      <c r="C1856" s="32"/>
      <c r="D1856" s="33"/>
      <c r="E1856" s="34"/>
      <c r="F1856" s="32"/>
      <c r="G1856" s="35" t="str">
        <f aca="false">IF(A1856="","",A1856+7-WEEKDAY(A1856))</f>
        <v/>
      </c>
      <c r="H1856" s="36" t="str">
        <f aca="false">IF(A1856="","",DATE(YEAR(A1856),MONTH(A1856),1))</f>
        <v/>
      </c>
      <c r="I1856" s="37" t="str">
        <f aca="false">IF(B1856="","",IFERROR(INDEX(st_ID,MATCH(B1856,st_Name,0)),"Unknown"))</f>
        <v/>
      </c>
      <c r="J1856" s="37" t="str">
        <f aca="false">IF(C1856="","",IFERROR(INDEX(cl_Code,MATCH(C1856,cl_Name,0)),"Unknown"))</f>
        <v/>
      </c>
      <c r="K1856" s="37" t="str">
        <f aca="false">IF(D1856="","",IFERROR(INDEX(rt_Billable,MATCH(D1856,rt_Code,0)),"Unknown"))</f>
        <v/>
      </c>
      <c r="L1856" s="38" t="str">
        <f aca="false">IF(K1856&lt;&gt;"Yes","",IFERROR(INDEX(cr_Rate,MATCH(J1856&amp;"|"&amp;D1856,cr_Key,0)),INDEX(rt_Rate,MATCH(D1856,rt_Code,0))))</f>
        <v/>
      </c>
      <c r="M1856" s="25" t="str">
        <f aca="false">IF(L1856="","",ROUND(N(E1856)*L1856,2))</f>
        <v/>
      </c>
      <c r="N1856" s="39" t="str">
        <f aca="false">IF(OR(A1856="",B1856=""),"",SUMIFS(tl_Hours,tl_StaffID,I1856,tl_Date,A1856))</f>
        <v/>
      </c>
      <c r="O1856" s="40" t="str">
        <f aca="false">IF(A1856&amp;B1856&amp;D1856="","",IF(OR(A1856="",B1856="",D1856="",E1856=""),"Incomplete",IF(K1856="Unknown","Unknown code",IF(AND(K1856="Yes",C1856=""),"Billable, needs client",IF(N1856&gt;MaxDayHours,"Over "&amp;MaxDayHours&amp;" hours that day","")))))</f>
        <v/>
      </c>
    </row>
    <row r="1857" customFormat="false" ht="15" hidden="false" customHeight="false" outlineLevel="0" collapsed="false">
      <c r="A1857" s="31"/>
      <c r="B1857" s="32"/>
      <c r="C1857" s="32"/>
      <c r="D1857" s="33"/>
      <c r="E1857" s="34"/>
      <c r="F1857" s="32"/>
      <c r="G1857" s="35" t="str">
        <f aca="false">IF(A1857="","",A1857+7-WEEKDAY(A1857))</f>
        <v/>
      </c>
      <c r="H1857" s="36" t="str">
        <f aca="false">IF(A1857="","",DATE(YEAR(A1857),MONTH(A1857),1))</f>
        <v/>
      </c>
      <c r="I1857" s="37" t="str">
        <f aca="false">IF(B1857="","",IFERROR(INDEX(st_ID,MATCH(B1857,st_Name,0)),"Unknown"))</f>
        <v/>
      </c>
      <c r="J1857" s="37" t="str">
        <f aca="false">IF(C1857="","",IFERROR(INDEX(cl_Code,MATCH(C1857,cl_Name,0)),"Unknown"))</f>
        <v/>
      </c>
      <c r="K1857" s="37" t="str">
        <f aca="false">IF(D1857="","",IFERROR(INDEX(rt_Billable,MATCH(D1857,rt_Code,0)),"Unknown"))</f>
        <v/>
      </c>
      <c r="L1857" s="38" t="str">
        <f aca="false">IF(K1857&lt;&gt;"Yes","",IFERROR(INDEX(cr_Rate,MATCH(J1857&amp;"|"&amp;D1857,cr_Key,0)),INDEX(rt_Rate,MATCH(D1857,rt_Code,0))))</f>
        <v/>
      </c>
      <c r="M1857" s="25" t="str">
        <f aca="false">IF(L1857="","",ROUND(N(E1857)*L1857,2))</f>
        <v/>
      </c>
      <c r="N1857" s="39" t="str">
        <f aca="false">IF(OR(A1857="",B1857=""),"",SUMIFS(tl_Hours,tl_StaffID,I1857,tl_Date,A1857))</f>
        <v/>
      </c>
      <c r="O1857" s="40" t="str">
        <f aca="false">IF(A1857&amp;B1857&amp;D1857="","",IF(OR(A1857="",B1857="",D1857="",E1857=""),"Incomplete",IF(K1857="Unknown","Unknown code",IF(AND(K1857="Yes",C1857=""),"Billable, needs client",IF(N1857&gt;MaxDayHours,"Over "&amp;MaxDayHours&amp;" hours that day","")))))</f>
        <v/>
      </c>
    </row>
    <row r="1858" customFormat="false" ht="15" hidden="false" customHeight="false" outlineLevel="0" collapsed="false">
      <c r="A1858" s="31"/>
      <c r="B1858" s="32"/>
      <c r="C1858" s="32"/>
      <c r="D1858" s="33"/>
      <c r="E1858" s="34"/>
      <c r="F1858" s="32"/>
      <c r="G1858" s="35" t="str">
        <f aca="false">IF(A1858="","",A1858+7-WEEKDAY(A1858))</f>
        <v/>
      </c>
      <c r="H1858" s="36" t="str">
        <f aca="false">IF(A1858="","",DATE(YEAR(A1858),MONTH(A1858),1))</f>
        <v/>
      </c>
      <c r="I1858" s="37" t="str">
        <f aca="false">IF(B1858="","",IFERROR(INDEX(st_ID,MATCH(B1858,st_Name,0)),"Unknown"))</f>
        <v/>
      </c>
      <c r="J1858" s="37" t="str">
        <f aca="false">IF(C1858="","",IFERROR(INDEX(cl_Code,MATCH(C1858,cl_Name,0)),"Unknown"))</f>
        <v/>
      </c>
      <c r="K1858" s="37" t="str">
        <f aca="false">IF(D1858="","",IFERROR(INDEX(rt_Billable,MATCH(D1858,rt_Code,0)),"Unknown"))</f>
        <v/>
      </c>
      <c r="L1858" s="38" t="str">
        <f aca="false">IF(K1858&lt;&gt;"Yes","",IFERROR(INDEX(cr_Rate,MATCH(J1858&amp;"|"&amp;D1858,cr_Key,0)),INDEX(rt_Rate,MATCH(D1858,rt_Code,0))))</f>
        <v/>
      </c>
      <c r="M1858" s="25" t="str">
        <f aca="false">IF(L1858="","",ROUND(N(E1858)*L1858,2))</f>
        <v/>
      </c>
      <c r="N1858" s="39" t="str">
        <f aca="false">IF(OR(A1858="",B1858=""),"",SUMIFS(tl_Hours,tl_StaffID,I1858,tl_Date,A1858))</f>
        <v/>
      </c>
      <c r="O1858" s="40" t="str">
        <f aca="false">IF(A1858&amp;B1858&amp;D1858="","",IF(OR(A1858="",B1858="",D1858="",E1858=""),"Incomplete",IF(K1858="Unknown","Unknown code",IF(AND(K1858="Yes",C1858=""),"Billable, needs client",IF(N1858&gt;MaxDayHours,"Over "&amp;MaxDayHours&amp;" hours that day","")))))</f>
        <v/>
      </c>
    </row>
    <row r="1859" customFormat="false" ht="15" hidden="false" customHeight="false" outlineLevel="0" collapsed="false">
      <c r="A1859" s="31"/>
      <c r="B1859" s="32"/>
      <c r="C1859" s="32"/>
      <c r="D1859" s="33"/>
      <c r="E1859" s="34"/>
      <c r="F1859" s="32"/>
      <c r="G1859" s="35" t="str">
        <f aca="false">IF(A1859="","",A1859+7-WEEKDAY(A1859))</f>
        <v/>
      </c>
      <c r="H1859" s="36" t="str">
        <f aca="false">IF(A1859="","",DATE(YEAR(A1859),MONTH(A1859),1))</f>
        <v/>
      </c>
      <c r="I1859" s="37" t="str">
        <f aca="false">IF(B1859="","",IFERROR(INDEX(st_ID,MATCH(B1859,st_Name,0)),"Unknown"))</f>
        <v/>
      </c>
      <c r="J1859" s="37" t="str">
        <f aca="false">IF(C1859="","",IFERROR(INDEX(cl_Code,MATCH(C1859,cl_Name,0)),"Unknown"))</f>
        <v/>
      </c>
      <c r="K1859" s="37" t="str">
        <f aca="false">IF(D1859="","",IFERROR(INDEX(rt_Billable,MATCH(D1859,rt_Code,0)),"Unknown"))</f>
        <v/>
      </c>
      <c r="L1859" s="38" t="str">
        <f aca="false">IF(K1859&lt;&gt;"Yes","",IFERROR(INDEX(cr_Rate,MATCH(J1859&amp;"|"&amp;D1859,cr_Key,0)),INDEX(rt_Rate,MATCH(D1859,rt_Code,0))))</f>
        <v/>
      </c>
      <c r="M1859" s="25" t="str">
        <f aca="false">IF(L1859="","",ROUND(N(E1859)*L1859,2))</f>
        <v/>
      </c>
      <c r="N1859" s="39" t="str">
        <f aca="false">IF(OR(A1859="",B1859=""),"",SUMIFS(tl_Hours,tl_StaffID,I1859,tl_Date,A1859))</f>
        <v/>
      </c>
      <c r="O1859" s="40" t="str">
        <f aca="false">IF(A1859&amp;B1859&amp;D1859="","",IF(OR(A1859="",B1859="",D1859="",E1859=""),"Incomplete",IF(K1859="Unknown","Unknown code",IF(AND(K1859="Yes",C1859=""),"Billable, needs client",IF(N1859&gt;MaxDayHours,"Over "&amp;MaxDayHours&amp;" hours that day","")))))</f>
        <v/>
      </c>
    </row>
    <row r="1860" customFormat="false" ht="15" hidden="false" customHeight="false" outlineLevel="0" collapsed="false">
      <c r="A1860" s="31"/>
      <c r="B1860" s="32"/>
      <c r="C1860" s="32"/>
      <c r="D1860" s="33"/>
      <c r="E1860" s="34"/>
      <c r="F1860" s="32"/>
      <c r="G1860" s="35" t="str">
        <f aca="false">IF(A1860="","",A1860+7-WEEKDAY(A1860))</f>
        <v/>
      </c>
      <c r="H1860" s="36" t="str">
        <f aca="false">IF(A1860="","",DATE(YEAR(A1860),MONTH(A1860),1))</f>
        <v/>
      </c>
      <c r="I1860" s="37" t="str">
        <f aca="false">IF(B1860="","",IFERROR(INDEX(st_ID,MATCH(B1860,st_Name,0)),"Unknown"))</f>
        <v/>
      </c>
      <c r="J1860" s="37" t="str">
        <f aca="false">IF(C1860="","",IFERROR(INDEX(cl_Code,MATCH(C1860,cl_Name,0)),"Unknown"))</f>
        <v/>
      </c>
      <c r="K1860" s="37" t="str">
        <f aca="false">IF(D1860="","",IFERROR(INDEX(rt_Billable,MATCH(D1860,rt_Code,0)),"Unknown"))</f>
        <v/>
      </c>
      <c r="L1860" s="38" t="str">
        <f aca="false">IF(K1860&lt;&gt;"Yes","",IFERROR(INDEX(cr_Rate,MATCH(J1860&amp;"|"&amp;D1860,cr_Key,0)),INDEX(rt_Rate,MATCH(D1860,rt_Code,0))))</f>
        <v/>
      </c>
      <c r="M1860" s="25" t="str">
        <f aca="false">IF(L1860="","",ROUND(N(E1860)*L1860,2))</f>
        <v/>
      </c>
      <c r="N1860" s="39" t="str">
        <f aca="false">IF(OR(A1860="",B1860=""),"",SUMIFS(tl_Hours,tl_StaffID,I1860,tl_Date,A1860))</f>
        <v/>
      </c>
      <c r="O1860" s="40" t="str">
        <f aca="false">IF(A1860&amp;B1860&amp;D1860="","",IF(OR(A1860="",B1860="",D1860="",E1860=""),"Incomplete",IF(K1860="Unknown","Unknown code",IF(AND(K1860="Yes",C1860=""),"Billable, needs client",IF(N1860&gt;MaxDayHours,"Over "&amp;MaxDayHours&amp;" hours that day","")))))</f>
        <v/>
      </c>
    </row>
    <row r="1861" customFormat="false" ht="15" hidden="false" customHeight="false" outlineLevel="0" collapsed="false">
      <c r="A1861" s="31"/>
      <c r="B1861" s="32"/>
      <c r="C1861" s="32"/>
      <c r="D1861" s="33"/>
      <c r="E1861" s="34"/>
      <c r="F1861" s="32"/>
      <c r="G1861" s="35" t="str">
        <f aca="false">IF(A1861="","",A1861+7-WEEKDAY(A1861))</f>
        <v/>
      </c>
      <c r="H1861" s="36" t="str">
        <f aca="false">IF(A1861="","",DATE(YEAR(A1861),MONTH(A1861),1))</f>
        <v/>
      </c>
      <c r="I1861" s="37" t="str">
        <f aca="false">IF(B1861="","",IFERROR(INDEX(st_ID,MATCH(B1861,st_Name,0)),"Unknown"))</f>
        <v/>
      </c>
      <c r="J1861" s="37" t="str">
        <f aca="false">IF(C1861="","",IFERROR(INDEX(cl_Code,MATCH(C1861,cl_Name,0)),"Unknown"))</f>
        <v/>
      </c>
      <c r="K1861" s="37" t="str">
        <f aca="false">IF(D1861="","",IFERROR(INDEX(rt_Billable,MATCH(D1861,rt_Code,0)),"Unknown"))</f>
        <v/>
      </c>
      <c r="L1861" s="38" t="str">
        <f aca="false">IF(K1861&lt;&gt;"Yes","",IFERROR(INDEX(cr_Rate,MATCH(J1861&amp;"|"&amp;D1861,cr_Key,0)),INDEX(rt_Rate,MATCH(D1861,rt_Code,0))))</f>
        <v/>
      </c>
      <c r="M1861" s="25" t="str">
        <f aca="false">IF(L1861="","",ROUND(N(E1861)*L1861,2))</f>
        <v/>
      </c>
      <c r="N1861" s="39" t="str">
        <f aca="false">IF(OR(A1861="",B1861=""),"",SUMIFS(tl_Hours,tl_StaffID,I1861,tl_Date,A1861))</f>
        <v/>
      </c>
      <c r="O1861" s="40" t="str">
        <f aca="false">IF(A1861&amp;B1861&amp;D1861="","",IF(OR(A1861="",B1861="",D1861="",E1861=""),"Incomplete",IF(K1861="Unknown","Unknown code",IF(AND(K1861="Yes",C1861=""),"Billable, needs client",IF(N1861&gt;MaxDayHours,"Over "&amp;MaxDayHours&amp;" hours that day","")))))</f>
        <v/>
      </c>
    </row>
    <row r="1862" customFormat="false" ht="15" hidden="false" customHeight="false" outlineLevel="0" collapsed="false">
      <c r="A1862" s="31"/>
      <c r="B1862" s="32"/>
      <c r="C1862" s="32"/>
      <c r="D1862" s="33"/>
      <c r="E1862" s="34"/>
      <c r="F1862" s="32"/>
      <c r="G1862" s="35" t="str">
        <f aca="false">IF(A1862="","",A1862+7-WEEKDAY(A1862))</f>
        <v/>
      </c>
      <c r="H1862" s="36" t="str">
        <f aca="false">IF(A1862="","",DATE(YEAR(A1862),MONTH(A1862),1))</f>
        <v/>
      </c>
      <c r="I1862" s="37" t="str">
        <f aca="false">IF(B1862="","",IFERROR(INDEX(st_ID,MATCH(B1862,st_Name,0)),"Unknown"))</f>
        <v/>
      </c>
      <c r="J1862" s="37" t="str">
        <f aca="false">IF(C1862="","",IFERROR(INDEX(cl_Code,MATCH(C1862,cl_Name,0)),"Unknown"))</f>
        <v/>
      </c>
      <c r="K1862" s="37" t="str">
        <f aca="false">IF(D1862="","",IFERROR(INDEX(rt_Billable,MATCH(D1862,rt_Code,0)),"Unknown"))</f>
        <v/>
      </c>
      <c r="L1862" s="38" t="str">
        <f aca="false">IF(K1862&lt;&gt;"Yes","",IFERROR(INDEX(cr_Rate,MATCH(J1862&amp;"|"&amp;D1862,cr_Key,0)),INDEX(rt_Rate,MATCH(D1862,rt_Code,0))))</f>
        <v/>
      </c>
      <c r="M1862" s="25" t="str">
        <f aca="false">IF(L1862="","",ROUND(N(E1862)*L1862,2))</f>
        <v/>
      </c>
      <c r="N1862" s="39" t="str">
        <f aca="false">IF(OR(A1862="",B1862=""),"",SUMIFS(tl_Hours,tl_StaffID,I1862,tl_Date,A1862))</f>
        <v/>
      </c>
      <c r="O1862" s="40" t="str">
        <f aca="false">IF(A1862&amp;B1862&amp;D1862="","",IF(OR(A1862="",B1862="",D1862="",E1862=""),"Incomplete",IF(K1862="Unknown","Unknown code",IF(AND(K1862="Yes",C1862=""),"Billable, needs client",IF(N1862&gt;MaxDayHours,"Over "&amp;MaxDayHours&amp;" hours that day","")))))</f>
        <v/>
      </c>
    </row>
    <row r="1863" customFormat="false" ht="15" hidden="false" customHeight="false" outlineLevel="0" collapsed="false">
      <c r="A1863" s="31"/>
      <c r="B1863" s="32"/>
      <c r="C1863" s="32"/>
      <c r="D1863" s="33"/>
      <c r="E1863" s="34"/>
      <c r="F1863" s="32"/>
      <c r="G1863" s="35" t="str">
        <f aca="false">IF(A1863="","",A1863+7-WEEKDAY(A1863))</f>
        <v/>
      </c>
      <c r="H1863" s="36" t="str">
        <f aca="false">IF(A1863="","",DATE(YEAR(A1863),MONTH(A1863),1))</f>
        <v/>
      </c>
      <c r="I1863" s="37" t="str">
        <f aca="false">IF(B1863="","",IFERROR(INDEX(st_ID,MATCH(B1863,st_Name,0)),"Unknown"))</f>
        <v/>
      </c>
      <c r="J1863" s="37" t="str">
        <f aca="false">IF(C1863="","",IFERROR(INDEX(cl_Code,MATCH(C1863,cl_Name,0)),"Unknown"))</f>
        <v/>
      </c>
      <c r="K1863" s="37" t="str">
        <f aca="false">IF(D1863="","",IFERROR(INDEX(rt_Billable,MATCH(D1863,rt_Code,0)),"Unknown"))</f>
        <v/>
      </c>
      <c r="L1863" s="38" t="str">
        <f aca="false">IF(K1863&lt;&gt;"Yes","",IFERROR(INDEX(cr_Rate,MATCH(J1863&amp;"|"&amp;D1863,cr_Key,0)),INDEX(rt_Rate,MATCH(D1863,rt_Code,0))))</f>
        <v/>
      </c>
      <c r="M1863" s="25" t="str">
        <f aca="false">IF(L1863="","",ROUND(N(E1863)*L1863,2))</f>
        <v/>
      </c>
      <c r="N1863" s="39" t="str">
        <f aca="false">IF(OR(A1863="",B1863=""),"",SUMIFS(tl_Hours,tl_StaffID,I1863,tl_Date,A1863))</f>
        <v/>
      </c>
      <c r="O1863" s="40" t="str">
        <f aca="false">IF(A1863&amp;B1863&amp;D1863="","",IF(OR(A1863="",B1863="",D1863="",E1863=""),"Incomplete",IF(K1863="Unknown","Unknown code",IF(AND(K1863="Yes",C1863=""),"Billable, needs client",IF(N1863&gt;MaxDayHours,"Over "&amp;MaxDayHours&amp;" hours that day","")))))</f>
        <v/>
      </c>
    </row>
    <row r="1864" customFormat="false" ht="15" hidden="false" customHeight="false" outlineLevel="0" collapsed="false">
      <c r="A1864" s="31"/>
      <c r="B1864" s="32"/>
      <c r="C1864" s="32"/>
      <c r="D1864" s="33"/>
      <c r="E1864" s="34"/>
      <c r="F1864" s="32"/>
      <c r="G1864" s="35" t="str">
        <f aca="false">IF(A1864="","",A1864+7-WEEKDAY(A1864))</f>
        <v/>
      </c>
      <c r="H1864" s="36" t="str">
        <f aca="false">IF(A1864="","",DATE(YEAR(A1864),MONTH(A1864),1))</f>
        <v/>
      </c>
      <c r="I1864" s="37" t="str">
        <f aca="false">IF(B1864="","",IFERROR(INDEX(st_ID,MATCH(B1864,st_Name,0)),"Unknown"))</f>
        <v/>
      </c>
      <c r="J1864" s="37" t="str">
        <f aca="false">IF(C1864="","",IFERROR(INDEX(cl_Code,MATCH(C1864,cl_Name,0)),"Unknown"))</f>
        <v/>
      </c>
      <c r="K1864" s="37" t="str">
        <f aca="false">IF(D1864="","",IFERROR(INDEX(rt_Billable,MATCH(D1864,rt_Code,0)),"Unknown"))</f>
        <v/>
      </c>
      <c r="L1864" s="38" t="str">
        <f aca="false">IF(K1864&lt;&gt;"Yes","",IFERROR(INDEX(cr_Rate,MATCH(J1864&amp;"|"&amp;D1864,cr_Key,0)),INDEX(rt_Rate,MATCH(D1864,rt_Code,0))))</f>
        <v/>
      </c>
      <c r="M1864" s="25" t="str">
        <f aca="false">IF(L1864="","",ROUND(N(E1864)*L1864,2))</f>
        <v/>
      </c>
      <c r="N1864" s="39" t="str">
        <f aca="false">IF(OR(A1864="",B1864=""),"",SUMIFS(tl_Hours,tl_StaffID,I1864,tl_Date,A1864))</f>
        <v/>
      </c>
      <c r="O1864" s="40" t="str">
        <f aca="false">IF(A1864&amp;B1864&amp;D1864="","",IF(OR(A1864="",B1864="",D1864="",E1864=""),"Incomplete",IF(K1864="Unknown","Unknown code",IF(AND(K1864="Yes",C1864=""),"Billable, needs client",IF(N1864&gt;MaxDayHours,"Over "&amp;MaxDayHours&amp;" hours that day","")))))</f>
        <v/>
      </c>
    </row>
    <row r="1865" customFormat="false" ht="15" hidden="false" customHeight="false" outlineLevel="0" collapsed="false">
      <c r="A1865" s="31"/>
      <c r="B1865" s="32"/>
      <c r="C1865" s="32"/>
      <c r="D1865" s="33"/>
      <c r="E1865" s="34"/>
      <c r="F1865" s="32"/>
      <c r="G1865" s="35" t="str">
        <f aca="false">IF(A1865="","",A1865+7-WEEKDAY(A1865))</f>
        <v/>
      </c>
      <c r="H1865" s="36" t="str">
        <f aca="false">IF(A1865="","",DATE(YEAR(A1865),MONTH(A1865),1))</f>
        <v/>
      </c>
      <c r="I1865" s="37" t="str">
        <f aca="false">IF(B1865="","",IFERROR(INDEX(st_ID,MATCH(B1865,st_Name,0)),"Unknown"))</f>
        <v/>
      </c>
      <c r="J1865" s="37" t="str">
        <f aca="false">IF(C1865="","",IFERROR(INDEX(cl_Code,MATCH(C1865,cl_Name,0)),"Unknown"))</f>
        <v/>
      </c>
      <c r="K1865" s="37" t="str">
        <f aca="false">IF(D1865="","",IFERROR(INDEX(rt_Billable,MATCH(D1865,rt_Code,0)),"Unknown"))</f>
        <v/>
      </c>
      <c r="L1865" s="38" t="str">
        <f aca="false">IF(K1865&lt;&gt;"Yes","",IFERROR(INDEX(cr_Rate,MATCH(J1865&amp;"|"&amp;D1865,cr_Key,0)),INDEX(rt_Rate,MATCH(D1865,rt_Code,0))))</f>
        <v/>
      </c>
      <c r="M1865" s="25" t="str">
        <f aca="false">IF(L1865="","",ROUND(N(E1865)*L1865,2))</f>
        <v/>
      </c>
      <c r="N1865" s="39" t="str">
        <f aca="false">IF(OR(A1865="",B1865=""),"",SUMIFS(tl_Hours,tl_StaffID,I1865,tl_Date,A1865))</f>
        <v/>
      </c>
      <c r="O1865" s="40" t="str">
        <f aca="false">IF(A1865&amp;B1865&amp;D1865="","",IF(OR(A1865="",B1865="",D1865="",E1865=""),"Incomplete",IF(K1865="Unknown","Unknown code",IF(AND(K1865="Yes",C1865=""),"Billable, needs client",IF(N1865&gt;MaxDayHours,"Over "&amp;MaxDayHours&amp;" hours that day","")))))</f>
        <v/>
      </c>
    </row>
    <row r="1866" customFormat="false" ht="15" hidden="false" customHeight="false" outlineLevel="0" collapsed="false">
      <c r="A1866" s="31"/>
      <c r="B1866" s="32"/>
      <c r="C1866" s="32"/>
      <c r="D1866" s="33"/>
      <c r="E1866" s="34"/>
      <c r="F1866" s="32"/>
      <c r="G1866" s="35" t="str">
        <f aca="false">IF(A1866="","",A1866+7-WEEKDAY(A1866))</f>
        <v/>
      </c>
      <c r="H1866" s="36" t="str">
        <f aca="false">IF(A1866="","",DATE(YEAR(A1866),MONTH(A1866),1))</f>
        <v/>
      </c>
      <c r="I1866" s="37" t="str">
        <f aca="false">IF(B1866="","",IFERROR(INDEX(st_ID,MATCH(B1866,st_Name,0)),"Unknown"))</f>
        <v/>
      </c>
      <c r="J1866" s="37" t="str">
        <f aca="false">IF(C1866="","",IFERROR(INDEX(cl_Code,MATCH(C1866,cl_Name,0)),"Unknown"))</f>
        <v/>
      </c>
      <c r="K1866" s="37" t="str">
        <f aca="false">IF(D1866="","",IFERROR(INDEX(rt_Billable,MATCH(D1866,rt_Code,0)),"Unknown"))</f>
        <v/>
      </c>
      <c r="L1866" s="38" t="str">
        <f aca="false">IF(K1866&lt;&gt;"Yes","",IFERROR(INDEX(cr_Rate,MATCH(J1866&amp;"|"&amp;D1866,cr_Key,0)),INDEX(rt_Rate,MATCH(D1866,rt_Code,0))))</f>
        <v/>
      </c>
      <c r="M1866" s="25" t="str">
        <f aca="false">IF(L1866="","",ROUND(N(E1866)*L1866,2))</f>
        <v/>
      </c>
      <c r="N1866" s="39" t="str">
        <f aca="false">IF(OR(A1866="",B1866=""),"",SUMIFS(tl_Hours,tl_StaffID,I1866,tl_Date,A1866))</f>
        <v/>
      </c>
      <c r="O1866" s="40" t="str">
        <f aca="false">IF(A1866&amp;B1866&amp;D1866="","",IF(OR(A1866="",B1866="",D1866="",E1866=""),"Incomplete",IF(K1866="Unknown","Unknown code",IF(AND(K1866="Yes",C1866=""),"Billable, needs client",IF(N1866&gt;MaxDayHours,"Over "&amp;MaxDayHours&amp;" hours that day","")))))</f>
        <v/>
      </c>
    </row>
    <row r="1867" customFormat="false" ht="15" hidden="false" customHeight="false" outlineLevel="0" collapsed="false">
      <c r="A1867" s="31"/>
      <c r="B1867" s="32"/>
      <c r="C1867" s="32"/>
      <c r="D1867" s="33"/>
      <c r="E1867" s="34"/>
      <c r="F1867" s="32"/>
      <c r="G1867" s="35" t="str">
        <f aca="false">IF(A1867="","",A1867+7-WEEKDAY(A1867))</f>
        <v/>
      </c>
      <c r="H1867" s="36" t="str">
        <f aca="false">IF(A1867="","",DATE(YEAR(A1867),MONTH(A1867),1))</f>
        <v/>
      </c>
      <c r="I1867" s="37" t="str">
        <f aca="false">IF(B1867="","",IFERROR(INDEX(st_ID,MATCH(B1867,st_Name,0)),"Unknown"))</f>
        <v/>
      </c>
      <c r="J1867" s="37" t="str">
        <f aca="false">IF(C1867="","",IFERROR(INDEX(cl_Code,MATCH(C1867,cl_Name,0)),"Unknown"))</f>
        <v/>
      </c>
      <c r="K1867" s="37" t="str">
        <f aca="false">IF(D1867="","",IFERROR(INDEX(rt_Billable,MATCH(D1867,rt_Code,0)),"Unknown"))</f>
        <v/>
      </c>
      <c r="L1867" s="38" t="str">
        <f aca="false">IF(K1867&lt;&gt;"Yes","",IFERROR(INDEX(cr_Rate,MATCH(J1867&amp;"|"&amp;D1867,cr_Key,0)),INDEX(rt_Rate,MATCH(D1867,rt_Code,0))))</f>
        <v/>
      </c>
      <c r="M1867" s="25" t="str">
        <f aca="false">IF(L1867="","",ROUND(N(E1867)*L1867,2))</f>
        <v/>
      </c>
      <c r="N1867" s="39" t="str">
        <f aca="false">IF(OR(A1867="",B1867=""),"",SUMIFS(tl_Hours,tl_StaffID,I1867,tl_Date,A1867))</f>
        <v/>
      </c>
      <c r="O1867" s="40" t="str">
        <f aca="false">IF(A1867&amp;B1867&amp;D1867="","",IF(OR(A1867="",B1867="",D1867="",E1867=""),"Incomplete",IF(K1867="Unknown","Unknown code",IF(AND(K1867="Yes",C1867=""),"Billable, needs client",IF(N1867&gt;MaxDayHours,"Over "&amp;MaxDayHours&amp;" hours that day","")))))</f>
        <v/>
      </c>
    </row>
    <row r="1868" customFormat="false" ht="15" hidden="false" customHeight="false" outlineLevel="0" collapsed="false">
      <c r="A1868" s="31"/>
      <c r="B1868" s="32"/>
      <c r="C1868" s="32"/>
      <c r="D1868" s="33"/>
      <c r="E1868" s="34"/>
      <c r="F1868" s="32"/>
      <c r="G1868" s="35" t="str">
        <f aca="false">IF(A1868="","",A1868+7-WEEKDAY(A1868))</f>
        <v/>
      </c>
      <c r="H1868" s="36" t="str">
        <f aca="false">IF(A1868="","",DATE(YEAR(A1868),MONTH(A1868),1))</f>
        <v/>
      </c>
      <c r="I1868" s="37" t="str">
        <f aca="false">IF(B1868="","",IFERROR(INDEX(st_ID,MATCH(B1868,st_Name,0)),"Unknown"))</f>
        <v/>
      </c>
      <c r="J1868" s="37" t="str">
        <f aca="false">IF(C1868="","",IFERROR(INDEX(cl_Code,MATCH(C1868,cl_Name,0)),"Unknown"))</f>
        <v/>
      </c>
      <c r="K1868" s="37" t="str">
        <f aca="false">IF(D1868="","",IFERROR(INDEX(rt_Billable,MATCH(D1868,rt_Code,0)),"Unknown"))</f>
        <v/>
      </c>
      <c r="L1868" s="38" t="str">
        <f aca="false">IF(K1868&lt;&gt;"Yes","",IFERROR(INDEX(cr_Rate,MATCH(J1868&amp;"|"&amp;D1868,cr_Key,0)),INDEX(rt_Rate,MATCH(D1868,rt_Code,0))))</f>
        <v/>
      </c>
      <c r="M1868" s="25" t="str">
        <f aca="false">IF(L1868="","",ROUND(N(E1868)*L1868,2))</f>
        <v/>
      </c>
      <c r="N1868" s="39" t="str">
        <f aca="false">IF(OR(A1868="",B1868=""),"",SUMIFS(tl_Hours,tl_StaffID,I1868,tl_Date,A1868))</f>
        <v/>
      </c>
      <c r="O1868" s="40" t="str">
        <f aca="false">IF(A1868&amp;B1868&amp;D1868="","",IF(OR(A1868="",B1868="",D1868="",E1868=""),"Incomplete",IF(K1868="Unknown","Unknown code",IF(AND(K1868="Yes",C1868=""),"Billable, needs client",IF(N1868&gt;MaxDayHours,"Over "&amp;MaxDayHours&amp;" hours that day","")))))</f>
        <v/>
      </c>
    </row>
    <row r="1869" customFormat="false" ht="15" hidden="false" customHeight="false" outlineLevel="0" collapsed="false">
      <c r="A1869" s="31"/>
      <c r="B1869" s="32"/>
      <c r="C1869" s="32"/>
      <c r="D1869" s="33"/>
      <c r="E1869" s="34"/>
      <c r="F1869" s="32"/>
      <c r="G1869" s="35" t="str">
        <f aca="false">IF(A1869="","",A1869+7-WEEKDAY(A1869))</f>
        <v/>
      </c>
      <c r="H1869" s="36" t="str">
        <f aca="false">IF(A1869="","",DATE(YEAR(A1869),MONTH(A1869),1))</f>
        <v/>
      </c>
      <c r="I1869" s="37" t="str">
        <f aca="false">IF(B1869="","",IFERROR(INDEX(st_ID,MATCH(B1869,st_Name,0)),"Unknown"))</f>
        <v/>
      </c>
      <c r="J1869" s="37" t="str">
        <f aca="false">IF(C1869="","",IFERROR(INDEX(cl_Code,MATCH(C1869,cl_Name,0)),"Unknown"))</f>
        <v/>
      </c>
      <c r="K1869" s="37" t="str">
        <f aca="false">IF(D1869="","",IFERROR(INDEX(rt_Billable,MATCH(D1869,rt_Code,0)),"Unknown"))</f>
        <v/>
      </c>
      <c r="L1869" s="38" t="str">
        <f aca="false">IF(K1869&lt;&gt;"Yes","",IFERROR(INDEX(cr_Rate,MATCH(J1869&amp;"|"&amp;D1869,cr_Key,0)),INDEX(rt_Rate,MATCH(D1869,rt_Code,0))))</f>
        <v/>
      </c>
      <c r="M1869" s="25" t="str">
        <f aca="false">IF(L1869="","",ROUND(N(E1869)*L1869,2))</f>
        <v/>
      </c>
      <c r="N1869" s="39" t="str">
        <f aca="false">IF(OR(A1869="",B1869=""),"",SUMIFS(tl_Hours,tl_StaffID,I1869,tl_Date,A1869))</f>
        <v/>
      </c>
      <c r="O1869" s="40" t="str">
        <f aca="false">IF(A1869&amp;B1869&amp;D1869="","",IF(OR(A1869="",B1869="",D1869="",E1869=""),"Incomplete",IF(K1869="Unknown","Unknown code",IF(AND(K1869="Yes",C1869=""),"Billable, needs client",IF(N1869&gt;MaxDayHours,"Over "&amp;MaxDayHours&amp;" hours that day","")))))</f>
        <v/>
      </c>
    </row>
    <row r="1870" customFormat="false" ht="15" hidden="false" customHeight="false" outlineLevel="0" collapsed="false">
      <c r="A1870" s="31"/>
      <c r="B1870" s="32"/>
      <c r="C1870" s="32"/>
      <c r="D1870" s="33"/>
      <c r="E1870" s="34"/>
      <c r="F1870" s="32"/>
      <c r="G1870" s="35" t="str">
        <f aca="false">IF(A1870="","",A1870+7-WEEKDAY(A1870))</f>
        <v/>
      </c>
      <c r="H1870" s="36" t="str">
        <f aca="false">IF(A1870="","",DATE(YEAR(A1870),MONTH(A1870),1))</f>
        <v/>
      </c>
      <c r="I1870" s="37" t="str">
        <f aca="false">IF(B1870="","",IFERROR(INDEX(st_ID,MATCH(B1870,st_Name,0)),"Unknown"))</f>
        <v/>
      </c>
      <c r="J1870" s="37" t="str">
        <f aca="false">IF(C1870="","",IFERROR(INDEX(cl_Code,MATCH(C1870,cl_Name,0)),"Unknown"))</f>
        <v/>
      </c>
      <c r="K1870" s="37" t="str">
        <f aca="false">IF(D1870="","",IFERROR(INDEX(rt_Billable,MATCH(D1870,rt_Code,0)),"Unknown"))</f>
        <v/>
      </c>
      <c r="L1870" s="38" t="str">
        <f aca="false">IF(K1870&lt;&gt;"Yes","",IFERROR(INDEX(cr_Rate,MATCH(J1870&amp;"|"&amp;D1870,cr_Key,0)),INDEX(rt_Rate,MATCH(D1870,rt_Code,0))))</f>
        <v/>
      </c>
      <c r="M1870" s="25" t="str">
        <f aca="false">IF(L1870="","",ROUND(N(E1870)*L1870,2))</f>
        <v/>
      </c>
      <c r="N1870" s="39" t="str">
        <f aca="false">IF(OR(A1870="",B1870=""),"",SUMIFS(tl_Hours,tl_StaffID,I1870,tl_Date,A1870))</f>
        <v/>
      </c>
      <c r="O1870" s="40" t="str">
        <f aca="false">IF(A1870&amp;B1870&amp;D1870="","",IF(OR(A1870="",B1870="",D1870="",E1870=""),"Incomplete",IF(K1870="Unknown","Unknown code",IF(AND(K1870="Yes",C1870=""),"Billable, needs client",IF(N1870&gt;MaxDayHours,"Over "&amp;MaxDayHours&amp;" hours that day","")))))</f>
        <v/>
      </c>
    </row>
    <row r="1871" customFormat="false" ht="15" hidden="false" customHeight="false" outlineLevel="0" collapsed="false">
      <c r="A1871" s="31"/>
      <c r="B1871" s="32"/>
      <c r="C1871" s="32"/>
      <c r="D1871" s="33"/>
      <c r="E1871" s="34"/>
      <c r="F1871" s="32"/>
      <c r="G1871" s="35" t="str">
        <f aca="false">IF(A1871="","",A1871+7-WEEKDAY(A1871))</f>
        <v/>
      </c>
      <c r="H1871" s="36" t="str">
        <f aca="false">IF(A1871="","",DATE(YEAR(A1871),MONTH(A1871),1))</f>
        <v/>
      </c>
      <c r="I1871" s="37" t="str">
        <f aca="false">IF(B1871="","",IFERROR(INDEX(st_ID,MATCH(B1871,st_Name,0)),"Unknown"))</f>
        <v/>
      </c>
      <c r="J1871" s="37" t="str">
        <f aca="false">IF(C1871="","",IFERROR(INDEX(cl_Code,MATCH(C1871,cl_Name,0)),"Unknown"))</f>
        <v/>
      </c>
      <c r="K1871" s="37" t="str">
        <f aca="false">IF(D1871="","",IFERROR(INDEX(rt_Billable,MATCH(D1871,rt_Code,0)),"Unknown"))</f>
        <v/>
      </c>
      <c r="L1871" s="38" t="str">
        <f aca="false">IF(K1871&lt;&gt;"Yes","",IFERROR(INDEX(cr_Rate,MATCH(J1871&amp;"|"&amp;D1871,cr_Key,0)),INDEX(rt_Rate,MATCH(D1871,rt_Code,0))))</f>
        <v/>
      </c>
      <c r="M1871" s="25" t="str">
        <f aca="false">IF(L1871="","",ROUND(N(E1871)*L1871,2))</f>
        <v/>
      </c>
      <c r="N1871" s="39" t="str">
        <f aca="false">IF(OR(A1871="",B1871=""),"",SUMIFS(tl_Hours,tl_StaffID,I1871,tl_Date,A1871))</f>
        <v/>
      </c>
      <c r="O1871" s="40" t="str">
        <f aca="false">IF(A1871&amp;B1871&amp;D1871="","",IF(OR(A1871="",B1871="",D1871="",E1871=""),"Incomplete",IF(K1871="Unknown","Unknown code",IF(AND(K1871="Yes",C1871=""),"Billable, needs client",IF(N1871&gt;MaxDayHours,"Over "&amp;MaxDayHours&amp;" hours that day","")))))</f>
        <v/>
      </c>
    </row>
    <row r="1872" customFormat="false" ht="15" hidden="false" customHeight="false" outlineLevel="0" collapsed="false">
      <c r="A1872" s="31"/>
      <c r="B1872" s="32"/>
      <c r="C1872" s="32"/>
      <c r="D1872" s="33"/>
      <c r="E1872" s="34"/>
      <c r="F1872" s="32"/>
      <c r="G1872" s="35" t="str">
        <f aca="false">IF(A1872="","",A1872+7-WEEKDAY(A1872))</f>
        <v/>
      </c>
      <c r="H1872" s="36" t="str">
        <f aca="false">IF(A1872="","",DATE(YEAR(A1872),MONTH(A1872),1))</f>
        <v/>
      </c>
      <c r="I1872" s="37" t="str">
        <f aca="false">IF(B1872="","",IFERROR(INDEX(st_ID,MATCH(B1872,st_Name,0)),"Unknown"))</f>
        <v/>
      </c>
      <c r="J1872" s="37" t="str">
        <f aca="false">IF(C1872="","",IFERROR(INDEX(cl_Code,MATCH(C1872,cl_Name,0)),"Unknown"))</f>
        <v/>
      </c>
      <c r="K1872" s="37" t="str">
        <f aca="false">IF(D1872="","",IFERROR(INDEX(rt_Billable,MATCH(D1872,rt_Code,0)),"Unknown"))</f>
        <v/>
      </c>
      <c r="L1872" s="38" t="str">
        <f aca="false">IF(K1872&lt;&gt;"Yes","",IFERROR(INDEX(cr_Rate,MATCH(J1872&amp;"|"&amp;D1872,cr_Key,0)),INDEX(rt_Rate,MATCH(D1872,rt_Code,0))))</f>
        <v/>
      </c>
      <c r="M1872" s="25" t="str">
        <f aca="false">IF(L1872="","",ROUND(N(E1872)*L1872,2))</f>
        <v/>
      </c>
      <c r="N1872" s="39" t="str">
        <f aca="false">IF(OR(A1872="",B1872=""),"",SUMIFS(tl_Hours,tl_StaffID,I1872,tl_Date,A1872))</f>
        <v/>
      </c>
      <c r="O1872" s="40" t="str">
        <f aca="false">IF(A1872&amp;B1872&amp;D1872="","",IF(OR(A1872="",B1872="",D1872="",E1872=""),"Incomplete",IF(K1872="Unknown","Unknown code",IF(AND(K1872="Yes",C1872=""),"Billable, needs client",IF(N1872&gt;MaxDayHours,"Over "&amp;MaxDayHours&amp;" hours that day","")))))</f>
        <v/>
      </c>
    </row>
    <row r="1873" customFormat="false" ht="15" hidden="false" customHeight="false" outlineLevel="0" collapsed="false">
      <c r="A1873" s="31"/>
      <c r="B1873" s="32"/>
      <c r="C1873" s="32"/>
      <c r="D1873" s="33"/>
      <c r="E1873" s="34"/>
      <c r="F1873" s="32"/>
      <c r="G1873" s="35" t="str">
        <f aca="false">IF(A1873="","",A1873+7-WEEKDAY(A1873))</f>
        <v/>
      </c>
      <c r="H1873" s="36" t="str">
        <f aca="false">IF(A1873="","",DATE(YEAR(A1873),MONTH(A1873),1))</f>
        <v/>
      </c>
      <c r="I1873" s="37" t="str">
        <f aca="false">IF(B1873="","",IFERROR(INDEX(st_ID,MATCH(B1873,st_Name,0)),"Unknown"))</f>
        <v/>
      </c>
      <c r="J1873" s="37" t="str">
        <f aca="false">IF(C1873="","",IFERROR(INDEX(cl_Code,MATCH(C1873,cl_Name,0)),"Unknown"))</f>
        <v/>
      </c>
      <c r="K1873" s="37" t="str">
        <f aca="false">IF(D1873="","",IFERROR(INDEX(rt_Billable,MATCH(D1873,rt_Code,0)),"Unknown"))</f>
        <v/>
      </c>
      <c r="L1873" s="38" t="str">
        <f aca="false">IF(K1873&lt;&gt;"Yes","",IFERROR(INDEX(cr_Rate,MATCH(J1873&amp;"|"&amp;D1873,cr_Key,0)),INDEX(rt_Rate,MATCH(D1873,rt_Code,0))))</f>
        <v/>
      </c>
      <c r="M1873" s="25" t="str">
        <f aca="false">IF(L1873="","",ROUND(N(E1873)*L1873,2))</f>
        <v/>
      </c>
      <c r="N1873" s="39" t="str">
        <f aca="false">IF(OR(A1873="",B1873=""),"",SUMIFS(tl_Hours,tl_StaffID,I1873,tl_Date,A1873))</f>
        <v/>
      </c>
      <c r="O1873" s="40" t="str">
        <f aca="false">IF(A1873&amp;B1873&amp;D1873="","",IF(OR(A1873="",B1873="",D1873="",E1873=""),"Incomplete",IF(K1873="Unknown","Unknown code",IF(AND(K1873="Yes",C1873=""),"Billable, needs client",IF(N1873&gt;MaxDayHours,"Over "&amp;MaxDayHours&amp;" hours that day","")))))</f>
        <v/>
      </c>
    </row>
    <row r="1874" customFormat="false" ht="15" hidden="false" customHeight="false" outlineLevel="0" collapsed="false">
      <c r="A1874" s="31"/>
      <c r="B1874" s="32"/>
      <c r="C1874" s="32"/>
      <c r="D1874" s="33"/>
      <c r="E1874" s="34"/>
      <c r="F1874" s="32"/>
      <c r="G1874" s="35" t="str">
        <f aca="false">IF(A1874="","",A1874+7-WEEKDAY(A1874))</f>
        <v/>
      </c>
      <c r="H1874" s="36" t="str">
        <f aca="false">IF(A1874="","",DATE(YEAR(A1874),MONTH(A1874),1))</f>
        <v/>
      </c>
      <c r="I1874" s="37" t="str">
        <f aca="false">IF(B1874="","",IFERROR(INDEX(st_ID,MATCH(B1874,st_Name,0)),"Unknown"))</f>
        <v/>
      </c>
      <c r="J1874" s="37" t="str">
        <f aca="false">IF(C1874="","",IFERROR(INDEX(cl_Code,MATCH(C1874,cl_Name,0)),"Unknown"))</f>
        <v/>
      </c>
      <c r="K1874" s="37" t="str">
        <f aca="false">IF(D1874="","",IFERROR(INDEX(rt_Billable,MATCH(D1874,rt_Code,0)),"Unknown"))</f>
        <v/>
      </c>
      <c r="L1874" s="38" t="str">
        <f aca="false">IF(K1874&lt;&gt;"Yes","",IFERROR(INDEX(cr_Rate,MATCH(J1874&amp;"|"&amp;D1874,cr_Key,0)),INDEX(rt_Rate,MATCH(D1874,rt_Code,0))))</f>
        <v/>
      </c>
      <c r="M1874" s="25" t="str">
        <f aca="false">IF(L1874="","",ROUND(N(E1874)*L1874,2))</f>
        <v/>
      </c>
      <c r="N1874" s="39" t="str">
        <f aca="false">IF(OR(A1874="",B1874=""),"",SUMIFS(tl_Hours,tl_StaffID,I1874,tl_Date,A1874))</f>
        <v/>
      </c>
      <c r="O1874" s="40" t="str">
        <f aca="false">IF(A1874&amp;B1874&amp;D1874="","",IF(OR(A1874="",B1874="",D1874="",E1874=""),"Incomplete",IF(K1874="Unknown","Unknown code",IF(AND(K1874="Yes",C1874=""),"Billable, needs client",IF(N1874&gt;MaxDayHours,"Over "&amp;MaxDayHours&amp;" hours that day","")))))</f>
        <v/>
      </c>
    </row>
    <row r="1875" customFormat="false" ht="15" hidden="false" customHeight="false" outlineLevel="0" collapsed="false">
      <c r="A1875" s="31"/>
      <c r="B1875" s="32"/>
      <c r="C1875" s="32"/>
      <c r="D1875" s="33"/>
      <c r="E1875" s="34"/>
      <c r="F1875" s="32"/>
      <c r="G1875" s="35" t="str">
        <f aca="false">IF(A1875="","",A1875+7-WEEKDAY(A1875))</f>
        <v/>
      </c>
      <c r="H1875" s="36" t="str">
        <f aca="false">IF(A1875="","",DATE(YEAR(A1875),MONTH(A1875),1))</f>
        <v/>
      </c>
      <c r="I1875" s="37" t="str">
        <f aca="false">IF(B1875="","",IFERROR(INDEX(st_ID,MATCH(B1875,st_Name,0)),"Unknown"))</f>
        <v/>
      </c>
      <c r="J1875" s="37" t="str">
        <f aca="false">IF(C1875="","",IFERROR(INDEX(cl_Code,MATCH(C1875,cl_Name,0)),"Unknown"))</f>
        <v/>
      </c>
      <c r="K1875" s="37" t="str">
        <f aca="false">IF(D1875="","",IFERROR(INDEX(rt_Billable,MATCH(D1875,rt_Code,0)),"Unknown"))</f>
        <v/>
      </c>
      <c r="L1875" s="38" t="str">
        <f aca="false">IF(K1875&lt;&gt;"Yes","",IFERROR(INDEX(cr_Rate,MATCH(J1875&amp;"|"&amp;D1875,cr_Key,0)),INDEX(rt_Rate,MATCH(D1875,rt_Code,0))))</f>
        <v/>
      </c>
      <c r="M1875" s="25" t="str">
        <f aca="false">IF(L1875="","",ROUND(N(E1875)*L1875,2))</f>
        <v/>
      </c>
      <c r="N1875" s="39" t="str">
        <f aca="false">IF(OR(A1875="",B1875=""),"",SUMIFS(tl_Hours,tl_StaffID,I1875,tl_Date,A1875))</f>
        <v/>
      </c>
      <c r="O1875" s="40" t="str">
        <f aca="false">IF(A1875&amp;B1875&amp;D1875="","",IF(OR(A1875="",B1875="",D1875="",E1875=""),"Incomplete",IF(K1875="Unknown","Unknown code",IF(AND(K1875="Yes",C1875=""),"Billable, needs client",IF(N1875&gt;MaxDayHours,"Over "&amp;MaxDayHours&amp;" hours that day","")))))</f>
        <v/>
      </c>
    </row>
    <row r="1876" customFormat="false" ht="15" hidden="false" customHeight="false" outlineLevel="0" collapsed="false">
      <c r="A1876" s="31"/>
      <c r="B1876" s="32"/>
      <c r="C1876" s="32"/>
      <c r="D1876" s="33"/>
      <c r="E1876" s="34"/>
      <c r="F1876" s="32"/>
      <c r="G1876" s="35" t="str">
        <f aca="false">IF(A1876="","",A1876+7-WEEKDAY(A1876))</f>
        <v/>
      </c>
      <c r="H1876" s="36" t="str">
        <f aca="false">IF(A1876="","",DATE(YEAR(A1876),MONTH(A1876),1))</f>
        <v/>
      </c>
      <c r="I1876" s="37" t="str">
        <f aca="false">IF(B1876="","",IFERROR(INDEX(st_ID,MATCH(B1876,st_Name,0)),"Unknown"))</f>
        <v/>
      </c>
      <c r="J1876" s="37" t="str">
        <f aca="false">IF(C1876="","",IFERROR(INDEX(cl_Code,MATCH(C1876,cl_Name,0)),"Unknown"))</f>
        <v/>
      </c>
      <c r="K1876" s="37" t="str">
        <f aca="false">IF(D1876="","",IFERROR(INDEX(rt_Billable,MATCH(D1876,rt_Code,0)),"Unknown"))</f>
        <v/>
      </c>
      <c r="L1876" s="38" t="str">
        <f aca="false">IF(K1876&lt;&gt;"Yes","",IFERROR(INDEX(cr_Rate,MATCH(J1876&amp;"|"&amp;D1876,cr_Key,0)),INDEX(rt_Rate,MATCH(D1876,rt_Code,0))))</f>
        <v/>
      </c>
      <c r="M1876" s="25" t="str">
        <f aca="false">IF(L1876="","",ROUND(N(E1876)*L1876,2))</f>
        <v/>
      </c>
      <c r="N1876" s="39" t="str">
        <f aca="false">IF(OR(A1876="",B1876=""),"",SUMIFS(tl_Hours,tl_StaffID,I1876,tl_Date,A1876))</f>
        <v/>
      </c>
      <c r="O1876" s="40" t="str">
        <f aca="false">IF(A1876&amp;B1876&amp;D1876="","",IF(OR(A1876="",B1876="",D1876="",E1876=""),"Incomplete",IF(K1876="Unknown","Unknown code",IF(AND(K1876="Yes",C1876=""),"Billable, needs client",IF(N1876&gt;MaxDayHours,"Over "&amp;MaxDayHours&amp;" hours that day","")))))</f>
        <v/>
      </c>
    </row>
    <row r="1877" customFormat="false" ht="15" hidden="false" customHeight="false" outlineLevel="0" collapsed="false">
      <c r="A1877" s="31"/>
      <c r="B1877" s="32"/>
      <c r="C1877" s="32"/>
      <c r="D1877" s="33"/>
      <c r="E1877" s="34"/>
      <c r="F1877" s="32"/>
      <c r="G1877" s="35" t="str">
        <f aca="false">IF(A1877="","",A1877+7-WEEKDAY(A1877))</f>
        <v/>
      </c>
      <c r="H1877" s="36" t="str">
        <f aca="false">IF(A1877="","",DATE(YEAR(A1877),MONTH(A1877),1))</f>
        <v/>
      </c>
      <c r="I1877" s="37" t="str">
        <f aca="false">IF(B1877="","",IFERROR(INDEX(st_ID,MATCH(B1877,st_Name,0)),"Unknown"))</f>
        <v/>
      </c>
      <c r="J1877" s="37" t="str">
        <f aca="false">IF(C1877="","",IFERROR(INDEX(cl_Code,MATCH(C1877,cl_Name,0)),"Unknown"))</f>
        <v/>
      </c>
      <c r="K1877" s="37" t="str">
        <f aca="false">IF(D1877="","",IFERROR(INDEX(rt_Billable,MATCH(D1877,rt_Code,0)),"Unknown"))</f>
        <v/>
      </c>
      <c r="L1877" s="38" t="str">
        <f aca="false">IF(K1877&lt;&gt;"Yes","",IFERROR(INDEX(cr_Rate,MATCH(J1877&amp;"|"&amp;D1877,cr_Key,0)),INDEX(rt_Rate,MATCH(D1877,rt_Code,0))))</f>
        <v/>
      </c>
      <c r="M1877" s="25" t="str">
        <f aca="false">IF(L1877="","",ROUND(N(E1877)*L1877,2))</f>
        <v/>
      </c>
      <c r="N1877" s="39" t="str">
        <f aca="false">IF(OR(A1877="",B1877=""),"",SUMIFS(tl_Hours,tl_StaffID,I1877,tl_Date,A1877))</f>
        <v/>
      </c>
      <c r="O1877" s="40" t="str">
        <f aca="false">IF(A1877&amp;B1877&amp;D1877="","",IF(OR(A1877="",B1877="",D1877="",E1877=""),"Incomplete",IF(K1877="Unknown","Unknown code",IF(AND(K1877="Yes",C1877=""),"Billable, needs client",IF(N1877&gt;MaxDayHours,"Over "&amp;MaxDayHours&amp;" hours that day","")))))</f>
        <v/>
      </c>
    </row>
    <row r="1878" customFormat="false" ht="15" hidden="false" customHeight="false" outlineLevel="0" collapsed="false">
      <c r="A1878" s="31"/>
      <c r="B1878" s="32"/>
      <c r="C1878" s="32"/>
      <c r="D1878" s="33"/>
      <c r="E1878" s="34"/>
      <c r="F1878" s="32"/>
      <c r="G1878" s="35" t="str">
        <f aca="false">IF(A1878="","",A1878+7-WEEKDAY(A1878))</f>
        <v/>
      </c>
      <c r="H1878" s="36" t="str">
        <f aca="false">IF(A1878="","",DATE(YEAR(A1878),MONTH(A1878),1))</f>
        <v/>
      </c>
      <c r="I1878" s="37" t="str">
        <f aca="false">IF(B1878="","",IFERROR(INDEX(st_ID,MATCH(B1878,st_Name,0)),"Unknown"))</f>
        <v/>
      </c>
      <c r="J1878" s="37" t="str">
        <f aca="false">IF(C1878="","",IFERROR(INDEX(cl_Code,MATCH(C1878,cl_Name,0)),"Unknown"))</f>
        <v/>
      </c>
      <c r="K1878" s="37" t="str">
        <f aca="false">IF(D1878="","",IFERROR(INDEX(rt_Billable,MATCH(D1878,rt_Code,0)),"Unknown"))</f>
        <v/>
      </c>
      <c r="L1878" s="38" t="str">
        <f aca="false">IF(K1878&lt;&gt;"Yes","",IFERROR(INDEX(cr_Rate,MATCH(J1878&amp;"|"&amp;D1878,cr_Key,0)),INDEX(rt_Rate,MATCH(D1878,rt_Code,0))))</f>
        <v/>
      </c>
      <c r="M1878" s="25" t="str">
        <f aca="false">IF(L1878="","",ROUND(N(E1878)*L1878,2))</f>
        <v/>
      </c>
      <c r="N1878" s="39" t="str">
        <f aca="false">IF(OR(A1878="",B1878=""),"",SUMIFS(tl_Hours,tl_StaffID,I1878,tl_Date,A1878))</f>
        <v/>
      </c>
      <c r="O1878" s="40" t="str">
        <f aca="false">IF(A1878&amp;B1878&amp;D1878="","",IF(OR(A1878="",B1878="",D1878="",E1878=""),"Incomplete",IF(K1878="Unknown","Unknown code",IF(AND(K1878="Yes",C1878=""),"Billable, needs client",IF(N1878&gt;MaxDayHours,"Over "&amp;MaxDayHours&amp;" hours that day","")))))</f>
        <v/>
      </c>
    </row>
    <row r="1879" customFormat="false" ht="15" hidden="false" customHeight="false" outlineLevel="0" collapsed="false">
      <c r="A1879" s="31"/>
      <c r="B1879" s="32"/>
      <c r="C1879" s="32"/>
      <c r="D1879" s="33"/>
      <c r="E1879" s="34"/>
      <c r="F1879" s="32"/>
      <c r="G1879" s="35" t="str">
        <f aca="false">IF(A1879="","",A1879+7-WEEKDAY(A1879))</f>
        <v/>
      </c>
      <c r="H1879" s="36" t="str">
        <f aca="false">IF(A1879="","",DATE(YEAR(A1879),MONTH(A1879),1))</f>
        <v/>
      </c>
      <c r="I1879" s="37" t="str">
        <f aca="false">IF(B1879="","",IFERROR(INDEX(st_ID,MATCH(B1879,st_Name,0)),"Unknown"))</f>
        <v/>
      </c>
      <c r="J1879" s="37" t="str">
        <f aca="false">IF(C1879="","",IFERROR(INDEX(cl_Code,MATCH(C1879,cl_Name,0)),"Unknown"))</f>
        <v/>
      </c>
      <c r="K1879" s="37" t="str">
        <f aca="false">IF(D1879="","",IFERROR(INDEX(rt_Billable,MATCH(D1879,rt_Code,0)),"Unknown"))</f>
        <v/>
      </c>
      <c r="L1879" s="38" t="str">
        <f aca="false">IF(K1879&lt;&gt;"Yes","",IFERROR(INDEX(cr_Rate,MATCH(J1879&amp;"|"&amp;D1879,cr_Key,0)),INDEX(rt_Rate,MATCH(D1879,rt_Code,0))))</f>
        <v/>
      </c>
      <c r="M1879" s="25" t="str">
        <f aca="false">IF(L1879="","",ROUND(N(E1879)*L1879,2))</f>
        <v/>
      </c>
      <c r="N1879" s="39" t="str">
        <f aca="false">IF(OR(A1879="",B1879=""),"",SUMIFS(tl_Hours,tl_StaffID,I1879,tl_Date,A1879))</f>
        <v/>
      </c>
      <c r="O1879" s="40" t="str">
        <f aca="false">IF(A1879&amp;B1879&amp;D1879="","",IF(OR(A1879="",B1879="",D1879="",E1879=""),"Incomplete",IF(K1879="Unknown","Unknown code",IF(AND(K1879="Yes",C1879=""),"Billable, needs client",IF(N1879&gt;MaxDayHours,"Over "&amp;MaxDayHours&amp;" hours that day","")))))</f>
        <v/>
      </c>
    </row>
    <row r="1880" customFormat="false" ht="15" hidden="false" customHeight="false" outlineLevel="0" collapsed="false">
      <c r="A1880" s="31"/>
      <c r="B1880" s="32"/>
      <c r="C1880" s="32"/>
      <c r="D1880" s="33"/>
      <c r="E1880" s="34"/>
      <c r="F1880" s="32"/>
      <c r="G1880" s="35" t="str">
        <f aca="false">IF(A1880="","",A1880+7-WEEKDAY(A1880))</f>
        <v/>
      </c>
      <c r="H1880" s="36" t="str">
        <f aca="false">IF(A1880="","",DATE(YEAR(A1880),MONTH(A1880),1))</f>
        <v/>
      </c>
      <c r="I1880" s="37" t="str">
        <f aca="false">IF(B1880="","",IFERROR(INDEX(st_ID,MATCH(B1880,st_Name,0)),"Unknown"))</f>
        <v/>
      </c>
      <c r="J1880" s="37" t="str">
        <f aca="false">IF(C1880="","",IFERROR(INDEX(cl_Code,MATCH(C1880,cl_Name,0)),"Unknown"))</f>
        <v/>
      </c>
      <c r="K1880" s="37" t="str">
        <f aca="false">IF(D1880="","",IFERROR(INDEX(rt_Billable,MATCH(D1880,rt_Code,0)),"Unknown"))</f>
        <v/>
      </c>
      <c r="L1880" s="38" t="str">
        <f aca="false">IF(K1880&lt;&gt;"Yes","",IFERROR(INDEX(cr_Rate,MATCH(J1880&amp;"|"&amp;D1880,cr_Key,0)),INDEX(rt_Rate,MATCH(D1880,rt_Code,0))))</f>
        <v/>
      </c>
      <c r="M1880" s="25" t="str">
        <f aca="false">IF(L1880="","",ROUND(N(E1880)*L1880,2))</f>
        <v/>
      </c>
      <c r="N1880" s="39" t="str">
        <f aca="false">IF(OR(A1880="",B1880=""),"",SUMIFS(tl_Hours,tl_StaffID,I1880,tl_Date,A1880))</f>
        <v/>
      </c>
      <c r="O1880" s="40" t="str">
        <f aca="false">IF(A1880&amp;B1880&amp;D1880="","",IF(OR(A1880="",B1880="",D1880="",E1880=""),"Incomplete",IF(K1880="Unknown","Unknown code",IF(AND(K1880="Yes",C1880=""),"Billable, needs client",IF(N1880&gt;MaxDayHours,"Over "&amp;MaxDayHours&amp;" hours that day","")))))</f>
        <v/>
      </c>
    </row>
    <row r="1881" customFormat="false" ht="15" hidden="false" customHeight="false" outlineLevel="0" collapsed="false">
      <c r="A1881" s="31"/>
      <c r="B1881" s="32"/>
      <c r="C1881" s="32"/>
      <c r="D1881" s="33"/>
      <c r="E1881" s="34"/>
      <c r="F1881" s="32"/>
      <c r="G1881" s="35" t="str">
        <f aca="false">IF(A1881="","",A1881+7-WEEKDAY(A1881))</f>
        <v/>
      </c>
      <c r="H1881" s="36" t="str">
        <f aca="false">IF(A1881="","",DATE(YEAR(A1881),MONTH(A1881),1))</f>
        <v/>
      </c>
      <c r="I1881" s="37" t="str">
        <f aca="false">IF(B1881="","",IFERROR(INDEX(st_ID,MATCH(B1881,st_Name,0)),"Unknown"))</f>
        <v/>
      </c>
      <c r="J1881" s="37" t="str">
        <f aca="false">IF(C1881="","",IFERROR(INDEX(cl_Code,MATCH(C1881,cl_Name,0)),"Unknown"))</f>
        <v/>
      </c>
      <c r="K1881" s="37" t="str">
        <f aca="false">IF(D1881="","",IFERROR(INDEX(rt_Billable,MATCH(D1881,rt_Code,0)),"Unknown"))</f>
        <v/>
      </c>
      <c r="L1881" s="38" t="str">
        <f aca="false">IF(K1881&lt;&gt;"Yes","",IFERROR(INDEX(cr_Rate,MATCH(J1881&amp;"|"&amp;D1881,cr_Key,0)),INDEX(rt_Rate,MATCH(D1881,rt_Code,0))))</f>
        <v/>
      </c>
      <c r="M1881" s="25" t="str">
        <f aca="false">IF(L1881="","",ROUND(N(E1881)*L1881,2))</f>
        <v/>
      </c>
      <c r="N1881" s="39" t="str">
        <f aca="false">IF(OR(A1881="",B1881=""),"",SUMIFS(tl_Hours,tl_StaffID,I1881,tl_Date,A1881))</f>
        <v/>
      </c>
      <c r="O1881" s="40" t="str">
        <f aca="false">IF(A1881&amp;B1881&amp;D1881="","",IF(OR(A1881="",B1881="",D1881="",E1881=""),"Incomplete",IF(K1881="Unknown","Unknown code",IF(AND(K1881="Yes",C1881=""),"Billable, needs client",IF(N1881&gt;MaxDayHours,"Over "&amp;MaxDayHours&amp;" hours that day","")))))</f>
        <v/>
      </c>
    </row>
    <row r="1882" customFormat="false" ht="15" hidden="false" customHeight="false" outlineLevel="0" collapsed="false">
      <c r="A1882" s="31"/>
      <c r="B1882" s="32"/>
      <c r="C1882" s="32"/>
      <c r="D1882" s="33"/>
      <c r="E1882" s="34"/>
      <c r="F1882" s="32"/>
      <c r="G1882" s="35" t="str">
        <f aca="false">IF(A1882="","",A1882+7-WEEKDAY(A1882))</f>
        <v/>
      </c>
      <c r="H1882" s="36" t="str">
        <f aca="false">IF(A1882="","",DATE(YEAR(A1882),MONTH(A1882),1))</f>
        <v/>
      </c>
      <c r="I1882" s="37" t="str">
        <f aca="false">IF(B1882="","",IFERROR(INDEX(st_ID,MATCH(B1882,st_Name,0)),"Unknown"))</f>
        <v/>
      </c>
      <c r="J1882" s="37" t="str">
        <f aca="false">IF(C1882="","",IFERROR(INDEX(cl_Code,MATCH(C1882,cl_Name,0)),"Unknown"))</f>
        <v/>
      </c>
      <c r="K1882" s="37" t="str">
        <f aca="false">IF(D1882="","",IFERROR(INDEX(rt_Billable,MATCH(D1882,rt_Code,0)),"Unknown"))</f>
        <v/>
      </c>
      <c r="L1882" s="38" t="str">
        <f aca="false">IF(K1882&lt;&gt;"Yes","",IFERROR(INDEX(cr_Rate,MATCH(J1882&amp;"|"&amp;D1882,cr_Key,0)),INDEX(rt_Rate,MATCH(D1882,rt_Code,0))))</f>
        <v/>
      </c>
      <c r="M1882" s="25" t="str">
        <f aca="false">IF(L1882="","",ROUND(N(E1882)*L1882,2))</f>
        <v/>
      </c>
      <c r="N1882" s="39" t="str">
        <f aca="false">IF(OR(A1882="",B1882=""),"",SUMIFS(tl_Hours,tl_StaffID,I1882,tl_Date,A1882))</f>
        <v/>
      </c>
      <c r="O1882" s="40" t="str">
        <f aca="false">IF(A1882&amp;B1882&amp;D1882="","",IF(OR(A1882="",B1882="",D1882="",E1882=""),"Incomplete",IF(K1882="Unknown","Unknown code",IF(AND(K1882="Yes",C1882=""),"Billable, needs client",IF(N1882&gt;MaxDayHours,"Over "&amp;MaxDayHours&amp;" hours that day","")))))</f>
        <v/>
      </c>
    </row>
    <row r="1883" customFormat="false" ht="15" hidden="false" customHeight="false" outlineLevel="0" collapsed="false">
      <c r="A1883" s="31"/>
      <c r="B1883" s="32"/>
      <c r="C1883" s="32"/>
      <c r="D1883" s="33"/>
      <c r="E1883" s="34"/>
      <c r="F1883" s="32"/>
      <c r="G1883" s="35" t="str">
        <f aca="false">IF(A1883="","",A1883+7-WEEKDAY(A1883))</f>
        <v/>
      </c>
      <c r="H1883" s="36" t="str">
        <f aca="false">IF(A1883="","",DATE(YEAR(A1883),MONTH(A1883),1))</f>
        <v/>
      </c>
      <c r="I1883" s="37" t="str">
        <f aca="false">IF(B1883="","",IFERROR(INDEX(st_ID,MATCH(B1883,st_Name,0)),"Unknown"))</f>
        <v/>
      </c>
      <c r="J1883" s="37" t="str">
        <f aca="false">IF(C1883="","",IFERROR(INDEX(cl_Code,MATCH(C1883,cl_Name,0)),"Unknown"))</f>
        <v/>
      </c>
      <c r="K1883" s="37" t="str">
        <f aca="false">IF(D1883="","",IFERROR(INDEX(rt_Billable,MATCH(D1883,rt_Code,0)),"Unknown"))</f>
        <v/>
      </c>
      <c r="L1883" s="38" t="str">
        <f aca="false">IF(K1883&lt;&gt;"Yes","",IFERROR(INDEX(cr_Rate,MATCH(J1883&amp;"|"&amp;D1883,cr_Key,0)),INDEX(rt_Rate,MATCH(D1883,rt_Code,0))))</f>
        <v/>
      </c>
      <c r="M1883" s="25" t="str">
        <f aca="false">IF(L1883="","",ROUND(N(E1883)*L1883,2))</f>
        <v/>
      </c>
      <c r="N1883" s="39" t="str">
        <f aca="false">IF(OR(A1883="",B1883=""),"",SUMIFS(tl_Hours,tl_StaffID,I1883,tl_Date,A1883))</f>
        <v/>
      </c>
      <c r="O1883" s="40" t="str">
        <f aca="false">IF(A1883&amp;B1883&amp;D1883="","",IF(OR(A1883="",B1883="",D1883="",E1883=""),"Incomplete",IF(K1883="Unknown","Unknown code",IF(AND(K1883="Yes",C1883=""),"Billable, needs client",IF(N1883&gt;MaxDayHours,"Over "&amp;MaxDayHours&amp;" hours that day","")))))</f>
        <v/>
      </c>
    </row>
    <row r="1884" customFormat="false" ht="15" hidden="false" customHeight="false" outlineLevel="0" collapsed="false">
      <c r="A1884" s="31"/>
      <c r="B1884" s="32"/>
      <c r="C1884" s="32"/>
      <c r="D1884" s="33"/>
      <c r="E1884" s="34"/>
      <c r="F1884" s="32"/>
      <c r="G1884" s="35" t="str">
        <f aca="false">IF(A1884="","",A1884+7-WEEKDAY(A1884))</f>
        <v/>
      </c>
      <c r="H1884" s="36" t="str">
        <f aca="false">IF(A1884="","",DATE(YEAR(A1884),MONTH(A1884),1))</f>
        <v/>
      </c>
      <c r="I1884" s="37" t="str">
        <f aca="false">IF(B1884="","",IFERROR(INDEX(st_ID,MATCH(B1884,st_Name,0)),"Unknown"))</f>
        <v/>
      </c>
      <c r="J1884" s="37" t="str">
        <f aca="false">IF(C1884="","",IFERROR(INDEX(cl_Code,MATCH(C1884,cl_Name,0)),"Unknown"))</f>
        <v/>
      </c>
      <c r="K1884" s="37" t="str">
        <f aca="false">IF(D1884="","",IFERROR(INDEX(rt_Billable,MATCH(D1884,rt_Code,0)),"Unknown"))</f>
        <v/>
      </c>
      <c r="L1884" s="38" t="str">
        <f aca="false">IF(K1884&lt;&gt;"Yes","",IFERROR(INDEX(cr_Rate,MATCH(J1884&amp;"|"&amp;D1884,cr_Key,0)),INDEX(rt_Rate,MATCH(D1884,rt_Code,0))))</f>
        <v/>
      </c>
      <c r="M1884" s="25" t="str">
        <f aca="false">IF(L1884="","",ROUND(N(E1884)*L1884,2))</f>
        <v/>
      </c>
      <c r="N1884" s="39" t="str">
        <f aca="false">IF(OR(A1884="",B1884=""),"",SUMIFS(tl_Hours,tl_StaffID,I1884,tl_Date,A1884))</f>
        <v/>
      </c>
      <c r="O1884" s="40" t="str">
        <f aca="false">IF(A1884&amp;B1884&amp;D1884="","",IF(OR(A1884="",B1884="",D1884="",E1884=""),"Incomplete",IF(K1884="Unknown","Unknown code",IF(AND(K1884="Yes",C1884=""),"Billable, needs client",IF(N1884&gt;MaxDayHours,"Over "&amp;MaxDayHours&amp;" hours that day","")))))</f>
        <v/>
      </c>
    </row>
    <row r="1885" customFormat="false" ht="15" hidden="false" customHeight="false" outlineLevel="0" collapsed="false">
      <c r="A1885" s="31"/>
      <c r="B1885" s="32"/>
      <c r="C1885" s="32"/>
      <c r="D1885" s="33"/>
      <c r="E1885" s="34"/>
      <c r="F1885" s="32"/>
      <c r="G1885" s="35" t="str">
        <f aca="false">IF(A1885="","",A1885+7-WEEKDAY(A1885))</f>
        <v/>
      </c>
      <c r="H1885" s="36" t="str">
        <f aca="false">IF(A1885="","",DATE(YEAR(A1885),MONTH(A1885),1))</f>
        <v/>
      </c>
      <c r="I1885" s="37" t="str">
        <f aca="false">IF(B1885="","",IFERROR(INDEX(st_ID,MATCH(B1885,st_Name,0)),"Unknown"))</f>
        <v/>
      </c>
      <c r="J1885" s="37" t="str">
        <f aca="false">IF(C1885="","",IFERROR(INDEX(cl_Code,MATCH(C1885,cl_Name,0)),"Unknown"))</f>
        <v/>
      </c>
      <c r="K1885" s="37" t="str">
        <f aca="false">IF(D1885="","",IFERROR(INDEX(rt_Billable,MATCH(D1885,rt_Code,0)),"Unknown"))</f>
        <v/>
      </c>
      <c r="L1885" s="38" t="str">
        <f aca="false">IF(K1885&lt;&gt;"Yes","",IFERROR(INDEX(cr_Rate,MATCH(J1885&amp;"|"&amp;D1885,cr_Key,0)),INDEX(rt_Rate,MATCH(D1885,rt_Code,0))))</f>
        <v/>
      </c>
      <c r="M1885" s="25" t="str">
        <f aca="false">IF(L1885="","",ROUND(N(E1885)*L1885,2))</f>
        <v/>
      </c>
      <c r="N1885" s="39" t="str">
        <f aca="false">IF(OR(A1885="",B1885=""),"",SUMIFS(tl_Hours,tl_StaffID,I1885,tl_Date,A1885))</f>
        <v/>
      </c>
      <c r="O1885" s="40" t="str">
        <f aca="false">IF(A1885&amp;B1885&amp;D1885="","",IF(OR(A1885="",B1885="",D1885="",E1885=""),"Incomplete",IF(K1885="Unknown","Unknown code",IF(AND(K1885="Yes",C1885=""),"Billable, needs client",IF(N1885&gt;MaxDayHours,"Over "&amp;MaxDayHours&amp;" hours that day","")))))</f>
        <v/>
      </c>
    </row>
    <row r="1886" customFormat="false" ht="15" hidden="false" customHeight="false" outlineLevel="0" collapsed="false">
      <c r="A1886" s="31"/>
      <c r="B1886" s="32"/>
      <c r="C1886" s="32"/>
      <c r="D1886" s="33"/>
      <c r="E1886" s="34"/>
      <c r="F1886" s="32"/>
      <c r="G1886" s="35" t="str">
        <f aca="false">IF(A1886="","",A1886+7-WEEKDAY(A1886))</f>
        <v/>
      </c>
      <c r="H1886" s="36" t="str">
        <f aca="false">IF(A1886="","",DATE(YEAR(A1886),MONTH(A1886),1))</f>
        <v/>
      </c>
      <c r="I1886" s="37" t="str">
        <f aca="false">IF(B1886="","",IFERROR(INDEX(st_ID,MATCH(B1886,st_Name,0)),"Unknown"))</f>
        <v/>
      </c>
      <c r="J1886" s="37" t="str">
        <f aca="false">IF(C1886="","",IFERROR(INDEX(cl_Code,MATCH(C1886,cl_Name,0)),"Unknown"))</f>
        <v/>
      </c>
      <c r="K1886" s="37" t="str">
        <f aca="false">IF(D1886="","",IFERROR(INDEX(rt_Billable,MATCH(D1886,rt_Code,0)),"Unknown"))</f>
        <v/>
      </c>
      <c r="L1886" s="38" t="str">
        <f aca="false">IF(K1886&lt;&gt;"Yes","",IFERROR(INDEX(cr_Rate,MATCH(J1886&amp;"|"&amp;D1886,cr_Key,0)),INDEX(rt_Rate,MATCH(D1886,rt_Code,0))))</f>
        <v/>
      </c>
      <c r="M1886" s="25" t="str">
        <f aca="false">IF(L1886="","",ROUND(N(E1886)*L1886,2))</f>
        <v/>
      </c>
      <c r="N1886" s="39" t="str">
        <f aca="false">IF(OR(A1886="",B1886=""),"",SUMIFS(tl_Hours,tl_StaffID,I1886,tl_Date,A1886))</f>
        <v/>
      </c>
      <c r="O1886" s="40" t="str">
        <f aca="false">IF(A1886&amp;B1886&amp;D1886="","",IF(OR(A1886="",B1886="",D1886="",E1886=""),"Incomplete",IF(K1886="Unknown","Unknown code",IF(AND(K1886="Yes",C1886=""),"Billable, needs client",IF(N1886&gt;MaxDayHours,"Over "&amp;MaxDayHours&amp;" hours that day","")))))</f>
        <v/>
      </c>
    </row>
    <row r="1887" customFormat="false" ht="15" hidden="false" customHeight="false" outlineLevel="0" collapsed="false">
      <c r="A1887" s="31"/>
      <c r="B1887" s="32"/>
      <c r="C1887" s="32"/>
      <c r="D1887" s="33"/>
      <c r="E1887" s="34"/>
      <c r="F1887" s="32"/>
      <c r="G1887" s="35" t="str">
        <f aca="false">IF(A1887="","",A1887+7-WEEKDAY(A1887))</f>
        <v/>
      </c>
      <c r="H1887" s="36" t="str">
        <f aca="false">IF(A1887="","",DATE(YEAR(A1887),MONTH(A1887),1))</f>
        <v/>
      </c>
      <c r="I1887" s="37" t="str">
        <f aca="false">IF(B1887="","",IFERROR(INDEX(st_ID,MATCH(B1887,st_Name,0)),"Unknown"))</f>
        <v/>
      </c>
      <c r="J1887" s="37" t="str">
        <f aca="false">IF(C1887="","",IFERROR(INDEX(cl_Code,MATCH(C1887,cl_Name,0)),"Unknown"))</f>
        <v/>
      </c>
      <c r="K1887" s="37" t="str">
        <f aca="false">IF(D1887="","",IFERROR(INDEX(rt_Billable,MATCH(D1887,rt_Code,0)),"Unknown"))</f>
        <v/>
      </c>
      <c r="L1887" s="38" t="str">
        <f aca="false">IF(K1887&lt;&gt;"Yes","",IFERROR(INDEX(cr_Rate,MATCH(J1887&amp;"|"&amp;D1887,cr_Key,0)),INDEX(rt_Rate,MATCH(D1887,rt_Code,0))))</f>
        <v/>
      </c>
      <c r="M1887" s="25" t="str">
        <f aca="false">IF(L1887="","",ROUND(N(E1887)*L1887,2))</f>
        <v/>
      </c>
      <c r="N1887" s="39" t="str">
        <f aca="false">IF(OR(A1887="",B1887=""),"",SUMIFS(tl_Hours,tl_StaffID,I1887,tl_Date,A1887))</f>
        <v/>
      </c>
      <c r="O1887" s="40" t="str">
        <f aca="false">IF(A1887&amp;B1887&amp;D1887="","",IF(OR(A1887="",B1887="",D1887="",E1887=""),"Incomplete",IF(K1887="Unknown","Unknown code",IF(AND(K1887="Yes",C1887=""),"Billable, needs client",IF(N1887&gt;MaxDayHours,"Over "&amp;MaxDayHours&amp;" hours that day","")))))</f>
        <v/>
      </c>
    </row>
    <row r="1888" customFormat="false" ht="15" hidden="false" customHeight="false" outlineLevel="0" collapsed="false">
      <c r="A1888" s="31"/>
      <c r="B1888" s="32"/>
      <c r="C1888" s="32"/>
      <c r="D1888" s="33"/>
      <c r="E1888" s="34"/>
      <c r="F1888" s="32"/>
      <c r="G1888" s="35" t="str">
        <f aca="false">IF(A1888="","",A1888+7-WEEKDAY(A1888))</f>
        <v/>
      </c>
      <c r="H1888" s="36" t="str">
        <f aca="false">IF(A1888="","",DATE(YEAR(A1888),MONTH(A1888),1))</f>
        <v/>
      </c>
      <c r="I1888" s="37" t="str">
        <f aca="false">IF(B1888="","",IFERROR(INDEX(st_ID,MATCH(B1888,st_Name,0)),"Unknown"))</f>
        <v/>
      </c>
      <c r="J1888" s="37" t="str">
        <f aca="false">IF(C1888="","",IFERROR(INDEX(cl_Code,MATCH(C1888,cl_Name,0)),"Unknown"))</f>
        <v/>
      </c>
      <c r="K1888" s="37" t="str">
        <f aca="false">IF(D1888="","",IFERROR(INDEX(rt_Billable,MATCH(D1888,rt_Code,0)),"Unknown"))</f>
        <v/>
      </c>
      <c r="L1888" s="38" t="str">
        <f aca="false">IF(K1888&lt;&gt;"Yes","",IFERROR(INDEX(cr_Rate,MATCH(J1888&amp;"|"&amp;D1888,cr_Key,0)),INDEX(rt_Rate,MATCH(D1888,rt_Code,0))))</f>
        <v/>
      </c>
      <c r="M1888" s="25" t="str">
        <f aca="false">IF(L1888="","",ROUND(N(E1888)*L1888,2))</f>
        <v/>
      </c>
      <c r="N1888" s="39" t="str">
        <f aca="false">IF(OR(A1888="",B1888=""),"",SUMIFS(tl_Hours,tl_StaffID,I1888,tl_Date,A1888))</f>
        <v/>
      </c>
      <c r="O1888" s="40" t="str">
        <f aca="false">IF(A1888&amp;B1888&amp;D1888="","",IF(OR(A1888="",B1888="",D1888="",E1888=""),"Incomplete",IF(K1888="Unknown","Unknown code",IF(AND(K1888="Yes",C1888=""),"Billable, needs client",IF(N1888&gt;MaxDayHours,"Over "&amp;MaxDayHours&amp;" hours that day","")))))</f>
        <v/>
      </c>
    </row>
    <row r="1889" customFormat="false" ht="15" hidden="false" customHeight="false" outlineLevel="0" collapsed="false">
      <c r="A1889" s="31"/>
      <c r="B1889" s="32"/>
      <c r="C1889" s="32"/>
      <c r="D1889" s="33"/>
      <c r="E1889" s="34"/>
      <c r="F1889" s="32"/>
      <c r="G1889" s="35" t="str">
        <f aca="false">IF(A1889="","",A1889+7-WEEKDAY(A1889))</f>
        <v/>
      </c>
      <c r="H1889" s="36" t="str">
        <f aca="false">IF(A1889="","",DATE(YEAR(A1889),MONTH(A1889),1))</f>
        <v/>
      </c>
      <c r="I1889" s="37" t="str">
        <f aca="false">IF(B1889="","",IFERROR(INDEX(st_ID,MATCH(B1889,st_Name,0)),"Unknown"))</f>
        <v/>
      </c>
      <c r="J1889" s="37" t="str">
        <f aca="false">IF(C1889="","",IFERROR(INDEX(cl_Code,MATCH(C1889,cl_Name,0)),"Unknown"))</f>
        <v/>
      </c>
      <c r="K1889" s="37" t="str">
        <f aca="false">IF(D1889="","",IFERROR(INDEX(rt_Billable,MATCH(D1889,rt_Code,0)),"Unknown"))</f>
        <v/>
      </c>
      <c r="L1889" s="38" t="str">
        <f aca="false">IF(K1889&lt;&gt;"Yes","",IFERROR(INDEX(cr_Rate,MATCH(J1889&amp;"|"&amp;D1889,cr_Key,0)),INDEX(rt_Rate,MATCH(D1889,rt_Code,0))))</f>
        <v/>
      </c>
      <c r="M1889" s="25" t="str">
        <f aca="false">IF(L1889="","",ROUND(N(E1889)*L1889,2))</f>
        <v/>
      </c>
      <c r="N1889" s="39" t="str">
        <f aca="false">IF(OR(A1889="",B1889=""),"",SUMIFS(tl_Hours,tl_StaffID,I1889,tl_Date,A1889))</f>
        <v/>
      </c>
      <c r="O1889" s="40" t="str">
        <f aca="false">IF(A1889&amp;B1889&amp;D1889="","",IF(OR(A1889="",B1889="",D1889="",E1889=""),"Incomplete",IF(K1889="Unknown","Unknown code",IF(AND(K1889="Yes",C1889=""),"Billable, needs client",IF(N1889&gt;MaxDayHours,"Over "&amp;MaxDayHours&amp;" hours that day","")))))</f>
        <v/>
      </c>
    </row>
    <row r="1890" customFormat="false" ht="15" hidden="false" customHeight="false" outlineLevel="0" collapsed="false">
      <c r="A1890" s="31"/>
      <c r="B1890" s="32"/>
      <c r="C1890" s="32"/>
      <c r="D1890" s="33"/>
      <c r="E1890" s="34"/>
      <c r="F1890" s="32"/>
      <c r="G1890" s="35" t="str">
        <f aca="false">IF(A1890="","",A1890+7-WEEKDAY(A1890))</f>
        <v/>
      </c>
      <c r="H1890" s="36" t="str">
        <f aca="false">IF(A1890="","",DATE(YEAR(A1890),MONTH(A1890),1))</f>
        <v/>
      </c>
      <c r="I1890" s="37" t="str">
        <f aca="false">IF(B1890="","",IFERROR(INDEX(st_ID,MATCH(B1890,st_Name,0)),"Unknown"))</f>
        <v/>
      </c>
      <c r="J1890" s="37" t="str">
        <f aca="false">IF(C1890="","",IFERROR(INDEX(cl_Code,MATCH(C1890,cl_Name,0)),"Unknown"))</f>
        <v/>
      </c>
      <c r="K1890" s="37" t="str">
        <f aca="false">IF(D1890="","",IFERROR(INDEX(rt_Billable,MATCH(D1890,rt_Code,0)),"Unknown"))</f>
        <v/>
      </c>
      <c r="L1890" s="38" t="str">
        <f aca="false">IF(K1890&lt;&gt;"Yes","",IFERROR(INDEX(cr_Rate,MATCH(J1890&amp;"|"&amp;D1890,cr_Key,0)),INDEX(rt_Rate,MATCH(D1890,rt_Code,0))))</f>
        <v/>
      </c>
      <c r="M1890" s="25" t="str">
        <f aca="false">IF(L1890="","",ROUND(N(E1890)*L1890,2))</f>
        <v/>
      </c>
      <c r="N1890" s="39" t="str">
        <f aca="false">IF(OR(A1890="",B1890=""),"",SUMIFS(tl_Hours,tl_StaffID,I1890,tl_Date,A1890))</f>
        <v/>
      </c>
      <c r="O1890" s="40" t="str">
        <f aca="false">IF(A1890&amp;B1890&amp;D1890="","",IF(OR(A1890="",B1890="",D1890="",E1890=""),"Incomplete",IF(K1890="Unknown","Unknown code",IF(AND(K1890="Yes",C1890=""),"Billable, needs client",IF(N1890&gt;MaxDayHours,"Over "&amp;MaxDayHours&amp;" hours that day","")))))</f>
        <v/>
      </c>
    </row>
    <row r="1891" customFormat="false" ht="15" hidden="false" customHeight="false" outlineLevel="0" collapsed="false">
      <c r="A1891" s="31"/>
      <c r="B1891" s="32"/>
      <c r="C1891" s="32"/>
      <c r="D1891" s="33"/>
      <c r="E1891" s="34"/>
      <c r="F1891" s="32"/>
      <c r="G1891" s="35" t="str">
        <f aca="false">IF(A1891="","",A1891+7-WEEKDAY(A1891))</f>
        <v/>
      </c>
      <c r="H1891" s="36" t="str">
        <f aca="false">IF(A1891="","",DATE(YEAR(A1891),MONTH(A1891),1))</f>
        <v/>
      </c>
      <c r="I1891" s="37" t="str">
        <f aca="false">IF(B1891="","",IFERROR(INDEX(st_ID,MATCH(B1891,st_Name,0)),"Unknown"))</f>
        <v/>
      </c>
      <c r="J1891" s="37" t="str">
        <f aca="false">IF(C1891="","",IFERROR(INDEX(cl_Code,MATCH(C1891,cl_Name,0)),"Unknown"))</f>
        <v/>
      </c>
      <c r="K1891" s="37" t="str">
        <f aca="false">IF(D1891="","",IFERROR(INDEX(rt_Billable,MATCH(D1891,rt_Code,0)),"Unknown"))</f>
        <v/>
      </c>
      <c r="L1891" s="38" t="str">
        <f aca="false">IF(K1891&lt;&gt;"Yes","",IFERROR(INDEX(cr_Rate,MATCH(J1891&amp;"|"&amp;D1891,cr_Key,0)),INDEX(rt_Rate,MATCH(D1891,rt_Code,0))))</f>
        <v/>
      </c>
      <c r="M1891" s="25" t="str">
        <f aca="false">IF(L1891="","",ROUND(N(E1891)*L1891,2))</f>
        <v/>
      </c>
      <c r="N1891" s="39" t="str">
        <f aca="false">IF(OR(A1891="",B1891=""),"",SUMIFS(tl_Hours,tl_StaffID,I1891,tl_Date,A1891))</f>
        <v/>
      </c>
      <c r="O1891" s="40" t="str">
        <f aca="false">IF(A1891&amp;B1891&amp;D1891="","",IF(OR(A1891="",B1891="",D1891="",E1891=""),"Incomplete",IF(K1891="Unknown","Unknown code",IF(AND(K1891="Yes",C1891=""),"Billable, needs client",IF(N1891&gt;MaxDayHours,"Over "&amp;MaxDayHours&amp;" hours that day","")))))</f>
        <v/>
      </c>
    </row>
    <row r="1892" customFormat="false" ht="15" hidden="false" customHeight="false" outlineLevel="0" collapsed="false">
      <c r="A1892" s="31"/>
      <c r="B1892" s="32"/>
      <c r="C1892" s="32"/>
      <c r="D1892" s="33"/>
      <c r="E1892" s="34"/>
      <c r="F1892" s="32"/>
      <c r="G1892" s="35" t="str">
        <f aca="false">IF(A1892="","",A1892+7-WEEKDAY(A1892))</f>
        <v/>
      </c>
      <c r="H1892" s="36" t="str">
        <f aca="false">IF(A1892="","",DATE(YEAR(A1892),MONTH(A1892),1))</f>
        <v/>
      </c>
      <c r="I1892" s="37" t="str">
        <f aca="false">IF(B1892="","",IFERROR(INDEX(st_ID,MATCH(B1892,st_Name,0)),"Unknown"))</f>
        <v/>
      </c>
      <c r="J1892" s="37" t="str">
        <f aca="false">IF(C1892="","",IFERROR(INDEX(cl_Code,MATCH(C1892,cl_Name,0)),"Unknown"))</f>
        <v/>
      </c>
      <c r="K1892" s="37" t="str">
        <f aca="false">IF(D1892="","",IFERROR(INDEX(rt_Billable,MATCH(D1892,rt_Code,0)),"Unknown"))</f>
        <v/>
      </c>
      <c r="L1892" s="38" t="str">
        <f aca="false">IF(K1892&lt;&gt;"Yes","",IFERROR(INDEX(cr_Rate,MATCH(J1892&amp;"|"&amp;D1892,cr_Key,0)),INDEX(rt_Rate,MATCH(D1892,rt_Code,0))))</f>
        <v/>
      </c>
      <c r="M1892" s="25" t="str">
        <f aca="false">IF(L1892="","",ROUND(N(E1892)*L1892,2))</f>
        <v/>
      </c>
      <c r="N1892" s="39" t="str">
        <f aca="false">IF(OR(A1892="",B1892=""),"",SUMIFS(tl_Hours,tl_StaffID,I1892,tl_Date,A1892))</f>
        <v/>
      </c>
      <c r="O1892" s="40" t="str">
        <f aca="false">IF(A1892&amp;B1892&amp;D1892="","",IF(OR(A1892="",B1892="",D1892="",E1892=""),"Incomplete",IF(K1892="Unknown","Unknown code",IF(AND(K1892="Yes",C1892=""),"Billable, needs client",IF(N1892&gt;MaxDayHours,"Over "&amp;MaxDayHours&amp;" hours that day","")))))</f>
        <v/>
      </c>
    </row>
    <row r="1893" customFormat="false" ht="15" hidden="false" customHeight="false" outlineLevel="0" collapsed="false">
      <c r="A1893" s="31"/>
      <c r="B1893" s="32"/>
      <c r="C1893" s="32"/>
      <c r="D1893" s="33"/>
      <c r="E1893" s="34"/>
      <c r="F1893" s="32"/>
      <c r="G1893" s="35" t="str">
        <f aca="false">IF(A1893="","",A1893+7-WEEKDAY(A1893))</f>
        <v/>
      </c>
      <c r="H1893" s="36" t="str">
        <f aca="false">IF(A1893="","",DATE(YEAR(A1893),MONTH(A1893),1))</f>
        <v/>
      </c>
      <c r="I1893" s="37" t="str">
        <f aca="false">IF(B1893="","",IFERROR(INDEX(st_ID,MATCH(B1893,st_Name,0)),"Unknown"))</f>
        <v/>
      </c>
      <c r="J1893" s="37" t="str">
        <f aca="false">IF(C1893="","",IFERROR(INDEX(cl_Code,MATCH(C1893,cl_Name,0)),"Unknown"))</f>
        <v/>
      </c>
      <c r="K1893" s="37" t="str">
        <f aca="false">IF(D1893="","",IFERROR(INDEX(rt_Billable,MATCH(D1893,rt_Code,0)),"Unknown"))</f>
        <v/>
      </c>
      <c r="L1893" s="38" t="str">
        <f aca="false">IF(K1893&lt;&gt;"Yes","",IFERROR(INDEX(cr_Rate,MATCH(J1893&amp;"|"&amp;D1893,cr_Key,0)),INDEX(rt_Rate,MATCH(D1893,rt_Code,0))))</f>
        <v/>
      </c>
      <c r="M1893" s="25" t="str">
        <f aca="false">IF(L1893="","",ROUND(N(E1893)*L1893,2))</f>
        <v/>
      </c>
      <c r="N1893" s="39" t="str">
        <f aca="false">IF(OR(A1893="",B1893=""),"",SUMIFS(tl_Hours,tl_StaffID,I1893,tl_Date,A1893))</f>
        <v/>
      </c>
      <c r="O1893" s="40" t="str">
        <f aca="false">IF(A1893&amp;B1893&amp;D1893="","",IF(OR(A1893="",B1893="",D1893="",E1893=""),"Incomplete",IF(K1893="Unknown","Unknown code",IF(AND(K1893="Yes",C1893=""),"Billable, needs client",IF(N1893&gt;MaxDayHours,"Over "&amp;MaxDayHours&amp;" hours that day","")))))</f>
        <v/>
      </c>
    </row>
    <row r="1894" customFormat="false" ht="15" hidden="false" customHeight="false" outlineLevel="0" collapsed="false">
      <c r="A1894" s="31"/>
      <c r="B1894" s="32"/>
      <c r="C1894" s="32"/>
      <c r="D1894" s="33"/>
      <c r="E1894" s="34"/>
      <c r="F1894" s="32"/>
      <c r="G1894" s="35" t="str">
        <f aca="false">IF(A1894="","",A1894+7-WEEKDAY(A1894))</f>
        <v/>
      </c>
      <c r="H1894" s="36" t="str">
        <f aca="false">IF(A1894="","",DATE(YEAR(A1894),MONTH(A1894),1))</f>
        <v/>
      </c>
      <c r="I1894" s="37" t="str">
        <f aca="false">IF(B1894="","",IFERROR(INDEX(st_ID,MATCH(B1894,st_Name,0)),"Unknown"))</f>
        <v/>
      </c>
      <c r="J1894" s="37" t="str">
        <f aca="false">IF(C1894="","",IFERROR(INDEX(cl_Code,MATCH(C1894,cl_Name,0)),"Unknown"))</f>
        <v/>
      </c>
      <c r="K1894" s="37" t="str">
        <f aca="false">IF(D1894="","",IFERROR(INDEX(rt_Billable,MATCH(D1894,rt_Code,0)),"Unknown"))</f>
        <v/>
      </c>
      <c r="L1894" s="38" t="str">
        <f aca="false">IF(K1894&lt;&gt;"Yes","",IFERROR(INDEX(cr_Rate,MATCH(J1894&amp;"|"&amp;D1894,cr_Key,0)),INDEX(rt_Rate,MATCH(D1894,rt_Code,0))))</f>
        <v/>
      </c>
      <c r="M1894" s="25" t="str">
        <f aca="false">IF(L1894="","",ROUND(N(E1894)*L1894,2))</f>
        <v/>
      </c>
      <c r="N1894" s="39" t="str">
        <f aca="false">IF(OR(A1894="",B1894=""),"",SUMIFS(tl_Hours,tl_StaffID,I1894,tl_Date,A1894))</f>
        <v/>
      </c>
      <c r="O1894" s="40" t="str">
        <f aca="false">IF(A1894&amp;B1894&amp;D1894="","",IF(OR(A1894="",B1894="",D1894="",E1894=""),"Incomplete",IF(K1894="Unknown","Unknown code",IF(AND(K1894="Yes",C1894=""),"Billable, needs client",IF(N1894&gt;MaxDayHours,"Over "&amp;MaxDayHours&amp;" hours that day","")))))</f>
        <v/>
      </c>
    </row>
    <row r="1895" customFormat="false" ht="15" hidden="false" customHeight="false" outlineLevel="0" collapsed="false">
      <c r="A1895" s="31"/>
      <c r="B1895" s="32"/>
      <c r="C1895" s="32"/>
      <c r="D1895" s="33"/>
      <c r="E1895" s="34"/>
      <c r="F1895" s="32"/>
      <c r="G1895" s="35" t="str">
        <f aca="false">IF(A1895="","",A1895+7-WEEKDAY(A1895))</f>
        <v/>
      </c>
      <c r="H1895" s="36" t="str">
        <f aca="false">IF(A1895="","",DATE(YEAR(A1895),MONTH(A1895),1))</f>
        <v/>
      </c>
      <c r="I1895" s="37" t="str">
        <f aca="false">IF(B1895="","",IFERROR(INDEX(st_ID,MATCH(B1895,st_Name,0)),"Unknown"))</f>
        <v/>
      </c>
      <c r="J1895" s="37" t="str">
        <f aca="false">IF(C1895="","",IFERROR(INDEX(cl_Code,MATCH(C1895,cl_Name,0)),"Unknown"))</f>
        <v/>
      </c>
      <c r="K1895" s="37" t="str">
        <f aca="false">IF(D1895="","",IFERROR(INDEX(rt_Billable,MATCH(D1895,rt_Code,0)),"Unknown"))</f>
        <v/>
      </c>
      <c r="L1895" s="38" t="str">
        <f aca="false">IF(K1895&lt;&gt;"Yes","",IFERROR(INDEX(cr_Rate,MATCH(J1895&amp;"|"&amp;D1895,cr_Key,0)),INDEX(rt_Rate,MATCH(D1895,rt_Code,0))))</f>
        <v/>
      </c>
      <c r="M1895" s="25" t="str">
        <f aca="false">IF(L1895="","",ROUND(N(E1895)*L1895,2))</f>
        <v/>
      </c>
      <c r="N1895" s="39" t="str">
        <f aca="false">IF(OR(A1895="",B1895=""),"",SUMIFS(tl_Hours,tl_StaffID,I1895,tl_Date,A1895))</f>
        <v/>
      </c>
      <c r="O1895" s="40" t="str">
        <f aca="false">IF(A1895&amp;B1895&amp;D1895="","",IF(OR(A1895="",B1895="",D1895="",E1895=""),"Incomplete",IF(K1895="Unknown","Unknown code",IF(AND(K1895="Yes",C1895=""),"Billable, needs client",IF(N1895&gt;MaxDayHours,"Over "&amp;MaxDayHours&amp;" hours that day","")))))</f>
        <v/>
      </c>
    </row>
    <row r="1896" customFormat="false" ht="15" hidden="false" customHeight="false" outlineLevel="0" collapsed="false">
      <c r="A1896" s="31"/>
      <c r="B1896" s="32"/>
      <c r="C1896" s="32"/>
      <c r="D1896" s="33"/>
      <c r="E1896" s="34"/>
      <c r="F1896" s="32"/>
      <c r="G1896" s="35" t="str">
        <f aca="false">IF(A1896="","",A1896+7-WEEKDAY(A1896))</f>
        <v/>
      </c>
      <c r="H1896" s="36" t="str">
        <f aca="false">IF(A1896="","",DATE(YEAR(A1896),MONTH(A1896),1))</f>
        <v/>
      </c>
      <c r="I1896" s="37" t="str">
        <f aca="false">IF(B1896="","",IFERROR(INDEX(st_ID,MATCH(B1896,st_Name,0)),"Unknown"))</f>
        <v/>
      </c>
      <c r="J1896" s="37" t="str">
        <f aca="false">IF(C1896="","",IFERROR(INDEX(cl_Code,MATCH(C1896,cl_Name,0)),"Unknown"))</f>
        <v/>
      </c>
      <c r="K1896" s="37" t="str">
        <f aca="false">IF(D1896="","",IFERROR(INDEX(rt_Billable,MATCH(D1896,rt_Code,0)),"Unknown"))</f>
        <v/>
      </c>
      <c r="L1896" s="38" t="str">
        <f aca="false">IF(K1896&lt;&gt;"Yes","",IFERROR(INDEX(cr_Rate,MATCH(J1896&amp;"|"&amp;D1896,cr_Key,0)),INDEX(rt_Rate,MATCH(D1896,rt_Code,0))))</f>
        <v/>
      </c>
      <c r="M1896" s="25" t="str">
        <f aca="false">IF(L1896="","",ROUND(N(E1896)*L1896,2))</f>
        <v/>
      </c>
      <c r="N1896" s="39" t="str">
        <f aca="false">IF(OR(A1896="",B1896=""),"",SUMIFS(tl_Hours,tl_StaffID,I1896,tl_Date,A1896))</f>
        <v/>
      </c>
      <c r="O1896" s="40" t="str">
        <f aca="false">IF(A1896&amp;B1896&amp;D1896="","",IF(OR(A1896="",B1896="",D1896="",E1896=""),"Incomplete",IF(K1896="Unknown","Unknown code",IF(AND(K1896="Yes",C1896=""),"Billable, needs client",IF(N1896&gt;MaxDayHours,"Over "&amp;MaxDayHours&amp;" hours that day","")))))</f>
        <v/>
      </c>
    </row>
    <row r="1897" customFormat="false" ht="15" hidden="false" customHeight="false" outlineLevel="0" collapsed="false">
      <c r="A1897" s="31"/>
      <c r="B1897" s="32"/>
      <c r="C1897" s="32"/>
      <c r="D1897" s="33"/>
      <c r="E1897" s="34"/>
      <c r="F1897" s="32"/>
      <c r="G1897" s="35" t="str">
        <f aca="false">IF(A1897="","",A1897+7-WEEKDAY(A1897))</f>
        <v/>
      </c>
      <c r="H1897" s="36" t="str">
        <f aca="false">IF(A1897="","",DATE(YEAR(A1897),MONTH(A1897),1))</f>
        <v/>
      </c>
      <c r="I1897" s="37" t="str">
        <f aca="false">IF(B1897="","",IFERROR(INDEX(st_ID,MATCH(B1897,st_Name,0)),"Unknown"))</f>
        <v/>
      </c>
      <c r="J1897" s="37" t="str">
        <f aca="false">IF(C1897="","",IFERROR(INDEX(cl_Code,MATCH(C1897,cl_Name,0)),"Unknown"))</f>
        <v/>
      </c>
      <c r="K1897" s="37" t="str">
        <f aca="false">IF(D1897="","",IFERROR(INDEX(rt_Billable,MATCH(D1897,rt_Code,0)),"Unknown"))</f>
        <v/>
      </c>
      <c r="L1897" s="38" t="str">
        <f aca="false">IF(K1897&lt;&gt;"Yes","",IFERROR(INDEX(cr_Rate,MATCH(J1897&amp;"|"&amp;D1897,cr_Key,0)),INDEX(rt_Rate,MATCH(D1897,rt_Code,0))))</f>
        <v/>
      </c>
      <c r="M1897" s="25" t="str">
        <f aca="false">IF(L1897="","",ROUND(N(E1897)*L1897,2))</f>
        <v/>
      </c>
      <c r="N1897" s="39" t="str">
        <f aca="false">IF(OR(A1897="",B1897=""),"",SUMIFS(tl_Hours,tl_StaffID,I1897,tl_Date,A1897))</f>
        <v/>
      </c>
      <c r="O1897" s="40" t="str">
        <f aca="false">IF(A1897&amp;B1897&amp;D1897="","",IF(OR(A1897="",B1897="",D1897="",E1897=""),"Incomplete",IF(K1897="Unknown","Unknown code",IF(AND(K1897="Yes",C1897=""),"Billable, needs client",IF(N1897&gt;MaxDayHours,"Over "&amp;MaxDayHours&amp;" hours that day","")))))</f>
        <v/>
      </c>
    </row>
    <row r="1898" customFormat="false" ht="15" hidden="false" customHeight="false" outlineLevel="0" collapsed="false">
      <c r="A1898" s="31"/>
      <c r="B1898" s="32"/>
      <c r="C1898" s="32"/>
      <c r="D1898" s="33"/>
      <c r="E1898" s="34"/>
      <c r="F1898" s="32"/>
      <c r="G1898" s="35" t="str">
        <f aca="false">IF(A1898="","",A1898+7-WEEKDAY(A1898))</f>
        <v/>
      </c>
      <c r="H1898" s="36" t="str">
        <f aca="false">IF(A1898="","",DATE(YEAR(A1898),MONTH(A1898),1))</f>
        <v/>
      </c>
      <c r="I1898" s="37" t="str">
        <f aca="false">IF(B1898="","",IFERROR(INDEX(st_ID,MATCH(B1898,st_Name,0)),"Unknown"))</f>
        <v/>
      </c>
      <c r="J1898" s="37" t="str">
        <f aca="false">IF(C1898="","",IFERROR(INDEX(cl_Code,MATCH(C1898,cl_Name,0)),"Unknown"))</f>
        <v/>
      </c>
      <c r="K1898" s="37" t="str">
        <f aca="false">IF(D1898="","",IFERROR(INDEX(rt_Billable,MATCH(D1898,rt_Code,0)),"Unknown"))</f>
        <v/>
      </c>
      <c r="L1898" s="38" t="str">
        <f aca="false">IF(K1898&lt;&gt;"Yes","",IFERROR(INDEX(cr_Rate,MATCH(J1898&amp;"|"&amp;D1898,cr_Key,0)),INDEX(rt_Rate,MATCH(D1898,rt_Code,0))))</f>
        <v/>
      </c>
      <c r="M1898" s="25" t="str">
        <f aca="false">IF(L1898="","",ROUND(N(E1898)*L1898,2))</f>
        <v/>
      </c>
      <c r="N1898" s="39" t="str">
        <f aca="false">IF(OR(A1898="",B1898=""),"",SUMIFS(tl_Hours,tl_StaffID,I1898,tl_Date,A1898))</f>
        <v/>
      </c>
      <c r="O1898" s="40" t="str">
        <f aca="false">IF(A1898&amp;B1898&amp;D1898="","",IF(OR(A1898="",B1898="",D1898="",E1898=""),"Incomplete",IF(K1898="Unknown","Unknown code",IF(AND(K1898="Yes",C1898=""),"Billable, needs client",IF(N1898&gt;MaxDayHours,"Over "&amp;MaxDayHours&amp;" hours that day","")))))</f>
        <v/>
      </c>
    </row>
    <row r="1899" customFormat="false" ht="15" hidden="false" customHeight="false" outlineLevel="0" collapsed="false">
      <c r="A1899" s="31"/>
      <c r="B1899" s="32"/>
      <c r="C1899" s="32"/>
      <c r="D1899" s="33"/>
      <c r="E1899" s="34"/>
      <c r="F1899" s="32"/>
      <c r="G1899" s="35" t="str">
        <f aca="false">IF(A1899="","",A1899+7-WEEKDAY(A1899))</f>
        <v/>
      </c>
      <c r="H1899" s="36" t="str">
        <f aca="false">IF(A1899="","",DATE(YEAR(A1899),MONTH(A1899),1))</f>
        <v/>
      </c>
      <c r="I1899" s="37" t="str">
        <f aca="false">IF(B1899="","",IFERROR(INDEX(st_ID,MATCH(B1899,st_Name,0)),"Unknown"))</f>
        <v/>
      </c>
      <c r="J1899" s="37" t="str">
        <f aca="false">IF(C1899="","",IFERROR(INDEX(cl_Code,MATCH(C1899,cl_Name,0)),"Unknown"))</f>
        <v/>
      </c>
      <c r="K1899" s="37" t="str">
        <f aca="false">IF(D1899="","",IFERROR(INDEX(rt_Billable,MATCH(D1899,rt_Code,0)),"Unknown"))</f>
        <v/>
      </c>
      <c r="L1899" s="38" t="str">
        <f aca="false">IF(K1899&lt;&gt;"Yes","",IFERROR(INDEX(cr_Rate,MATCH(J1899&amp;"|"&amp;D1899,cr_Key,0)),INDEX(rt_Rate,MATCH(D1899,rt_Code,0))))</f>
        <v/>
      </c>
      <c r="M1899" s="25" t="str">
        <f aca="false">IF(L1899="","",ROUND(N(E1899)*L1899,2))</f>
        <v/>
      </c>
      <c r="N1899" s="39" t="str">
        <f aca="false">IF(OR(A1899="",B1899=""),"",SUMIFS(tl_Hours,tl_StaffID,I1899,tl_Date,A1899))</f>
        <v/>
      </c>
      <c r="O1899" s="40" t="str">
        <f aca="false">IF(A1899&amp;B1899&amp;D1899="","",IF(OR(A1899="",B1899="",D1899="",E1899=""),"Incomplete",IF(K1899="Unknown","Unknown code",IF(AND(K1899="Yes",C1899=""),"Billable, needs client",IF(N1899&gt;MaxDayHours,"Over "&amp;MaxDayHours&amp;" hours that day","")))))</f>
        <v/>
      </c>
    </row>
    <row r="1900" customFormat="false" ht="15" hidden="false" customHeight="false" outlineLevel="0" collapsed="false">
      <c r="A1900" s="31"/>
      <c r="B1900" s="32"/>
      <c r="C1900" s="32"/>
      <c r="D1900" s="33"/>
      <c r="E1900" s="34"/>
      <c r="F1900" s="32"/>
      <c r="G1900" s="35" t="str">
        <f aca="false">IF(A1900="","",A1900+7-WEEKDAY(A1900))</f>
        <v/>
      </c>
      <c r="H1900" s="36" t="str">
        <f aca="false">IF(A1900="","",DATE(YEAR(A1900),MONTH(A1900),1))</f>
        <v/>
      </c>
      <c r="I1900" s="37" t="str">
        <f aca="false">IF(B1900="","",IFERROR(INDEX(st_ID,MATCH(B1900,st_Name,0)),"Unknown"))</f>
        <v/>
      </c>
      <c r="J1900" s="37" t="str">
        <f aca="false">IF(C1900="","",IFERROR(INDEX(cl_Code,MATCH(C1900,cl_Name,0)),"Unknown"))</f>
        <v/>
      </c>
      <c r="K1900" s="37" t="str">
        <f aca="false">IF(D1900="","",IFERROR(INDEX(rt_Billable,MATCH(D1900,rt_Code,0)),"Unknown"))</f>
        <v/>
      </c>
      <c r="L1900" s="38" t="str">
        <f aca="false">IF(K1900&lt;&gt;"Yes","",IFERROR(INDEX(cr_Rate,MATCH(J1900&amp;"|"&amp;D1900,cr_Key,0)),INDEX(rt_Rate,MATCH(D1900,rt_Code,0))))</f>
        <v/>
      </c>
      <c r="M1900" s="25" t="str">
        <f aca="false">IF(L1900="","",ROUND(N(E1900)*L1900,2))</f>
        <v/>
      </c>
      <c r="N1900" s="39" t="str">
        <f aca="false">IF(OR(A1900="",B1900=""),"",SUMIFS(tl_Hours,tl_StaffID,I1900,tl_Date,A1900))</f>
        <v/>
      </c>
      <c r="O1900" s="40" t="str">
        <f aca="false">IF(A1900&amp;B1900&amp;D1900="","",IF(OR(A1900="",B1900="",D1900="",E1900=""),"Incomplete",IF(K1900="Unknown","Unknown code",IF(AND(K1900="Yes",C1900=""),"Billable, needs client",IF(N1900&gt;MaxDayHours,"Over "&amp;MaxDayHours&amp;" hours that day","")))))</f>
        <v/>
      </c>
    </row>
    <row r="1901" customFormat="false" ht="15" hidden="false" customHeight="false" outlineLevel="0" collapsed="false">
      <c r="A1901" s="31"/>
      <c r="B1901" s="32"/>
      <c r="C1901" s="32"/>
      <c r="D1901" s="33"/>
      <c r="E1901" s="34"/>
      <c r="F1901" s="32"/>
      <c r="G1901" s="35" t="str">
        <f aca="false">IF(A1901="","",A1901+7-WEEKDAY(A1901))</f>
        <v/>
      </c>
      <c r="H1901" s="36" t="str">
        <f aca="false">IF(A1901="","",DATE(YEAR(A1901),MONTH(A1901),1))</f>
        <v/>
      </c>
      <c r="I1901" s="37" t="str">
        <f aca="false">IF(B1901="","",IFERROR(INDEX(st_ID,MATCH(B1901,st_Name,0)),"Unknown"))</f>
        <v/>
      </c>
      <c r="J1901" s="37" t="str">
        <f aca="false">IF(C1901="","",IFERROR(INDEX(cl_Code,MATCH(C1901,cl_Name,0)),"Unknown"))</f>
        <v/>
      </c>
      <c r="K1901" s="37" t="str">
        <f aca="false">IF(D1901="","",IFERROR(INDEX(rt_Billable,MATCH(D1901,rt_Code,0)),"Unknown"))</f>
        <v/>
      </c>
      <c r="L1901" s="38" t="str">
        <f aca="false">IF(K1901&lt;&gt;"Yes","",IFERROR(INDEX(cr_Rate,MATCH(J1901&amp;"|"&amp;D1901,cr_Key,0)),INDEX(rt_Rate,MATCH(D1901,rt_Code,0))))</f>
        <v/>
      </c>
      <c r="M1901" s="25" t="str">
        <f aca="false">IF(L1901="","",ROUND(N(E1901)*L1901,2))</f>
        <v/>
      </c>
      <c r="N1901" s="39" t="str">
        <f aca="false">IF(OR(A1901="",B1901=""),"",SUMIFS(tl_Hours,tl_StaffID,I1901,tl_Date,A1901))</f>
        <v/>
      </c>
      <c r="O1901" s="40" t="str">
        <f aca="false">IF(A1901&amp;B1901&amp;D1901="","",IF(OR(A1901="",B1901="",D1901="",E1901=""),"Incomplete",IF(K1901="Unknown","Unknown code",IF(AND(K1901="Yes",C1901=""),"Billable, needs client",IF(N1901&gt;MaxDayHours,"Over "&amp;MaxDayHours&amp;" hours that day","")))))</f>
        <v/>
      </c>
    </row>
    <row r="1902" customFormat="false" ht="15" hidden="false" customHeight="false" outlineLevel="0" collapsed="false">
      <c r="A1902" s="31"/>
      <c r="B1902" s="32"/>
      <c r="C1902" s="32"/>
      <c r="D1902" s="33"/>
      <c r="E1902" s="34"/>
      <c r="F1902" s="32"/>
      <c r="G1902" s="35" t="str">
        <f aca="false">IF(A1902="","",A1902+7-WEEKDAY(A1902))</f>
        <v/>
      </c>
      <c r="H1902" s="36" t="str">
        <f aca="false">IF(A1902="","",DATE(YEAR(A1902),MONTH(A1902),1))</f>
        <v/>
      </c>
      <c r="I1902" s="37" t="str">
        <f aca="false">IF(B1902="","",IFERROR(INDEX(st_ID,MATCH(B1902,st_Name,0)),"Unknown"))</f>
        <v/>
      </c>
      <c r="J1902" s="37" t="str">
        <f aca="false">IF(C1902="","",IFERROR(INDEX(cl_Code,MATCH(C1902,cl_Name,0)),"Unknown"))</f>
        <v/>
      </c>
      <c r="K1902" s="37" t="str">
        <f aca="false">IF(D1902="","",IFERROR(INDEX(rt_Billable,MATCH(D1902,rt_Code,0)),"Unknown"))</f>
        <v/>
      </c>
      <c r="L1902" s="38" t="str">
        <f aca="false">IF(K1902&lt;&gt;"Yes","",IFERROR(INDEX(cr_Rate,MATCH(J1902&amp;"|"&amp;D1902,cr_Key,0)),INDEX(rt_Rate,MATCH(D1902,rt_Code,0))))</f>
        <v/>
      </c>
      <c r="M1902" s="25" t="str">
        <f aca="false">IF(L1902="","",ROUND(N(E1902)*L1902,2))</f>
        <v/>
      </c>
      <c r="N1902" s="39" t="str">
        <f aca="false">IF(OR(A1902="",B1902=""),"",SUMIFS(tl_Hours,tl_StaffID,I1902,tl_Date,A1902))</f>
        <v/>
      </c>
      <c r="O1902" s="40" t="str">
        <f aca="false">IF(A1902&amp;B1902&amp;D1902="","",IF(OR(A1902="",B1902="",D1902="",E1902=""),"Incomplete",IF(K1902="Unknown","Unknown code",IF(AND(K1902="Yes",C1902=""),"Billable, needs client",IF(N1902&gt;MaxDayHours,"Over "&amp;MaxDayHours&amp;" hours that day","")))))</f>
        <v/>
      </c>
    </row>
    <row r="1903" customFormat="false" ht="15" hidden="false" customHeight="false" outlineLevel="0" collapsed="false">
      <c r="A1903" s="31"/>
      <c r="B1903" s="32"/>
      <c r="C1903" s="32"/>
      <c r="D1903" s="33"/>
      <c r="E1903" s="34"/>
      <c r="F1903" s="32"/>
      <c r="G1903" s="35" t="str">
        <f aca="false">IF(A1903="","",A1903+7-WEEKDAY(A1903))</f>
        <v/>
      </c>
      <c r="H1903" s="36" t="str">
        <f aca="false">IF(A1903="","",DATE(YEAR(A1903),MONTH(A1903),1))</f>
        <v/>
      </c>
      <c r="I1903" s="37" t="str">
        <f aca="false">IF(B1903="","",IFERROR(INDEX(st_ID,MATCH(B1903,st_Name,0)),"Unknown"))</f>
        <v/>
      </c>
      <c r="J1903" s="37" t="str">
        <f aca="false">IF(C1903="","",IFERROR(INDEX(cl_Code,MATCH(C1903,cl_Name,0)),"Unknown"))</f>
        <v/>
      </c>
      <c r="K1903" s="37" t="str">
        <f aca="false">IF(D1903="","",IFERROR(INDEX(rt_Billable,MATCH(D1903,rt_Code,0)),"Unknown"))</f>
        <v/>
      </c>
      <c r="L1903" s="38" t="str">
        <f aca="false">IF(K1903&lt;&gt;"Yes","",IFERROR(INDEX(cr_Rate,MATCH(J1903&amp;"|"&amp;D1903,cr_Key,0)),INDEX(rt_Rate,MATCH(D1903,rt_Code,0))))</f>
        <v/>
      </c>
      <c r="M1903" s="25" t="str">
        <f aca="false">IF(L1903="","",ROUND(N(E1903)*L1903,2))</f>
        <v/>
      </c>
      <c r="N1903" s="39" t="str">
        <f aca="false">IF(OR(A1903="",B1903=""),"",SUMIFS(tl_Hours,tl_StaffID,I1903,tl_Date,A1903))</f>
        <v/>
      </c>
      <c r="O1903" s="40" t="str">
        <f aca="false">IF(A1903&amp;B1903&amp;D1903="","",IF(OR(A1903="",B1903="",D1903="",E1903=""),"Incomplete",IF(K1903="Unknown","Unknown code",IF(AND(K1903="Yes",C1903=""),"Billable, needs client",IF(N1903&gt;MaxDayHours,"Over "&amp;MaxDayHours&amp;" hours that day","")))))</f>
        <v/>
      </c>
    </row>
    <row r="1904" customFormat="false" ht="15" hidden="false" customHeight="false" outlineLevel="0" collapsed="false">
      <c r="A1904" s="31"/>
      <c r="B1904" s="32"/>
      <c r="C1904" s="32"/>
      <c r="D1904" s="33"/>
      <c r="E1904" s="34"/>
      <c r="F1904" s="32"/>
      <c r="G1904" s="35" t="str">
        <f aca="false">IF(A1904="","",A1904+7-WEEKDAY(A1904))</f>
        <v/>
      </c>
      <c r="H1904" s="36" t="str">
        <f aca="false">IF(A1904="","",DATE(YEAR(A1904),MONTH(A1904),1))</f>
        <v/>
      </c>
      <c r="I1904" s="37" t="str">
        <f aca="false">IF(B1904="","",IFERROR(INDEX(st_ID,MATCH(B1904,st_Name,0)),"Unknown"))</f>
        <v/>
      </c>
      <c r="J1904" s="37" t="str">
        <f aca="false">IF(C1904="","",IFERROR(INDEX(cl_Code,MATCH(C1904,cl_Name,0)),"Unknown"))</f>
        <v/>
      </c>
      <c r="K1904" s="37" t="str">
        <f aca="false">IF(D1904="","",IFERROR(INDEX(rt_Billable,MATCH(D1904,rt_Code,0)),"Unknown"))</f>
        <v/>
      </c>
      <c r="L1904" s="38" t="str">
        <f aca="false">IF(K1904&lt;&gt;"Yes","",IFERROR(INDEX(cr_Rate,MATCH(J1904&amp;"|"&amp;D1904,cr_Key,0)),INDEX(rt_Rate,MATCH(D1904,rt_Code,0))))</f>
        <v/>
      </c>
      <c r="M1904" s="25" t="str">
        <f aca="false">IF(L1904="","",ROUND(N(E1904)*L1904,2))</f>
        <v/>
      </c>
      <c r="N1904" s="39" t="str">
        <f aca="false">IF(OR(A1904="",B1904=""),"",SUMIFS(tl_Hours,tl_StaffID,I1904,tl_Date,A1904))</f>
        <v/>
      </c>
      <c r="O1904" s="40" t="str">
        <f aca="false">IF(A1904&amp;B1904&amp;D1904="","",IF(OR(A1904="",B1904="",D1904="",E1904=""),"Incomplete",IF(K1904="Unknown","Unknown code",IF(AND(K1904="Yes",C1904=""),"Billable, needs client",IF(N1904&gt;MaxDayHours,"Over "&amp;MaxDayHours&amp;" hours that day","")))))</f>
        <v/>
      </c>
    </row>
    <row r="1905" customFormat="false" ht="15" hidden="false" customHeight="false" outlineLevel="0" collapsed="false">
      <c r="A1905" s="31"/>
      <c r="B1905" s="32"/>
      <c r="C1905" s="32"/>
      <c r="D1905" s="33"/>
      <c r="E1905" s="34"/>
      <c r="F1905" s="32"/>
      <c r="G1905" s="35" t="str">
        <f aca="false">IF(A1905="","",A1905+7-WEEKDAY(A1905))</f>
        <v/>
      </c>
      <c r="H1905" s="36" t="str">
        <f aca="false">IF(A1905="","",DATE(YEAR(A1905),MONTH(A1905),1))</f>
        <v/>
      </c>
      <c r="I1905" s="37" t="str">
        <f aca="false">IF(B1905="","",IFERROR(INDEX(st_ID,MATCH(B1905,st_Name,0)),"Unknown"))</f>
        <v/>
      </c>
      <c r="J1905" s="37" t="str">
        <f aca="false">IF(C1905="","",IFERROR(INDEX(cl_Code,MATCH(C1905,cl_Name,0)),"Unknown"))</f>
        <v/>
      </c>
      <c r="K1905" s="37" t="str">
        <f aca="false">IF(D1905="","",IFERROR(INDEX(rt_Billable,MATCH(D1905,rt_Code,0)),"Unknown"))</f>
        <v/>
      </c>
      <c r="L1905" s="38" t="str">
        <f aca="false">IF(K1905&lt;&gt;"Yes","",IFERROR(INDEX(cr_Rate,MATCH(J1905&amp;"|"&amp;D1905,cr_Key,0)),INDEX(rt_Rate,MATCH(D1905,rt_Code,0))))</f>
        <v/>
      </c>
      <c r="M1905" s="25" t="str">
        <f aca="false">IF(L1905="","",ROUND(N(E1905)*L1905,2))</f>
        <v/>
      </c>
      <c r="N1905" s="39" t="str">
        <f aca="false">IF(OR(A1905="",B1905=""),"",SUMIFS(tl_Hours,tl_StaffID,I1905,tl_Date,A1905))</f>
        <v/>
      </c>
      <c r="O1905" s="40" t="str">
        <f aca="false">IF(A1905&amp;B1905&amp;D1905="","",IF(OR(A1905="",B1905="",D1905="",E1905=""),"Incomplete",IF(K1905="Unknown","Unknown code",IF(AND(K1905="Yes",C1905=""),"Billable, needs client",IF(N1905&gt;MaxDayHours,"Over "&amp;MaxDayHours&amp;" hours that day","")))))</f>
        <v/>
      </c>
    </row>
    <row r="1906" customFormat="false" ht="15" hidden="false" customHeight="false" outlineLevel="0" collapsed="false">
      <c r="A1906" s="31"/>
      <c r="B1906" s="32"/>
      <c r="C1906" s="32"/>
      <c r="D1906" s="33"/>
      <c r="E1906" s="34"/>
      <c r="F1906" s="32"/>
      <c r="G1906" s="35" t="str">
        <f aca="false">IF(A1906="","",A1906+7-WEEKDAY(A1906))</f>
        <v/>
      </c>
      <c r="H1906" s="36" t="str">
        <f aca="false">IF(A1906="","",DATE(YEAR(A1906),MONTH(A1906),1))</f>
        <v/>
      </c>
      <c r="I1906" s="37" t="str">
        <f aca="false">IF(B1906="","",IFERROR(INDEX(st_ID,MATCH(B1906,st_Name,0)),"Unknown"))</f>
        <v/>
      </c>
      <c r="J1906" s="37" t="str">
        <f aca="false">IF(C1906="","",IFERROR(INDEX(cl_Code,MATCH(C1906,cl_Name,0)),"Unknown"))</f>
        <v/>
      </c>
      <c r="K1906" s="37" t="str">
        <f aca="false">IF(D1906="","",IFERROR(INDEX(rt_Billable,MATCH(D1906,rt_Code,0)),"Unknown"))</f>
        <v/>
      </c>
      <c r="L1906" s="38" t="str">
        <f aca="false">IF(K1906&lt;&gt;"Yes","",IFERROR(INDEX(cr_Rate,MATCH(J1906&amp;"|"&amp;D1906,cr_Key,0)),INDEX(rt_Rate,MATCH(D1906,rt_Code,0))))</f>
        <v/>
      </c>
      <c r="M1906" s="25" t="str">
        <f aca="false">IF(L1906="","",ROUND(N(E1906)*L1906,2))</f>
        <v/>
      </c>
      <c r="N1906" s="39" t="str">
        <f aca="false">IF(OR(A1906="",B1906=""),"",SUMIFS(tl_Hours,tl_StaffID,I1906,tl_Date,A1906))</f>
        <v/>
      </c>
      <c r="O1906" s="40" t="str">
        <f aca="false">IF(A1906&amp;B1906&amp;D1906="","",IF(OR(A1906="",B1906="",D1906="",E1906=""),"Incomplete",IF(K1906="Unknown","Unknown code",IF(AND(K1906="Yes",C1906=""),"Billable, needs client",IF(N1906&gt;MaxDayHours,"Over "&amp;MaxDayHours&amp;" hours that day","")))))</f>
        <v/>
      </c>
    </row>
    <row r="1907" customFormat="false" ht="15" hidden="false" customHeight="false" outlineLevel="0" collapsed="false">
      <c r="A1907" s="31"/>
      <c r="B1907" s="32"/>
      <c r="C1907" s="32"/>
      <c r="D1907" s="33"/>
      <c r="E1907" s="34"/>
      <c r="F1907" s="32"/>
      <c r="G1907" s="35" t="str">
        <f aca="false">IF(A1907="","",A1907+7-WEEKDAY(A1907))</f>
        <v/>
      </c>
      <c r="H1907" s="36" t="str">
        <f aca="false">IF(A1907="","",DATE(YEAR(A1907),MONTH(A1907),1))</f>
        <v/>
      </c>
      <c r="I1907" s="37" t="str">
        <f aca="false">IF(B1907="","",IFERROR(INDEX(st_ID,MATCH(B1907,st_Name,0)),"Unknown"))</f>
        <v/>
      </c>
      <c r="J1907" s="37" t="str">
        <f aca="false">IF(C1907="","",IFERROR(INDEX(cl_Code,MATCH(C1907,cl_Name,0)),"Unknown"))</f>
        <v/>
      </c>
      <c r="K1907" s="37" t="str">
        <f aca="false">IF(D1907="","",IFERROR(INDEX(rt_Billable,MATCH(D1907,rt_Code,0)),"Unknown"))</f>
        <v/>
      </c>
      <c r="L1907" s="38" t="str">
        <f aca="false">IF(K1907&lt;&gt;"Yes","",IFERROR(INDEX(cr_Rate,MATCH(J1907&amp;"|"&amp;D1907,cr_Key,0)),INDEX(rt_Rate,MATCH(D1907,rt_Code,0))))</f>
        <v/>
      </c>
      <c r="M1907" s="25" t="str">
        <f aca="false">IF(L1907="","",ROUND(N(E1907)*L1907,2))</f>
        <v/>
      </c>
      <c r="N1907" s="39" t="str">
        <f aca="false">IF(OR(A1907="",B1907=""),"",SUMIFS(tl_Hours,tl_StaffID,I1907,tl_Date,A1907))</f>
        <v/>
      </c>
      <c r="O1907" s="40" t="str">
        <f aca="false">IF(A1907&amp;B1907&amp;D1907="","",IF(OR(A1907="",B1907="",D1907="",E1907=""),"Incomplete",IF(K1907="Unknown","Unknown code",IF(AND(K1907="Yes",C1907=""),"Billable, needs client",IF(N1907&gt;MaxDayHours,"Over "&amp;MaxDayHours&amp;" hours that day","")))))</f>
        <v/>
      </c>
    </row>
    <row r="1908" customFormat="false" ht="15" hidden="false" customHeight="false" outlineLevel="0" collapsed="false">
      <c r="A1908" s="31"/>
      <c r="B1908" s="32"/>
      <c r="C1908" s="32"/>
      <c r="D1908" s="33"/>
      <c r="E1908" s="34"/>
      <c r="F1908" s="32"/>
      <c r="G1908" s="35" t="str">
        <f aca="false">IF(A1908="","",A1908+7-WEEKDAY(A1908))</f>
        <v/>
      </c>
      <c r="H1908" s="36" t="str">
        <f aca="false">IF(A1908="","",DATE(YEAR(A1908),MONTH(A1908),1))</f>
        <v/>
      </c>
      <c r="I1908" s="37" t="str">
        <f aca="false">IF(B1908="","",IFERROR(INDEX(st_ID,MATCH(B1908,st_Name,0)),"Unknown"))</f>
        <v/>
      </c>
      <c r="J1908" s="37" t="str">
        <f aca="false">IF(C1908="","",IFERROR(INDEX(cl_Code,MATCH(C1908,cl_Name,0)),"Unknown"))</f>
        <v/>
      </c>
      <c r="K1908" s="37" t="str">
        <f aca="false">IF(D1908="","",IFERROR(INDEX(rt_Billable,MATCH(D1908,rt_Code,0)),"Unknown"))</f>
        <v/>
      </c>
      <c r="L1908" s="38" t="str">
        <f aca="false">IF(K1908&lt;&gt;"Yes","",IFERROR(INDEX(cr_Rate,MATCH(J1908&amp;"|"&amp;D1908,cr_Key,0)),INDEX(rt_Rate,MATCH(D1908,rt_Code,0))))</f>
        <v/>
      </c>
      <c r="M1908" s="25" t="str">
        <f aca="false">IF(L1908="","",ROUND(N(E1908)*L1908,2))</f>
        <v/>
      </c>
      <c r="N1908" s="39" t="str">
        <f aca="false">IF(OR(A1908="",B1908=""),"",SUMIFS(tl_Hours,tl_StaffID,I1908,tl_Date,A1908))</f>
        <v/>
      </c>
      <c r="O1908" s="40" t="str">
        <f aca="false">IF(A1908&amp;B1908&amp;D1908="","",IF(OR(A1908="",B1908="",D1908="",E1908=""),"Incomplete",IF(K1908="Unknown","Unknown code",IF(AND(K1908="Yes",C1908=""),"Billable, needs client",IF(N1908&gt;MaxDayHours,"Over "&amp;MaxDayHours&amp;" hours that day","")))))</f>
        <v/>
      </c>
    </row>
    <row r="1909" customFormat="false" ht="15" hidden="false" customHeight="false" outlineLevel="0" collapsed="false">
      <c r="A1909" s="31"/>
      <c r="B1909" s="32"/>
      <c r="C1909" s="32"/>
      <c r="D1909" s="33"/>
      <c r="E1909" s="34"/>
      <c r="F1909" s="32"/>
      <c r="G1909" s="35" t="str">
        <f aca="false">IF(A1909="","",A1909+7-WEEKDAY(A1909))</f>
        <v/>
      </c>
      <c r="H1909" s="36" t="str">
        <f aca="false">IF(A1909="","",DATE(YEAR(A1909),MONTH(A1909),1))</f>
        <v/>
      </c>
      <c r="I1909" s="37" t="str">
        <f aca="false">IF(B1909="","",IFERROR(INDEX(st_ID,MATCH(B1909,st_Name,0)),"Unknown"))</f>
        <v/>
      </c>
      <c r="J1909" s="37" t="str">
        <f aca="false">IF(C1909="","",IFERROR(INDEX(cl_Code,MATCH(C1909,cl_Name,0)),"Unknown"))</f>
        <v/>
      </c>
      <c r="K1909" s="37" t="str">
        <f aca="false">IF(D1909="","",IFERROR(INDEX(rt_Billable,MATCH(D1909,rt_Code,0)),"Unknown"))</f>
        <v/>
      </c>
      <c r="L1909" s="38" t="str">
        <f aca="false">IF(K1909&lt;&gt;"Yes","",IFERROR(INDEX(cr_Rate,MATCH(J1909&amp;"|"&amp;D1909,cr_Key,0)),INDEX(rt_Rate,MATCH(D1909,rt_Code,0))))</f>
        <v/>
      </c>
      <c r="M1909" s="25" t="str">
        <f aca="false">IF(L1909="","",ROUND(N(E1909)*L1909,2))</f>
        <v/>
      </c>
      <c r="N1909" s="39" t="str">
        <f aca="false">IF(OR(A1909="",B1909=""),"",SUMIFS(tl_Hours,tl_StaffID,I1909,tl_Date,A1909))</f>
        <v/>
      </c>
      <c r="O1909" s="40" t="str">
        <f aca="false">IF(A1909&amp;B1909&amp;D1909="","",IF(OR(A1909="",B1909="",D1909="",E1909=""),"Incomplete",IF(K1909="Unknown","Unknown code",IF(AND(K1909="Yes",C1909=""),"Billable, needs client",IF(N1909&gt;MaxDayHours,"Over "&amp;MaxDayHours&amp;" hours that day","")))))</f>
        <v/>
      </c>
    </row>
    <row r="1910" customFormat="false" ht="15" hidden="false" customHeight="false" outlineLevel="0" collapsed="false">
      <c r="A1910" s="31"/>
      <c r="B1910" s="32"/>
      <c r="C1910" s="32"/>
      <c r="D1910" s="33"/>
      <c r="E1910" s="34"/>
      <c r="F1910" s="32"/>
      <c r="G1910" s="35" t="str">
        <f aca="false">IF(A1910="","",A1910+7-WEEKDAY(A1910))</f>
        <v/>
      </c>
      <c r="H1910" s="36" t="str">
        <f aca="false">IF(A1910="","",DATE(YEAR(A1910),MONTH(A1910),1))</f>
        <v/>
      </c>
      <c r="I1910" s="37" t="str">
        <f aca="false">IF(B1910="","",IFERROR(INDEX(st_ID,MATCH(B1910,st_Name,0)),"Unknown"))</f>
        <v/>
      </c>
      <c r="J1910" s="37" t="str">
        <f aca="false">IF(C1910="","",IFERROR(INDEX(cl_Code,MATCH(C1910,cl_Name,0)),"Unknown"))</f>
        <v/>
      </c>
      <c r="K1910" s="37" t="str">
        <f aca="false">IF(D1910="","",IFERROR(INDEX(rt_Billable,MATCH(D1910,rt_Code,0)),"Unknown"))</f>
        <v/>
      </c>
      <c r="L1910" s="38" t="str">
        <f aca="false">IF(K1910&lt;&gt;"Yes","",IFERROR(INDEX(cr_Rate,MATCH(J1910&amp;"|"&amp;D1910,cr_Key,0)),INDEX(rt_Rate,MATCH(D1910,rt_Code,0))))</f>
        <v/>
      </c>
      <c r="M1910" s="25" t="str">
        <f aca="false">IF(L1910="","",ROUND(N(E1910)*L1910,2))</f>
        <v/>
      </c>
      <c r="N1910" s="39" t="str">
        <f aca="false">IF(OR(A1910="",B1910=""),"",SUMIFS(tl_Hours,tl_StaffID,I1910,tl_Date,A1910))</f>
        <v/>
      </c>
      <c r="O1910" s="40" t="str">
        <f aca="false">IF(A1910&amp;B1910&amp;D1910="","",IF(OR(A1910="",B1910="",D1910="",E1910=""),"Incomplete",IF(K1910="Unknown","Unknown code",IF(AND(K1910="Yes",C1910=""),"Billable, needs client",IF(N1910&gt;MaxDayHours,"Over "&amp;MaxDayHours&amp;" hours that day","")))))</f>
        <v/>
      </c>
    </row>
    <row r="1911" customFormat="false" ht="15" hidden="false" customHeight="false" outlineLevel="0" collapsed="false">
      <c r="A1911" s="31"/>
      <c r="B1911" s="32"/>
      <c r="C1911" s="32"/>
      <c r="D1911" s="33"/>
      <c r="E1911" s="34"/>
      <c r="F1911" s="32"/>
      <c r="G1911" s="35" t="str">
        <f aca="false">IF(A1911="","",A1911+7-WEEKDAY(A1911))</f>
        <v/>
      </c>
      <c r="H1911" s="36" t="str">
        <f aca="false">IF(A1911="","",DATE(YEAR(A1911),MONTH(A1911),1))</f>
        <v/>
      </c>
      <c r="I1911" s="37" t="str">
        <f aca="false">IF(B1911="","",IFERROR(INDEX(st_ID,MATCH(B1911,st_Name,0)),"Unknown"))</f>
        <v/>
      </c>
      <c r="J1911" s="37" t="str">
        <f aca="false">IF(C1911="","",IFERROR(INDEX(cl_Code,MATCH(C1911,cl_Name,0)),"Unknown"))</f>
        <v/>
      </c>
      <c r="K1911" s="37" t="str">
        <f aca="false">IF(D1911="","",IFERROR(INDEX(rt_Billable,MATCH(D1911,rt_Code,0)),"Unknown"))</f>
        <v/>
      </c>
      <c r="L1911" s="38" t="str">
        <f aca="false">IF(K1911&lt;&gt;"Yes","",IFERROR(INDEX(cr_Rate,MATCH(J1911&amp;"|"&amp;D1911,cr_Key,0)),INDEX(rt_Rate,MATCH(D1911,rt_Code,0))))</f>
        <v/>
      </c>
      <c r="M1911" s="25" t="str">
        <f aca="false">IF(L1911="","",ROUND(N(E1911)*L1911,2))</f>
        <v/>
      </c>
      <c r="N1911" s="39" t="str">
        <f aca="false">IF(OR(A1911="",B1911=""),"",SUMIFS(tl_Hours,tl_StaffID,I1911,tl_Date,A1911))</f>
        <v/>
      </c>
      <c r="O1911" s="40" t="str">
        <f aca="false">IF(A1911&amp;B1911&amp;D1911="","",IF(OR(A1911="",B1911="",D1911="",E1911=""),"Incomplete",IF(K1911="Unknown","Unknown code",IF(AND(K1911="Yes",C1911=""),"Billable, needs client",IF(N1911&gt;MaxDayHours,"Over "&amp;MaxDayHours&amp;" hours that day","")))))</f>
        <v/>
      </c>
    </row>
    <row r="1912" customFormat="false" ht="15" hidden="false" customHeight="false" outlineLevel="0" collapsed="false">
      <c r="A1912" s="31"/>
      <c r="B1912" s="32"/>
      <c r="C1912" s="32"/>
      <c r="D1912" s="33"/>
      <c r="E1912" s="34"/>
      <c r="F1912" s="32"/>
      <c r="G1912" s="35" t="str">
        <f aca="false">IF(A1912="","",A1912+7-WEEKDAY(A1912))</f>
        <v/>
      </c>
      <c r="H1912" s="36" t="str">
        <f aca="false">IF(A1912="","",DATE(YEAR(A1912),MONTH(A1912),1))</f>
        <v/>
      </c>
      <c r="I1912" s="37" t="str">
        <f aca="false">IF(B1912="","",IFERROR(INDEX(st_ID,MATCH(B1912,st_Name,0)),"Unknown"))</f>
        <v/>
      </c>
      <c r="J1912" s="37" t="str">
        <f aca="false">IF(C1912="","",IFERROR(INDEX(cl_Code,MATCH(C1912,cl_Name,0)),"Unknown"))</f>
        <v/>
      </c>
      <c r="K1912" s="37" t="str">
        <f aca="false">IF(D1912="","",IFERROR(INDEX(rt_Billable,MATCH(D1912,rt_Code,0)),"Unknown"))</f>
        <v/>
      </c>
      <c r="L1912" s="38" t="str">
        <f aca="false">IF(K1912&lt;&gt;"Yes","",IFERROR(INDEX(cr_Rate,MATCH(J1912&amp;"|"&amp;D1912,cr_Key,0)),INDEX(rt_Rate,MATCH(D1912,rt_Code,0))))</f>
        <v/>
      </c>
      <c r="M1912" s="25" t="str">
        <f aca="false">IF(L1912="","",ROUND(N(E1912)*L1912,2))</f>
        <v/>
      </c>
      <c r="N1912" s="39" t="str">
        <f aca="false">IF(OR(A1912="",B1912=""),"",SUMIFS(tl_Hours,tl_StaffID,I1912,tl_Date,A1912))</f>
        <v/>
      </c>
      <c r="O1912" s="40" t="str">
        <f aca="false">IF(A1912&amp;B1912&amp;D1912="","",IF(OR(A1912="",B1912="",D1912="",E1912=""),"Incomplete",IF(K1912="Unknown","Unknown code",IF(AND(K1912="Yes",C1912=""),"Billable, needs client",IF(N1912&gt;MaxDayHours,"Over "&amp;MaxDayHours&amp;" hours that day","")))))</f>
        <v/>
      </c>
    </row>
    <row r="1913" customFormat="false" ht="15" hidden="false" customHeight="false" outlineLevel="0" collapsed="false">
      <c r="A1913" s="31"/>
      <c r="B1913" s="32"/>
      <c r="C1913" s="32"/>
      <c r="D1913" s="33"/>
      <c r="E1913" s="34"/>
      <c r="F1913" s="32"/>
      <c r="G1913" s="35" t="str">
        <f aca="false">IF(A1913="","",A1913+7-WEEKDAY(A1913))</f>
        <v/>
      </c>
      <c r="H1913" s="36" t="str">
        <f aca="false">IF(A1913="","",DATE(YEAR(A1913),MONTH(A1913),1))</f>
        <v/>
      </c>
      <c r="I1913" s="37" t="str">
        <f aca="false">IF(B1913="","",IFERROR(INDEX(st_ID,MATCH(B1913,st_Name,0)),"Unknown"))</f>
        <v/>
      </c>
      <c r="J1913" s="37" t="str">
        <f aca="false">IF(C1913="","",IFERROR(INDEX(cl_Code,MATCH(C1913,cl_Name,0)),"Unknown"))</f>
        <v/>
      </c>
      <c r="K1913" s="37" t="str">
        <f aca="false">IF(D1913="","",IFERROR(INDEX(rt_Billable,MATCH(D1913,rt_Code,0)),"Unknown"))</f>
        <v/>
      </c>
      <c r="L1913" s="38" t="str">
        <f aca="false">IF(K1913&lt;&gt;"Yes","",IFERROR(INDEX(cr_Rate,MATCH(J1913&amp;"|"&amp;D1913,cr_Key,0)),INDEX(rt_Rate,MATCH(D1913,rt_Code,0))))</f>
        <v/>
      </c>
      <c r="M1913" s="25" t="str">
        <f aca="false">IF(L1913="","",ROUND(N(E1913)*L1913,2))</f>
        <v/>
      </c>
      <c r="N1913" s="39" t="str">
        <f aca="false">IF(OR(A1913="",B1913=""),"",SUMIFS(tl_Hours,tl_StaffID,I1913,tl_Date,A1913))</f>
        <v/>
      </c>
      <c r="O1913" s="40" t="str">
        <f aca="false">IF(A1913&amp;B1913&amp;D1913="","",IF(OR(A1913="",B1913="",D1913="",E1913=""),"Incomplete",IF(K1913="Unknown","Unknown code",IF(AND(K1913="Yes",C1913=""),"Billable, needs client",IF(N1913&gt;MaxDayHours,"Over "&amp;MaxDayHours&amp;" hours that day","")))))</f>
        <v/>
      </c>
    </row>
    <row r="1914" customFormat="false" ht="15" hidden="false" customHeight="false" outlineLevel="0" collapsed="false">
      <c r="A1914" s="31"/>
      <c r="B1914" s="32"/>
      <c r="C1914" s="32"/>
      <c r="D1914" s="33"/>
      <c r="E1914" s="34"/>
      <c r="F1914" s="32"/>
      <c r="G1914" s="35" t="str">
        <f aca="false">IF(A1914="","",A1914+7-WEEKDAY(A1914))</f>
        <v/>
      </c>
      <c r="H1914" s="36" t="str">
        <f aca="false">IF(A1914="","",DATE(YEAR(A1914),MONTH(A1914),1))</f>
        <v/>
      </c>
      <c r="I1914" s="37" t="str">
        <f aca="false">IF(B1914="","",IFERROR(INDEX(st_ID,MATCH(B1914,st_Name,0)),"Unknown"))</f>
        <v/>
      </c>
      <c r="J1914" s="37" t="str">
        <f aca="false">IF(C1914="","",IFERROR(INDEX(cl_Code,MATCH(C1914,cl_Name,0)),"Unknown"))</f>
        <v/>
      </c>
      <c r="K1914" s="37" t="str">
        <f aca="false">IF(D1914="","",IFERROR(INDEX(rt_Billable,MATCH(D1914,rt_Code,0)),"Unknown"))</f>
        <v/>
      </c>
      <c r="L1914" s="38" t="str">
        <f aca="false">IF(K1914&lt;&gt;"Yes","",IFERROR(INDEX(cr_Rate,MATCH(J1914&amp;"|"&amp;D1914,cr_Key,0)),INDEX(rt_Rate,MATCH(D1914,rt_Code,0))))</f>
        <v/>
      </c>
      <c r="M1914" s="25" t="str">
        <f aca="false">IF(L1914="","",ROUND(N(E1914)*L1914,2))</f>
        <v/>
      </c>
      <c r="N1914" s="39" t="str">
        <f aca="false">IF(OR(A1914="",B1914=""),"",SUMIFS(tl_Hours,tl_StaffID,I1914,tl_Date,A1914))</f>
        <v/>
      </c>
      <c r="O1914" s="40" t="str">
        <f aca="false">IF(A1914&amp;B1914&amp;D1914="","",IF(OR(A1914="",B1914="",D1914="",E1914=""),"Incomplete",IF(K1914="Unknown","Unknown code",IF(AND(K1914="Yes",C1914=""),"Billable, needs client",IF(N1914&gt;MaxDayHours,"Over "&amp;MaxDayHours&amp;" hours that day","")))))</f>
        <v/>
      </c>
    </row>
    <row r="1915" customFormat="false" ht="15" hidden="false" customHeight="false" outlineLevel="0" collapsed="false">
      <c r="A1915" s="31"/>
      <c r="B1915" s="32"/>
      <c r="C1915" s="32"/>
      <c r="D1915" s="33"/>
      <c r="E1915" s="34"/>
      <c r="F1915" s="32"/>
      <c r="G1915" s="35" t="str">
        <f aca="false">IF(A1915="","",A1915+7-WEEKDAY(A1915))</f>
        <v/>
      </c>
      <c r="H1915" s="36" t="str">
        <f aca="false">IF(A1915="","",DATE(YEAR(A1915),MONTH(A1915),1))</f>
        <v/>
      </c>
      <c r="I1915" s="37" t="str">
        <f aca="false">IF(B1915="","",IFERROR(INDEX(st_ID,MATCH(B1915,st_Name,0)),"Unknown"))</f>
        <v/>
      </c>
      <c r="J1915" s="37" t="str">
        <f aca="false">IF(C1915="","",IFERROR(INDEX(cl_Code,MATCH(C1915,cl_Name,0)),"Unknown"))</f>
        <v/>
      </c>
      <c r="K1915" s="37" t="str">
        <f aca="false">IF(D1915="","",IFERROR(INDEX(rt_Billable,MATCH(D1915,rt_Code,0)),"Unknown"))</f>
        <v/>
      </c>
      <c r="L1915" s="38" t="str">
        <f aca="false">IF(K1915&lt;&gt;"Yes","",IFERROR(INDEX(cr_Rate,MATCH(J1915&amp;"|"&amp;D1915,cr_Key,0)),INDEX(rt_Rate,MATCH(D1915,rt_Code,0))))</f>
        <v/>
      </c>
      <c r="M1915" s="25" t="str">
        <f aca="false">IF(L1915="","",ROUND(N(E1915)*L1915,2))</f>
        <v/>
      </c>
      <c r="N1915" s="39" t="str">
        <f aca="false">IF(OR(A1915="",B1915=""),"",SUMIFS(tl_Hours,tl_StaffID,I1915,tl_Date,A1915))</f>
        <v/>
      </c>
      <c r="O1915" s="40" t="str">
        <f aca="false">IF(A1915&amp;B1915&amp;D1915="","",IF(OR(A1915="",B1915="",D1915="",E1915=""),"Incomplete",IF(K1915="Unknown","Unknown code",IF(AND(K1915="Yes",C1915=""),"Billable, needs client",IF(N1915&gt;MaxDayHours,"Over "&amp;MaxDayHours&amp;" hours that day","")))))</f>
        <v/>
      </c>
    </row>
    <row r="1916" customFormat="false" ht="15" hidden="false" customHeight="false" outlineLevel="0" collapsed="false">
      <c r="A1916" s="31"/>
      <c r="B1916" s="32"/>
      <c r="C1916" s="32"/>
      <c r="D1916" s="33"/>
      <c r="E1916" s="34"/>
      <c r="F1916" s="32"/>
      <c r="G1916" s="35" t="str">
        <f aca="false">IF(A1916="","",A1916+7-WEEKDAY(A1916))</f>
        <v/>
      </c>
      <c r="H1916" s="36" t="str">
        <f aca="false">IF(A1916="","",DATE(YEAR(A1916),MONTH(A1916),1))</f>
        <v/>
      </c>
      <c r="I1916" s="37" t="str">
        <f aca="false">IF(B1916="","",IFERROR(INDEX(st_ID,MATCH(B1916,st_Name,0)),"Unknown"))</f>
        <v/>
      </c>
      <c r="J1916" s="37" t="str">
        <f aca="false">IF(C1916="","",IFERROR(INDEX(cl_Code,MATCH(C1916,cl_Name,0)),"Unknown"))</f>
        <v/>
      </c>
      <c r="K1916" s="37" t="str">
        <f aca="false">IF(D1916="","",IFERROR(INDEX(rt_Billable,MATCH(D1916,rt_Code,0)),"Unknown"))</f>
        <v/>
      </c>
      <c r="L1916" s="38" t="str">
        <f aca="false">IF(K1916&lt;&gt;"Yes","",IFERROR(INDEX(cr_Rate,MATCH(J1916&amp;"|"&amp;D1916,cr_Key,0)),INDEX(rt_Rate,MATCH(D1916,rt_Code,0))))</f>
        <v/>
      </c>
      <c r="M1916" s="25" t="str">
        <f aca="false">IF(L1916="","",ROUND(N(E1916)*L1916,2))</f>
        <v/>
      </c>
      <c r="N1916" s="39" t="str">
        <f aca="false">IF(OR(A1916="",B1916=""),"",SUMIFS(tl_Hours,tl_StaffID,I1916,tl_Date,A1916))</f>
        <v/>
      </c>
      <c r="O1916" s="40" t="str">
        <f aca="false">IF(A1916&amp;B1916&amp;D1916="","",IF(OR(A1916="",B1916="",D1916="",E1916=""),"Incomplete",IF(K1916="Unknown","Unknown code",IF(AND(K1916="Yes",C1916=""),"Billable, needs client",IF(N1916&gt;MaxDayHours,"Over "&amp;MaxDayHours&amp;" hours that day","")))))</f>
        <v/>
      </c>
    </row>
    <row r="1917" customFormat="false" ht="15" hidden="false" customHeight="false" outlineLevel="0" collapsed="false">
      <c r="A1917" s="31"/>
      <c r="B1917" s="32"/>
      <c r="C1917" s="32"/>
      <c r="D1917" s="33"/>
      <c r="E1917" s="34"/>
      <c r="F1917" s="32"/>
      <c r="G1917" s="35" t="str">
        <f aca="false">IF(A1917="","",A1917+7-WEEKDAY(A1917))</f>
        <v/>
      </c>
      <c r="H1917" s="36" t="str">
        <f aca="false">IF(A1917="","",DATE(YEAR(A1917),MONTH(A1917),1))</f>
        <v/>
      </c>
      <c r="I1917" s="37" t="str">
        <f aca="false">IF(B1917="","",IFERROR(INDEX(st_ID,MATCH(B1917,st_Name,0)),"Unknown"))</f>
        <v/>
      </c>
      <c r="J1917" s="37" t="str">
        <f aca="false">IF(C1917="","",IFERROR(INDEX(cl_Code,MATCH(C1917,cl_Name,0)),"Unknown"))</f>
        <v/>
      </c>
      <c r="K1917" s="37" t="str">
        <f aca="false">IF(D1917="","",IFERROR(INDEX(rt_Billable,MATCH(D1917,rt_Code,0)),"Unknown"))</f>
        <v/>
      </c>
      <c r="L1917" s="38" t="str">
        <f aca="false">IF(K1917&lt;&gt;"Yes","",IFERROR(INDEX(cr_Rate,MATCH(J1917&amp;"|"&amp;D1917,cr_Key,0)),INDEX(rt_Rate,MATCH(D1917,rt_Code,0))))</f>
        <v/>
      </c>
      <c r="M1917" s="25" t="str">
        <f aca="false">IF(L1917="","",ROUND(N(E1917)*L1917,2))</f>
        <v/>
      </c>
      <c r="N1917" s="39" t="str">
        <f aca="false">IF(OR(A1917="",B1917=""),"",SUMIFS(tl_Hours,tl_StaffID,I1917,tl_Date,A1917))</f>
        <v/>
      </c>
      <c r="O1917" s="40" t="str">
        <f aca="false">IF(A1917&amp;B1917&amp;D1917="","",IF(OR(A1917="",B1917="",D1917="",E1917=""),"Incomplete",IF(K1917="Unknown","Unknown code",IF(AND(K1917="Yes",C1917=""),"Billable, needs client",IF(N1917&gt;MaxDayHours,"Over "&amp;MaxDayHours&amp;" hours that day","")))))</f>
        <v/>
      </c>
    </row>
    <row r="1918" customFormat="false" ht="15" hidden="false" customHeight="false" outlineLevel="0" collapsed="false">
      <c r="A1918" s="31"/>
      <c r="B1918" s="32"/>
      <c r="C1918" s="32"/>
      <c r="D1918" s="33"/>
      <c r="E1918" s="34"/>
      <c r="F1918" s="32"/>
      <c r="G1918" s="35" t="str">
        <f aca="false">IF(A1918="","",A1918+7-WEEKDAY(A1918))</f>
        <v/>
      </c>
      <c r="H1918" s="36" t="str">
        <f aca="false">IF(A1918="","",DATE(YEAR(A1918),MONTH(A1918),1))</f>
        <v/>
      </c>
      <c r="I1918" s="37" t="str">
        <f aca="false">IF(B1918="","",IFERROR(INDEX(st_ID,MATCH(B1918,st_Name,0)),"Unknown"))</f>
        <v/>
      </c>
      <c r="J1918" s="37" t="str">
        <f aca="false">IF(C1918="","",IFERROR(INDEX(cl_Code,MATCH(C1918,cl_Name,0)),"Unknown"))</f>
        <v/>
      </c>
      <c r="K1918" s="37" t="str">
        <f aca="false">IF(D1918="","",IFERROR(INDEX(rt_Billable,MATCH(D1918,rt_Code,0)),"Unknown"))</f>
        <v/>
      </c>
      <c r="L1918" s="38" t="str">
        <f aca="false">IF(K1918&lt;&gt;"Yes","",IFERROR(INDEX(cr_Rate,MATCH(J1918&amp;"|"&amp;D1918,cr_Key,0)),INDEX(rt_Rate,MATCH(D1918,rt_Code,0))))</f>
        <v/>
      </c>
      <c r="M1918" s="25" t="str">
        <f aca="false">IF(L1918="","",ROUND(N(E1918)*L1918,2))</f>
        <v/>
      </c>
      <c r="N1918" s="39" t="str">
        <f aca="false">IF(OR(A1918="",B1918=""),"",SUMIFS(tl_Hours,tl_StaffID,I1918,tl_Date,A1918))</f>
        <v/>
      </c>
      <c r="O1918" s="40" t="str">
        <f aca="false">IF(A1918&amp;B1918&amp;D1918="","",IF(OR(A1918="",B1918="",D1918="",E1918=""),"Incomplete",IF(K1918="Unknown","Unknown code",IF(AND(K1918="Yes",C1918=""),"Billable, needs client",IF(N1918&gt;MaxDayHours,"Over "&amp;MaxDayHours&amp;" hours that day","")))))</f>
        <v/>
      </c>
    </row>
    <row r="1919" customFormat="false" ht="15" hidden="false" customHeight="false" outlineLevel="0" collapsed="false">
      <c r="A1919" s="31"/>
      <c r="B1919" s="32"/>
      <c r="C1919" s="32"/>
      <c r="D1919" s="33"/>
      <c r="E1919" s="34"/>
      <c r="F1919" s="32"/>
      <c r="G1919" s="35" t="str">
        <f aca="false">IF(A1919="","",A1919+7-WEEKDAY(A1919))</f>
        <v/>
      </c>
      <c r="H1919" s="36" t="str">
        <f aca="false">IF(A1919="","",DATE(YEAR(A1919),MONTH(A1919),1))</f>
        <v/>
      </c>
      <c r="I1919" s="37" t="str">
        <f aca="false">IF(B1919="","",IFERROR(INDEX(st_ID,MATCH(B1919,st_Name,0)),"Unknown"))</f>
        <v/>
      </c>
      <c r="J1919" s="37" t="str">
        <f aca="false">IF(C1919="","",IFERROR(INDEX(cl_Code,MATCH(C1919,cl_Name,0)),"Unknown"))</f>
        <v/>
      </c>
      <c r="K1919" s="37" t="str">
        <f aca="false">IF(D1919="","",IFERROR(INDEX(rt_Billable,MATCH(D1919,rt_Code,0)),"Unknown"))</f>
        <v/>
      </c>
      <c r="L1919" s="38" t="str">
        <f aca="false">IF(K1919&lt;&gt;"Yes","",IFERROR(INDEX(cr_Rate,MATCH(J1919&amp;"|"&amp;D1919,cr_Key,0)),INDEX(rt_Rate,MATCH(D1919,rt_Code,0))))</f>
        <v/>
      </c>
      <c r="M1919" s="25" t="str">
        <f aca="false">IF(L1919="","",ROUND(N(E1919)*L1919,2))</f>
        <v/>
      </c>
      <c r="N1919" s="39" t="str">
        <f aca="false">IF(OR(A1919="",B1919=""),"",SUMIFS(tl_Hours,tl_StaffID,I1919,tl_Date,A1919))</f>
        <v/>
      </c>
      <c r="O1919" s="40" t="str">
        <f aca="false">IF(A1919&amp;B1919&amp;D1919="","",IF(OR(A1919="",B1919="",D1919="",E1919=""),"Incomplete",IF(K1919="Unknown","Unknown code",IF(AND(K1919="Yes",C1919=""),"Billable, needs client",IF(N1919&gt;MaxDayHours,"Over "&amp;MaxDayHours&amp;" hours that day","")))))</f>
        <v/>
      </c>
    </row>
    <row r="1920" customFormat="false" ht="15" hidden="false" customHeight="false" outlineLevel="0" collapsed="false">
      <c r="A1920" s="31"/>
      <c r="B1920" s="32"/>
      <c r="C1920" s="32"/>
      <c r="D1920" s="33"/>
      <c r="E1920" s="34"/>
      <c r="F1920" s="32"/>
      <c r="G1920" s="35" t="str">
        <f aca="false">IF(A1920="","",A1920+7-WEEKDAY(A1920))</f>
        <v/>
      </c>
      <c r="H1920" s="36" t="str">
        <f aca="false">IF(A1920="","",DATE(YEAR(A1920),MONTH(A1920),1))</f>
        <v/>
      </c>
      <c r="I1920" s="37" t="str">
        <f aca="false">IF(B1920="","",IFERROR(INDEX(st_ID,MATCH(B1920,st_Name,0)),"Unknown"))</f>
        <v/>
      </c>
      <c r="J1920" s="37" t="str">
        <f aca="false">IF(C1920="","",IFERROR(INDEX(cl_Code,MATCH(C1920,cl_Name,0)),"Unknown"))</f>
        <v/>
      </c>
      <c r="K1920" s="37" t="str">
        <f aca="false">IF(D1920="","",IFERROR(INDEX(rt_Billable,MATCH(D1920,rt_Code,0)),"Unknown"))</f>
        <v/>
      </c>
      <c r="L1920" s="38" t="str">
        <f aca="false">IF(K1920&lt;&gt;"Yes","",IFERROR(INDEX(cr_Rate,MATCH(J1920&amp;"|"&amp;D1920,cr_Key,0)),INDEX(rt_Rate,MATCH(D1920,rt_Code,0))))</f>
        <v/>
      </c>
      <c r="M1920" s="25" t="str">
        <f aca="false">IF(L1920="","",ROUND(N(E1920)*L1920,2))</f>
        <v/>
      </c>
      <c r="N1920" s="39" t="str">
        <f aca="false">IF(OR(A1920="",B1920=""),"",SUMIFS(tl_Hours,tl_StaffID,I1920,tl_Date,A1920))</f>
        <v/>
      </c>
      <c r="O1920" s="40" t="str">
        <f aca="false">IF(A1920&amp;B1920&amp;D1920="","",IF(OR(A1920="",B1920="",D1920="",E1920=""),"Incomplete",IF(K1920="Unknown","Unknown code",IF(AND(K1920="Yes",C1920=""),"Billable, needs client",IF(N1920&gt;MaxDayHours,"Over "&amp;MaxDayHours&amp;" hours that day","")))))</f>
        <v/>
      </c>
    </row>
    <row r="1921" customFormat="false" ht="15" hidden="false" customHeight="false" outlineLevel="0" collapsed="false">
      <c r="A1921" s="31"/>
      <c r="B1921" s="32"/>
      <c r="C1921" s="32"/>
      <c r="D1921" s="33"/>
      <c r="E1921" s="34"/>
      <c r="F1921" s="32"/>
      <c r="G1921" s="35" t="str">
        <f aca="false">IF(A1921="","",A1921+7-WEEKDAY(A1921))</f>
        <v/>
      </c>
      <c r="H1921" s="36" t="str">
        <f aca="false">IF(A1921="","",DATE(YEAR(A1921),MONTH(A1921),1))</f>
        <v/>
      </c>
      <c r="I1921" s="37" t="str">
        <f aca="false">IF(B1921="","",IFERROR(INDEX(st_ID,MATCH(B1921,st_Name,0)),"Unknown"))</f>
        <v/>
      </c>
      <c r="J1921" s="37" t="str">
        <f aca="false">IF(C1921="","",IFERROR(INDEX(cl_Code,MATCH(C1921,cl_Name,0)),"Unknown"))</f>
        <v/>
      </c>
      <c r="K1921" s="37" t="str">
        <f aca="false">IF(D1921="","",IFERROR(INDEX(rt_Billable,MATCH(D1921,rt_Code,0)),"Unknown"))</f>
        <v/>
      </c>
      <c r="L1921" s="38" t="str">
        <f aca="false">IF(K1921&lt;&gt;"Yes","",IFERROR(INDEX(cr_Rate,MATCH(J1921&amp;"|"&amp;D1921,cr_Key,0)),INDEX(rt_Rate,MATCH(D1921,rt_Code,0))))</f>
        <v/>
      </c>
      <c r="M1921" s="25" t="str">
        <f aca="false">IF(L1921="","",ROUND(N(E1921)*L1921,2))</f>
        <v/>
      </c>
      <c r="N1921" s="39" t="str">
        <f aca="false">IF(OR(A1921="",B1921=""),"",SUMIFS(tl_Hours,tl_StaffID,I1921,tl_Date,A1921))</f>
        <v/>
      </c>
      <c r="O1921" s="40" t="str">
        <f aca="false">IF(A1921&amp;B1921&amp;D1921="","",IF(OR(A1921="",B1921="",D1921="",E1921=""),"Incomplete",IF(K1921="Unknown","Unknown code",IF(AND(K1921="Yes",C1921=""),"Billable, needs client",IF(N1921&gt;MaxDayHours,"Over "&amp;MaxDayHours&amp;" hours that day","")))))</f>
        <v/>
      </c>
    </row>
    <row r="1922" customFormat="false" ht="15" hidden="false" customHeight="false" outlineLevel="0" collapsed="false">
      <c r="A1922" s="31"/>
      <c r="B1922" s="32"/>
      <c r="C1922" s="32"/>
      <c r="D1922" s="33"/>
      <c r="E1922" s="34"/>
      <c r="F1922" s="32"/>
      <c r="G1922" s="35" t="str">
        <f aca="false">IF(A1922="","",A1922+7-WEEKDAY(A1922))</f>
        <v/>
      </c>
      <c r="H1922" s="36" t="str">
        <f aca="false">IF(A1922="","",DATE(YEAR(A1922),MONTH(A1922),1))</f>
        <v/>
      </c>
      <c r="I1922" s="37" t="str">
        <f aca="false">IF(B1922="","",IFERROR(INDEX(st_ID,MATCH(B1922,st_Name,0)),"Unknown"))</f>
        <v/>
      </c>
      <c r="J1922" s="37" t="str">
        <f aca="false">IF(C1922="","",IFERROR(INDEX(cl_Code,MATCH(C1922,cl_Name,0)),"Unknown"))</f>
        <v/>
      </c>
      <c r="K1922" s="37" t="str">
        <f aca="false">IF(D1922="","",IFERROR(INDEX(rt_Billable,MATCH(D1922,rt_Code,0)),"Unknown"))</f>
        <v/>
      </c>
      <c r="L1922" s="38" t="str">
        <f aca="false">IF(K1922&lt;&gt;"Yes","",IFERROR(INDEX(cr_Rate,MATCH(J1922&amp;"|"&amp;D1922,cr_Key,0)),INDEX(rt_Rate,MATCH(D1922,rt_Code,0))))</f>
        <v/>
      </c>
      <c r="M1922" s="25" t="str">
        <f aca="false">IF(L1922="","",ROUND(N(E1922)*L1922,2))</f>
        <v/>
      </c>
      <c r="N1922" s="39" t="str">
        <f aca="false">IF(OR(A1922="",B1922=""),"",SUMIFS(tl_Hours,tl_StaffID,I1922,tl_Date,A1922))</f>
        <v/>
      </c>
      <c r="O1922" s="40" t="str">
        <f aca="false">IF(A1922&amp;B1922&amp;D1922="","",IF(OR(A1922="",B1922="",D1922="",E1922=""),"Incomplete",IF(K1922="Unknown","Unknown code",IF(AND(K1922="Yes",C1922=""),"Billable, needs client",IF(N1922&gt;MaxDayHours,"Over "&amp;MaxDayHours&amp;" hours that day","")))))</f>
        <v/>
      </c>
    </row>
    <row r="1923" customFormat="false" ht="15" hidden="false" customHeight="false" outlineLevel="0" collapsed="false">
      <c r="A1923" s="31"/>
      <c r="B1923" s="32"/>
      <c r="C1923" s="32"/>
      <c r="D1923" s="33"/>
      <c r="E1923" s="34"/>
      <c r="F1923" s="32"/>
      <c r="G1923" s="35" t="str">
        <f aca="false">IF(A1923="","",A1923+7-WEEKDAY(A1923))</f>
        <v/>
      </c>
      <c r="H1923" s="36" t="str">
        <f aca="false">IF(A1923="","",DATE(YEAR(A1923),MONTH(A1923),1))</f>
        <v/>
      </c>
      <c r="I1923" s="37" t="str">
        <f aca="false">IF(B1923="","",IFERROR(INDEX(st_ID,MATCH(B1923,st_Name,0)),"Unknown"))</f>
        <v/>
      </c>
      <c r="J1923" s="37" t="str">
        <f aca="false">IF(C1923="","",IFERROR(INDEX(cl_Code,MATCH(C1923,cl_Name,0)),"Unknown"))</f>
        <v/>
      </c>
      <c r="K1923" s="37" t="str">
        <f aca="false">IF(D1923="","",IFERROR(INDEX(rt_Billable,MATCH(D1923,rt_Code,0)),"Unknown"))</f>
        <v/>
      </c>
      <c r="L1923" s="38" t="str">
        <f aca="false">IF(K1923&lt;&gt;"Yes","",IFERROR(INDEX(cr_Rate,MATCH(J1923&amp;"|"&amp;D1923,cr_Key,0)),INDEX(rt_Rate,MATCH(D1923,rt_Code,0))))</f>
        <v/>
      </c>
      <c r="M1923" s="25" t="str">
        <f aca="false">IF(L1923="","",ROUND(N(E1923)*L1923,2))</f>
        <v/>
      </c>
      <c r="N1923" s="39" t="str">
        <f aca="false">IF(OR(A1923="",B1923=""),"",SUMIFS(tl_Hours,tl_StaffID,I1923,tl_Date,A1923))</f>
        <v/>
      </c>
      <c r="O1923" s="40" t="str">
        <f aca="false">IF(A1923&amp;B1923&amp;D1923="","",IF(OR(A1923="",B1923="",D1923="",E1923=""),"Incomplete",IF(K1923="Unknown","Unknown code",IF(AND(K1923="Yes",C1923=""),"Billable, needs client",IF(N1923&gt;MaxDayHours,"Over "&amp;MaxDayHours&amp;" hours that day","")))))</f>
        <v/>
      </c>
    </row>
    <row r="1924" customFormat="false" ht="15" hidden="false" customHeight="false" outlineLevel="0" collapsed="false">
      <c r="A1924" s="31"/>
      <c r="B1924" s="32"/>
      <c r="C1924" s="32"/>
      <c r="D1924" s="33"/>
      <c r="E1924" s="34"/>
      <c r="F1924" s="32"/>
      <c r="G1924" s="35" t="str">
        <f aca="false">IF(A1924="","",A1924+7-WEEKDAY(A1924))</f>
        <v/>
      </c>
      <c r="H1924" s="36" t="str">
        <f aca="false">IF(A1924="","",DATE(YEAR(A1924),MONTH(A1924),1))</f>
        <v/>
      </c>
      <c r="I1924" s="37" t="str">
        <f aca="false">IF(B1924="","",IFERROR(INDEX(st_ID,MATCH(B1924,st_Name,0)),"Unknown"))</f>
        <v/>
      </c>
      <c r="J1924" s="37" t="str">
        <f aca="false">IF(C1924="","",IFERROR(INDEX(cl_Code,MATCH(C1924,cl_Name,0)),"Unknown"))</f>
        <v/>
      </c>
      <c r="K1924" s="37" t="str">
        <f aca="false">IF(D1924="","",IFERROR(INDEX(rt_Billable,MATCH(D1924,rt_Code,0)),"Unknown"))</f>
        <v/>
      </c>
      <c r="L1924" s="38" t="str">
        <f aca="false">IF(K1924&lt;&gt;"Yes","",IFERROR(INDEX(cr_Rate,MATCH(J1924&amp;"|"&amp;D1924,cr_Key,0)),INDEX(rt_Rate,MATCH(D1924,rt_Code,0))))</f>
        <v/>
      </c>
      <c r="M1924" s="25" t="str">
        <f aca="false">IF(L1924="","",ROUND(N(E1924)*L1924,2))</f>
        <v/>
      </c>
      <c r="N1924" s="39" t="str">
        <f aca="false">IF(OR(A1924="",B1924=""),"",SUMIFS(tl_Hours,tl_StaffID,I1924,tl_Date,A1924))</f>
        <v/>
      </c>
      <c r="O1924" s="40" t="str">
        <f aca="false">IF(A1924&amp;B1924&amp;D1924="","",IF(OR(A1924="",B1924="",D1924="",E1924=""),"Incomplete",IF(K1924="Unknown","Unknown code",IF(AND(K1924="Yes",C1924=""),"Billable, needs client",IF(N1924&gt;MaxDayHours,"Over "&amp;MaxDayHours&amp;" hours that day","")))))</f>
        <v/>
      </c>
    </row>
    <row r="1925" customFormat="false" ht="15" hidden="false" customHeight="false" outlineLevel="0" collapsed="false">
      <c r="A1925" s="31"/>
      <c r="B1925" s="32"/>
      <c r="C1925" s="32"/>
      <c r="D1925" s="33"/>
      <c r="E1925" s="34"/>
      <c r="F1925" s="32"/>
      <c r="G1925" s="35" t="str">
        <f aca="false">IF(A1925="","",A1925+7-WEEKDAY(A1925))</f>
        <v/>
      </c>
      <c r="H1925" s="36" t="str">
        <f aca="false">IF(A1925="","",DATE(YEAR(A1925),MONTH(A1925),1))</f>
        <v/>
      </c>
      <c r="I1925" s="37" t="str">
        <f aca="false">IF(B1925="","",IFERROR(INDEX(st_ID,MATCH(B1925,st_Name,0)),"Unknown"))</f>
        <v/>
      </c>
      <c r="J1925" s="37" t="str">
        <f aca="false">IF(C1925="","",IFERROR(INDEX(cl_Code,MATCH(C1925,cl_Name,0)),"Unknown"))</f>
        <v/>
      </c>
      <c r="K1925" s="37" t="str">
        <f aca="false">IF(D1925="","",IFERROR(INDEX(rt_Billable,MATCH(D1925,rt_Code,0)),"Unknown"))</f>
        <v/>
      </c>
      <c r="L1925" s="38" t="str">
        <f aca="false">IF(K1925&lt;&gt;"Yes","",IFERROR(INDEX(cr_Rate,MATCH(J1925&amp;"|"&amp;D1925,cr_Key,0)),INDEX(rt_Rate,MATCH(D1925,rt_Code,0))))</f>
        <v/>
      </c>
      <c r="M1925" s="25" t="str">
        <f aca="false">IF(L1925="","",ROUND(N(E1925)*L1925,2))</f>
        <v/>
      </c>
      <c r="N1925" s="39" t="str">
        <f aca="false">IF(OR(A1925="",B1925=""),"",SUMIFS(tl_Hours,tl_StaffID,I1925,tl_Date,A1925))</f>
        <v/>
      </c>
      <c r="O1925" s="40" t="str">
        <f aca="false">IF(A1925&amp;B1925&amp;D1925="","",IF(OR(A1925="",B1925="",D1925="",E1925=""),"Incomplete",IF(K1925="Unknown","Unknown code",IF(AND(K1925="Yes",C1925=""),"Billable, needs client",IF(N1925&gt;MaxDayHours,"Over "&amp;MaxDayHours&amp;" hours that day","")))))</f>
        <v/>
      </c>
    </row>
    <row r="1926" customFormat="false" ht="15" hidden="false" customHeight="false" outlineLevel="0" collapsed="false">
      <c r="A1926" s="31"/>
      <c r="B1926" s="32"/>
      <c r="C1926" s="32"/>
      <c r="D1926" s="33"/>
      <c r="E1926" s="34"/>
      <c r="F1926" s="32"/>
      <c r="G1926" s="35" t="str">
        <f aca="false">IF(A1926="","",A1926+7-WEEKDAY(A1926))</f>
        <v/>
      </c>
      <c r="H1926" s="36" t="str">
        <f aca="false">IF(A1926="","",DATE(YEAR(A1926),MONTH(A1926),1))</f>
        <v/>
      </c>
      <c r="I1926" s="37" t="str">
        <f aca="false">IF(B1926="","",IFERROR(INDEX(st_ID,MATCH(B1926,st_Name,0)),"Unknown"))</f>
        <v/>
      </c>
      <c r="J1926" s="37" t="str">
        <f aca="false">IF(C1926="","",IFERROR(INDEX(cl_Code,MATCH(C1926,cl_Name,0)),"Unknown"))</f>
        <v/>
      </c>
      <c r="K1926" s="37" t="str">
        <f aca="false">IF(D1926="","",IFERROR(INDEX(rt_Billable,MATCH(D1926,rt_Code,0)),"Unknown"))</f>
        <v/>
      </c>
      <c r="L1926" s="38" t="str">
        <f aca="false">IF(K1926&lt;&gt;"Yes","",IFERROR(INDEX(cr_Rate,MATCH(J1926&amp;"|"&amp;D1926,cr_Key,0)),INDEX(rt_Rate,MATCH(D1926,rt_Code,0))))</f>
        <v/>
      </c>
      <c r="M1926" s="25" t="str">
        <f aca="false">IF(L1926="","",ROUND(N(E1926)*L1926,2))</f>
        <v/>
      </c>
      <c r="N1926" s="39" t="str">
        <f aca="false">IF(OR(A1926="",B1926=""),"",SUMIFS(tl_Hours,tl_StaffID,I1926,tl_Date,A1926))</f>
        <v/>
      </c>
      <c r="O1926" s="40" t="str">
        <f aca="false">IF(A1926&amp;B1926&amp;D1926="","",IF(OR(A1926="",B1926="",D1926="",E1926=""),"Incomplete",IF(K1926="Unknown","Unknown code",IF(AND(K1926="Yes",C1926=""),"Billable, needs client",IF(N1926&gt;MaxDayHours,"Over "&amp;MaxDayHours&amp;" hours that day","")))))</f>
        <v/>
      </c>
    </row>
    <row r="1927" customFormat="false" ht="15" hidden="false" customHeight="false" outlineLevel="0" collapsed="false">
      <c r="A1927" s="31"/>
      <c r="B1927" s="32"/>
      <c r="C1927" s="32"/>
      <c r="D1927" s="33"/>
      <c r="E1927" s="34"/>
      <c r="F1927" s="32"/>
      <c r="G1927" s="35" t="str">
        <f aca="false">IF(A1927="","",A1927+7-WEEKDAY(A1927))</f>
        <v/>
      </c>
      <c r="H1927" s="36" t="str">
        <f aca="false">IF(A1927="","",DATE(YEAR(A1927),MONTH(A1927),1))</f>
        <v/>
      </c>
      <c r="I1927" s="37" t="str">
        <f aca="false">IF(B1927="","",IFERROR(INDEX(st_ID,MATCH(B1927,st_Name,0)),"Unknown"))</f>
        <v/>
      </c>
      <c r="J1927" s="37" t="str">
        <f aca="false">IF(C1927="","",IFERROR(INDEX(cl_Code,MATCH(C1927,cl_Name,0)),"Unknown"))</f>
        <v/>
      </c>
      <c r="K1927" s="37" t="str">
        <f aca="false">IF(D1927="","",IFERROR(INDEX(rt_Billable,MATCH(D1927,rt_Code,0)),"Unknown"))</f>
        <v/>
      </c>
      <c r="L1927" s="38" t="str">
        <f aca="false">IF(K1927&lt;&gt;"Yes","",IFERROR(INDEX(cr_Rate,MATCH(J1927&amp;"|"&amp;D1927,cr_Key,0)),INDEX(rt_Rate,MATCH(D1927,rt_Code,0))))</f>
        <v/>
      </c>
      <c r="M1927" s="25" t="str">
        <f aca="false">IF(L1927="","",ROUND(N(E1927)*L1927,2))</f>
        <v/>
      </c>
      <c r="N1927" s="39" t="str">
        <f aca="false">IF(OR(A1927="",B1927=""),"",SUMIFS(tl_Hours,tl_StaffID,I1927,tl_Date,A1927))</f>
        <v/>
      </c>
      <c r="O1927" s="40" t="str">
        <f aca="false">IF(A1927&amp;B1927&amp;D1927="","",IF(OR(A1927="",B1927="",D1927="",E1927=""),"Incomplete",IF(K1927="Unknown","Unknown code",IF(AND(K1927="Yes",C1927=""),"Billable, needs client",IF(N1927&gt;MaxDayHours,"Over "&amp;MaxDayHours&amp;" hours that day","")))))</f>
        <v/>
      </c>
    </row>
    <row r="1928" customFormat="false" ht="15" hidden="false" customHeight="false" outlineLevel="0" collapsed="false">
      <c r="A1928" s="31"/>
      <c r="B1928" s="32"/>
      <c r="C1928" s="32"/>
      <c r="D1928" s="33"/>
      <c r="E1928" s="34"/>
      <c r="F1928" s="32"/>
      <c r="G1928" s="35" t="str">
        <f aca="false">IF(A1928="","",A1928+7-WEEKDAY(A1928))</f>
        <v/>
      </c>
      <c r="H1928" s="36" t="str">
        <f aca="false">IF(A1928="","",DATE(YEAR(A1928),MONTH(A1928),1))</f>
        <v/>
      </c>
      <c r="I1928" s="37" t="str">
        <f aca="false">IF(B1928="","",IFERROR(INDEX(st_ID,MATCH(B1928,st_Name,0)),"Unknown"))</f>
        <v/>
      </c>
      <c r="J1928" s="37" t="str">
        <f aca="false">IF(C1928="","",IFERROR(INDEX(cl_Code,MATCH(C1928,cl_Name,0)),"Unknown"))</f>
        <v/>
      </c>
      <c r="K1928" s="37" t="str">
        <f aca="false">IF(D1928="","",IFERROR(INDEX(rt_Billable,MATCH(D1928,rt_Code,0)),"Unknown"))</f>
        <v/>
      </c>
      <c r="L1928" s="38" t="str">
        <f aca="false">IF(K1928&lt;&gt;"Yes","",IFERROR(INDEX(cr_Rate,MATCH(J1928&amp;"|"&amp;D1928,cr_Key,0)),INDEX(rt_Rate,MATCH(D1928,rt_Code,0))))</f>
        <v/>
      </c>
      <c r="M1928" s="25" t="str">
        <f aca="false">IF(L1928="","",ROUND(N(E1928)*L1928,2))</f>
        <v/>
      </c>
      <c r="N1928" s="39" t="str">
        <f aca="false">IF(OR(A1928="",B1928=""),"",SUMIFS(tl_Hours,tl_StaffID,I1928,tl_Date,A1928))</f>
        <v/>
      </c>
      <c r="O1928" s="40" t="str">
        <f aca="false">IF(A1928&amp;B1928&amp;D1928="","",IF(OR(A1928="",B1928="",D1928="",E1928=""),"Incomplete",IF(K1928="Unknown","Unknown code",IF(AND(K1928="Yes",C1928=""),"Billable, needs client",IF(N1928&gt;MaxDayHours,"Over "&amp;MaxDayHours&amp;" hours that day","")))))</f>
        <v/>
      </c>
    </row>
    <row r="1929" customFormat="false" ht="15" hidden="false" customHeight="false" outlineLevel="0" collapsed="false">
      <c r="A1929" s="31"/>
      <c r="B1929" s="32"/>
      <c r="C1929" s="32"/>
      <c r="D1929" s="33"/>
      <c r="E1929" s="34"/>
      <c r="F1929" s="32"/>
      <c r="G1929" s="35" t="str">
        <f aca="false">IF(A1929="","",A1929+7-WEEKDAY(A1929))</f>
        <v/>
      </c>
      <c r="H1929" s="36" t="str">
        <f aca="false">IF(A1929="","",DATE(YEAR(A1929),MONTH(A1929),1))</f>
        <v/>
      </c>
      <c r="I1929" s="37" t="str">
        <f aca="false">IF(B1929="","",IFERROR(INDEX(st_ID,MATCH(B1929,st_Name,0)),"Unknown"))</f>
        <v/>
      </c>
      <c r="J1929" s="37" t="str">
        <f aca="false">IF(C1929="","",IFERROR(INDEX(cl_Code,MATCH(C1929,cl_Name,0)),"Unknown"))</f>
        <v/>
      </c>
      <c r="K1929" s="37" t="str">
        <f aca="false">IF(D1929="","",IFERROR(INDEX(rt_Billable,MATCH(D1929,rt_Code,0)),"Unknown"))</f>
        <v/>
      </c>
      <c r="L1929" s="38" t="str">
        <f aca="false">IF(K1929&lt;&gt;"Yes","",IFERROR(INDEX(cr_Rate,MATCH(J1929&amp;"|"&amp;D1929,cr_Key,0)),INDEX(rt_Rate,MATCH(D1929,rt_Code,0))))</f>
        <v/>
      </c>
      <c r="M1929" s="25" t="str">
        <f aca="false">IF(L1929="","",ROUND(N(E1929)*L1929,2))</f>
        <v/>
      </c>
      <c r="N1929" s="39" t="str">
        <f aca="false">IF(OR(A1929="",B1929=""),"",SUMIFS(tl_Hours,tl_StaffID,I1929,tl_Date,A1929))</f>
        <v/>
      </c>
      <c r="O1929" s="40" t="str">
        <f aca="false">IF(A1929&amp;B1929&amp;D1929="","",IF(OR(A1929="",B1929="",D1929="",E1929=""),"Incomplete",IF(K1929="Unknown","Unknown code",IF(AND(K1929="Yes",C1929=""),"Billable, needs client",IF(N1929&gt;MaxDayHours,"Over "&amp;MaxDayHours&amp;" hours that day","")))))</f>
        <v/>
      </c>
    </row>
    <row r="1930" customFormat="false" ht="15" hidden="false" customHeight="false" outlineLevel="0" collapsed="false">
      <c r="A1930" s="31"/>
      <c r="B1930" s="32"/>
      <c r="C1930" s="32"/>
      <c r="D1930" s="33"/>
      <c r="E1930" s="34"/>
      <c r="F1930" s="32"/>
      <c r="G1930" s="35" t="str">
        <f aca="false">IF(A1930="","",A1930+7-WEEKDAY(A1930))</f>
        <v/>
      </c>
      <c r="H1930" s="36" t="str">
        <f aca="false">IF(A1930="","",DATE(YEAR(A1930),MONTH(A1930),1))</f>
        <v/>
      </c>
      <c r="I1930" s="37" t="str">
        <f aca="false">IF(B1930="","",IFERROR(INDEX(st_ID,MATCH(B1930,st_Name,0)),"Unknown"))</f>
        <v/>
      </c>
      <c r="J1930" s="37" t="str">
        <f aca="false">IF(C1930="","",IFERROR(INDEX(cl_Code,MATCH(C1930,cl_Name,0)),"Unknown"))</f>
        <v/>
      </c>
      <c r="K1930" s="37" t="str">
        <f aca="false">IF(D1930="","",IFERROR(INDEX(rt_Billable,MATCH(D1930,rt_Code,0)),"Unknown"))</f>
        <v/>
      </c>
      <c r="L1930" s="38" t="str">
        <f aca="false">IF(K1930&lt;&gt;"Yes","",IFERROR(INDEX(cr_Rate,MATCH(J1930&amp;"|"&amp;D1930,cr_Key,0)),INDEX(rt_Rate,MATCH(D1930,rt_Code,0))))</f>
        <v/>
      </c>
      <c r="M1930" s="25" t="str">
        <f aca="false">IF(L1930="","",ROUND(N(E1930)*L1930,2))</f>
        <v/>
      </c>
      <c r="N1930" s="39" t="str">
        <f aca="false">IF(OR(A1930="",B1930=""),"",SUMIFS(tl_Hours,tl_StaffID,I1930,tl_Date,A1930))</f>
        <v/>
      </c>
      <c r="O1930" s="40" t="str">
        <f aca="false">IF(A1930&amp;B1930&amp;D1930="","",IF(OR(A1930="",B1930="",D1930="",E1930=""),"Incomplete",IF(K1930="Unknown","Unknown code",IF(AND(K1930="Yes",C1930=""),"Billable, needs client",IF(N1930&gt;MaxDayHours,"Over "&amp;MaxDayHours&amp;" hours that day","")))))</f>
        <v/>
      </c>
    </row>
    <row r="1931" customFormat="false" ht="15" hidden="false" customHeight="false" outlineLevel="0" collapsed="false">
      <c r="A1931" s="31"/>
      <c r="B1931" s="32"/>
      <c r="C1931" s="32"/>
      <c r="D1931" s="33"/>
      <c r="E1931" s="34"/>
      <c r="F1931" s="32"/>
      <c r="G1931" s="35" t="str">
        <f aca="false">IF(A1931="","",A1931+7-WEEKDAY(A1931))</f>
        <v/>
      </c>
      <c r="H1931" s="36" t="str">
        <f aca="false">IF(A1931="","",DATE(YEAR(A1931),MONTH(A1931),1))</f>
        <v/>
      </c>
      <c r="I1931" s="37" t="str">
        <f aca="false">IF(B1931="","",IFERROR(INDEX(st_ID,MATCH(B1931,st_Name,0)),"Unknown"))</f>
        <v/>
      </c>
      <c r="J1931" s="37" t="str">
        <f aca="false">IF(C1931="","",IFERROR(INDEX(cl_Code,MATCH(C1931,cl_Name,0)),"Unknown"))</f>
        <v/>
      </c>
      <c r="K1931" s="37" t="str">
        <f aca="false">IF(D1931="","",IFERROR(INDEX(rt_Billable,MATCH(D1931,rt_Code,0)),"Unknown"))</f>
        <v/>
      </c>
      <c r="L1931" s="38" t="str">
        <f aca="false">IF(K1931&lt;&gt;"Yes","",IFERROR(INDEX(cr_Rate,MATCH(J1931&amp;"|"&amp;D1931,cr_Key,0)),INDEX(rt_Rate,MATCH(D1931,rt_Code,0))))</f>
        <v/>
      </c>
      <c r="M1931" s="25" t="str">
        <f aca="false">IF(L1931="","",ROUND(N(E1931)*L1931,2))</f>
        <v/>
      </c>
      <c r="N1931" s="39" t="str">
        <f aca="false">IF(OR(A1931="",B1931=""),"",SUMIFS(tl_Hours,tl_StaffID,I1931,tl_Date,A1931))</f>
        <v/>
      </c>
      <c r="O1931" s="40" t="str">
        <f aca="false">IF(A1931&amp;B1931&amp;D1931="","",IF(OR(A1931="",B1931="",D1931="",E1931=""),"Incomplete",IF(K1931="Unknown","Unknown code",IF(AND(K1931="Yes",C1931=""),"Billable, needs client",IF(N1931&gt;MaxDayHours,"Over "&amp;MaxDayHours&amp;" hours that day","")))))</f>
        <v/>
      </c>
    </row>
    <row r="1932" customFormat="false" ht="15" hidden="false" customHeight="false" outlineLevel="0" collapsed="false">
      <c r="A1932" s="31"/>
      <c r="B1932" s="32"/>
      <c r="C1932" s="32"/>
      <c r="D1932" s="33"/>
      <c r="E1932" s="34"/>
      <c r="F1932" s="32"/>
      <c r="G1932" s="35" t="str">
        <f aca="false">IF(A1932="","",A1932+7-WEEKDAY(A1932))</f>
        <v/>
      </c>
      <c r="H1932" s="36" t="str">
        <f aca="false">IF(A1932="","",DATE(YEAR(A1932),MONTH(A1932),1))</f>
        <v/>
      </c>
      <c r="I1932" s="37" t="str">
        <f aca="false">IF(B1932="","",IFERROR(INDEX(st_ID,MATCH(B1932,st_Name,0)),"Unknown"))</f>
        <v/>
      </c>
      <c r="J1932" s="37" t="str">
        <f aca="false">IF(C1932="","",IFERROR(INDEX(cl_Code,MATCH(C1932,cl_Name,0)),"Unknown"))</f>
        <v/>
      </c>
      <c r="K1932" s="37" t="str">
        <f aca="false">IF(D1932="","",IFERROR(INDEX(rt_Billable,MATCH(D1932,rt_Code,0)),"Unknown"))</f>
        <v/>
      </c>
      <c r="L1932" s="38" t="str">
        <f aca="false">IF(K1932&lt;&gt;"Yes","",IFERROR(INDEX(cr_Rate,MATCH(J1932&amp;"|"&amp;D1932,cr_Key,0)),INDEX(rt_Rate,MATCH(D1932,rt_Code,0))))</f>
        <v/>
      </c>
      <c r="M1932" s="25" t="str">
        <f aca="false">IF(L1932="","",ROUND(N(E1932)*L1932,2))</f>
        <v/>
      </c>
      <c r="N1932" s="39" t="str">
        <f aca="false">IF(OR(A1932="",B1932=""),"",SUMIFS(tl_Hours,tl_StaffID,I1932,tl_Date,A1932))</f>
        <v/>
      </c>
      <c r="O1932" s="40" t="str">
        <f aca="false">IF(A1932&amp;B1932&amp;D1932="","",IF(OR(A1932="",B1932="",D1932="",E1932=""),"Incomplete",IF(K1932="Unknown","Unknown code",IF(AND(K1932="Yes",C1932=""),"Billable, needs client",IF(N1932&gt;MaxDayHours,"Over "&amp;MaxDayHours&amp;" hours that day","")))))</f>
        <v/>
      </c>
    </row>
    <row r="1933" customFormat="false" ht="15" hidden="false" customHeight="false" outlineLevel="0" collapsed="false">
      <c r="A1933" s="31"/>
      <c r="B1933" s="32"/>
      <c r="C1933" s="32"/>
      <c r="D1933" s="33"/>
      <c r="E1933" s="34"/>
      <c r="F1933" s="32"/>
      <c r="G1933" s="35" t="str">
        <f aca="false">IF(A1933="","",A1933+7-WEEKDAY(A1933))</f>
        <v/>
      </c>
      <c r="H1933" s="36" t="str">
        <f aca="false">IF(A1933="","",DATE(YEAR(A1933),MONTH(A1933),1))</f>
        <v/>
      </c>
      <c r="I1933" s="37" t="str">
        <f aca="false">IF(B1933="","",IFERROR(INDEX(st_ID,MATCH(B1933,st_Name,0)),"Unknown"))</f>
        <v/>
      </c>
      <c r="J1933" s="37" t="str">
        <f aca="false">IF(C1933="","",IFERROR(INDEX(cl_Code,MATCH(C1933,cl_Name,0)),"Unknown"))</f>
        <v/>
      </c>
      <c r="K1933" s="37" t="str">
        <f aca="false">IF(D1933="","",IFERROR(INDEX(rt_Billable,MATCH(D1933,rt_Code,0)),"Unknown"))</f>
        <v/>
      </c>
      <c r="L1933" s="38" t="str">
        <f aca="false">IF(K1933&lt;&gt;"Yes","",IFERROR(INDEX(cr_Rate,MATCH(J1933&amp;"|"&amp;D1933,cr_Key,0)),INDEX(rt_Rate,MATCH(D1933,rt_Code,0))))</f>
        <v/>
      </c>
      <c r="M1933" s="25" t="str">
        <f aca="false">IF(L1933="","",ROUND(N(E1933)*L1933,2))</f>
        <v/>
      </c>
      <c r="N1933" s="39" t="str">
        <f aca="false">IF(OR(A1933="",B1933=""),"",SUMIFS(tl_Hours,tl_StaffID,I1933,tl_Date,A1933))</f>
        <v/>
      </c>
      <c r="O1933" s="40" t="str">
        <f aca="false">IF(A1933&amp;B1933&amp;D1933="","",IF(OR(A1933="",B1933="",D1933="",E1933=""),"Incomplete",IF(K1933="Unknown","Unknown code",IF(AND(K1933="Yes",C1933=""),"Billable, needs client",IF(N1933&gt;MaxDayHours,"Over "&amp;MaxDayHours&amp;" hours that day","")))))</f>
        <v/>
      </c>
    </row>
    <row r="1934" customFormat="false" ht="15" hidden="false" customHeight="false" outlineLevel="0" collapsed="false">
      <c r="A1934" s="31"/>
      <c r="B1934" s="32"/>
      <c r="C1934" s="32"/>
      <c r="D1934" s="33"/>
      <c r="E1934" s="34"/>
      <c r="F1934" s="32"/>
      <c r="G1934" s="35" t="str">
        <f aca="false">IF(A1934="","",A1934+7-WEEKDAY(A1934))</f>
        <v/>
      </c>
      <c r="H1934" s="36" t="str">
        <f aca="false">IF(A1934="","",DATE(YEAR(A1934),MONTH(A1934),1))</f>
        <v/>
      </c>
      <c r="I1934" s="37" t="str">
        <f aca="false">IF(B1934="","",IFERROR(INDEX(st_ID,MATCH(B1934,st_Name,0)),"Unknown"))</f>
        <v/>
      </c>
      <c r="J1934" s="37" t="str">
        <f aca="false">IF(C1934="","",IFERROR(INDEX(cl_Code,MATCH(C1934,cl_Name,0)),"Unknown"))</f>
        <v/>
      </c>
      <c r="K1934" s="37" t="str">
        <f aca="false">IF(D1934="","",IFERROR(INDEX(rt_Billable,MATCH(D1934,rt_Code,0)),"Unknown"))</f>
        <v/>
      </c>
      <c r="L1934" s="38" t="str">
        <f aca="false">IF(K1934&lt;&gt;"Yes","",IFERROR(INDEX(cr_Rate,MATCH(J1934&amp;"|"&amp;D1934,cr_Key,0)),INDEX(rt_Rate,MATCH(D1934,rt_Code,0))))</f>
        <v/>
      </c>
      <c r="M1934" s="25" t="str">
        <f aca="false">IF(L1934="","",ROUND(N(E1934)*L1934,2))</f>
        <v/>
      </c>
      <c r="N1934" s="39" t="str">
        <f aca="false">IF(OR(A1934="",B1934=""),"",SUMIFS(tl_Hours,tl_StaffID,I1934,tl_Date,A1934))</f>
        <v/>
      </c>
      <c r="O1934" s="40" t="str">
        <f aca="false">IF(A1934&amp;B1934&amp;D1934="","",IF(OR(A1934="",B1934="",D1934="",E1934=""),"Incomplete",IF(K1934="Unknown","Unknown code",IF(AND(K1934="Yes",C1934=""),"Billable, needs client",IF(N1934&gt;MaxDayHours,"Over "&amp;MaxDayHours&amp;" hours that day","")))))</f>
        <v/>
      </c>
    </row>
    <row r="1935" customFormat="false" ht="15" hidden="false" customHeight="false" outlineLevel="0" collapsed="false">
      <c r="A1935" s="31"/>
      <c r="B1935" s="32"/>
      <c r="C1935" s="32"/>
      <c r="D1935" s="33"/>
      <c r="E1935" s="34"/>
      <c r="F1935" s="32"/>
      <c r="G1935" s="35" t="str">
        <f aca="false">IF(A1935="","",A1935+7-WEEKDAY(A1935))</f>
        <v/>
      </c>
      <c r="H1935" s="36" t="str">
        <f aca="false">IF(A1935="","",DATE(YEAR(A1935),MONTH(A1935),1))</f>
        <v/>
      </c>
      <c r="I1935" s="37" t="str">
        <f aca="false">IF(B1935="","",IFERROR(INDEX(st_ID,MATCH(B1935,st_Name,0)),"Unknown"))</f>
        <v/>
      </c>
      <c r="J1935" s="37" t="str">
        <f aca="false">IF(C1935="","",IFERROR(INDEX(cl_Code,MATCH(C1935,cl_Name,0)),"Unknown"))</f>
        <v/>
      </c>
      <c r="K1935" s="37" t="str">
        <f aca="false">IF(D1935="","",IFERROR(INDEX(rt_Billable,MATCH(D1935,rt_Code,0)),"Unknown"))</f>
        <v/>
      </c>
      <c r="L1935" s="38" t="str">
        <f aca="false">IF(K1935&lt;&gt;"Yes","",IFERROR(INDEX(cr_Rate,MATCH(J1935&amp;"|"&amp;D1935,cr_Key,0)),INDEX(rt_Rate,MATCH(D1935,rt_Code,0))))</f>
        <v/>
      </c>
      <c r="M1935" s="25" t="str">
        <f aca="false">IF(L1935="","",ROUND(N(E1935)*L1935,2))</f>
        <v/>
      </c>
      <c r="N1935" s="39" t="str">
        <f aca="false">IF(OR(A1935="",B1935=""),"",SUMIFS(tl_Hours,tl_StaffID,I1935,tl_Date,A1935))</f>
        <v/>
      </c>
      <c r="O1935" s="40" t="str">
        <f aca="false">IF(A1935&amp;B1935&amp;D1935="","",IF(OR(A1935="",B1935="",D1935="",E1935=""),"Incomplete",IF(K1935="Unknown","Unknown code",IF(AND(K1935="Yes",C1935=""),"Billable, needs client",IF(N1935&gt;MaxDayHours,"Over "&amp;MaxDayHours&amp;" hours that day","")))))</f>
        <v/>
      </c>
    </row>
    <row r="1936" customFormat="false" ht="15" hidden="false" customHeight="false" outlineLevel="0" collapsed="false">
      <c r="A1936" s="31"/>
      <c r="B1936" s="32"/>
      <c r="C1936" s="32"/>
      <c r="D1936" s="33"/>
      <c r="E1936" s="34"/>
      <c r="F1936" s="32"/>
      <c r="G1936" s="35" t="str">
        <f aca="false">IF(A1936="","",A1936+7-WEEKDAY(A1936))</f>
        <v/>
      </c>
      <c r="H1936" s="36" t="str">
        <f aca="false">IF(A1936="","",DATE(YEAR(A1936),MONTH(A1936),1))</f>
        <v/>
      </c>
      <c r="I1936" s="37" t="str">
        <f aca="false">IF(B1936="","",IFERROR(INDEX(st_ID,MATCH(B1936,st_Name,0)),"Unknown"))</f>
        <v/>
      </c>
      <c r="J1936" s="37" t="str">
        <f aca="false">IF(C1936="","",IFERROR(INDEX(cl_Code,MATCH(C1936,cl_Name,0)),"Unknown"))</f>
        <v/>
      </c>
      <c r="K1936" s="37" t="str">
        <f aca="false">IF(D1936="","",IFERROR(INDEX(rt_Billable,MATCH(D1936,rt_Code,0)),"Unknown"))</f>
        <v/>
      </c>
      <c r="L1936" s="38" t="str">
        <f aca="false">IF(K1936&lt;&gt;"Yes","",IFERROR(INDEX(cr_Rate,MATCH(J1936&amp;"|"&amp;D1936,cr_Key,0)),INDEX(rt_Rate,MATCH(D1936,rt_Code,0))))</f>
        <v/>
      </c>
      <c r="M1936" s="25" t="str">
        <f aca="false">IF(L1936="","",ROUND(N(E1936)*L1936,2))</f>
        <v/>
      </c>
      <c r="N1936" s="39" t="str">
        <f aca="false">IF(OR(A1936="",B1936=""),"",SUMIFS(tl_Hours,tl_StaffID,I1936,tl_Date,A1936))</f>
        <v/>
      </c>
      <c r="O1936" s="40" t="str">
        <f aca="false">IF(A1936&amp;B1936&amp;D1936="","",IF(OR(A1936="",B1936="",D1936="",E1936=""),"Incomplete",IF(K1936="Unknown","Unknown code",IF(AND(K1936="Yes",C1936=""),"Billable, needs client",IF(N1936&gt;MaxDayHours,"Over "&amp;MaxDayHours&amp;" hours that day","")))))</f>
        <v/>
      </c>
    </row>
    <row r="1937" customFormat="false" ht="15" hidden="false" customHeight="false" outlineLevel="0" collapsed="false">
      <c r="A1937" s="31"/>
      <c r="B1937" s="32"/>
      <c r="C1937" s="32"/>
      <c r="D1937" s="33"/>
      <c r="E1937" s="34"/>
      <c r="F1937" s="32"/>
      <c r="G1937" s="35" t="str">
        <f aca="false">IF(A1937="","",A1937+7-WEEKDAY(A1937))</f>
        <v/>
      </c>
      <c r="H1937" s="36" t="str">
        <f aca="false">IF(A1937="","",DATE(YEAR(A1937),MONTH(A1937),1))</f>
        <v/>
      </c>
      <c r="I1937" s="37" t="str">
        <f aca="false">IF(B1937="","",IFERROR(INDEX(st_ID,MATCH(B1937,st_Name,0)),"Unknown"))</f>
        <v/>
      </c>
      <c r="J1937" s="37" t="str">
        <f aca="false">IF(C1937="","",IFERROR(INDEX(cl_Code,MATCH(C1937,cl_Name,0)),"Unknown"))</f>
        <v/>
      </c>
      <c r="K1937" s="37" t="str">
        <f aca="false">IF(D1937="","",IFERROR(INDEX(rt_Billable,MATCH(D1937,rt_Code,0)),"Unknown"))</f>
        <v/>
      </c>
      <c r="L1937" s="38" t="str">
        <f aca="false">IF(K1937&lt;&gt;"Yes","",IFERROR(INDEX(cr_Rate,MATCH(J1937&amp;"|"&amp;D1937,cr_Key,0)),INDEX(rt_Rate,MATCH(D1937,rt_Code,0))))</f>
        <v/>
      </c>
      <c r="M1937" s="25" t="str">
        <f aca="false">IF(L1937="","",ROUND(N(E1937)*L1937,2))</f>
        <v/>
      </c>
      <c r="N1937" s="39" t="str">
        <f aca="false">IF(OR(A1937="",B1937=""),"",SUMIFS(tl_Hours,tl_StaffID,I1937,tl_Date,A1937))</f>
        <v/>
      </c>
      <c r="O1937" s="40" t="str">
        <f aca="false">IF(A1937&amp;B1937&amp;D1937="","",IF(OR(A1937="",B1937="",D1937="",E1937=""),"Incomplete",IF(K1937="Unknown","Unknown code",IF(AND(K1937="Yes",C1937=""),"Billable, needs client",IF(N1937&gt;MaxDayHours,"Over "&amp;MaxDayHours&amp;" hours that day","")))))</f>
        <v/>
      </c>
    </row>
    <row r="1938" customFormat="false" ht="15" hidden="false" customHeight="false" outlineLevel="0" collapsed="false">
      <c r="A1938" s="31"/>
      <c r="B1938" s="32"/>
      <c r="C1938" s="32"/>
      <c r="D1938" s="33"/>
      <c r="E1938" s="34"/>
      <c r="F1938" s="32"/>
      <c r="G1938" s="35" t="str">
        <f aca="false">IF(A1938="","",A1938+7-WEEKDAY(A1938))</f>
        <v/>
      </c>
      <c r="H1938" s="36" t="str">
        <f aca="false">IF(A1938="","",DATE(YEAR(A1938),MONTH(A1938),1))</f>
        <v/>
      </c>
      <c r="I1938" s="37" t="str">
        <f aca="false">IF(B1938="","",IFERROR(INDEX(st_ID,MATCH(B1938,st_Name,0)),"Unknown"))</f>
        <v/>
      </c>
      <c r="J1938" s="37" t="str">
        <f aca="false">IF(C1938="","",IFERROR(INDEX(cl_Code,MATCH(C1938,cl_Name,0)),"Unknown"))</f>
        <v/>
      </c>
      <c r="K1938" s="37" t="str">
        <f aca="false">IF(D1938="","",IFERROR(INDEX(rt_Billable,MATCH(D1938,rt_Code,0)),"Unknown"))</f>
        <v/>
      </c>
      <c r="L1938" s="38" t="str">
        <f aca="false">IF(K1938&lt;&gt;"Yes","",IFERROR(INDEX(cr_Rate,MATCH(J1938&amp;"|"&amp;D1938,cr_Key,0)),INDEX(rt_Rate,MATCH(D1938,rt_Code,0))))</f>
        <v/>
      </c>
      <c r="M1938" s="25" t="str">
        <f aca="false">IF(L1938="","",ROUND(N(E1938)*L1938,2))</f>
        <v/>
      </c>
      <c r="N1938" s="39" t="str">
        <f aca="false">IF(OR(A1938="",B1938=""),"",SUMIFS(tl_Hours,tl_StaffID,I1938,tl_Date,A1938))</f>
        <v/>
      </c>
      <c r="O1938" s="40" t="str">
        <f aca="false">IF(A1938&amp;B1938&amp;D1938="","",IF(OR(A1938="",B1938="",D1938="",E1938=""),"Incomplete",IF(K1938="Unknown","Unknown code",IF(AND(K1938="Yes",C1938=""),"Billable, needs client",IF(N1938&gt;MaxDayHours,"Over "&amp;MaxDayHours&amp;" hours that day","")))))</f>
        <v/>
      </c>
    </row>
    <row r="1939" customFormat="false" ht="15" hidden="false" customHeight="false" outlineLevel="0" collapsed="false">
      <c r="A1939" s="31"/>
      <c r="B1939" s="32"/>
      <c r="C1939" s="32"/>
      <c r="D1939" s="33"/>
      <c r="E1939" s="34"/>
      <c r="F1939" s="32"/>
      <c r="G1939" s="35" t="str">
        <f aca="false">IF(A1939="","",A1939+7-WEEKDAY(A1939))</f>
        <v/>
      </c>
      <c r="H1939" s="36" t="str">
        <f aca="false">IF(A1939="","",DATE(YEAR(A1939),MONTH(A1939),1))</f>
        <v/>
      </c>
      <c r="I1939" s="37" t="str">
        <f aca="false">IF(B1939="","",IFERROR(INDEX(st_ID,MATCH(B1939,st_Name,0)),"Unknown"))</f>
        <v/>
      </c>
      <c r="J1939" s="37" t="str">
        <f aca="false">IF(C1939="","",IFERROR(INDEX(cl_Code,MATCH(C1939,cl_Name,0)),"Unknown"))</f>
        <v/>
      </c>
      <c r="K1939" s="37" t="str">
        <f aca="false">IF(D1939="","",IFERROR(INDEX(rt_Billable,MATCH(D1939,rt_Code,0)),"Unknown"))</f>
        <v/>
      </c>
      <c r="L1939" s="38" t="str">
        <f aca="false">IF(K1939&lt;&gt;"Yes","",IFERROR(INDEX(cr_Rate,MATCH(J1939&amp;"|"&amp;D1939,cr_Key,0)),INDEX(rt_Rate,MATCH(D1939,rt_Code,0))))</f>
        <v/>
      </c>
      <c r="M1939" s="25" t="str">
        <f aca="false">IF(L1939="","",ROUND(N(E1939)*L1939,2))</f>
        <v/>
      </c>
      <c r="N1939" s="39" t="str">
        <f aca="false">IF(OR(A1939="",B1939=""),"",SUMIFS(tl_Hours,tl_StaffID,I1939,tl_Date,A1939))</f>
        <v/>
      </c>
      <c r="O1939" s="40" t="str">
        <f aca="false">IF(A1939&amp;B1939&amp;D1939="","",IF(OR(A1939="",B1939="",D1939="",E1939=""),"Incomplete",IF(K1939="Unknown","Unknown code",IF(AND(K1939="Yes",C1939=""),"Billable, needs client",IF(N1939&gt;MaxDayHours,"Over "&amp;MaxDayHours&amp;" hours that day","")))))</f>
        <v/>
      </c>
    </row>
    <row r="1940" customFormat="false" ht="15" hidden="false" customHeight="false" outlineLevel="0" collapsed="false">
      <c r="A1940" s="31"/>
      <c r="B1940" s="32"/>
      <c r="C1940" s="32"/>
      <c r="D1940" s="33"/>
      <c r="E1940" s="34"/>
      <c r="F1940" s="32"/>
      <c r="G1940" s="35" t="str">
        <f aca="false">IF(A1940="","",A1940+7-WEEKDAY(A1940))</f>
        <v/>
      </c>
      <c r="H1940" s="36" t="str">
        <f aca="false">IF(A1940="","",DATE(YEAR(A1940),MONTH(A1940),1))</f>
        <v/>
      </c>
      <c r="I1940" s="37" t="str">
        <f aca="false">IF(B1940="","",IFERROR(INDEX(st_ID,MATCH(B1940,st_Name,0)),"Unknown"))</f>
        <v/>
      </c>
      <c r="J1940" s="37" t="str">
        <f aca="false">IF(C1940="","",IFERROR(INDEX(cl_Code,MATCH(C1940,cl_Name,0)),"Unknown"))</f>
        <v/>
      </c>
      <c r="K1940" s="37" t="str">
        <f aca="false">IF(D1940="","",IFERROR(INDEX(rt_Billable,MATCH(D1940,rt_Code,0)),"Unknown"))</f>
        <v/>
      </c>
      <c r="L1940" s="38" t="str">
        <f aca="false">IF(K1940&lt;&gt;"Yes","",IFERROR(INDEX(cr_Rate,MATCH(J1940&amp;"|"&amp;D1940,cr_Key,0)),INDEX(rt_Rate,MATCH(D1940,rt_Code,0))))</f>
        <v/>
      </c>
      <c r="M1940" s="25" t="str">
        <f aca="false">IF(L1940="","",ROUND(N(E1940)*L1940,2))</f>
        <v/>
      </c>
      <c r="N1940" s="39" t="str">
        <f aca="false">IF(OR(A1940="",B1940=""),"",SUMIFS(tl_Hours,tl_StaffID,I1940,tl_Date,A1940))</f>
        <v/>
      </c>
      <c r="O1940" s="40" t="str">
        <f aca="false">IF(A1940&amp;B1940&amp;D1940="","",IF(OR(A1940="",B1940="",D1940="",E1940=""),"Incomplete",IF(K1940="Unknown","Unknown code",IF(AND(K1940="Yes",C1940=""),"Billable, needs client",IF(N1940&gt;MaxDayHours,"Over "&amp;MaxDayHours&amp;" hours that day","")))))</f>
        <v/>
      </c>
    </row>
    <row r="1941" customFormat="false" ht="15" hidden="false" customHeight="false" outlineLevel="0" collapsed="false">
      <c r="A1941" s="31"/>
      <c r="B1941" s="32"/>
      <c r="C1941" s="32"/>
      <c r="D1941" s="33"/>
      <c r="E1941" s="34"/>
      <c r="F1941" s="32"/>
      <c r="G1941" s="35" t="str">
        <f aca="false">IF(A1941="","",A1941+7-WEEKDAY(A1941))</f>
        <v/>
      </c>
      <c r="H1941" s="36" t="str">
        <f aca="false">IF(A1941="","",DATE(YEAR(A1941),MONTH(A1941),1))</f>
        <v/>
      </c>
      <c r="I1941" s="37" t="str">
        <f aca="false">IF(B1941="","",IFERROR(INDEX(st_ID,MATCH(B1941,st_Name,0)),"Unknown"))</f>
        <v/>
      </c>
      <c r="J1941" s="37" t="str">
        <f aca="false">IF(C1941="","",IFERROR(INDEX(cl_Code,MATCH(C1941,cl_Name,0)),"Unknown"))</f>
        <v/>
      </c>
      <c r="K1941" s="37" t="str">
        <f aca="false">IF(D1941="","",IFERROR(INDEX(rt_Billable,MATCH(D1941,rt_Code,0)),"Unknown"))</f>
        <v/>
      </c>
      <c r="L1941" s="38" t="str">
        <f aca="false">IF(K1941&lt;&gt;"Yes","",IFERROR(INDEX(cr_Rate,MATCH(J1941&amp;"|"&amp;D1941,cr_Key,0)),INDEX(rt_Rate,MATCH(D1941,rt_Code,0))))</f>
        <v/>
      </c>
      <c r="M1941" s="25" t="str">
        <f aca="false">IF(L1941="","",ROUND(N(E1941)*L1941,2))</f>
        <v/>
      </c>
      <c r="N1941" s="39" t="str">
        <f aca="false">IF(OR(A1941="",B1941=""),"",SUMIFS(tl_Hours,tl_StaffID,I1941,tl_Date,A1941))</f>
        <v/>
      </c>
      <c r="O1941" s="40" t="str">
        <f aca="false">IF(A1941&amp;B1941&amp;D1941="","",IF(OR(A1941="",B1941="",D1941="",E1941=""),"Incomplete",IF(K1941="Unknown","Unknown code",IF(AND(K1941="Yes",C1941=""),"Billable, needs client",IF(N1941&gt;MaxDayHours,"Over "&amp;MaxDayHours&amp;" hours that day","")))))</f>
        <v/>
      </c>
    </row>
    <row r="1942" customFormat="false" ht="15" hidden="false" customHeight="false" outlineLevel="0" collapsed="false">
      <c r="A1942" s="31"/>
      <c r="B1942" s="32"/>
      <c r="C1942" s="32"/>
      <c r="D1942" s="33"/>
      <c r="E1942" s="34"/>
      <c r="F1942" s="32"/>
      <c r="G1942" s="35" t="str">
        <f aca="false">IF(A1942="","",A1942+7-WEEKDAY(A1942))</f>
        <v/>
      </c>
      <c r="H1942" s="36" t="str">
        <f aca="false">IF(A1942="","",DATE(YEAR(A1942),MONTH(A1942),1))</f>
        <v/>
      </c>
      <c r="I1942" s="37" t="str">
        <f aca="false">IF(B1942="","",IFERROR(INDEX(st_ID,MATCH(B1942,st_Name,0)),"Unknown"))</f>
        <v/>
      </c>
      <c r="J1942" s="37" t="str">
        <f aca="false">IF(C1942="","",IFERROR(INDEX(cl_Code,MATCH(C1942,cl_Name,0)),"Unknown"))</f>
        <v/>
      </c>
      <c r="K1942" s="37" t="str">
        <f aca="false">IF(D1942="","",IFERROR(INDEX(rt_Billable,MATCH(D1942,rt_Code,0)),"Unknown"))</f>
        <v/>
      </c>
      <c r="L1942" s="38" t="str">
        <f aca="false">IF(K1942&lt;&gt;"Yes","",IFERROR(INDEX(cr_Rate,MATCH(J1942&amp;"|"&amp;D1942,cr_Key,0)),INDEX(rt_Rate,MATCH(D1942,rt_Code,0))))</f>
        <v/>
      </c>
      <c r="M1942" s="25" t="str">
        <f aca="false">IF(L1942="","",ROUND(N(E1942)*L1942,2))</f>
        <v/>
      </c>
      <c r="N1942" s="39" t="str">
        <f aca="false">IF(OR(A1942="",B1942=""),"",SUMIFS(tl_Hours,tl_StaffID,I1942,tl_Date,A1942))</f>
        <v/>
      </c>
      <c r="O1942" s="40" t="str">
        <f aca="false">IF(A1942&amp;B1942&amp;D1942="","",IF(OR(A1942="",B1942="",D1942="",E1942=""),"Incomplete",IF(K1942="Unknown","Unknown code",IF(AND(K1942="Yes",C1942=""),"Billable, needs client",IF(N1942&gt;MaxDayHours,"Over "&amp;MaxDayHours&amp;" hours that day","")))))</f>
        <v/>
      </c>
    </row>
    <row r="1943" customFormat="false" ht="15" hidden="false" customHeight="false" outlineLevel="0" collapsed="false">
      <c r="A1943" s="31"/>
      <c r="B1943" s="32"/>
      <c r="C1943" s="32"/>
      <c r="D1943" s="33"/>
      <c r="E1943" s="34"/>
      <c r="F1943" s="32"/>
      <c r="G1943" s="35" t="str">
        <f aca="false">IF(A1943="","",A1943+7-WEEKDAY(A1943))</f>
        <v/>
      </c>
      <c r="H1943" s="36" t="str">
        <f aca="false">IF(A1943="","",DATE(YEAR(A1943),MONTH(A1943),1))</f>
        <v/>
      </c>
      <c r="I1943" s="37" t="str">
        <f aca="false">IF(B1943="","",IFERROR(INDEX(st_ID,MATCH(B1943,st_Name,0)),"Unknown"))</f>
        <v/>
      </c>
      <c r="J1943" s="37" t="str">
        <f aca="false">IF(C1943="","",IFERROR(INDEX(cl_Code,MATCH(C1943,cl_Name,0)),"Unknown"))</f>
        <v/>
      </c>
      <c r="K1943" s="37" t="str">
        <f aca="false">IF(D1943="","",IFERROR(INDEX(rt_Billable,MATCH(D1943,rt_Code,0)),"Unknown"))</f>
        <v/>
      </c>
      <c r="L1943" s="38" t="str">
        <f aca="false">IF(K1943&lt;&gt;"Yes","",IFERROR(INDEX(cr_Rate,MATCH(J1943&amp;"|"&amp;D1943,cr_Key,0)),INDEX(rt_Rate,MATCH(D1943,rt_Code,0))))</f>
        <v/>
      </c>
      <c r="M1943" s="25" t="str">
        <f aca="false">IF(L1943="","",ROUND(N(E1943)*L1943,2))</f>
        <v/>
      </c>
      <c r="N1943" s="39" t="str">
        <f aca="false">IF(OR(A1943="",B1943=""),"",SUMIFS(tl_Hours,tl_StaffID,I1943,tl_Date,A1943))</f>
        <v/>
      </c>
      <c r="O1943" s="40" t="str">
        <f aca="false">IF(A1943&amp;B1943&amp;D1943="","",IF(OR(A1943="",B1943="",D1943="",E1943=""),"Incomplete",IF(K1943="Unknown","Unknown code",IF(AND(K1943="Yes",C1943=""),"Billable, needs client",IF(N1943&gt;MaxDayHours,"Over "&amp;MaxDayHours&amp;" hours that day","")))))</f>
        <v/>
      </c>
    </row>
    <row r="1944" customFormat="false" ht="15" hidden="false" customHeight="false" outlineLevel="0" collapsed="false">
      <c r="A1944" s="31"/>
      <c r="B1944" s="32"/>
      <c r="C1944" s="32"/>
      <c r="D1944" s="33"/>
      <c r="E1944" s="34"/>
      <c r="F1944" s="32"/>
      <c r="G1944" s="35" t="str">
        <f aca="false">IF(A1944="","",A1944+7-WEEKDAY(A1944))</f>
        <v/>
      </c>
      <c r="H1944" s="36" t="str">
        <f aca="false">IF(A1944="","",DATE(YEAR(A1944),MONTH(A1944),1))</f>
        <v/>
      </c>
      <c r="I1944" s="37" t="str">
        <f aca="false">IF(B1944="","",IFERROR(INDEX(st_ID,MATCH(B1944,st_Name,0)),"Unknown"))</f>
        <v/>
      </c>
      <c r="J1944" s="37" t="str">
        <f aca="false">IF(C1944="","",IFERROR(INDEX(cl_Code,MATCH(C1944,cl_Name,0)),"Unknown"))</f>
        <v/>
      </c>
      <c r="K1944" s="37" t="str">
        <f aca="false">IF(D1944="","",IFERROR(INDEX(rt_Billable,MATCH(D1944,rt_Code,0)),"Unknown"))</f>
        <v/>
      </c>
      <c r="L1944" s="38" t="str">
        <f aca="false">IF(K1944&lt;&gt;"Yes","",IFERROR(INDEX(cr_Rate,MATCH(J1944&amp;"|"&amp;D1944,cr_Key,0)),INDEX(rt_Rate,MATCH(D1944,rt_Code,0))))</f>
        <v/>
      </c>
      <c r="M1944" s="25" t="str">
        <f aca="false">IF(L1944="","",ROUND(N(E1944)*L1944,2))</f>
        <v/>
      </c>
      <c r="N1944" s="39" t="str">
        <f aca="false">IF(OR(A1944="",B1944=""),"",SUMIFS(tl_Hours,tl_StaffID,I1944,tl_Date,A1944))</f>
        <v/>
      </c>
      <c r="O1944" s="40" t="str">
        <f aca="false">IF(A1944&amp;B1944&amp;D1944="","",IF(OR(A1944="",B1944="",D1944="",E1944=""),"Incomplete",IF(K1944="Unknown","Unknown code",IF(AND(K1944="Yes",C1944=""),"Billable, needs client",IF(N1944&gt;MaxDayHours,"Over "&amp;MaxDayHours&amp;" hours that day","")))))</f>
        <v/>
      </c>
    </row>
    <row r="1945" customFormat="false" ht="15" hidden="false" customHeight="false" outlineLevel="0" collapsed="false">
      <c r="A1945" s="31"/>
      <c r="B1945" s="32"/>
      <c r="C1945" s="32"/>
      <c r="D1945" s="33"/>
      <c r="E1945" s="34"/>
      <c r="F1945" s="32"/>
      <c r="G1945" s="35" t="str">
        <f aca="false">IF(A1945="","",A1945+7-WEEKDAY(A1945))</f>
        <v/>
      </c>
      <c r="H1945" s="36" t="str">
        <f aca="false">IF(A1945="","",DATE(YEAR(A1945),MONTH(A1945),1))</f>
        <v/>
      </c>
      <c r="I1945" s="37" t="str">
        <f aca="false">IF(B1945="","",IFERROR(INDEX(st_ID,MATCH(B1945,st_Name,0)),"Unknown"))</f>
        <v/>
      </c>
      <c r="J1945" s="37" t="str">
        <f aca="false">IF(C1945="","",IFERROR(INDEX(cl_Code,MATCH(C1945,cl_Name,0)),"Unknown"))</f>
        <v/>
      </c>
      <c r="K1945" s="37" t="str">
        <f aca="false">IF(D1945="","",IFERROR(INDEX(rt_Billable,MATCH(D1945,rt_Code,0)),"Unknown"))</f>
        <v/>
      </c>
      <c r="L1945" s="38" t="str">
        <f aca="false">IF(K1945&lt;&gt;"Yes","",IFERROR(INDEX(cr_Rate,MATCH(J1945&amp;"|"&amp;D1945,cr_Key,0)),INDEX(rt_Rate,MATCH(D1945,rt_Code,0))))</f>
        <v/>
      </c>
      <c r="M1945" s="25" t="str">
        <f aca="false">IF(L1945="","",ROUND(N(E1945)*L1945,2))</f>
        <v/>
      </c>
      <c r="N1945" s="39" t="str">
        <f aca="false">IF(OR(A1945="",B1945=""),"",SUMIFS(tl_Hours,tl_StaffID,I1945,tl_Date,A1945))</f>
        <v/>
      </c>
      <c r="O1945" s="40" t="str">
        <f aca="false">IF(A1945&amp;B1945&amp;D1945="","",IF(OR(A1945="",B1945="",D1945="",E1945=""),"Incomplete",IF(K1945="Unknown","Unknown code",IF(AND(K1945="Yes",C1945=""),"Billable, needs client",IF(N1945&gt;MaxDayHours,"Over "&amp;MaxDayHours&amp;" hours that day","")))))</f>
        <v/>
      </c>
    </row>
    <row r="1946" customFormat="false" ht="15" hidden="false" customHeight="false" outlineLevel="0" collapsed="false">
      <c r="A1946" s="31"/>
      <c r="B1946" s="32"/>
      <c r="C1946" s="32"/>
      <c r="D1946" s="33"/>
      <c r="E1946" s="34"/>
      <c r="F1946" s="32"/>
      <c r="G1946" s="35" t="str">
        <f aca="false">IF(A1946="","",A1946+7-WEEKDAY(A1946))</f>
        <v/>
      </c>
      <c r="H1946" s="36" t="str">
        <f aca="false">IF(A1946="","",DATE(YEAR(A1946),MONTH(A1946),1))</f>
        <v/>
      </c>
      <c r="I1946" s="37" t="str">
        <f aca="false">IF(B1946="","",IFERROR(INDEX(st_ID,MATCH(B1946,st_Name,0)),"Unknown"))</f>
        <v/>
      </c>
      <c r="J1946" s="37" t="str">
        <f aca="false">IF(C1946="","",IFERROR(INDEX(cl_Code,MATCH(C1946,cl_Name,0)),"Unknown"))</f>
        <v/>
      </c>
      <c r="K1946" s="37" t="str">
        <f aca="false">IF(D1946="","",IFERROR(INDEX(rt_Billable,MATCH(D1946,rt_Code,0)),"Unknown"))</f>
        <v/>
      </c>
      <c r="L1946" s="38" t="str">
        <f aca="false">IF(K1946&lt;&gt;"Yes","",IFERROR(INDEX(cr_Rate,MATCH(J1946&amp;"|"&amp;D1946,cr_Key,0)),INDEX(rt_Rate,MATCH(D1946,rt_Code,0))))</f>
        <v/>
      </c>
      <c r="M1946" s="25" t="str">
        <f aca="false">IF(L1946="","",ROUND(N(E1946)*L1946,2))</f>
        <v/>
      </c>
      <c r="N1946" s="39" t="str">
        <f aca="false">IF(OR(A1946="",B1946=""),"",SUMIFS(tl_Hours,tl_StaffID,I1946,tl_Date,A1946))</f>
        <v/>
      </c>
      <c r="O1946" s="40" t="str">
        <f aca="false">IF(A1946&amp;B1946&amp;D1946="","",IF(OR(A1946="",B1946="",D1946="",E1946=""),"Incomplete",IF(K1946="Unknown","Unknown code",IF(AND(K1946="Yes",C1946=""),"Billable, needs client",IF(N1946&gt;MaxDayHours,"Over "&amp;MaxDayHours&amp;" hours that day","")))))</f>
        <v/>
      </c>
    </row>
    <row r="1947" customFormat="false" ht="15" hidden="false" customHeight="false" outlineLevel="0" collapsed="false">
      <c r="A1947" s="31"/>
      <c r="B1947" s="32"/>
      <c r="C1947" s="32"/>
      <c r="D1947" s="33"/>
      <c r="E1947" s="34"/>
      <c r="F1947" s="32"/>
      <c r="G1947" s="35" t="str">
        <f aca="false">IF(A1947="","",A1947+7-WEEKDAY(A1947))</f>
        <v/>
      </c>
      <c r="H1947" s="36" t="str">
        <f aca="false">IF(A1947="","",DATE(YEAR(A1947),MONTH(A1947),1))</f>
        <v/>
      </c>
      <c r="I1947" s="37" t="str">
        <f aca="false">IF(B1947="","",IFERROR(INDEX(st_ID,MATCH(B1947,st_Name,0)),"Unknown"))</f>
        <v/>
      </c>
      <c r="J1947" s="37" t="str">
        <f aca="false">IF(C1947="","",IFERROR(INDEX(cl_Code,MATCH(C1947,cl_Name,0)),"Unknown"))</f>
        <v/>
      </c>
      <c r="K1947" s="37" t="str">
        <f aca="false">IF(D1947="","",IFERROR(INDEX(rt_Billable,MATCH(D1947,rt_Code,0)),"Unknown"))</f>
        <v/>
      </c>
      <c r="L1947" s="38" t="str">
        <f aca="false">IF(K1947&lt;&gt;"Yes","",IFERROR(INDEX(cr_Rate,MATCH(J1947&amp;"|"&amp;D1947,cr_Key,0)),INDEX(rt_Rate,MATCH(D1947,rt_Code,0))))</f>
        <v/>
      </c>
      <c r="M1947" s="25" t="str">
        <f aca="false">IF(L1947="","",ROUND(N(E1947)*L1947,2))</f>
        <v/>
      </c>
      <c r="N1947" s="39" t="str">
        <f aca="false">IF(OR(A1947="",B1947=""),"",SUMIFS(tl_Hours,tl_StaffID,I1947,tl_Date,A1947))</f>
        <v/>
      </c>
      <c r="O1947" s="40" t="str">
        <f aca="false">IF(A1947&amp;B1947&amp;D1947="","",IF(OR(A1947="",B1947="",D1947="",E1947=""),"Incomplete",IF(K1947="Unknown","Unknown code",IF(AND(K1947="Yes",C1947=""),"Billable, needs client",IF(N1947&gt;MaxDayHours,"Over "&amp;MaxDayHours&amp;" hours that day","")))))</f>
        <v/>
      </c>
    </row>
    <row r="1948" customFormat="false" ht="15" hidden="false" customHeight="false" outlineLevel="0" collapsed="false">
      <c r="A1948" s="31"/>
      <c r="B1948" s="32"/>
      <c r="C1948" s="32"/>
      <c r="D1948" s="33"/>
      <c r="E1948" s="34"/>
      <c r="F1948" s="32"/>
      <c r="G1948" s="35" t="str">
        <f aca="false">IF(A1948="","",A1948+7-WEEKDAY(A1948))</f>
        <v/>
      </c>
      <c r="H1948" s="36" t="str">
        <f aca="false">IF(A1948="","",DATE(YEAR(A1948),MONTH(A1948),1))</f>
        <v/>
      </c>
      <c r="I1948" s="37" t="str">
        <f aca="false">IF(B1948="","",IFERROR(INDEX(st_ID,MATCH(B1948,st_Name,0)),"Unknown"))</f>
        <v/>
      </c>
      <c r="J1948" s="37" t="str">
        <f aca="false">IF(C1948="","",IFERROR(INDEX(cl_Code,MATCH(C1948,cl_Name,0)),"Unknown"))</f>
        <v/>
      </c>
      <c r="K1948" s="37" t="str">
        <f aca="false">IF(D1948="","",IFERROR(INDEX(rt_Billable,MATCH(D1948,rt_Code,0)),"Unknown"))</f>
        <v/>
      </c>
      <c r="L1948" s="38" t="str">
        <f aca="false">IF(K1948&lt;&gt;"Yes","",IFERROR(INDEX(cr_Rate,MATCH(J1948&amp;"|"&amp;D1948,cr_Key,0)),INDEX(rt_Rate,MATCH(D1948,rt_Code,0))))</f>
        <v/>
      </c>
      <c r="M1948" s="25" t="str">
        <f aca="false">IF(L1948="","",ROUND(N(E1948)*L1948,2))</f>
        <v/>
      </c>
      <c r="N1948" s="39" t="str">
        <f aca="false">IF(OR(A1948="",B1948=""),"",SUMIFS(tl_Hours,tl_StaffID,I1948,tl_Date,A1948))</f>
        <v/>
      </c>
      <c r="O1948" s="40" t="str">
        <f aca="false">IF(A1948&amp;B1948&amp;D1948="","",IF(OR(A1948="",B1948="",D1948="",E1948=""),"Incomplete",IF(K1948="Unknown","Unknown code",IF(AND(K1948="Yes",C1948=""),"Billable, needs client",IF(N1948&gt;MaxDayHours,"Over "&amp;MaxDayHours&amp;" hours that day","")))))</f>
        <v/>
      </c>
    </row>
    <row r="1949" customFormat="false" ht="15" hidden="false" customHeight="false" outlineLevel="0" collapsed="false">
      <c r="A1949" s="31"/>
      <c r="B1949" s="32"/>
      <c r="C1949" s="32"/>
      <c r="D1949" s="33"/>
      <c r="E1949" s="34"/>
      <c r="F1949" s="32"/>
      <c r="G1949" s="35" t="str">
        <f aca="false">IF(A1949="","",A1949+7-WEEKDAY(A1949))</f>
        <v/>
      </c>
      <c r="H1949" s="36" t="str">
        <f aca="false">IF(A1949="","",DATE(YEAR(A1949),MONTH(A1949),1))</f>
        <v/>
      </c>
      <c r="I1949" s="37" t="str">
        <f aca="false">IF(B1949="","",IFERROR(INDEX(st_ID,MATCH(B1949,st_Name,0)),"Unknown"))</f>
        <v/>
      </c>
      <c r="J1949" s="37" t="str">
        <f aca="false">IF(C1949="","",IFERROR(INDEX(cl_Code,MATCH(C1949,cl_Name,0)),"Unknown"))</f>
        <v/>
      </c>
      <c r="K1949" s="37" t="str">
        <f aca="false">IF(D1949="","",IFERROR(INDEX(rt_Billable,MATCH(D1949,rt_Code,0)),"Unknown"))</f>
        <v/>
      </c>
      <c r="L1949" s="38" t="str">
        <f aca="false">IF(K1949&lt;&gt;"Yes","",IFERROR(INDEX(cr_Rate,MATCH(J1949&amp;"|"&amp;D1949,cr_Key,0)),INDEX(rt_Rate,MATCH(D1949,rt_Code,0))))</f>
        <v/>
      </c>
      <c r="M1949" s="25" t="str">
        <f aca="false">IF(L1949="","",ROUND(N(E1949)*L1949,2))</f>
        <v/>
      </c>
      <c r="N1949" s="39" t="str">
        <f aca="false">IF(OR(A1949="",B1949=""),"",SUMIFS(tl_Hours,tl_StaffID,I1949,tl_Date,A1949))</f>
        <v/>
      </c>
      <c r="O1949" s="40" t="str">
        <f aca="false">IF(A1949&amp;B1949&amp;D1949="","",IF(OR(A1949="",B1949="",D1949="",E1949=""),"Incomplete",IF(K1949="Unknown","Unknown code",IF(AND(K1949="Yes",C1949=""),"Billable, needs client",IF(N1949&gt;MaxDayHours,"Over "&amp;MaxDayHours&amp;" hours that day","")))))</f>
        <v/>
      </c>
    </row>
    <row r="1950" customFormat="false" ht="15" hidden="false" customHeight="false" outlineLevel="0" collapsed="false">
      <c r="A1950" s="31"/>
      <c r="B1950" s="32"/>
      <c r="C1950" s="32"/>
      <c r="D1950" s="33"/>
      <c r="E1950" s="34"/>
      <c r="F1950" s="32"/>
      <c r="G1950" s="35" t="str">
        <f aca="false">IF(A1950="","",A1950+7-WEEKDAY(A1950))</f>
        <v/>
      </c>
      <c r="H1950" s="36" t="str">
        <f aca="false">IF(A1950="","",DATE(YEAR(A1950),MONTH(A1950),1))</f>
        <v/>
      </c>
      <c r="I1950" s="37" t="str">
        <f aca="false">IF(B1950="","",IFERROR(INDEX(st_ID,MATCH(B1950,st_Name,0)),"Unknown"))</f>
        <v/>
      </c>
      <c r="J1950" s="37" t="str">
        <f aca="false">IF(C1950="","",IFERROR(INDEX(cl_Code,MATCH(C1950,cl_Name,0)),"Unknown"))</f>
        <v/>
      </c>
      <c r="K1950" s="37" t="str">
        <f aca="false">IF(D1950="","",IFERROR(INDEX(rt_Billable,MATCH(D1950,rt_Code,0)),"Unknown"))</f>
        <v/>
      </c>
      <c r="L1950" s="38" t="str">
        <f aca="false">IF(K1950&lt;&gt;"Yes","",IFERROR(INDEX(cr_Rate,MATCH(J1950&amp;"|"&amp;D1950,cr_Key,0)),INDEX(rt_Rate,MATCH(D1950,rt_Code,0))))</f>
        <v/>
      </c>
      <c r="M1950" s="25" t="str">
        <f aca="false">IF(L1950="","",ROUND(N(E1950)*L1950,2))</f>
        <v/>
      </c>
      <c r="N1950" s="39" t="str">
        <f aca="false">IF(OR(A1950="",B1950=""),"",SUMIFS(tl_Hours,tl_StaffID,I1950,tl_Date,A1950))</f>
        <v/>
      </c>
      <c r="O1950" s="40" t="str">
        <f aca="false">IF(A1950&amp;B1950&amp;D1950="","",IF(OR(A1950="",B1950="",D1950="",E1950=""),"Incomplete",IF(K1950="Unknown","Unknown code",IF(AND(K1950="Yes",C1950=""),"Billable, needs client",IF(N1950&gt;MaxDayHours,"Over "&amp;MaxDayHours&amp;" hours that day","")))))</f>
        <v/>
      </c>
    </row>
    <row r="1951" customFormat="false" ht="15" hidden="false" customHeight="false" outlineLevel="0" collapsed="false">
      <c r="A1951" s="31"/>
      <c r="B1951" s="32"/>
      <c r="C1951" s="32"/>
      <c r="D1951" s="33"/>
      <c r="E1951" s="34"/>
      <c r="F1951" s="32"/>
      <c r="G1951" s="35" t="str">
        <f aca="false">IF(A1951="","",A1951+7-WEEKDAY(A1951))</f>
        <v/>
      </c>
      <c r="H1951" s="36" t="str">
        <f aca="false">IF(A1951="","",DATE(YEAR(A1951),MONTH(A1951),1))</f>
        <v/>
      </c>
      <c r="I1951" s="37" t="str">
        <f aca="false">IF(B1951="","",IFERROR(INDEX(st_ID,MATCH(B1951,st_Name,0)),"Unknown"))</f>
        <v/>
      </c>
      <c r="J1951" s="37" t="str">
        <f aca="false">IF(C1951="","",IFERROR(INDEX(cl_Code,MATCH(C1951,cl_Name,0)),"Unknown"))</f>
        <v/>
      </c>
      <c r="K1951" s="37" t="str">
        <f aca="false">IF(D1951="","",IFERROR(INDEX(rt_Billable,MATCH(D1951,rt_Code,0)),"Unknown"))</f>
        <v/>
      </c>
      <c r="L1951" s="38" t="str">
        <f aca="false">IF(K1951&lt;&gt;"Yes","",IFERROR(INDEX(cr_Rate,MATCH(J1951&amp;"|"&amp;D1951,cr_Key,0)),INDEX(rt_Rate,MATCH(D1951,rt_Code,0))))</f>
        <v/>
      </c>
      <c r="M1951" s="25" t="str">
        <f aca="false">IF(L1951="","",ROUND(N(E1951)*L1951,2))</f>
        <v/>
      </c>
      <c r="N1951" s="39" t="str">
        <f aca="false">IF(OR(A1951="",B1951=""),"",SUMIFS(tl_Hours,tl_StaffID,I1951,tl_Date,A1951))</f>
        <v/>
      </c>
      <c r="O1951" s="40" t="str">
        <f aca="false">IF(A1951&amp;B1951&amp;D1951="","",IF(OR(A1951="",B1951="",D1951="",E1951=""),"Incomplete",IF(K1951="Unknown","Unknown code",IF(AND(K1951="Yes",C1951=""),"Billable, needs client",IF(N1951&gt;MaxDayHours,"Over "&amp;MaxDayHours&amp;" hours that day","")))))</f>
        <v/>
      </c>
    </row>
    <row r="1952" customFormat="false" ht="15" hidden="false" customHeight="false" outlineLevel="0" collapsed="false">
      <c r="A1952" s="31"/>
      <c r="B1952" s="32"/>
      <c r="C1952" s="32"/>
      <c r="D1952" s="33"/>
      <c r="E1952" s="34"/>
      <c r="F1952" s="32"/>
      <c r="G1952" s="35" t="str">
        <f aca="false">IF(A1952="","",A1952+7-WEEKDAY(A1952))</f>
        <v/>
      </c>
      <c r="H1952" s="36" t="str">
        <f aca="false">IF(A1952="","",DATE(YEAR(A1952),MONTH(A1952),1))</f>
        <v/>
      </c>
      <c r="I1952" s="37" t="str">
        <f aca="false">IF(B1952="","",IFERROR(INDEX(st_ID,MATCH(B1952,st_Name,0)),"Unknown"))</f>
        <v/>
      </c>
      <c r="J1952" s="37" t="str">
        <f aca="false">IF(C1952="","",IFERROR(INDEX(cl_Code,MATCH(C1952,cl_Name,0)),"Unknown"))</f>
        <v/>
      </c>
      <c r="K1952" s="37" t="str">
        <f aca="false">IF(D1952="","",IFERROR(INDEX(rt_Billable,MATCH(D1952,rt_Code,0)),"Unknown"))</f>
        <v/>
      </c>
      <c r="L1952" s="38" t="str">
        <f aca="false">IF(K1952&lt;&gt;"Yes","",IFERROR(INDEX(cr_Rate,MATCH(J1952&amp;"|"&amp;D1952,cr_Key,0)),INDEX(rt_Rate,MATCH(D1952,rt_Code,0))))</f>
        <v/>
      </c>
      <c r="M1952" s="25" t="str">
        <f aca="false">IF(L1952="","",ROUND(N(E1952)*L1952,2))</f>
        <v/>
      </c>
      <c r="N1952" s="39" t="str">
        <f aca="false">IF(OR(A1952="",B1952=""),"",SUMIFS(tl_Hours,tl_StaffID,I1952,tl_Date,A1952))</f>
        <v/>
      </c>
      <c r="O1952" s="40" t="str">
        <f aca="false">IF(A1952&amp;B1952&amp;D1952="","",IF(OR(A1952="",B1952="",D1952="",E1952=""),"Incomplete",IF(K1952="Unknown","Unknown code",IF(AND(K1952="Yes",C1952=""),"Billable, needs client",IF(N1952&gt;MaxDayHours,"Over "&amp;MaxDayHours&amp;" hours that day","")))))</f>
        <v/>
      </c>
    </row>
    <row r="1953" customFormat="false" ht="15" hidden="false" customHeight="false" outlineLevel="0" collapsed="false">
      <c r="A1953" s="31"/>
      <c r="B1953" s="32"/>
      <c r="C1953" s="32"/>
      <c r="D1953" s="33"/>
      <c r="E1953" s="34"/>
      <c r="F1953" s="32"/>
      <c r="G1953" s="35" t="str">
        <f aca="false">IF(A1953="","",A1953+7-WEEKDAY(A1953))</f>
        <v/>
      </c>
      <c r="H1953" s="36" t="str">
        <f aca="false">IF(A1953="","",DATE(YEAR(A1953),MONTH(A1953),1))</f>
        <v/>
      </c>
      <c r="I1953" s="37" t="str">
        <f aca="false">IF(B1953="","",IFERROR(INDEX(st_ID,MATCH(B1953,st_Name,0)),"Unknown"))</f>
        <v/>
      </c>
      <c r="J1953" s="37" t="str">
        <f aca="false">IF(C1953="","",IFERROR(INDEX(cl_Code,MATCH(C1953,cl_Name,0)),"Unknown"))</f>
        <v/>
      </c>
      <c r="K1953" s="37" t="str">
        <f aca="false">IF(D1953="","",IFERROR(INDEX(rt_Billable,MATCH(D1953,rt_Code,0)),"Unknown"))</f>
        <v/>
      </c>
      <c r="L1953" s="38" t="str">
        <f aca="false">IF(K1953&lt;&gt;"Yes","",IFERROR(INDEX(cr_Rate,MATCH(J1953&amp;"|"&amp;D1953,cr_Key,0)),INDEX(rt_Rate,MATCH(D1953,rt_Code,0))))</f>
        <v/>
      </c>
      <c r="M1953" s="25" t="str">
        <f aca="false">IF(L1953="","",ROUND(N(E1953)*L1953,2))</f>
        <v/>
      </c>
      <c r="N1953" s="39" t="str">
        <f aca="false">IF(OR(A1953="",B1953=""),"",SUMIFS(tl_Hours,tl_StaffID,I1953,tl_Date,A1953))</f>
        <v/>
      </c>
      <c r="O1953" s="40" t="str">
        <f aca="false">IF(A1953&amp;B1953&amp;D1953="","",IF(OR(A1953="",B1953="",D1953="",E1953=""),"Incomplete",IF(K1953="Unknown","Unknown code",IF(AND(K1953="Yes",C1953=""),"Billable, needs client",IF(N1953&gt;MaxDayHours,"Over "&amp;MaxDayHours&amp;" hours that day","")))))</f>
        <v/>
      </c>
    </row>
    <row r="1954" customFormat="false" ht="15" hidden="false" customHeight="false" outlineLevel="0" collapsed="false">
      <c r="A1954" s="31"/>
      <c r="B1954" s="32"/>
      <c r="C1954" s="32"/>
      <c r="D1954" s="33"/>
      <c r="E1954" s="34"/>
      <c r="F1954" s="32"/>
      <c r="G1954" s="35" t="str">
        <f aca="false">IF(A1954="","",A1954+7-WEEKDAY(A1954))</f>
        <v/>
      </c>
      <c r="H1954" s="36" t="str">
        <f aca="false">IF(A1954="","",DATE(YEAR(A1954),MONTH(A1954),1))</f>
        <v/>
      </c>
      <c r="I1954" s="37" t="str">
        <f aca="false">IF(B1954="","",IFERROR(INDEX(st_ID,MATCH(B1954,st_Name,0)),"Unknown"))</f>
        <v/>
      </c>
      <c r="J1954" s="37" t="str">
        <f aca="false">IF(C1954="","",IFERROR(INDEX(cl_Code,MATCH(C1954,cl_Name,0)),"Unknown"))</f>
        <v/>
      </c>
      <c r="K1954" s="37" t="str">
        <f aca="false">IF(D1954="","",IFERROR(INDEX(rt_Billable,MATCH(D1954,rt_Code,0)),"Unknown"))</f>
        <v/>
      </c>
      <c r="L1954" s="38" t="str">
        <f aca="false">IF(K1954&lt;&gt;"Yes","",IFERROR(INDEX(cr_Rate,MATCH(J1954&amp;"|"&amp;D1954,cr_Key,0)),INDEX(rt_Rate,MATCH(D1954,rt_Code,0))))</f>
        <v/>
      </c>
      <c r="M1954" s="25" t="str">
        <f aca="false">IF(L1954="","",ROUND(N(E1954)*L1954,2))</f>
        <v/>
      </c>
      <c r="N1954" s="39" t="str">
        <f aca="false">IF(OR(A1954="",B1954=""),"",SUMIFS(tl_Hours,tl_StaffID,I1954,tl_Date,A1954))</f>
        <v/>
      </c>
      <c r="O1954" s="40" t="str">
        <f aca="false">IF(A1954&amp;B1954&amp;D1954="","",IF(OR(A1954="",B1954="",D1954="",E1954=""),"Incomplete",IF(K1954="Unknown","Unknown code",IF(AND(K1954="Yes",C1954=""),"Billable, needs client",IF(N1954&gt;MaxDayHours,"Over "&amp;MaxDayHours&amp;" hours that day","")))))</f>
        <v/>
      </c>
    </row>
    <row r="1955" customFormat="false" ht="15" hidden="false" customHeight="false" outlineLevel="0" collapsed="false">
      <c r="A1955" s="31"/>
      <c r="B1955" s="32"/>
      <c r="C1955" s="32"/>
      <c r="D1955" s="33"/>
      <c r="E1955" s="34"/>
      <c r="F1955" s="32"/>
      <c r="G1955" s="35" t="str">
        <f aca="false">IF(A1955="","",A1955+7-WEEKDAY(A1955))</f>
        <v/>
      </c>
      <c r="H1955" s="36" t="str">
        <f aca="false">IF(A1955="","",DATE(YEAR(A1955),MONTH(A1955),1))</f>
        <v/>
      </c>
      <c r="I1955" s="37" t="str">
        <f aca="false">IF(B1955="","",IFERROR(INDEX(st_ID,MATCH(B1955,st_Name,0)),"Unknown"))</f>
        <v/>
      </c>
      <c r="J1955" s="37" t="str">
        <f aca="false">IF(C1955="","",IFERROR(INDEX(cl_Code,MATCH(C1955,cl_Name,0)),"Unknown"))</f>
        <v/>
      </c>
      <c r="K1955" s="37" t="str">
        <f aca="false">IF(D1955="","",IFERROR(INDEX(rt_Billable,MATCH(D1955,rt_Code,0)),"Unknown"))</f>
        <v/>
      </c>
      <c r="L1955" s="38" t="str">
        <f aca="false">IF(K1955&lt;&gt;"Yes","",IFERROR(INDEX(cr_Rate,MATCH(J1955&amp;"|"&amp;D1955,cr_Key,0)),INDEX(rt_Rate,MATCH(D1955,rt_Code,0))))</f>
        <v/>
      </c>
      <c r="M1955" s="25" t="str">
        <f aca="false">IF(L1955="","",ROUND(N(E1955)*L1955,2))</f>
        <v/>
      </c>
      <c r="N1955" s="39" t="str">
        <f aca="false">IF(OR(A1955="",B1955=""),"",SUMIFS(tl_Hours,tl_StaffID,I1955,tl_Date,A1955))</f>
        <v/>
      </c>
      <c r="O1955" s="40" t="str">
        <f aca="false">IF(A1955&amp;B1955&amp;D1955="","",IF(OR(A1955="",B1955="",D1955="",E1955=""),"Incomplete",IF(K1955="Unknown","Unknown code",IF(AND(K1955="Yes",C1955=""),"Billable, needs client",IF(N1955&gt;MaxDayHours,"Over "&amp;MaxDayHours&amp;" hours that day","")))))</f>
        <v/>
      </c>
    </row>
    <row r="1956" customFormat="false" ht="15" hidden="false" customHeight="false" outlineLevel="0" collapsed="false">
      <c r="A1956" s="31"/>
      <c r="B1956" s="32"/>
      <c r="C1956" s="32"/>
      <c r="D1956" s="33"/>
      <c r="E1956" s="34"/>
      <c r="F1956" s="32"/>
      <c r="G1956" s="35" t="str">
        <f aca="false">IF(A1956="","",A1956+7-WEEKDAY(A1956))</f>
        <v/>
      </c>
      <c r="H1956" s="36" t="str">
        <f aca="false">IF(A1956="","",DATE(YEAR(A1956),MONTH(A1956),1))</f>
        <v/>
      </c>
      <c r="I1956" s="37" t="str">
        <f aca="false">IF(B1956="","",IFERROR(INDEX(st_ID,MATCH(B1956,st_Name,0)),"Unknown"))</f>
        <v/>
      </c>
      <c r="J1956" s="37" t="str">
        <f aca="false">IF(C1956="","",IFERROR(INDEX(cl_Code,MATCH(C1956,cl_Name,0)),"Unknown"))</f>
        <v/>
      </c>
      <c r="K1956" s="37" t="str">
        <f aca="false">IF(D1956="","",IFERROR(INDEX(rt_Billable,MATCH(D1956,rt_Code,0)),"Unknown"))</f>
        <v/>
      </c>
      <c r="L1956" s="38" t="str">
        <f aca="false">IF(K1956&lt;&gt;"Yes","",IFERROR(INDEX(cr_Rate,MATCH(J1956&amp;"|"&amp;D1956,cr_Key,0)),INDEX(rt_Rate,MATCH(D1956,rt_Code,0))))</f>
        <v/>
      </c>
      <c r="M1956" s="25" t="str">
        <f aca="false">IF(L1956="","",ROUND(N(E1956)*L1956,2))</f>
        <v/>
      </c>
      <c r="N1956" s="39" t="str">
        <f aca="false">IF(OR(A1956="",B1956=""),"",SUMIFS(tl_Hours,tl_StaffID,I1956,tl_Date,A1956))</f>
        <v/>
      </c>
      <c r="O1956" s="40" t="str">
        <f aca="false">IF(A1956&amp;B1956&amp;D1956="","",IF(OR(A1956="",B1956="",D1956="",E1956=""),"Incomplete",IF(K1956="Unknown","Unknown code",IF(AND(K1956="Yes",C1956=""),"Billable, needs client",IF(N1956&gt;MaxDayHours,"Over "&amp;MaxDayHours&amp;" hours that day","")))))</f>
        <v/>
      </c>
    </row>
    <row r="1957" customFormat="false" ht="15" hidden="false" customHeight="false" outlineLevel="0" collapsed="false">
      <c r="A1957" s="31"/>
      <c r="B1957" s="32"/>
      <c r="C1957" s="32"/>
      <c r="D1957" s="33"/>
      <c r="E1957" s="34"/>
      <c r="F1957" s="32"/>
      <c r="G1957" s="35" t="str">
        <f aca="false">IF(A1957="","",A1957+7-WEEKDAY(A1957))</f>
        <v/>
      </c>
      <c r="H1957" s="36" t="str">
        <f aca="false">IF(A1957="","",DATE(YEAR(A1957),MONTH(A1957),1))</f>
        <v/>
      </c>
      <c r="I1957" s="37" t="str">
        <f aca="false">IF(B1957="","",IFERROR(INDEX(st_ID,MATCH(B1957,st_Name,0)),"Unknown"))</f>
        <v/>
      </c>
      <c r="J1957" s="37" t="str">
        <f aca="false">IF(C1957="","",IFERROR(INDEX(cl_Code,MATCH(C1957,cl_Name,0)),"Unknown"))</f>
        <v/>
      </c>
      <c r="K1957" s="37" t="str">
        <f aca="false">IF(D1957="","",IFERROR(INDEX(rt_Billable,MATCH(D1957,rt_Code,0)),"Unknown"))</f>
        <v/>
      </c>
      <c r="L1957" s="38" t="str">
        <f aca="false">IF(K1957&lt;&gt;"Yes","",IFERROR(INDEX(cr_Rate,MATCH(J1957&amp;"|"&amp;D1957,cr_Key,0)),INDEX(rt_Rate,MATCH(D1957,rt_Code,0))))</f>
        <v/>
      </c>
      <c r="M1957" s="25" t="str">
        <f aca="false">IF(L1957="","",ROUND(N(E1957)*L1957,2))</f>
        <v/>
      </c>
      <c r="N1957" s="39" t="str">
        <f aca="false">IF(OR(A1957="",B1957=""),"",SUMIFS(tl_Hours,tl_StaffID,I1957,tl_Date,A1957))</f>
        <v/>
      </c>
      <c r="O1957" s="40" t="str">
        <f aca="false">IF(A1957&amp;B1957&amp;D1957="","",IF(OR(A1957="",B1957="",D1957="",E1957=""),"Incomplete",IF(K1957="Unknown","Unknown code",IF(AND(K1957="Yes",C1957=""),"Billable, needs client",IF(N1957&gt;MaxDayHours,"Over "&amp;MaxDayHours&amp;" hours that day","")))))</f>
        <v/>
      </c>
    </row>
    <row r="1958" customFormat="false" ht="15" hidden="false" customHeight="false" outlineLevel="0" collapsed="false">
      <c r="A1958" s="31"/>
      <c r="B1958" s="32"/>
      <c r="C1958" s="32"/>
      <c r="D1958" s="33"/>
      <c r="E1958" s="34"/>
      <c r="F1958" s="32"/>
      <c r="G1958" s="35" t="str">
        <f aca="false">IF(A1958="","",A1958+7-WEEKDAY(A1958))</f>
        <v/>
      </c>
      <c r="H1958" s="36" t="str">
        <f aca="false">IF(A1958="","",DATE(YEAR(A1958),MONTH(A1958),1))</f>
        <v/>
      </c>
      <c r="I1958" s="37" t="str">
        <f aca="false">IF(B1958="","",IFERROR(INDEX(st_ID,MATCH(B1958,st_Name,0)),"Unknown"))</f>
        <v/>
      </c>
      <c r="J1958" s="37" t="str">
        <f aca="false">IF(C1958="","",IFERROR(INDEX(cl_Code,MATCH(C1958,cl_Name,0)),"Unknown"))</f>
        <v/>
      </c>
      <c r="K1958" s="37" t="str">
        <f aca="false">IF(D1958="","",IFERROR(INDEX(rt_Billable,MATCH(D1958,rt_Code,0)),"Unknown"))</f>
        <v/>
      </c>
      <c r="L1958" s="38" t="str">
        <f aca="false">IF(K1958&lt;&gt;"Yes","",IFERROR(INDEX(cr_Rate,MATCH(J1958&amp;"|"&amp;D1958,cr_Key,0)),INDEX(rt_Rate,MATCH(D1958,rt_Code,0))))</f>
        <v/>
      </c>
      <c r="M1958" s="25" t="str">
        <f aca="false">IF(L1958="","",ROUND(N(E1958)*L1958,2))</f>
        <v/>
      </c>
      <c r="N1958" s="39" t="str">
        <f aca="false">IF(OR(A1958="",B1958=""),"",SUMIFS(tl_Hours,tl_StaffID,I1958,tl_Date,A1958))</f>
        <v/>
      </c>
      <c r="O1958" s="40" t="str">
        <f aca="false">IF(A1958&amp;B1958&amp;D1958="","",IF(OR(A1958="",B1958="",D1958="",E1958=""),"Incomplete",IF(K1958="Unknown","Unknown code",IF(AND(K1958="Yes",C1958=""),"Billable, needs client",IF(N1958&gt;MaxDayHours,"Over "&amp;MaxDayHours&amp;" hours that day","")))))</f>
        <v/>
      </c>
    </row>
    <row r="1959" customFormat="false" ht="15" hidden="false" customHeight="false" outlineLevel="0" collapsed="false">
      <c r="A1959" s="31"/>
      <c r="B1959" s="32"/>
      <c r="C1959" s="32"/>
      <c r="D1959" s="33"/>
      <c r="E1959" s="34"/>
      <c r="F1959" s="32"/>
      <c r="G1959" s="35" t="str">
        <f aca="false">IF(A1959="","",A1959+7-WEEKDAY(A1959))</f>
        <v/>
      </c>
      <c r="H1959" s="36" t="str">
        <f aca="false">IF(A1959="","",DATE(YEAR(A1959),MONTH(A1959),1))</f>
        <v/>
      </c>
      <c r="I1959" s="37" t="str">
        <f aca="false">IF(B1959="","",IFERROR(INDEX(st_ID,MATCH(B1959,st_Name,0)),"Unknown"))</f>
        <v/>
      </c>
      <c r="J1959" s="37" t="str">
        <f aca="false">IF(C1959="","",IFERROR(INDEX(cl_Code,MATCH(C1959,cl_Name,0)),"Unknown"))</f>
        <v/>
      </c>
      <c r="K1959" s="37" t="str">
        <f aca="false">IF(D1959="","",IFERROR(INDEX(rt_Billable,MATCH(D1959,rt_Code,0)),"Unknown"))</f>
        <v/>
      </c>
      <c r="L1959" s="38" t="str">
        <f aca="false">IF(K1959&lt;&gt;"Yes","",IFERROR(INDEX(cr_Rate,MATCH(J1959&amp;"|"&amp;D1959,cr_Key,0)),INDEX(rt_Rate,MATCH(D1959,rt_Code,0))))</f>
        <v/>
      </c>
      <c r="M1959" s="25" t="str">
        <f aca="false">IF(L1959="","",ROUND(N(E1959)*L1959,2))</f>
        <v/>
      </c>
      <c r="N1959" s="39" t="str">
        <f aca="false">IF(OR(A1959="",B1959=""),"",SUMIFS(tl_Hours,tl_StaffID,I1959,tl_Date,A1959))</f>
        <v/>
      </c>
      <c r="O1959" s="40" t="str">
        <f aca="false">IF(A1959&amp;B1959&amp;D1959="","",IF(OR(A1959="",B1959="",D1959="",E1959=""),"Incomplete",IF(K1959="Unknown","Unknown code",IF(AND(K1959="Yes",C1959=""),"Billable, needs client",IF(N1959&gt;MaxDayHours,"Over "&amp;MaxDayHours&amp;" hours that day","")))))</f>
        <v/>
      </c>
    </row>
    <row r="1960" customFormat="false" ht="15" hidden="false" customHeight="false" outlineLevel="0" collapsed="false">
      <c r="A1960" s="31"/>
      <c r="B1960" s="32"/>
      <c r="C1960" s="32"/>
      <c r="D1960" s="33"/>
      <c r="E1960" s="34"/>
      <c r="F1960" s="32"/>
      <c r="G1960" s="35" t="str">
        <f aca="false">IF(A1960="","",A1960+7-WEEKDAY(A1960))</f>
        <v/>
      </c>
      <c r="H1960" s="36" t="str">
        <f aca="false">IF(A1960="","",DATE(YEAR(A1960),MONTH(A1960),1))</f>
        <v/>
      </c>
      <c r="I1960" s="37" t="str">
        <f aca="false">IF(B1960="","",IFERROR(INDEX(st_ID,MATCH(B1960,st_Name,0)),"Unknown"))</f>
        <v/>
      </c>
      <c r="J1960" s="37" t="str">
        <f aca="false">IF(C1960="","",IFERROR(INDEX(cl_Code,MATCH(C1960,cl_Name,0)),"Unknown"))</f>
        <v/>
      </c>
      <c r="K1960" s="37" t="str">
        <f aca="false">IF(D1960="","",IFERROR(INDEX(rt_Billable,MATCH(D1960,rt_Code,0)),"Unknown"))</f>
        <v/>
      </c>
      <c r="L1960" s="38" t="str">
        <f aca="false">IF(K1960&lt;&gt;"Yes","",IFERROR(INDEX(cr_Rate,MATCH(J1960&amp;"|"&amp;D1960,cr_Key,0)),INDEX(rt_Rate,MATCH(D1960,rt_Code,0))))</f>
        <v/>
      </c>
      <c r="M1960" s="25" t="str">
        <f aca="false">IF(L1960="","",ROUND(N(E1960)*L1960,2))</f>
        <v/>
      </c>
      <c r="N1960" s="39" t="str">
        <f aca="false">IF(OR(A1960="",B1960=""),"",SUMIFS(tl_Hours,tl_StaffID,I1960,tl_Date,A1960))</f>
        <v/>
      </c>
      <c r="O1960" s="40" t="str">
        <f aca="false">IF(A1960&amp;B1960&amp;D1960="","",IF(OR(A1960="",B1960="",D1960="",E1960=""),"Incomplete",IF(K1960="Unknown","Unknown code",IF(AND(K1960="Yes",C1960=""),"Billable, needs client",IF(N1960&gt;MaxDayHours,"Over "&amp;MaxDayHours&amp;" hours that day","")))))</f>
        <v/>
      </c>
    </row>
    <row r="1961" customFormat="false" ht="15" hidden="false" customHeight="false" outlineLevel="0" collapsed="false">
      <c r="A1961" s="31"/>
      <c r="B1961" s="32"/>
      <c r="C1961" s="32"/>
      <c r="D1961" s="33"/>
      <c r="E1961" s="34"/>
      <c r="F1961" s="32"/>
      <c r="G1961" s="35" t="str">
        <f aca="false">IF(A1961="","",A1961+7-WEEKDAY(A1961))</f>
        <v/>
      </c>
      <c r="H1961" s="36" t="str">
        <f aca="false">IF(A1961="","",DATE(YEAR(A1961),MONTH(A1961),1))</f>
        <v/>
      </c>
      <c r="I1961" s="37" t="str">
        <f aca="false">IF(B1961="","",IFERROR(INDEX(st_ID,MATCH(B1961,st_Name,0)),"Unknown"))</f>
        <v/>
      </c>
      <c r="J1961" s="37" t="str">
        <f aca="false">IF(C1961="","",IFERROR(INDEX(cl_Code,MATCH(C1961,cl_Name,0)),"Unknown"))</f>
        <v/>
      </c>
      <c r="K1961" s="37" t="str">
        <f aca="false">IF(D1961="","",IFERROR(INDEX(rt_Billable,MATCH(D1961,rt_Code,0)),"Unknown"))</f>
        <v/>
      </c>
      <c r="L1961" s="38" t="str">
        <f aca="false">IF(K1961&lt;&gt;"Yes","",IFERROR(INDEX(cr_Rate,MATCH(J1961&amp;"|"&amp;D1961,cr_Key,0)),INDEX(rt_Rate,MATCH(D1961,rt_Code,0))))</f>
        <v/>
      </c>
      <c r="M1961" s="25" t="str">
        <f aca="false">IF(L1961="","",ROUND(N(E1961)*L1961,2))</f>
        <v/>
      </c>
      <c r="N1961" s="39" t="str">
        <f aca="false">IF(OR(A1961="",B1961=""),"",SUMIFS(tl_Hours,tl_StaffID,I1961,tl_Date,A1961))</f>
        <v/>
      </c>
      <c r="O1961" s="40" t="str">
        <f aca="false">IF(A1961&amp;B1961&amp;D1961="","",IF(OR(A1961="",B1961="",D1961="",E1961=""),"Incomplete",IF(K1961="Unknown","Unknown code",IF(AND(K1961="Yes",C1961=""),"Billable, needs client",IF(N1961&gt;MaxDayHours,"Over "&amp;MaxDayHours&amp;" hours that day","")))))</f>
        <v/>
      </c>
    </row>
    <row r="1962" customFormat="false" ht="15" hidden="false" customHeight="false" outlineLevel="0" collapsed="false">
      <c r="A1962" s="31"/>
      <c r="B1962" s="32"/>
      <c r="C1962" s="32"/>
      <c r="D1962" s="33"/>
      <c r="E1962" s="34"/>
      <c r="F1962" s="32"/>
      <c r="G1962" s="35" t="str">
        <f aca="false">IF(A1962="","",A1962+7-WEEKDAY(A1962))</f>
        <v/>
      </c>
      <c r="H1962" s="36" t="str">
        <f aca="false">IF(A1962="","",DATE(YEAR(A1962),MONTH(A1962),1))</f>
        <v/>
      </c>
      <c r="I1962" s="37" t="str">
        <f aca="false">IF(B1962="","",IFERROR(INDEX(st_ID,MATCH(B1962,st_Name,0)),"Unknown"))</f>
        <v/>
      </c>
      <c r="J1962" s="37" t="str">
        <f aca="false">IF(C1962="","",IFERROR(INDEX(cl_Code,MATCH(C1962,cl_Name,0)),"Unknown"))</f>
        <v/>
      </c>
      <c r="K1962" s="37" t="str">
        <f aca="false">IF(D1962="","",IFERROR(INDEX(rt_Billable,MATCH(D1962,rt_Code,0)),"Unknown"))</f>
        <v/>
      </c>
      <c r="L1962" s="38" t="str">
        <f aca="false">IF(K1962&lt;&gt;"Yes","",IFERROR(INDEX(cr_Rate,MATCH(J1962&amp;"|"&amp;D1962,cr_Key,0)),INDEX(rt_Rate,MATCH(D1962,rt_Code,0))))</f>
        <v/>
      </c>
      <c r="M1962" s="25" t="str">
        <f aca="false">IF(L1962="","",ROUND(N(E1962)*L1962,2))</f>
        <v/>
      </c>
      <c r="N1962" s="39" t="str">
        <f aca="false">IF(OR(A1962="",B1962=""),"",SUMIFS(tl_Hours,tl_StaffID,I1962,tl_Date,A1962))</f>
        <v/>
      </c>
      <c r="O1962" s="40" t="str">
        <f aca="false">IF(A1962&amp;B1962&amp;D1962="","",IF(OR(A1962="",B1962="",D1962="",E1962=""),"Incomplete",IF(K1962="Unknown","Unknown code",IF(AND(K1962="Yes",C1962=""),"Billable, needs client",IF(N1962&gt;MaxDayHours,"Over "&amp;MaxDayHours&amp;" hours that day","")))))</f>
        <v/>
      </c>
    </row>
    <row r="1963" customFormat="false" ht="15" hidden="false" customHeight="false" outlineLevel="0" collapsed="false">
      <c r="A1963" s="31"/>
      <c r="B1963" s="32"/>
      <c r="C1963" s="32"/>
      <c r="D1963" s="33"/>
      <c r="E1963" s="34"/>
      <c r="F1963" s="32"/>
      <c r="G1963" s="35" t="str">
        <f aca="false">IF(A1963="","",A1963+7-WEEKDAY(A1963))</f>
        <v/>
      </c>
      <c r="H1963" s="36" t="str">
        <f aca="false">IF(A1963="","",DATE(YEAR(A1963),MONTH(A1963),1))</f>
        <v/>
      </c>
      <c r="I1963" s="37" t="str">
        <f aca="false">IF(B1963="","",IFERROR(INDEX(st_ID,MATCH(B1963,st_Name,0)),"Unknown"))</f>
        <v/>
      </c>
      <c r="J1963" s="37" t="str">
        <f aca="false">IF(C1963="","",IFERROR(INDEX(cl_Code,MATCH(C1963,cl_Name,0)),"Unknown"))</f>
        <v/>
      </c>
      <c r="K1963" s="37" t="str">
        <f aca="false">IF(D1963="","",IFERROR(INDEX(rt_Billable,MATCH(D1963,rt_Code,0)),"Unknown"))</f>
        <v/>
      </c>
      <c r="L1963" s="38" t="str">
        <f aca="false">IF(K1963&lt;&gt;"Yes","",IFERROR(INDEX(cr_Rate,MATCH(J1963&amp;"|"&amp;D1963,cr_Key,0)),INDEX(rt_Rate,MATCH(D1963,rt_Code,0))))</f>
        <v/>
      </c>
      <c r="M1963" s="25" t="str">
        <f aca="false">IF(L1963="","",ROUND(N(E1963)*L1963,2))</f>
        <v/>
      </c>
      <c r="N1963" s="39" t="str">
        <f aca="false">IF(OR(A1963="",B1963=""),"",SUMIFS(tl_Hours,tl_StaffID,I1963,tl_Date,A1963))</f>
        <v/>
      </c>
      <c r="O1963" s="40" t="str">
        <f aca="false">IF(A1963&amp;B1963&amp;D1963="","",IF(OR(A1963="",B1963="",D1963="",E1963=""),"Incomplete",IF(K1963="Unknown","Unknown code",IF(AND(K1963="Yes",C1963=""),"Billable, needs client",IF(N1963&gt;MaxDayHours,"Over "&amp;MaxDayHours&amp;" hours that day","")))))</f>
        <v/>
      </c>
    </row>
    <row r="1964" customFormat="false" ht="15" hidden="false" customHeight="false" outlineLevel="0" collapsed="false">
      <c r="A1964" s="31"/>
      <c r="B1964" s="32"/>
      <c r="C1964" s="32"/>
      <c r="D1964" s="33"/>
      <c r="E1964" s="34"/>
      <c r="F1964" s="32"/>
      <c r="G1964" s="35" t="str">
        <f aca="false">IF(A1964="","",A1964+7-WEEKDAY(A1964))</f>
        <v/>
      </c>
      <c r="H1964" s="36" t="str">
        <f aca="false">IF(A1964="","",DATE(YEAR(A1964),MONTH(A1964),1))</f>
        <v/>
      </c>
      <c r="I1964" s="37" t="str">
        <f aca="false">IF(B1964="","",IFERROR(INDEX(st_ID,MATCH(B1964,st_Name,0)),"Unknown"))</f>
        <v/>
      </c>
      <c r="J1964" s="37" t="str">
        <f aca="false">IF(C1964="","",IFERROR(INDEX(cl_Code,MATCH(C1964,cl_Name,0)),"Unknown"))</f>
        <v/>
      </c>
      <c r="K1964" s="37" t="str">
        <f aca="false">IF(D1964="","",IFERROR(INDEX(rt_Billable,MATCH(D1964,rt_Code,0)),"Unknown"))</f>
        <v/>
      </c>
      <c r="L1964" s="38" t="str">
        <f aca="false">IF(K1964&lt;&gt;"Yes","",IFERROR(INDEX(cr_Rate,MATCH(J1964&amp;"|"&amp;D1964,cr_Key,0)),INDEX(rt_Rate,MATCH(D1964,rt_Code,0))))</f>
        <v/>
      </c>
      <c r="M1964" s="25" t="str">
        <f aca="false">IF(L1964="","",ROUND(N(E1964)*L1964,2))</f>
        <v/>
      </c>
      <c r="N1964" s="39" t="str">
        <f aca="false">IF(OR(A1964="",B1964=""),"",SUMIFS(tl_Hours,tl_StaffID,I1964,tl_Date,A1964))</f>
        <v/>
      </c>
      <c r="O1964" s="40" t="str">
        <f aca="false">IF(A1964&amp;B1964&amp;D1964="","",IF(OR(A1964="",B1964="",D1964="",E1964=""),"Incomplete",IF(K1964="Unknown","Unknown code",IF(AND(K1964="Yes",C1964=""),"Billable, needs client",IF(N1964&gt;MaxDayHours,"Over "&amp;MaxDayHours&amp;" hours that day","")))))</f>
        <v/>
      </c>
    </row>
    <row r="1965" customFormat="false" ht="15" hidden="false" customHeight="false" outlineLevel="0" collapsed="false">
      <c r="A1965" s="31"/>
      <c r="B1965" s="32"/>
      <c r="C1965" s="32"/>
      <c r="D1965" s="33"/>
      <c r="E1965" s="34"/>
      <c r="F1965" s="32"/>
      <c r="G1965" s="35" t="str">
        <f aca="false">IF(A1965="","",A1965+7-WEEKDAY(A1965))</f>
        <v/>
      </c>
      <c r="H1965" s="36" t="str">
        <f aca="false">IF(A1965="","",DATE(YEAR(A1965),MONTH(A1965),1))</f>
        <v/>
      </c>
      <c r="I1965" s="37" t="str">
        <f aca="false">IF(B1965="","",IFERROR(INDEX(st_ID,MATCH(B1965,st_Name,0)),"Unknown"))</f>
        <v/>
      </c>
      <c r="J1965" s="37" t="str">
        <f aca="false">IF(C1965="","",IFERROR(INDEX(cl_Code,MATCH(C1965,cl_Name,0)),"Unknown"))</f>
        <v/>
      </c>
      <c r="K1965" s="37" t="str">
        <f aca="false">IF(D1965="","",IFERROR(INDEX(rt_Billable,MATCH(D1965,rt_Code,0)),"Unknown"))</f>
        <v/>
      </c>
      <c r="L1965" s="38" t="str">
        <f aca="false">IF(K1965&lt;&gt;"Yes","",IFERROR(INDEX(cr_Rate,MATCH(J1965&amp;"|"&amp;D1965,cr_Key,0)),INDEX(rt_Rate,MATCH(D1965,rt_Code,0))))</f>
        <v/>
      </c>
      <c r="M1965" s="25" t="str">
        <f aca="false">IF(L1965="","",ROUND(N(E1965)*L1965,2))</f>
        <v/>
      </c>
      <c r="N1965" s="39" t="str">
        <f aca="false">IF(OR(A1965="",B1965=""),"",SUMIFS(tl_Hours,tl_StaffID,I1965,tl_Date,A1965))</f>
        <v/>
      </c>
      <c r="O1965" s="40" t="str">
        <f aca="false">IF(A1965&amp;B1965&amp;D1965="","",IF(OR(A1965="",B1965="",D1965="",E1965=""),"Incomplete",IF(K1965="Unknown","Unknown code",IF(AND(K1965="Yes",C1965=""),"Billable, needs client",IF(N1965&gt;MaxDayHours,"Over "&amp;MaxDayHours&amp;" hours that day","")))))</f>
        <v/>
      </c>
    </row>
    <row r="1966" customFormat="false" ht="15" hidden="false" customHeight="false" outlineLevel="0" collapsed="false">
      <c r="A1966" s="31"/>
      <c r="B1966" s="32"/>
      <c r="C1966" s="32"/>
      <c r="D1966" s="33"/>
      <c r="E1966" s="34"/>
      <c r="F1966" s="32"/>
      <c r="G1966" s="35" t="str">
        <f aca="false">IF(A1966="","",A1966+7-WEEKDAY(A1966))</f>
        <v/>
      </c>
      <c r="H1966" s="36" t="str">
        <f aca="false">IF(A1966="","",DATE(YEAR(A1966),MONTH(A1966),1))</f>
        <v/>
      </c>
      <c r="I1966" s="37" t="str">
        <f aca="false">IF(B1966="","",IFERROR(INDEX(st_ID,MATCH(B1966,st_Name,0)),"Unknown"))</f>
        <v/>
      </c>
      <c r="J1966" s="37" t="str">
        <f aca="false">IF(C1966="","",IFERROR(INDEX(cl_Code,MATCH(C1966,cl_Name,0)),"Unknown"))</f>
        <v/>
      </c>
      <c r="K1966" s="37" t="str">
        <f aca="false">IF(D1966="","",IFERROR(INDEX(rt_Billable,MATCH(D1966,rt_Code,0)),"Unknown"))</f>
        <v/>
      </c>
      <c r="L1966" s="38" t="str">
        <f aca="false">IF(K1966&lt;&gt;"Yes","",IFERROR(INDEX(cr_Rate,MATCH(J1966&amp;"|"&amp;D1966,cr_Key,0)),INDEX(rt_Rate,MATCH(D1966,rt_Code,0))))</f>
        <v/>
      </c>
      <c r="M1966" s="25" t="str">
        <f aca="false">IF(L1966="","",ROUND(N(E1966)*L1966,2))</f>
        <v/>
      </c>
      <c r="N1966" s="39" t="str">
        <f aca="false">IF(OR(A1966="",B1966=""),"",SUMIFS(tl_Hours,tl_StaffID,I1966,tl_Date,A1966))</f>
        <v/>
      </c>
      <c r="O1966" s="40" t="str">
        <f aca="false">IF(A1966&amp;B1966&amp;D1966="","",IF(OR(A1966="",B1966="",D1966="",E1966=""),"Incomplete",IF(K1966="Unknown","Unknown code",IF(AND(K1966="Yes",C1966=""),"Billable, needs client",IF(N1966&gt;MaxDayHours,"Over "&amp;MaxDayHours&amp;" hours that day","")))))</f>
        <v/>
      </c>
    </row>
    <row r="1967" customFormat="false" ht="15" hidden="false" customHeight="false" outlineLevel="0" collapsed="false">
      <c r="A1967" s="31"/>
      <c r="B1967" s="32"/>
      <c r="C1967" s="32"/>
      <c r="D1967" s="33"/>
      <c r="E1967" s="34"/>
      <c r="F1967" s="32"/>
      <c r="G1967" s="35" t="str">
        <f aca="false">IF(A1967="","",A1967+7-WEEKDAY(A1967))</f>
        <v/>
      </c>
      <c r="H1967" s="36" t="str">
        <f aca="false">IF(A1967="","",DATE(YEAR(A1967),MONTH(A1967),1))</f>
        <v/>
      </c>
      <c r="I1967" s="37" t="str">
        <f aca="false">IF(B1967="","",IFERROR(INDEX(st_ID,MATCH(B1967,st_Name,0)),"Unknown"))</f>
        <v/>
      </c>
      <c r="J1967" s="37" t="str">
        <f aca="false">IF(C1967="","",IFERROR(INDEX(cl_Code,MATCH(C1967,cl_Name,0)),"Unknown"))</f>
        <v/>
      </c>
      <c r="K1967" s="37" t="str">
        <f aca="false">IF(D1967="","",IFERROR(INDEX(rt_Billable,MATCH(D1967,rt_Code,0)),"Unknown"))</f>
        <v/>
      </c>
      <c r="L1967" s="38" t="str">
        <f aca="false">IF(K1967&lt;&gt;"Yes","",IFERROR(INDEX(cr_Rate,MATCH(J1967&amp;"|"&amp;D1967,cr_Key,0)),INDEX(rt_Rate,MATCH(D1967,rt_Code,0))))</f>
        <v/>
      </c>
      <c r="M1967" s="25" t="str">
        <f aca="false">IF(L1967="","",ROUND(N(E1967)*L1967,2))</f>
        <v/>
      </c>
      <c r="N1967" s="39" t="str">
        <f aca="false">IF(OR(A1967="",B1967=""),"",SUMIFS(tl_Hours,tl_StaffID,I1967,tl_Date,A1967))</f>
        <v/>
      </c>
      <c r="O1967" s="40" t="str">
        <f aca="false">IF(A1967&amp;B1967&amp;D1967="","",IF(OR(A1967="",B1967="",D1967="",E1967=""),"Incomplete",IF(K1967="Unknown","Unknown code",IF(AND(K1967="Yes",C1967=""),"Billable, needs client",IF(N1967&gt;MaxDayHours,"Over "&amp;MaxDayHours&amp;" hours that day","")))))</f>
        <v/>
      </c>
    </row>
    <row r="1968" customFormat="false" ht="15" hidden="false" customHeight="false" outlineLevel="0" collapsed="false">
      <c r="A1968" s="31"/>
      <c r="B1968" s="32"/>
      <c r="C1968" s="32"/>
      <c r="D1968" s="33"/>
      <c r="E1968" s="34"/>
      <c r="F1968" s="32"/>
      <c r="G1968" s="35" t="str">
        <f aca="false">IF(A1968="","",A1968+7-WEEKDAY(A1968))</f>
        <v/>
      </c>
      <c r="H1968" s="36" t="str">
        <f aca="false">IF(A1968="","",DATE(YEAR(A1968),MONTH(A1968),1))</f>
        <v/>
      </c>
      <c r="I1968" s="37" t="str">
        <f aca="false">IF(B1968="","",IFERROR(INDEX(st_ID,MATCH(B1968,st_Name,0)),"Unknown"))</f>
        <v/>
      </c>
      <c r="J1968" s="37" t="str">
        <f aca="false">IF(C1968="","",IFERROR(INDEX(cl_Code,MATCH(C1968,cl_Name,0)),"Unknown"))</f>
        <v/>
      </c>
      <c r="K1968" s="37" t="str">
        <f aca="false">IF(D1968="","",IFERROR(INDEX(rt_Billable,MATCH(D1968,rt_Code,0)),"Unknown"))</f>
        <v/>
      </c>
      <c r="L1968" s="38" t="str">
        <f aca="false">IF(K1968&lt;&gt;"Yes","",IFERROR(INDEX(cr_Rate,MATCH(J1968&amp;"|"&amp;D1968,cr_Key,0)),INDEX(rt_Rate,MATCH(D1968,rt_Code,0))))</f>
        <v/>
      </c>
      <c r="M1968" s="25" t="str">
        <f aca="false">IF(L1968="","",ROUND(N(E1968)*L1968,2))</f>
        <v/>
      </c>
      <c r="N1968" s="39" t="str">
        <f aca="false">IF(OR(A1968="",B1968=""),"",SUMIFS(tl_Hours,tl_StaffID,I1968,tl_Date,A1968))</f>
        <v/>
      </c>
      <c r="O1968" s="40" t="str">
        <f aca="false">IF(A1968&amp;B1968&amp;D1968="","",IF(OR(A1968="",B1968="",D1968="",E1968=""),"Incomplete",IF(K1968="Unknown","Unknown code",IF(AND(K1968="Yes",C1968=""),"Billable, needs client",IF(N1968&gt;MaxDayHours,"Over "&amp;MaxDayHours&amp;" hours that day","")))))</f>
        <v/>
      </c>
    </row>
    <row r="1969" customFormat="false" ht="15" hidden="false" customHeight="false" outlineLevel="0" collapsed="false">
      <c r="A1969" s="31"/>
      <c r="B1969" s="32"/>
      <c r="C1969" s="32"/>
      <c r="D1969" s="33"/>
      <c r="E1969" s="34"/>
      <c r="F1969" s="32"/>
      <c r="G1969" s="35" t="str">
        <f aca="false">IF(A1969="","",A1969+7-WEEKDAY(A1969))</f>
        <v/>
      </c>
      <c r="H1969" s="36" t="str">
        <f aca="false">IF(A1969="","",DATE(YEAR(A1969),MONTH(A1969),1))</f>
        <v/>
      </c>
      <c r="I1969" s="37" t="str">
        <f aca="false">IF(B1969="","",IFERROR(INDEX(st_ID,MATCH(B1969,st_Name,0)),"Unknown"))</f>
        <v/>
      </c>
      <c r="J1969" s="37" t="str">
        <f aca="false">IF(C1969="","",IFERROR(INDEX(cl_Code,MATCH(C1969,cl_Name,0)),"Unknown"))</f>
        <v/>
      </c>
      <c r="K1969" s="37" t="str">
        <f aca="false">IF(D1969="","",IFERROR(INDEX(rt_Billable,MATCH(D1969,rt_Code,0)),"Unknown"))</f>
        <v/>
      </c>
      <c r="L1969" s="38" t="str">
        <f aca="false">IF(K1969&lt;&gt;"Yes","",IFERROR(INDEX(cr_Rate,MATCH(J1969&amp;"|"&amp;D1969,cr_Key,0)),INDEX(rt_Rate,MATCH(D1969,rt_Code,0))))</f>
        <v/>
      </c>
      <c r="M1969" s="25" t="str">
        <f aca="false">IF(L1969="","",ROUND(N(E1969)*L1969,2))</f>
        <v/>
      </c>
      <c r="N1969" s="39" t="str">
        <f aca="false">IF(OR(A1969="",B1969=""),"",SUMIFS(tl_Hours,tl_StaffID,I1969,tl_Date,A1969))</f>
        <v/>
      </c>
      <c r="O1969" s="40" t="str">
        <f aca="false">IF(A1969&amp;B1969&amp;D1969="","",IF(OR(A1969="",B1969="",D1969="",E1969=""),"Incomplete",IF(K1969="Unknown","Unknown code",IF(AND(K1969="Yes",C1969=""),"Billable, needs client",IF(N1969&gt;MaxDayHours,"Over "&amp;MaxDayHours&amp;" hours that day","")))))</f>
        <v/>
      </c>
    </row>
    <row r="1970" customFormat="false" ht="15" hidden="false" customHeight="false" outlineLevel="0" collapsed="false">
      <c r="A1970" s="31"/>
      <c r="B1970" s="32"/>
      <c r="C1970" s="32"/>
      <c r="D1970" s="33"/>
      <c r="E1970" s="34"/>
      <c r="F1970" s="32"/>
      <c r="G1970" s="35" t="str">
        <f aca="false">IF(A1970="","",A1970+7-WEEKDAY(A1970))</f>
        <v/>
      </c>
      <c r="H1970" s="36" t="str">
        <f aca="false">IF(A1970="","",DATE(YEAR(A1970),MONTH(A1970),1))</f>
        <v/>
      </c>
      <c r="I1970" s="37" t="str">
        <f aca="false">IF(B1970="","",IFERROR(INDEX(st_ID,MATCH(B1970,st_Name,0)),"Unknown"))</f>
        <v/>
      </c>
      <c r="J1970" s="37" t="str">
        <f aca="false">IF(C1970="","",IFERROR(INDEX(cl_Code,MATCH(C1970,cl_Name,0)),"Unknown"))</f>
        <v/>
      </c>
      <c r="K1970" s="37" t="str">
        <f aca="false">IF(D1970="","",IFERROR(INDEX(rt_Billable,MATCH(D1970,rt_Code,0)),"Unknown"))</f>
        <v/>
      </c>
      <c r="L1970" s="38" t="str">
        <f aca="false">IF(K1970&lt;&gt;"Yes","",IFERROR(INDEX(cr_Rate,MATCH(J1970&amp;"|"&amp;D1970,cr_Key,0)),INDEX(rt_Rate,MATCH(D1970,rt_Code,0))))</f>
        <v/>
      </c>
      <c r="M1970" s="25" t="str">
        <f aca="false">IF(L1970="","",ROUND(N(E1970)*L1970,2))</f>
        <v/>
      </c>
      <c r="N1970" s="39" t="str">
        <f aca="false">IF(OR(A1970="",B1970=""),"",SUMIFS(tl_Hours,tl_StaffID,I1970,tl_Date,A1970))</f>
        <v/>
      </c>
      <c r="O1970" s="40" t="str">
        <f aca="false">IF(A1970&amp;B1970&amp;D1970="","",IF(OR(A1970="",B1970="",D1970="",E1970=""),"Incomplete",IF(K1970="Unknown","Unknown code",IF(AND(K1970="Yes",C1970=""),"Billable, needs client",IF(N1970&gt;MaxDayHours,"Over "&amp;MaxDayHours&amp;" hours that day","")))))</f>
        <v/>
      </c>
    </row>
    <row r="1971" customFormat="false" ht="15" hidden="false" customHeight="false" outlineLevel="0" collapsed="false">
      <c r="A1971" s="31"/>
      <c r="B1971" s="32"/>
      <c r="C1971" s="32"/>
      <c r="D1971" s="33"/>
      <c r="E1971" s="34"/>
      <c r="F1971" s="32"/>
      <c r="G1971" s="35" t="str">
        <f aca="false">IF(A1971="","",A1971+7-WEEKDAY(A1971))</f>
        <v/>
      </c>
      <c r="H1971" s="36" t="str">
        <f aca="false">IF(A1971="","",DATE(YEAR(A1971),MONTH(A1971),1))</f>
        <v/>
      </c>
      <c r="I1971" s="37" t="str">
        <f aca="false">IF(B1971="","",IFERROR(INDEX(st_ID,MATCH(B1971,st_Name,0)),"Unknown"))</f>
        <v/>
      </c>
      <c r="J1971" s="37" t="str">
        <f aca="false">IF(C1971="","",IFERROR(INDEX(cl_Code,MATCH(C1971,cl_Name,0)),"Unknown"))</f>
        <v/>
      </c>
      <c r="K1971" s="37" t="str">
        <f aca="false">IF(D1971="","",IFERROR(INDEX(rt_Billable,MATCH(D1971,rt_Code,0)),"Unknown"))</f>
        <v/>
      </c>
      <c r="L1971" s="38" t="str">
        <f aca="false">IF(K1971&lt;&gt;"Yes","",IFERROR(INDEX(cr_Rate,MATCH(J1971&amp;"|"&amp;D1971,cr_Key,0)),INDEX(rt_Rate,MATCH(D1971,rt_Code,0))))</f>
        <v/>
      </c>
      <c r="M1971" s="25" t="str">
        <f aca="false">IF(L1971="","",ROUND(N(E1971)*L1971,2))</f>
        <v/>
      </c>
      <c r="N1971" s="39" t="str">
        <f aca="false">IF(OR(A1971="",B1971=""),"",SUMIFS(tl_Hours,tl_StaffID,I1971,tl_Date,A1971))</f>
        <v/>
      </c>
      <c r="O1971" s="40" t="str">
        <f aca="false">IF(A1971&amp;B1971&amp;D1971="","",IF(OR(A1971="",B1971="",D1971="",E1971=""),"Incomplete",IF(K1971="Unknown","Unknown code",IF(AND(K1971="Yes",C1971=""),"Billable, needs client",IF(N1971&gt;MaxDayHours,"Over "&amp;MaxDayHours&amp;" hours that day","")))))</f>
        <v/>
      </c>
    </row>
    <row r="1972" customFormat="false" ht="15" hidden="false" customHeight="false" outlineLevel="0" collapsed="false">
      <c r="A1972" s="31"/>
      <c r="B1972" s="32"/>
      <c r="C1972" s="32"/>
      <c r="D1972" s="33"/>
      <c r="E1972" s="34"/>
      <c r="F1972" s="32"/>
      <c r="G1972" s="35" t="str">
        <f aca="false">IF(A1972="","",A1972+7-WEEKDAY(A1972))</f>
        <v/>
      </c>
      <c r="H1972" s="36" t="str">
        <f aca="false">IF(A1972="","",DATE(YEAR(A1972),MONTH(A1972),1))</f>
        <v/>
      </c>
      <c r="I1972" s="37" t="str">
        <f aca="false">IF(B1972="","",IFERROR(INDEX(st_ID,MATCH(B1972,st_Name,0)),"Unknown"))</f>
        <v/>
      </c>
      <c r="J1972" s="37" t="str">
        <f aca="false">IF(C1972="","",IFERROR(INDEX(cl_Code,MATCH(C1972,cl_Name,0)),"Unknown"))</f>
        <v/>
      </c>
      <c r="K1972" s="37" t="str">
        <f aca="false">IF(D1972="","",IFERROR(INDEX(rt_Billable,MATCH(D1972,rt_Code,0)),"Unknown"))</f>
        <v/>
      </c>
      <c r="L1972" s="38" t="str">
        <f aca="false">IF(K1972&lt;&gt;"Yes","",IFERROR(INDEX(cr_Rate,MATCH(J1972&amp;"|"&amp;D1972,cr_Key,0)),INDEX(rt_Rate,MATCH(D1972,rt_Code,0))))</f>
        <v/>
      </c>
      <c r="M1972" s="25" t="str">
        <f aca="false">IF(L1972="","",ROUND(N(E1972)*L1972,2))</f>
        <v/>
      </c>
      <c r="N1972" s="39" t="str">
        <f aca="false">IF(OR(A1972="",B1972=""),"",SUMIFS(tl_Hours,tl_StaffID,I1972,tl_Date,A1972))</f>
        <v/>
      </c>
      <c r="O1972" s="40" t="str">
        <f aca="false">IF(A1972&amp;B1972&amp;D1972="","",IF(OR(A1972="",B1972="",D1972="",E1972=""),"Incomplete",IF(K1972="Unknown","Unknown code",IF(AND(K1972="Yes",C1972=""),"Billable, needs client",IF(N1972&gt;MaxDayHours,"Over "&amp;MaxDayHours&amp;" hours that day","")))))</f>
        <v/>
      </c>
    </row>
    <row r="1973" customFormat="false" ht="15" hidden="false" customHeight="false" outlineLevel="0" collapsed="false">
      <c r="A1973" s="31"/>
      <c r="B1973" s="32"/>
      <c r="C1973" s="32"/>
      <c r="D1973" s="33"/>
      <c r="E1973" s="34"/>
      <c r="F1973" s="32"/>
      <c r="G1973" s="35" t="str">
        <f aca="false">IF(A1973="","",A1973+7-WEEKDAY(A1973))</f>
        <v/>
      </c>
      <c r="H1973" s="36" t="str">
        <f aca="false">IF(A1973="","",DATE(YEAR(A1973),MONTH(A1973),1))</f>
        <v/>
      </c>
      <c r="I1973" s="37" t="str">
        <f aca="false">IF(B1973="","",IFERROR(INDEX(st_ID,MATCH(B1973,st_Name,0)),"Unknown"))</f>
        <v/>
      </c>
      <c r="J1973" s="37" t="str">
        <f aca="false">IF(C1973="","",IFERROR(INDEX(cl_Code,MATCH(C1973,cl_Name,0)),"Unknown"))</f>
        <v/>
      </c>
      <c r="K1973" s="37" t="str">
        <f aca="false">IF(D1973="","",IFERROR(INDEX(rt_Billable,MATCH(D1973,rt_Code,0)),"Unknown"))</f>
        <v/>
      </c>
      <c r="L1973" s="38" t="str">
        <f aca="false">IF(K1973&lt;&gt;"Yes","",IFERROR(INDEX(cr_Rate,MATCH(J1973&amp;"|"&amp;D1973,cr_Key,0)),INDEX(rt_Rate,MATCH(D1973,rt_Code,0))))</f>
        <v/>
      </c>
      <c r="M1973" s="25" t="str">
        <f aca="false">IF(L1973="","",ROUND(N(E1973)*L1973,2))</f>
        <v/>
      </c>
      <c r="N1973" s="39" t="str">
        <f aca="false">IF(OR(A1973="",B1973=""),"",SUMIFS(tl_Hours,tl_StaffID,I1973,tl_Date,A1973))</f>
        <v/>
      </c>
      <c r="O1973" s="40" t="str">
        <f aca="false">IF(A1973&amp;B1973&amp;D1973="","",IF(OR(A1973="",B1973="",D1973="",E1973=""),"Incomplete",IF(K1973="Unknown","Unknown code",IF(AND(K1973="Yes",C1973=""),"Billable, needs client",IF(N1973&gt;MaxDayHours,"Over "&amp;MaxDayHours&amp;" hours that day","")))))</f>
        <v/>
      </c>
    </row>
    <row r="1974" customFormat="false" ht="15" hidden="false" customHeight="false" outlineLevel="0" collapsed="false">
      <c r="A1974" s="31"/>
      <c r="B1974" s="32"/>
      <c r="C1974" s="32"/>
      <c r="D1974" s="33"/>
      <c r="E1974" s="34"/>
      <c r="F1974" s="32"/>
      <c r="G1974" s="35" t="str">
        <f aca="false">IF(A1974="","",A1974+7-WEEKDAY(A1974))</f>
        <v/>
      </c>
      <c r="H1974" s="36" t="str">
        <f aca="false">IF(A1974="","",DATE(YEAR(A1974),MONTH(A1974),1))</f>
        <v/>
      </c>
      <c r="I1974" s="37" t="str">
        <f aca="false">IF(B1974="","",IFERROR(INDEX(st_ID,MATCH(B1974,st_Name,0)),"Unknown"))</f>
        <v/>
      </c>
      <c r="J1974" s="37" t="str">
        <f aca="false">IF(C1974="","",IFERROR(INDEX(cl_Code,MATCH(C1974,cl_Name,0)),"Unknown"))</f>
        <v/>
      </c>
      <c r="K1974" s="37" t="str">
        <f aca="false">IF(D1974="","",IFERROR(INDEX(rt_Billable,MATCH(D1974,rt_Code,0)),"Unknown"))</f>
        <v/>
      </c>
      <c r="L1974" s="38" t="str">
        <f aca="false">IF(K1974&lt;&gt;"Yes","",IFERROR(INDEX(cr_Rate,MATCH(J1974&amp;"|"&amp;D1974,cr_Key,0)),INDEX(rt_Rate,MATCH(D1974,rt_Code,0))))</f>
        <v/>
      </c>
      <c r="M1974" s="25" t="str">
        <f aca="false">IF(L1974="","",ROUND(N(E1974)*L1974,2))</f>
        <v/>
      </c>
      <c r="N1974" s="39" t="str">
        <f aca="false">IF(OR(A1974="",B1974=""),"",SUMIFS(tl_Hours,tl_StaffID,I1974,tl_Date,A1974))</f>
        <v/>
      </c>
      <c r="O1974" s="40" t="str">
        <f aca="false">IF(A1974&amp;B1974&amp;D1974="","",IF(OR(A1974="",B1974="",D1974="",E1974=""),"Incomplete",IF(K1974="Unknown","Unknown code",IF(AND(K1974="Yes",C1974=""),"Billable, needs client",IF(N1974&gt;MaxDayHours,"Over "&amp;MaxDayHours&amp;" hours that day","")))))</f>
        <v/>
      </c>
    </row>
    <row r="1975" customFormat="false" ht="15" hidden="false" customHeight="false" outlineLevel="0" collapsed="false">
      <c r="A1975" s="31"/>
      <c r="B1975" s="32"/>
      <c r="C1975" s="32"/>
      <c r="D1975" s="33"/>
      <c r="E1975" s="34"/>
      <c r="F1975" s="32"/>
      <c r="G1975" s="35" t="str">
        <f aca="false">IF(A1975="","",A1975+7-WEEKDAY(A1975))</f>
        <v/>
      </c>
      <c r="H1975" s="36" t="str">
        <f aca="false">IF(A1975="","",DATE(YEAR(A1975),MONTH(A1975),1))</f>
        <v/>
      </c>
      <c r="I1975" s="37" t="str">
        <f aca="false">IF(B1975="","",IFERROR(INDEX(st_ID,MATCH(B1975,st_Name,0)),"Unknown"))</f>
        <v/>
      </c>
      <c r="J1975" s="37" t="str">
        <f aca="false">IF(C1975="","",IFERROR(INDEX(cl_Code,MATCH(C1975,cl_Name,0)),"Unknown"))</f>
        <v/>
      </c>
      <c r="K1975" s="37" t="str">
        <f aca="false">IF(D1975="","",IFERROR(INDEX(rt_Billable,MATCH(D1975,rt_Code,0)),"Unknown"))</f>
        <v/>
      </c>
      <c r="L1975" s="38" t="str">
        <f aca="false">IF(K1975&lt;&gt;"Yes","",IFERROR(INDEX(cr_Rate,MATCH(J1975&amp;"|"&amp;D1975,cr_Key,0)),INDEX(rt_Rate,MATCH(D1975,rt_Code,0))))</f>
        <v/>
      </c>
      <c r="M1975" s="25" t="str">
        <f aca="false">IF(L1975="","",ROUND(N(E1975)*L1975,2))</f>
        <v/>
      </c>
      <c r="N1975" s="39" t="str">
        <f aca="false">IF(OR(A1975="",B1975=""),"",SUMIFS(tl_Hours,tl_StaffID,I1975,tl_Date,A1975))</f>
        <v/>
      </c>
      <c r="O1975" s="40" t="str">
        <f aca="false">IF(A1975&amp;B1975&amp;D1975="","",IF(OR(A1975="",B1975="",D1975="",E1975=""),"Incomplete",IF(K1975="Unknown","Unknown code",IF(AND(K1975="Yes",C1975=""),"Billable, needs client",IF(N1975&gt;MaxDayHours,"Over "&amp;MaxDayHours&amp;" hours that day","")))))</f>
        <v/>
      </c>
    </row>
    <row r="1976" customFormat="false" ht="15" hidden="false" customHeight="false" outlineLevel="0" collapsed="false">
      <c r="A1976" s="31"/>
      <c r="B1976" s="32"/>
      <c r="C1976" s="32"/>
      <c r="D1976" s="33"/>
      <c r="E1976" s="34"/>
      <c r="F1976" s="32"/>
      <c r="G1976" s="35" t="str">
        <f aca="false">IF(A1976="","",A1976+7-WEEKDAY(A1976))</f>
        <v/>
      </c>
      <c r="H1976" s="36" t="str">
        <f aca="false">IF(A1976="","",DATE(YEAR(A1976),MONTH(A1976),1))</f>
        <v/>
      </c>
      <c r="I1976" s="37" t="str">
        <f aca="false">IF(B1976="","",IFERROR(INDEX(st_ID,MATCH(B1976,st_Name,0)),"Unknown"))</f>
        <v/>
      </c>
      <c r="J1976" s="37" t="str">
        <f aca="false">IF(C1976="","",IFERROR(INDEX(cl_Code,MATCH(C1976,cl_Name,0)),"Unknown"))</f>
        <v/>
      </c>
      <c r="K1976" s="37" t="str">
        <f aca="false">IF(D1976="","",IFERROR(INDEX(rt_Billable,MATCH(D1976,rt_Code,0)),"Unknown"))</f>
        <v/>
      </c>
      <c r="L1976" s="38" t="str">
        <f aca="false">IF(K1976&lt;&gt;"Yes","",IFERROR(INDEX(cr_Rate,MATCH(J1976&amp;"|"&amp;D1976,cr_Key,0)),INDEX(rt_Rate,MATCH(D1976,rt_Code,0))))</f>
        <v/>
      </c>
      <c r="M1976" s="25" t="str">
        <f aca="false">IF(L1976="","",ROUND(N(E1976)*L1976,2))</f>
        <v/>
      </c>
      <c r="N1976" s="39" t="str">
        <f aca="false">IF(OR(A1976="",B1976=""),"",SUMIFS(tl_Hours,tl_StaffID,I1976,tl_Date,A1976))</f>
        <v/>
      </c>
      <c r="O1976" s="40" t="str">
        <f aca="false">IF(A1976&amp;B1976&amp;D1976="","",IF(OR(A1976="",B1976="",D1976="",E1976=""),"Incomplete",IF(K1976="Unknown","Unknown code",IF(AND(K1976="Yes",C1976=""),"Billable, needs client",IF(N1976&gt;MaxDayHours,"Over "&amp;MaxDayHours&amp;" hours that day","")))))</f>
        <v/>
      </c>
    </row>
    <row r="1977" customFormat="false" ht="15" hidden="false" customHeight="false" outlineLevel="0" collapsed="false">
      <c r="A1977" s="31"/>
      <c r="B1977" s="32"/>
      <c r="C1977" s="32"/>
      <c r="D1977" s="33"/>
      <c r="E1977" s="34"/>
      <c r="F1977" s="32"/>
      <c r="G1977" s="35" t="str">
        <f aca="false">IF(A1977="","",A1977+7-WEEKDAY(A1977))</f>
        <v/>
      </c>
      <c r="H1977" s="36" t="str">
        <f aca="false">IF(A1977="","",DATE(YEAR(A1977),MONTH(A1977),1))</f>
        <v/>
      </c>
      <c r="I1977" s="37" t="str">
        <f aca="false">IF(B1977="","",IFERROR(INDEX(st_ID,MATCH(B1977,st_Name,0)),"Unknown"))</f>
        <v/>
      </c>
      <c r="J1977" s="37" t="str">
        <f aca="false">IF(C1977="","",IFERROR(INDEX(cl_Code,MATCH(C1977,cl_Name,0)),"Unknown"))</f>
        <v/>
      </c>
      <c r="K1977" s="37" t="str">
        <f aca="false">IF(D1977="","",IFERROR(INDEX(rt_Billable,MATCH(D1977,rt_Code,0)),"Unknown"))</f>
        <v/>
      </c>
      <c r="L1977" s="38" t="str">
        <f aca="false">IF(K1977&lt;&gt;"Yes","",IFERROR(INDEX(cr_Rate,MATCH(J1977&amp;"|"&amp;D1977,cr_Key,0)),INDEX(rt_Rate,MATCH(D1977,rt_Code,0))))</f>
        <v/>
      </c>
      <c r="M1977" s="25" t="str">
        <f aca="false">IF(L1977="","",ROUND(N(E1977)*L1977,2))</f>
        <v/>
      </c>
      <c r="N1977" s="39" t="str">
        <f aca="false">IF(OR(A1977="",B1977=""),"",SUMIFS(tl_Hours,tl_StaffID,I1977,tl_Date,A1977))</f>
        <v/>
      </c>
      <c r="O1977" s="40" t="str">
        <f aca="false">IF(A1977&amp;B1977&amp;D1977="","",IF(OR(A1977="",B1977="",D1977="",E1977=""),"Incomplete",IF(K1977="Unknown","Unknown code",IF(AND(K1977="Yes",C1977=""),"Billable, needs client",IF(N1977&gt;MaxDayHours,"Over "&amp;MaxDayHours&amp;" hours that day","")))))</f>
        <v/>
      </c>
    </row>
    <row r="1978" customFormat="false" ht="15" hidden="false" customHeight="false" outlineLevel="0" collapsed="false">
      <c r="A1978" s="31"/>
      <c r="B1978" s="32"/>
      <c r="C1978" s="32"/>
      <c r="D1978" s="33"/>
      <c r="E1978" s="34"/>
      <c r="F1978" s="32"/>
      <c r="G1978" s="35" t="str">
        <f aca="false">IF(A1978="","",A1978+7-WEEKDAY(A1978))</f>
        <v/>
      </c>
      <c r="H1978" s="36" t="str">
        <f aca="false">IF(A1978="","",DATE(YEAR(A1978),MONTH(A1978),1))</f>
        <v/>
      </c>
      <c r="I1978" s="37" t="str">
        <f aca="false">IF(B1978="","",IFERROR(INDEX(st_ID,MATCH(B1978,st_Name,0)),"Unknown"))</f>
        <v/>
      </c>
      <c r="J1978" s="37" t="str">
        <f aca="false">IF(C1978="","",IFERROR(INDEX(cl_Code,MATCH(C1978,cl_Name,0)),"Unknown"))</f>
        <v/>
      </c>
      <c r="K1978" s="37" t="str">
        <f aca="false">IF(D1978="","",IFERROR(INDEX(rt_Billable,MATCH(D1978,rt_Code,0)),"Unknown"))</f>
        <v/>
      </c>
      <c r="L1978" s="38" t="str">
        <f aca="false">IF(K1978&lt;&gt;"Yes","",IFERROR(INDEX(cr_Rate,MATCH(J1978&amp;"|"&amp;D1978,cr_Key,0)),INDEX(rt_Rate,MATCH(D1978,rt_Code,0))))</f>
        <v/>
      </c>
      <c r="M1978" s="25" t="str">
        <f aca="false">IF(L1978="","",ROUND(N(E1978)*L1978,2))</f>
        <v/>
      </c>
      <c r="N1978" s="39" t="str">
        <f aca="false">IF(OR(A1978="",B1978=""),"",SUMIFS(tl_Hours,tl_StaffID,I1978,tl_Date,A1978))</f>
        <v/>
      </c>
      <c r="O1978" s="40" t="str">
        <f aca="false">IF(A1978&amp;B1978&amp;D1978="","",IF(OR(A1978="",B1978="",D1978="",E1978=""),"Incomplete",IF(K1978="Unknown","Unknown code",IF(AND(K1978="Yes",C1978=""),"Billable, needs client",IF(N1978&gt;MaxDayHours,"Over "&amp;MaxDayHours&amp;" hours that day","")))))</f>
        <v/>
      </c>
    </row>
    <row r="1979" customFormat="false" ht="15" hidden="false" customHeight="false" outlineLevel="0" collapsed="false">
      <c r="A1979" s="31"/>
      <c r="B1979" s="32"/>
      <c r="C1979" s="32"/>
      <c r="D1979" s="33"/>
      <c r="E1979" s="34"/>
      <c r="F1979" s="32"/>
      <c r="G1979" s="35" t="str">
        <f aca="false">IF(A1979="","",A1979+7-WEEKDAY(A1979))</f>
        <v/>
      </c>
      <c r="H1979" s="36" t="str">
        <f aca="false">IF(A1979="","",DATE(YEAR(A1979),MONTH(A1979),1))</f>
        <v/>
      </c>
      <c r="I1979" s="37" t="str">
        <f aca="false">IF(B1979="","",IFERROR(INDEX(st_ID,MATCH(B1979,st_Name,0)),"Unknown"))</f>
        <v/>
      </c>
      <c r="J1979" s="37" t="str">
        <f aca="false">IF(C1979="","",IFERROR(INDEX(cl_Code,MATCH(C1979,cl_Name,0)),"Unknown"))</f>
        <v/>
      </c>
      <c r="K1979" s="37" t="str">
        <f aca="false">IF(D1979="","",IFERROR(INDEX(rt_Billable,MATCH(D1979,rt_Code,0)),"Unknown"))</f>
        <v/>
      </c>
      <c r="L1979" s="38" t="str">
        <f aca="false">IF(K1979&lt;&gt;"Yes","",IFERROR(INDEX(cr_Rate,MATCH(J1979&amp;"|"&amp;D1979,cr_Key,0)),INDEX(rt_Rate,MATCH(D1979,rt_Code,0))))</f>
        <v/>
      </c>
      <c r="M1979" s="25" t="str">
        <f aca="false">IF(L1979="","",ROUND(N(E1979)*L1979,2))</f>
        <v/>
      </c>
      <c r="N1979" s="39" t="str">
        <f aca="false">IF(OR(A1979="",B1979=""),"",SUMIFS(tl_Hours,tl_StaffID,I1979,tl_Date,A1979))</f>
        <v/>
      </c>
      <c r="O1979" s="40" t="str">
        <f aca="false">IF(A1979&amp;B1979&amp;D1979="","",IF(OR(A1979="",B1979="",D1979="",E1979=""),"Incomplete",IF(K1979="Unknown","Unknown code",IF(AND(K1979="Yes",C1979=""),"Billable, needs client",IF(N1979&gt;MaxDayHours,"Over "&amp;MaxDayHours&amp;" hours that day","")))))</f>
        <v/>
      </c>
    </row>
    <row r="1980" customFormat="false" ht="15" hidden="false" customHeight="false" outlineLevel="0" collapsed="false">
      <c r="A1980" s="31"/>
      <c r="B1980" s="32"/>
      <c r="C1980" s="32"/>
      <c r="D1980" s="33"/>
      <c r="E1980" s="34"/>
      <c r="F1980" s="32"/>
      <c r="G1980" s="35" t="str">
        <f aca="false">IF(A1980="","",A1980+7-WEEKDAY(A1980))</f>
        <v/>
      </c>
      <c r="H1980" s="36" t="str">
        <f aca="false">IF(A1980="","",DATE(YEAR(A1980),MONTH(A1980),1))</f>
        <v/>
      </c>
      <c r="I1980" s="37" t="str">
        <f aca="false">IF(B1980="","",IFERROR(INDEX(st_ID,MATCH(B1980,st_Name,0)),"Unknown"))</f>
        <v/>
      </c>
      <c r="J1980" s="37" t="str">
        <f aca="false">IF(C1980="","",IFERROR(INDEX(cl_Code,MATCH(C1980,cl_Name,0)),"Unknown"))</f>
        <v/>
      </c>
      <c r="K1980" s="37" t="str">
        <f aca="false">IF(D1980="","",IFERROR(INDEX(rt_Billable,MATCH(D1980,rt_Code,0)),"Unknown"))</f>
        <v/>
      </c>
      <c r="L1980" s="38" t="str">
        <f aca="false">IF(K1980&lt;&gt;"Yes","",IFERROR(INDEX(cr_Rate,MATCH(J1980&amp;"|"&amp;D1980,cr_Key,0)),INDEX(rt_Rate,MATCH(D1980,rt_Code,0))))</f>
        <v/>
      </c>
      <c r="M1980" s="25" t="str">
        <f aca="false">IF(L1980="","",ROUND(N(E1980)*L1980,2))</f>
        <v/>
      </c>
      <c r="N1980" s="39" t="str">
        <f aca="false">IF(OR(A1980="",B1980=""),"",SUMIFS(tl_Hours,tl_StaffID,I1980,tl_Date,A1980))</f>
        <v/>
      </c>
      <c r="O1980" s="40" t="str">
        <f aca="false">IF(A1980&amp;B1980&amp;D1980="","",IF(OR(A1980="",B1980="",D1980="",E1980=""),"Incomplete",IF(K1980="Unknown","Unknown code",IF(AND(K1980="Yes",C1980=""),"Billable, needs client",IF(N1980&gt;MaxDayHours,"Over "&amp;MaxDayHours&amp;" hours that day","")))))</f>
        <v/>
      </c>
    </row>
    <row r="1981" customFormat="false" ht="15" hidden="false" customHeight="false" outlineLevel="0" collapsed="false">
      <c r="A1981" s="31"/>
      <c r="B1981" s="32"/>
      <c r="C1981" s="32"/>
      <c r="D1981" s="33"/>
      <c r="E1981" s="34"/>
      <c r="F1981" s="32"/>
      <c r="G1981" s="35" t="str">
        <f aca="false">IF(A1981="","",A1981+7-WEEKDAY(A1981))</f>
        <v/>
      </c>
      <c r="H1981" s="36" t="str">
        <f aca="false">IF(A1981="","",DATE(YEAR(A1981),MONTH(A1981),1))</f>
        <v/>
      </c>
      <c r="I1981" s="37" t="str">
        <f aca="false">IF(B1981="","",IFERROR(INDEX(st_ID,MATCH(B1981,st_Name,0)),"Unknown"))</f>
        <v/>
      </c>
      <c r="J1981" s="37" t="str">
        <f aca="false">IF(C1981="","",IFERROR(INDEX(cl_Code,MATCH(C1981,cl_Name,0)),"Unknown"))</f>
        <v/>
      </c>
      <c r="K1981" s="37" t="str">
        <f aca="false">IF(D1981="","",IFERROR(INDEX(rt_Billable,MATCH(D1981,rt_Code,0)),"Unknown"))</f>
        <v/>
      </c>
      <c r="L1981" s="38" t="str">
        <f aca="false">IF(K1981&lt;&gt;"Yes","",IFERROR(INDEX(cr_Rate,MATCH(J1981&amp;"|"&amp;D1981,cr_Key,0)),INDEX(rt_Rate,MATCH(D1981,rt_Code,0))))</f>
        <v/>
      </c>
      <c r="M1981" s="25" t="str">
        <f aca="false">IF(L1981="","",ROUND(N(E1981)*L1981,2))</f>
        <v/>
      </c>
      <c r="N1981" s="39" t="str">
        <f aca="false">IF(OR(A1981="",B1981=""),"",SUMIFS(tl_Hours,tl_StaffID,I1981,tl_Date,A1981))</f>
        <v/>
      </c>
      <c r="O1981" s="40" t="str">
        <f aca="false">IF(A1981&amp;B1981&amp;D1981="","",IF(OR(A1981="",B1981="",D1981="",E1981=""),"Incomplete",IF(K1981="Unknown","Unknown code",IF(AND(K1981="Yes",C1981=""),"Billable, needs client",IF(N1981&gt;MaxDayHours,"Over "&amp;MaxDayHours&amp;" hours that day","")))))</f>
        <v/>
      </c>
    </row>
    <row r="1982" customFormat="false" ht="15" hidden="false" customHeight="false" outlineLevel="0" collapsed="false">
      <c r="A1982" s="31"/>
      <c r="B1982" s="32"/>
      <c r="C1982" s="32"/>
      <c r="D1982" s="33"/>
      <c r="E1982" s="34"/>
      <c r="F1982" s="32"/>
      <c r="G1982" s="35" t="str">
        <f aca="false">IF(A1982="","",A1982+7-WEEKDAY(A1982))</f>
        <v/>
      </c>
      <c r="H1982" s="36" t="str">
        <f aca="false">IF(A1982="","",DATE(YEAR(A1982),MONTH(A1982),1))</f>
        <v/>
      </c>
      <c r="I1982" s="37" t="str">
        <f aca="false">IF(B1982="","",IFERROR(INDEX(st_ID,MATCH(B1982,st_Name,0)),"Unknown"))</f>
        <v/>
      </c>
      <c r="J1982" s="37" t="str">
        <f aca="false">IF(C1982="","",IFERROR(INDEX(cl_Code,MATCH(C1982,cl_Name,0)),"Unknown"))</f>
        <v/>
      </c>
      <c r="K1982" s="37" t="str">
        <f aca="false">IF(D1982="","",IFERROR(INDEX(rt_Billable,MATCH(D1982,rt_Code,0)),"Unknown"))</f>
        <v/>
      </c>
      <c r="L1982" s="38" t="str">
        <f aca="false">IF(K1982&lt;&gt;"Yes","",IFERROR(INDEX(cr_Rate,MATCH(J1982&amp;"|"&amp;D1982,cr_Key,0)),INDEX(rt_Rate,MATCH(D1982,rt_Code,0))))</f>
        <v/>
      </c>
      <c r="M1982" s="25" t="str">
        <f aca="false">IF(L1982="","",ROUND(N(E1982)*L1982,2))</f>
        <v/>
      </c>
      <c r="N1982" s="39" t="str">
        <f aca="false">IF(OR(A1982="",B1982=""),"",SUMIFS(tl_Hours,tl_StaffID,I1982,tl_Date,A1982))</f>
        <v/>
      </c>
      <c r="O1982" s="40" t="str">
        <f aca="false">IF(A1982&amp;B1982&amp;D1982="","",IF(OR(A1982="",B1982="",D1982="",E1982=""),"Incomplete",IF(K1982="Unknown","Unknown code",IF(AND(K1982="Yes",C1982=""),"Billable, needs client",IF(N1982&gt;MaxDayHours,"Over "&amp;MaxDayHours&amp;" hours that day","")))))</f>
        <v/>
      </c>
    </row>
    <row r="1983" customFormat="false" ht="15" hidden="false" customHeight="false" outlineLevel="0" collapsed="false">
      <c r="A1983" s="31"/>
      <c r="B1983" s="32"/>
      <c r="C1983" s="32"/>
      <c r="D1983" s="33"/>
      <c r="E1983" s="34"/>
      <c r="F1983" s="32"/>
      <c r="G1983" s="35" t="str">
        <f aca="false">IF(A1983="","",A1983+7-WEEKDAY(A1983))</f>
        <v/>
      </c>
      <c r="H1983" s="36" t="str">
        <f aca="false">IF(A1983="","",DATE(YEAR(A1983),MONTH(A1983),1))</f>
        <v/>
      </c>
      <c r="I1983" s="37" t="str">
        <f aca="false">IF(B1983="","",IFERROR(INDEX(st_ID,MATCH(B1983,st_Name,0)),"Unknown"))</f>
        <v/>
      </c>
      <c r="J1983" s="37" t="str">
        <f aca="false">IF(C1983="","",IFERROR(INDEX(cl_Code,MATCH(C1983,cl_Name,0)),"Unknown"))</f>
        <v/>
      </c>
      <c r="K1983" s="37" t="str">
        <f aca="false">IF(D1983="","",IFERROR(INDEX(rt_Billable,MATCH(D1983,rt_Code,0)),"Unknown"))</f>
        <v/>
      </c>
      <c r="L1983" s="38" t="str">
        <f aca="false">IF(K1983&lt;&gt;"Yes","",IFERROR(INDEX(cr_Rate,MATCH(J1983&amp;"|"&amp;D1983,cr_Key,0)),INDEX(rt_Rate,MATCH(D1983,rt_Code,0))))</f>
        <v/>
      </c>
      <c r="M1983" s="25" t="str">
        <f aca="false">IF(L1983="","",ROUND(N(E1983)*L1983,2))</f>
        <v/>
      </c>
      <c r="N1983" s="39" t="str">
        <f aca="false">IF(OR(A1983="",B1983=""),"",SUMIFS(tl_Hours,tl_StaffID,I1983,tl_Date,A1983))</f>
        <v/>
      </c>
      <c r="O1983" s="40" t="str">
        <f aca="false">IF(A1983&amp;B1983&amp;D1983="","",IF(OR(A1983="",B1983="",D1983="",E1983=""),"Incomplete",IF(K1983="Unknown","Unknown code",IF(AND(K1983="Yes",C1983=""),"Billable, needs client",IF(N1983&gt;MaxDayHours,"Over "&amp;MaxDayHours&amp;" hours that day","")))))</f>
        <v/>
      </c>
    </row>
    <row r="1984" customFormat="false" ht="15" hidden="false" customHeight="false" outlineLevel="0" collapsed="false">
      <c r="A1984" s="31"/>
      <c r="B1984" s="32"/>
      <c r="C1984" s="32"/>
      <c r="D1984" s="33"/>
      <c r="E1984" s="34"/>
      <c r="F1984" s="32"/>
      <c r="G1984" s="35" t="str">
        <f aca="false">IF(A1984="","",A1984+7-WEEKDAY(A1984))</f>
        <v/>
      </c>
      <c r="H1984" s="36" t="str">
        <f aca="false">IF(A1984="","",DATE(YEAR(A1984),MONTH(A1984),1))</f>
        <v/>
      </c>
      <c r="I1984" s="37" t="str">
        <f aca="false">IF(B1984="","",IFERROR(INDEX(st_ID,MATCH(B1984,st_Name,0)),"Unknown"))</f>
        <v/>
      </c>
      <c r="J1984" s="37" t="str">
        <f aca="false">IF(C1984="","",IFERROR(INDEX(cl_Code,MATCH(C1984,cl_Name,0)),"Unknown"))</f>
        <v/>
      </c>
      <c r="K1984" s="37" t="str">
        <f aca="false">IF(D1984="","",IFERROR(INDEX(rt_Billable,MATCH(D1984,rt_Code,0)),"Unknown"))</f>
        <v/>
      </c>
      <c r="L1984" s="38" t="str">
        <f aca="false">IF(K1984&lt;&gt;"Yes","",IFERROR(INDEX(cr_Rate,MATCH(J1984&amp;"|"&amp;D1984,cr_Key,0)),INDEX(rt_Rate,MATCH(D1984,rt_Code,0))))</f>
        <v/>
      </c>
      <c r="M1984" s="25" t="str">
        <f aca="false">IF(L1984="","",ROUND(N(E1984)*L1984,2))</f>
        <v/>
      </c>
      <c r="N1984" s="39" t="str">
        <f aca="false">IF(OR(A1984="",B1984=""),"",SUMIFS(tl_Hours,tl_StaffID,I1984,tl_Date,A1984))</f>
        <v/>
      </c>
      <c r="O1984" s="40" t="str">
        <f aca="false">IF(A1984&amp;B1984&amp;D1984="","",IF(OR(A1984="",B1984="",D1984="",E1984=""),"Incomplete",IF(K1984="Unknown","Unknown code",IF(AND(K1984="Yes",C1984=""),"Billable, needs client",IF(N1984&gt;MaxDayHours,"Over "&amp;MaxDayHours&amp;" hours that day","")))))</f>
        <v/>
      </c>
    </row>
    <row r="1985" customFormat="false" ht="15" hidden="false" customHeight="false" outlineLevel="0" collapsed="false">
      <c r="A1985" s="31"/>
      <c r="B1985" s="32"/>
      <c r="C1985" s="32"/>
      <c r="D1985" s="33"/>
      <c r="E1985" s="34"/>
      <c r="F1985" s="32"/>
      <c r="G1985" s="35" t="str">
        <f aca="false">IF(A1985="","",A1985+7-WEEKDAY(A1985))</f>
        <v/>
      </c>
      <c r="H1985" s="36" t="str">
        <f aca="false">IF(A1985="","",DATE(YEAR(A1985),MONTH(A1985),1))</f>
        <v/>
      </c>
      <c r="I1985" s="37" t="str">
        <f aca="false">IF(B1985="","",IFERROR(INDEX(st_ID,MATCH(B1985,st_Name,0)),"Unknown"))</f>
        <v/>
      </c>
      <c r="J1985" s="37" t="str">
        <f aca="false">IF(C1985="","",IFERROR(INDEX(cl_Code,MATCH(C1985,cl_Name,0)),"Unknown"))</f>
        <v/>
      </c>
      <c r="K1985" s="37" t="str">
        <f aca="false">IF(D1985="","",IFERROR(INDEX(rt_Billable,MATCH(D1985,rt_Code,0)),"Unknown"))</f>
        <v/>
      </c>
      <c r="L1985" s="38" t="str">
        <f aca="false">IF(K1985&lt;&gt;"Yes","",IFERROR(INDEX(cr_Rate,MATCH(J1985&amp;"|"&amp;D1985,cr_Key,0)),INDEX(rt_Rate,MATCH(D1985,rt_Code,0))))</f>
        <v/>
      </c>
      <c r="M1985" s="25" t="str">
        <f aca="false">IF(L1985="","",ROUND(N(E1985)*L1985,2))</f>
        <v/>
      </c>
      <c r="N1985" s="39" t="str">
        <f aca="false">IF(OR(A1985="",B1985=""),"",SUMIFS(tl_Hours,tl_StaffID,I1985,tl_Date,A1985))</f>
        <v/>
      </c>
      <c r="O1985" s="40" t="str">
        <f aca="false">IF(A1985&amp;B1985&amp;D1985="","",IF(OR(A1985="",B1985="",D1985="",E1985=""),"Incomplete",IF(K1985="Unknown","Unknown code",IF(AND(K1985="Yes",C1985=""),"Billable, needs client",IF(N1985&gt;MaxDayHours,"Over "&amp;MaxDayHours&amp;" hours that day","")))))</f>
        <v/>
      </c>
    </row>
    <row r="1986" customFormat="false" ht="15" hidden="false" customHeight="false" outlineLevel="0" collapsed="false">
      <c r="A1986" s="31"/>
      <c r="B1986" s="32"/>
      <c r="C1986" s="32"/>
      <c r="D1986" s="33"/>
      <c r="E1986" s="34"/>
      <c r="F1986" s="32"/>
      <c r="G1986" s="35" t="str">
        <f aca="false">IF(A1986="","",A1986+7-WEEKDAY(A1986))</f>
        <v/>
      </c>
      <c r="H1986" s="36" t="str">
        <f aca="false">IF(A1986="","",DATE(YEAR(A1986),MONTH(A1986),1))</f>
        <v/>
      </c>
      <c r="I1986" s="37" t="str">
        <f aca="false">IF(B1986="","",IFERROR(INDEX(st_ID,MATCH(B1986,st_Name,0)),"Unknown"))</f>
        <v/>
      </c>
      <c r="J1986" s="37" t="str">
        <f aca="false">IF(C1986="","",IFERROR(INDEX(cl_Code,MATCH(C1986,cl_Name,0)),"Unknown"))</f>
        <v/>
      </c>
      <c r="K1986" s="37" t="str">
        <f aca="false">IF(D1986="","",IFERROR(INDEX(rt_Billable,MATCH(D1986,rt_Code,0)),"Unknown"))</f>
        <v/>
      </c>
      <c r="L1986" s="38" t="str">
        <f aca="false">IF(K1986&lt;&gt;"Yes","",IFERROR(INDEX(cr_Rate,MATCH(J1986&amp;"|"&amp;D1986,cr_Key,0)),INDEX(rt_Rate,MATCH(D1986,rt_Code,0))))</f>
        <v/>
      </c>
      <c r="M1986" s="25" t="str">
        <f aca="false">IF(L1986="","",ROUND(N(E1986)*L1986,2))</f>
        <v/>
      </c>
      <c r="N1986" s="39" t="str">
        <f aca="false">IF(OR(A1986="",B1986=""),"",SUMIFS(tl_Hours,tl_StaffID,I1986,tl_Date,A1986))</f>
        <v/>
      </c>
      <c r="O1986" s="40" t="str">
        <f aca="false">IF(A1986&amp;B1986&amp;D1986="","",IF(OR(A1986="",B1986="",D1986="",E1986=""),"Incomplete",IF(K1986="Unknown","Unknown code",IF(AND(K1986="Yes",C1986=""),"Billable, needs client",IF(N1986&gt;MaxDayHours,"Over "&amp;MaxDayHours&amp;" hours that day","")))))</f>
        <v/>
      </c>
    </row>
    <row r="1987" customFormat="false" ht="15" hidden="false" customHeight="false" outlineLevel="0" collapsed="false">
      <c r="A1987" s="31"/>
      <c r="B1987" s="32"/>
      <c r="C1987" s="32"/>
      <c r="D1987" s="33"/>
      <c r="E1987" s="34"/>
      <c r="F1987" s="32"/>
      <c r="G1987" s="35" t="str">
        <f aca="false">IF(A1987="","",A1987+7-WEEKDAY(A1987))</f>
        <v/>
      </c>
      <c r="H1987" s="36" t="str">
        <f aca="false">IF(A1987="","",DATE(YEAR(A1987),MONTH(A1987),1))</f>
        <v/>
      </c>
      <c r="I1987" s="37" t="str">
        <f aca="false">IF(B1987="","",IFERROR(INDEX(st_ID,MATCH(B1987,st_Name,0)),"Unknown"))</f>
        <v/>
      </c>
      <c r="J1987" s="37" t="str">
        <f aca="false">IF(C1987="","",IFERROR(INDEX(cl_Code,MATCH(C1987,cl_Name,0)),"Unknown"))</f>
        <v/>
      </c>
      <c r="K1987" s="37" t="str">
        <f aca="false">IF(D1987="","",IFERROR(INDEX(rt_Billable,MATCH(D1987,rt_Code,0)),"Unknown"))</f>
        <v/>
      </c>
      <c r="L1987" s="38" t="str">
        <f aca="false">IF(K1987&lt;&gt;"Yes","",IFERROR(INDEX(cr_Rate,MATCH(J1987&amp;"|"&amp;D1987,cr_Key,0)),INDEX(rt_Rate,MATCH(D1987,rt_Code,0))))</f>
        <v/>
      </c>
      <c r="M1987" s="25" t="str">
        <f aca="false">IF(L1987="","",ROUND(N(E1987)*L1987,2))</f>
        <v/>
      </c>
      <c r="N1987" s="39" t="str">
        <f aca="false">IF(OR(A1987="",B1987=""),"",SUMIFS(tl_Hours,tl_StaffID,I1987,tl_Date,A1987))</f>
        <v/>
      </c>
      <c r="O1987" s="40" t="str">
        <f aca="false">IF(A1987&amp;B1987&amp;D1987="","",IF(OR(A1987="",B1987="",D1987="",E1987=""),"Incomplete",IF(K1987="Unknown","Unknown code",IF(AND(K1987="Yes",C1987=""),"Billable, needs client",IF(N1987&gt;MaxDayHours,"Over "&amp;MaxDayHours&amp;" hours that day","")))))</f>
        <v/>
      </c>
    </row>
    <row r="1988" customFormat="false" ht="15" hidden="false" customHeight="false" outlineLevel="0" collapsed="false">
      <c r="A1988" s="31"/>
      <c r="B1988" s="32"/>
      <c r="C1988" s="32"/>
      <c r="D1988" s="33"/>
      <c r="E1988" s="34"/>
      <c r="F1988" s="32"/>
      <c r="G1988" s="35" t="str">
        <f aca="false">IF(A1988="","",A1988+7-WEEKDAY(A1988))</f>
        <v/>
      </c>
      <c r="H1988" s="36" t="str">
        <f aca="false">IF(A1988="","",DATE(YEAR(A1988),MONTH(A1988),1))</f>
        <v/>
      </c>
      <c r="I1988" s="37" t="str">
        <f aca="false">IF(B1988="","",IFERROR(INDEX(st_ID,MATCH(B1988,st_Name,0)),"Unknown"))</f>
        <v/>
      </c>
      <c r="J1988" s="37" t="str">
        <f aca="false">IF(C1988="","",IFERROR(INDEX(cl_Code,MATCH(C1988,cl_Name,0)),"Unknown"))</f>
        <v/>
      </c>
      <c r="K1988" s="37" t="str">
        <f aca="false">IF(D1988="","",IFERROR(INDEX(rt_Billable,MATCH(D1988,rt_Code,0)),"Unknown"))</f>
        <v/>
      </c>
      <c r="L1988" s="38" t="str">
        <f aca="false">IF(K1988&lt;&gt;"Yes","",IFERROR(INDEX(cr_Rate,MATCH(J1988&amp;"|"&amp;D1988,cr_Key,0)),INDEX(rt_Rate,MATCH(D1988,rt_Code,0))))</f>
        <v/>
      </c>
      <c r="M1988" s="25" t="str">
        <f aca="false">IF(L1988="","",ROUND(N(E1988)*L1988,2))</f>
        <v/>
      </c>
      <c r="N1988" s="39" t="str">
        <f aca="false">IF(OR(A1988="",B1988=""),"",SUMIFS(tl_Hours,tl_StaffID,I1988,tl_Date,A1988))</f>
        <v/>
      </c>
      <c r="O1988" s="40" t="str">
        <f aca="false">IF(A1988&amp;B1988&amp;D1988="","",IF(OR(A1988="",B1988="",D1988="",E1988=""),"Incomplete",IF(K1988="Unknown","Unknown code",IF(AND(K1988="Yes",C1988=""),"Billable, needs client",IF(N1988&gt;MaxDayHours,"Over "&amp;MaxDayHours&amp;" hours that day","")))))</f>
        <v/>
      </c>
    </row>
    <row r="1989" customFormat="false" ht="15" hidden="false" customHeight="false" outlineLevel="0" collapsed="false">
      <c r="A1989" s="31"/>
      <c r="B1989" s="32"/>
      <c r="C1989" s="32"/>
      <c r="D1989" s="33"/>
      <c r="E1989" s="34"/>
      <c r="F1989" s="32"/>
      <c r="G1989" s="35" t="str">
        <f aca="false">IF(A1989="","",A1989+7-WEEKDAY(A1989))</f>
        <v/>
      </c>
      <c r="H1989" s="36" t="str">
        <f aca="false">IF(A1989="","",DATE(YEAR(A1989),MONTH(A1989),1))</f>
        <v/>
      </c>
      <c r="I1989" s="37" t="str">
        <f aca="false">IF(B1989="","",IFERROR(INDEX(st_ID,MATCH(B1989,st_Name,0)),"Unknown"))</f>
        <v/>
      </c>
      <c r="J1989" s="37" t="str">
        <f aca="false">IF(C1989="","",IFERROR(INDEX(cl_Code,MATCH(C1989,cl_Name,0)),"Unknown"))</f>
        <v/>
      </c>
      <c r="K1989" s="37" t="str">
        <f aca="false">IF(D1989="","",IFERROR(INDEX(rt_Billable,MATCH(D1989,rt_Code,0)),"Unknown"))</f>
        <v/>
      </c>
      <c r="L1989" s="38" t="str">
        <f aca="false">IF(K1989&lt;&gt;"Yes","",IFERROR(INDEX(cr_Rate,MATCH(J1989&amp;"|"&amp;D1989,cr_Key,0)),INDEX(rt_Rate,MATCH(D1989,rt_Code,0))))</f>
        <v/>
      </c>
      <c r="M1989" s="25" t="str">
        <f aca="false">IF(L1989="","",ROUND(N(E1989)*L1989,2))</f>
        <v/>
      </c>
      <c r="N1989" s="39" t="str">
        <f aca="false">IF(OR(A1989="",B1989=""),"",SUMIFS(tl_Hours,tl_StaffID,I1989,tl_Date,A1989))</f>
        <v/>
      </c>
      <c r="O1989" s="40" t="str">
        <f aca="false">IF(A1989&amp;B1989&amp;D1989="","",IF(OR(A1989="",B1989="",D1989="",E1989=""),"Incomplete",IF(K1989="Unknown","Unknown code",IF(AND(K1989="Yes",C1989=""),"Billable, needs client",IF(N1989&gt;MaxDayHours,"Over "&amp;MaxDayHours&amp;" hours that day","")))))</f>
        <v/>
      </c>
    </row>
    <row r="1990" customFormat="false" ht="15" hidden="false" customHeight="false" outlineLevel="0" collapsed="false">
      <c r="A1990" s="31"/>
      <c r="B1990" s="32"/>
      <c r="C1990" s="32"/>
      <c r="D1990" s="33"/>
      <c r="E1990" s="34"/>
      <c r="F1990" s="32"/>
      <c r="G1990" s="35" t="str">
        <f aca="false">IF(A1990="","",A1990+7-WEEKDAY(A1990))</f>
        <v/>
      </c>
      <c r="H1990" s="36" t="str">
        <f aca="false">IF(A1990="","",DATE(YEAR(A1990),MONTH(A1990),1))</f>
        <v/>
      </c>
      <c r="I1990" s="37" t="str">
        <f aca="false">IF(B1990="","",IFERROR(INDEX(st_ID,MATCH(B1990,st_Name,0)),"Unknown"))</f>
        <v/>
      </c>
      <c r="J1990" s="37" t="str">
        <f aca="false">IF(C1990="","",IFERROR(INDEX(cl_Code,MATCH(C1990,cl_Name,0)),"Unknown"))</f>
        <v/>
      </c>
      <c r="K1990" s="37" t="str">
        <f aca="false">IF(D1990="","",IFERROR(INDEX(rt_Billable,MATCH(D1990,rt_Code,0)),"Unknown"))</f>
        <v/>
      </c>
      <c r="L1990" s="38" t="str">
        <f aca="false">IF(K1990&lt;&gt;"Yes","",IFERROR(INDEX(cr_Rate,MATCH(J1990&amp;"|"&amp;D1990,cr_Key,0)),INDEX(rt_Rate,MATCH(D1990,rt_Code,0))))</f>
        <v/>
      </c>
      <c r="M1990" s="25" t="str">
        <f aca="false">IF(L1990="","",ROUND(N(E1990)*L1990,2))</f>
        <v/>
      </c>
      <c r="N1990" s="39" t="str">
        <f aca="false">IF(OR(A1990="",B1990=""),"",SUMIFS(tl_Hours,tl_StaffID,I1990,tl_Date,A1990))</f>
        <v/>
      </c>
      <c r="O1990" s="40" t="str">
        <f aca="false">IF(A1990&amp;B1990&amp;D1990="","",IF(OR(A1990="",B1990="",D1990="",E1990=""),"Incomplete",IF(K1990="Unknown","Unknown code",IF(AND(K1990="Yes",C1990=""),"Billable, needs client",IF(N1990&gt;MaxDayHours,"Over "&amp;MaxDayHours&amp;" hours that day","")))))</f>
        <v/>
      </c>
    </row>
    <row r="1991" customFormat="false" ht="15" hidden="false" customHeight="false" outlineLevel="0" collapsed="false">
      <c r="A1991" s="31"/>
      <c r="B1991" s="32"/>
      <c r="C1991" s="32"/>
      <c r="D1991" s="33"/>
      <c r="E1991" s="34"/>
      <c r="F1991" s="32"/>
      <c r="G1991" s="35" t="str">
        <f aca="false">IF(A1991="","",A1991+7-WEEKDAY(A1991))</f>
        <v/>
      </c>
      <c r="H1991" s="36" t="str">
        <f aca="false">IF(A1991="","",DATE(YEAR(A1991),MONTH(A1991),1))</f>
        <v/>
      </c>
      <c r="I1991" s="37" t="str">
        <f aca="false">IF(B1991="","",IFERROR(INDEX(st_ID,MATCH(B1991,st_Name,0)),"Unknown"))</f>
        <v/>
      </c>
      <c r="J1991" s="37" t="str">
        <f aca="false">IF(C1991="","",IFERROR(INDEX(cl_Code,MATCH(C1991,cl_Name,0)),"Unknown"))</f>
        <v/>
      </c>
      <c r="K1991" s="37" t="str">
        <f aca="false">IF(D1991="","",IFERROR(INDEX(rt_Billable,MATCH(D1991,rt_Code,0)),"Unknown"))</f>
        <v/>
      </c>
      <c r="L1991" s="38" t="str">
        <f aca="false">IF(K1991&lt;&gt;"Yes","",IFERROR(INDEX(cr_Rate,MATCH(J1991&amp;"|"&amp;D1991,cr_Key,0)),INDEX(rt_Rate,MATCH(D1991,rt_Code,0))))</f>
        <v/>
      </c>
      <c r="M1991" s="25" t="str">
        <f aca="false">IF(L1991="","",ROUND(N(E1991)*L1991,2))</f>
        <v/>
      </c>
      <c r="N1991" s="39" t="str">
        <f aca="false">IF(OR(A1991="",B1991=""),"",SUMIFS(tl_Hours,tl_StaffID,I1991,tl_Date,A1991))</f>
        <v/>
      </c>
      <c r="O1991" s="40" t="str">
        <f aca="false">IF(A1991&amp;B1991&amp;D1991="","",IF(OR(A1991="",B1991="",D1991="",E1991=""),"Incomplete",IF(K1991="Unknown","Unknown code",IF(AND(K1991="Yes",C1991=""),"Billable, needs client",IF(N1991&gt;MaxDayHours,"Over "&amp;MaxDayHours&amp;" hours that day","")))))</f>
        <v/>
      </c>
    </row>
    <row r="1992" customFormat="false" ht="15" hidden="false" customHeight="false" outlineLevel="0" collapsed="false">
      <c r="A1992" s="31"/>
      <c r="B1992" s="32"/>
      <c r="C1992" s="32"/>
      <c r="D1992" s="33"/>
      <c r="E1992" s="34"/>
      <c r="F1992" s="32"/>
      <c r="G1992" s="35" t="str">
        <f aca="false">IF(A1992="","",A1992+7-WEEKDAY(A1992))</f>
        <v/>
      </c>
      <c r="H1992" s="36" t="str">
        <f aca="false">IF(A1992="","",DATE(YEAR(A1992),MONTH(A1992),1))</f>
        <v/>
      </c>
      <c r="I1992" s="37" t="str">
        <f aca="false">IF(B1992="","",IFERROR(INDEX(st_ID,MATCH(B1992,st_Name,0)),"Unknown"))</f>
        <v/>
      </c>
      <c r="J1992" s="37" t="str">
        <f aca="false">IF(C1992="","",IFERROR(INDEX(cl_Code,MATCH(C1992,cl_Name,0)),"Unknown"))</f>
        <v/>
      </c>
      <c r="K1992" s="37" t="str">
        <f aca="false">IF(D1992="","",IFERROR(INDEX(rt_Billable,MATCH(D1992,rt_Code,0)),"Unknown"))</f>
        <v/>
      </c>
      <c r="L1992" s="38" t="str">
        <f aca="false">IF(K1992&lt;&gt;"Yes","",IFERROR(INDEX(cr_Rate,MATCH(J1992&amp;"|"&amp;D1992,cr_Key,0)),INDEX(rt_Rate,MATCH(D1992,rt_Code,0))))</f>
        <v/>
      </c>
      <c r="M1992" s="25" t="str">
        <f aca="false">IF(L1992="","",ROUND(N(E1992)*L1992,2))</f>
        <v/>
      </c>
      <c r="N1992" s="39" t="str">
        <f aca="false">IF(OR(A1992="",B1992=""),"",SUMIFS(tl_Hours,tl_StaffID,I1992,tl_Date,A1992))</f>
        <v/>
      </c>
      <c r="O1992" s="40" t="str">
        <f aca="false">IF(A1992&amp;B1992&amp;D1992="","",IF(OR(A1992="",B1992="",D1992="",E1992=""),"Incomplete",IF(K1992="Unknown","Unknown code",IF(AND(K1992="Yes",C1992=""),"Billable, needs client",IF(N1992&gt;MaxDayHours,"Over "&amp;MaxDayHours&amp;" hours that day","")))))</f>
        <v/>
      </c>
    </row>
    <row r="1993" customFormat="false" ht="15" hidden="false" customHeight="false" outlineLevel="0" collapsed="false">
      <c r="A1993" s="31"/>
      <c r="B1993" s="32"/>
      <c r="C1993" s="32"/>
      <c r="D1993" s="33"/>
      <c r="E1993" s="34"/>
      <c r="F1993" s="32"/>
      <c r="G1993" s="35" t="str">
        <f aca="false">IF(A1993="","",A1993+7-WEEKDAY(A1993))</f>
        <v/>
      </c>
      <c r="H1993" s="36" t="str">
        <f aca="false">IF(A1993="","",DATE(YEAR(A1993),MONTH(A1993),1))</f>
        <v/>
      </c>
      <c r="I1993" s="37" t="str">
        <f aca="false">IF(B1993="","",IFERROR(INDEX(st_ID,MATCH(B1993,st_Name,0)),"Unknown"))</f>
        <v/>
      </c>
      <c r="J1993" s="37" t="str">
        <f aca="false">IF(C1993="","",IFERROR(INDEX(cl_Code,MATCH(C1993,cl_Name,0)),"Unknown"))</f>
        <v/>
      </c>
      <c r="K1993" s="37" t="str">
        <f aca="false">IF(D1993="","",IFERROR(INDEX(rt_Billable,MATCH(D1993,rt_Code,0)),"Unknown"))</f>
        <v/>
      </c>
      <c r="L1993" s="38" t="str">
        <f aca="false">IF(K1993&lt;&gt;"Yes","",IFERROR(INDEX(cr_Rate,MATCH(J1993&amp;"|"&amp;D1993,cr_Key,0)),INDEX(rt_Rate,MATCH(D1993,rt_Code,0))))</f>
        <v/>
      </c>
      <c r="M1993" s="25" t="str">
        <f aca="false">IF(L1993="","",ROUND(N(E1993)*L1993,2))</f>
        <v/>
      </c>
      <c r="N1993" s="39" t="str">
        <f aca="false">IF(OR(A1993="",B1993=""),"",SUMIFS(tl_Hours,tl_StaffID,I1993,tl_Date,A1993))</f>
        <v/>
      </c>
      <c r="O1993" s="40" t="str">
        <f aca="false">IF(A1993&amp;B1993&amp;D1993="","",IF(OR(A1993="",B1993="",D1993="",E1993=""),"Incomplete",IF(K1993="Unknown","Unknown code",IF(AND(K1993="Yes",C1993=""),"Billable, needs client",IF(N1993&gt;MaxDayHours,"Over "&amp;MaxDayHours&amp;" hours that day","")))))</f>
        <v/>
      </c>
    </row>
    <row r="1994" customFormat="false" ht="15" hidden="false" customHeight="false" outlineLevel="0" collapsed="false">
      <c r="A1994" s="31"/>
      <c r="B1994" s="32"/>
      <c r="C1994" s="32"/>
      <c r="D1994" s="33"/>
      <c r="E1994" s="34"/>
      <c r="F1994" s="32"/>
      <c r="G1994" s="35" t="str">
        <f aca="false">IF(A1994="","",A1994+7-WEEKDAY(A1994))</f>
        <v/>
      </c>
      <c r="H1994" s="36" t="str">
        <f aca="false">IF(A1994="","",DATE(YEAR(A1994),MONTH(A1994),1))</f>
        <v/>
      </c>
      <c r="I1994" s="37" t="str">
        <f aca="false">IF(B1994="","",IFERROR(INDEX(st_ID,MATCH(B1994,st_Name,0)),"Unknown"))</f>
        <v/>
      </c>
      <c r="J1994" s="37" t="str">
        <f aca="false">IF(C1994="","",IFERROR(INDEX(cl_Code,MATCH(C1994,cl_Name,0)),"Unknown"))</f>
        <v/>
      </c>
      <c r="K1994" s="37" t="str">
        <f aca="false">IF(D1994="","",IFERROR(INDEX(rt_Billable,MATCH(D1994,rt_Code,0)),"Unknown"))</f>
        <v/>
      </c>
      <c r="L1994" s="38" t="str">
        <f aca="false">IF(K1994&lt;&gt;"Yes","",IFERROR(INDEX(cr_Rate,MATCH(J1994&amp;"|"&amp;D1994,cr_Key,0)),INDEX(rt_Rate,MATCH(D1994,rt_Code,0))))</f>
        <v/>
      </c>
      <c r="M1994" s="25" t="str">
        <f aca="false">IF(L1994="","",ROUND(N(E1994)*L1994,2))</f>
        <v/>
      </c>
      <c r="N1994" s="39" t="str">
        <f aca="false">IF(OR(A1994="",B1994=""),"",SUMIFS(tl_Hours,tl_StaffID,I1994,tl_Date,A1994))</f>
        <v/>
      </c>
      <c r="O1994" s="40" t="str">
        <f aca="false">IF(A1994&amp;B1994&amp;D1994="","",IF(OR(A1994="",B1994="",D1994="",E1994=""),"Incomplete",IF(K1994="Unknown","Unknown code",IF(AND(K1994="Yes",C1994=""),"Billable, needs client",IF(N1994&gt;MaxDayHours,"Over "&amp;MaxDayHours&amp;" hours that day","")))))</f>
        <v/>
      </c>
    </row>
    <row r="1995" customFormat="false" ht="15" hidden="false" customHeight="false" outlineLevel="0" collapsed="false">
      <c r="A1995" s="31"/>
      <c r="B1995" s="32"/>
      <c r="C1995" s="32"/>
      <c r="D1995" s="33"/>
      <c r="E1995" s="34"/>
      <c r="F1995" s="32"/>
      <c r="G1995" s="35" t="str">
        <f aca="false">IF(A1995="","",A1995+7-WEEKDAY(A1995))</f>
        <v/>
      </c>
      <c r="H1995" s="36" t="str">
        <f aca="false">IF(A1995="","",DATE(YEAR(A1995),MONTH(A1995),1))</f>
        <v/>
      </c>
      <c r="I1995" s="37" t="str">
        <f aca="false">IF(B1995="","",IFERROR(INDEX(st_ID,MATCH(B1995,st_Name,0)),"Unknown"))</f>
        <v/>
      </c>
      <c r="J1995" s="37" t="str">
        <f aca="false">IF(C1995="","",IFERROR(INDEX(cl_Code,MATCH(C1995,cl_Name,0)),"Unknown"))</f>
        <v/>
      </c>
      <c r="K1995" s="37" t="str">
        <f aca="false">IF(D1995="","",IFERROR(INDEX(rt_Billable,MATCH(D1995,rt_Code,0)),"Unknown"))</f>
        <v/>
      </c>
      <c r="L1995" s="38" t="str">
        <f aca="false">IF(K1995&lt;&gt;"Yes","",IFERROR(INDEX(cr_Rate,MATCH(J1995&amp;"|"&amp;D1995,cr_Key,0)),INDEX(rt_Rate,MATCH(D1995,rt_Code,0))))</f>
        <v/>
      </c>
      <c r="M1995" s="25" t="str">
        <f aca="false">IF(L1995="","",ROUND(N(E1995)*L1995,2))</f>
        <v/>
      </c>
      <c r="N1995" s="39" t="str">
        <f aca="false">IF(OR(A1995="",B1995=""),"",SUMIFS(tl_Hours,tl_StaffID,I1995,tl_Date,A1995))</f>
        <v/>
      </c>
      <c r="O1995" s="40" t="str">
        <f aca="false">IF(A1995&amp;B1995&amp;D1995="","",IF(OR(A1995="",B1995="",D1995="",E1995=""),"Incomplete",IF(K1995="Unknown","Unknown code",IF(AND(K1995="Yes",C1995=""),"Billable, needs client",IF(N1995&gt;MaxDayHours,"Over "&amp;MaxDayHours&amp;" hours that day","")))))</f>
        <v/>
      </c>
    </row>
    <row r="1996" customFormat="false" ht="15" hidden="false" customHeight="false" outlineLevel="0" collapsed="false">
      <c r="A1996" s="31"/>
      <c r="B1996" s="32"/>
      <c r="C1996" s="32"/>
      <c r="D1996" s="33"/>
      <c r="E1996" s="34"/>
      <c r="F1996" s="32"/>
      <c r="G1996" s="35" t="str">
        <f aca="false">IF(A1996="","",A1996+7-WEEKDAY(A1996))</f>
        <v/>
      </c>
      <c r="H1996" s="36" t="str">
        <f aca="false">IF(A1996="","",DATE(YEAR(A1996),MONTH(A1996),1))</f>
        <v/>
      </c>
      <c r="I1996" s="37" t="str">
        <f aca="false">IF(B1996="","",IFERROR(INDEX(st_ID,MATCH(B1996,st_Name,0)),"Unknown"))</f>
        <v/>
      </c>
      <c r="J1996" s="37" t="str">
        <f aca="false">IF(C1996="","",IFERROR(INDEX(cl_Code,MATCH(C1996,cl_Name,0)),"Unknown"))</f>
        <v/>
      </c>
      <c r="K1996" s="37" t="str">
        <f aca="false">IF(D1996="","",IFERROR(INDEX(rt_Billable,MATCH(D1996,rt_Code,0)),"Unknown"))</f>
        <v/>
      </c>
      <c r="L1996" s="38" t="str">
        <f aca="false">IF(K1996&lt;&gt;"Yes","",IFERROR(INDEX(cr_Rate,MATCH(J1996&amp;"|"&amp;D1996,cr_Key,0)),INDEX(rt_Rate,MATCH(D1996,rt_Code,0))))</f>
        <v/>
      </c>
      <c r="M1996" s="25" t="str">
        <f aca="false">IF(L1996="","",ROUND(N(E1996)*L1996,2))</f>
        <v/>
      </c>
      <c r="N1996" s="39" t="str">
        <f aca="false">IF(OR(A1996="",B1996=""),"",SUMIFS(tl_Hours,tl_StaffID,I1996,tl_Date,A1996))</f>
        <v/>
      </c>
      <c r="O1996" s="40" t="str">
        <f aca="false">IF(A1996&amp;B1996&amp;D1996="","",IF(OR(A1996="",B1996="",D1996="",E1996=""),"Incomplete",IF(K1996="Unknown","Unknown code",IF(AND(K1996="Yes",C1996=""),"Billable, needs client",IF(N1996&gt;MaxDayHours,"Over "&amp;MaxDayHours&amp;" hours that day","")))))</f>
        <v/>
      </c>
    </row>
    <row r="1997" customFormat="false" ht="15" hidden="false" customHeight="false" outlineLevel="0" collapsed="false">
      <c r="A1997" s="31"/>
      <c r="B1997" s="32"/>
      <c r="C1997" s="32"/>
      <c r="D1997" s="33"/>
      <c r="E1997" s="34"/>
      <c r="F1997" s="32"/>
      <c r="G1997" s="35" t="str">
        <f aca="false">IF(A1997="","",A1997+7-WEEKDAY(A1997))</f>
        <v/>
      </c>
      <c r="H1997" s="36" t="str">
        <f aca="false">IF(A1997="","",DATE(YEAR(A1997),MONTH(A1997),1))</f>
        <v/>
      </c>
      <c r="I1997" s="37" t="str">
        <f aca="false">IF(B1997="","",IFERROR(INDEX(st_ID,MATCH(B1997,st_Name,0)),"Unknown"))</f>
        <v/>
      </c>
      <c r="J1997" s="37" t="str">
        <f aca="false">IF(C1997="","",IFERROR(INDEX(cl_Code,MATCH(C1997,cl_Name,0)),"Unknown"))</f>
        <v/>
      </c>
      <c r="K1997" s="37" t="str">
        <f aca="false">IF(D1997="","",IFERROR(INDEX(rt_Billable,MATCH(D1997,rt_Code,0)),"Unknown"))</f>
        <v/>
      </c>
      <c r="L1997" s="38" t="str">
        <f aca="false">IF(K1997&lt;&gt;"Yes","",IFERROR(INDEX(cr_Rate,MATCH(J1997&amp;"|"&amp;D1997,cr_Key,0)),INDEX(rt_Rate,MATCH(D1997,rt_Code,0))))</f>
        <v/>
      </c>
      <c r="M1997" s="25" t="str">
        <f aca="false">IF(L1997="","",ROUND(N(E1997)*L1997,2))</f>
        <v/>
      </c>
      <c r="N1997" s="39" t="str">
        <f aca="false">IF(OR(A1997="",B1997=""),"",SUMIFS(tl_Hours,tl_StaffID,I1997,tl_Date,A1997))</f>
        <v/>
      </c>
      <c r="O1997" s="40" t="str">
        <f aca="false">IF(A1997&amp;B1997&amp;D1997="","",IF(OR(A1997="",B1997="",D1997="",E1997=""),"Incomplete",IF(K1997="Unknown","Unknown code",IF(AND(K1997="Yes",C1997=""),"Billable, needs client",IF(N1997&gt;MaxDayHours,"Over "&amp;MaxDayHours&amp;" hours that day","")))))</f>
        <v/>
      </c>
    </row>
    <row r="1998" customFormat="false" ht="15" hidden="false" customHeight="false" outlineLevel="0" collapsed="false">
      <c r="A1998" s="31"/>
      <c r="B1998" s="32"/>
      <c r="C1998" s="32"/>
      <c r="D1998" s="33"/>
      <c r="E1998" s="34"/>
      <c r="F1998" s="32"/>
      <c r="G1998" s="35" t="str">
        <f aca="false">IF(A1998="","",A1998+7-WEEKDAY(A1998))</f>
        <v/>
      </c>
      <c r="H1998" s="36" t="str">
        <f aca="false">IF(A1998="","",DATE(YEAR(A1998),MONTH(A1998),1))</f>
        <v/>
      </c>
      <c r="I1998" s="37" t="str">
        <f aca="false">IF(B1998="","",IFERROR(INDEX(st_ID,MATCH(B1998,st_Name,0)),"Unknown"))</f>
        <v/>
      </c>
      <c r="J1998" s="37" t="str">
        <f aca="false">IF(C1998="","",IFERROR(INDEX(cl_Code,MATCH(C1998,cl_Name,0)),"Unknown"))</f>
        <v/>
      </c>
      <c r="K1998" s="37" t="str">
        <f aca="false">IF(D1998="","",IFERROR(INDEX(rt_Billable,MATCH(D1998,rt_Code,0)),"Unknown"))</f>
        <v/>
      </c>
      <c r="L1998" s="38" t="str">
        <f aca="false">IF(K1998&lt;&gt;"Yes","",IFERROR(INDEX(cr_Rate,MATCH(J1998&amp;"|"&amp;D1998,cr_Key,0)),INDEX(rt_Rate,MATCH(D1998,rt_Code,0))))</f>
        <v/>
      </c>
      <c r="M1998" s="25" t="str">
        <f aca="false">IF(L1998="","",ROUND(N(E1998)*L1998,2))</f>
        <v/>
      </c>
      <c r="N1998" s="39" t="str">
        <f aca="false">IF(OR(A1998="",B1998=""),"",SUMIFS(tl_Hours,tl_StaffID,I1998,tl_Date,A1998))</f>
        <v/>
      </c>
      <c r="O1998" s="40" t="str">
        <f aca="false">IF(A1998&amp;B1998&amp;D1998="","",IF(OR(A1998="",B1998="",D1998="",E1998=""),"Incomplete",IF(K1998="Unknown","Unknown code",IF(AND(K1998="Yes",C1998=""),"Billable, needs client",IF(N1998&gt;MaxDayHours,"Over "&amp;MaxDayHours&amp;" hours that day","")))))</f>
        <v/>
      </c>
    </row>
    <row r="1999" customFormat="false" ht="15" hidden="false" customHeight="false" outlineLevel="0" collapsed="false">
      <c r="A1999" s="31"/>
      <c r="B1999" s="32"/>
      <c r="C1999" s="32"/>
      <c r="D1999" s="33"/>
      <c r="E1999" s="34"/>
      <c r="F1999" s="32"/>
      <c r="G1999" s="35" t="str">
        <f aca="false">IF(A1999="","",A1999+7-WEEKDAY(A1999))</f>
        <v/>
      </c>
      <c r="H1999" s="36" t="str">
        <f aca="false">IF(A1999="","",DATE(YEAR(A1999),MONTH(A1999),1))</f>
        <v/>
      </c>
      <c r="I1999" s="37" t="str">
        <f aca="false">IF(B1999="","",IFERROR(INDEX(st_ID,MATCH(B1999,st_Name,0)),"Unknown"))</f>
        <v/>
      </c>
      <c r="J1999" s="37" t="str">
        <f aca="false">IF(C1999="","",IFERROR(INDEX(cl_Code,MATCH(C1999,cl_Name,0)),"Unknown"))</f>
        <v/>
      </c>
      <c r="K1999" s="37" t="str">
        <f aca="false">IF(D1999="","",IFERROR(INDEX(rt_Billable,MATCH(D1999,rt_Code,0)),"Unknown"))</f>
        <v/>
      </c>
      <c r="L1999" s="38" t="str">
        <f aca="false">IF(K1999&lt;&gt;"Yes","",IFERROR(INDEX(cr_Rate,MATCH(J1999&amp;"|"&amp;D1999,cr_Key,0)),INDEX(rt_Rate,MATCH(D1999,rt_Code,0))))</f>
        <v/>
      </c>
      <c r="M1999" s="25" t="str">
        <f aca="false">IF(L1999="","",ROUND(N(E1999)*L1999,2))</f>
        <v/>
      </c>
      <c r="N1999" s="39" t="str">
        <f aca="false">IF(OR(A1999="",B1999=""),"",SUMIFS(tl_Hours,tl_StaffID,I1999,tl_Date,A1999))</f>
        <v/>
      </c>
      <c r="O1999" s="40" t="str">
        <f aca="false">IF(A1999&amp;B1999&amp;D1999="","",IF(OR(A1999="",B1999="",D1999="",E1999=""),"Incomplete",IF(K1999="Unknown","Unknown code",IF(AND(K1999="Yes",C1999=""),"Billable, needs client",IF(N1999&gt;MaxDayHours,"Over "&amp;MaxDayHours&amp;" hours that day","")))))</f>
        <v/>
      </c>
    </row>
    <row r="2000" customFormat="false" ht="15" hidden="false" customHeight="false" outlineLevel="0" collapsed="false">
      <c r="A2000" s="31"/>
      <c r="B2000" s="32"/>
      <c r="C2000" s="32"/>
      <c r="D2000" s="33"/>
      <c r="E2000" s="34"/>
      <c r="F2000" s="32"/>
      <c r="G2000" s="35" t="str">
        <f aca="false">IF(A2000="","",A2000+7-WEEKDAY(A2000))</f>
        <v/>
      </c>
      <c r="H2000" s="36" t="str">
        <f aca="false">IF(A2000="","",DATE(YEAR(A2000),MONTH(A2000),1))</f>
        <v/>
      </c>
      <c r="I2000" s="37" t="str">
        <f aca="false">IF(B2000="","",IFERROR(INDEX(st_ID,MATCH(B2000,st_Name,0)),"Unknown"))</f>
        <v/>
      </c>
      <c r="J2000" s="37" t="str">
        <f aca="false">IF(C2000="","",IFERROR(INDEX(cl_Code,MATCH(C2000,cl_Name,0)),"Unknown"))</f>
        <v/>
      </c>
      <c r="K2000" s="37" t="str">
        <f aca="false">IF(D2000="","",IFERROR(INDEX(rt_Billable,MATCH(D2000,rt_Code,0)),"Unknown"))</f>
        <v/>
      </c>
      <c r="L2000" s="38" t="str">
        <f aca="false">IF(K2000&lt;&gt;"Yes","",IFERROR(INDEX(cr_Rate,MATCH(J2000&amp;"|"&amp;D2000,cr_Key,0)),INDEX(rt_Rate,MATCH(D2000,rt_Code,0))))</f>
        <v/>
      </c>
      <c r="M2000" s="25" t="str">
        <f aca="false">IF(L2000="","",ROUND(N(E2000)*L2000,2))</f>
        <v/>
      </c>
      <c r="N2000" s="39" t="str">
        <f aca="false">IF(OR(A2000="",B2000=""),"",SUMIFS(tl_Hours,tl_StaffID,I2000,tl_Date,A2000))</f>
        <v/>
      </c>
      <c r="O2000" s="40" t="str">
        <f aca="false">IF(A2000&amp;B2000&amp;D2000="","",IF(OR(A2000="",B2000="",D2000="",E2000=""),"Incomplete",IF(K2000="Unknown","Unknown code",IF(AND(K2000="Yes",C2000=""),"Billable, needs client",IF(N2000&gt;MaxDayHours,"Over "&amp;MaxDayHours&amp;" hours that day","")))))</f>
        <v/>
      </c>
    </row>
    <row r="2001" customFormat="false" ht="15" hidden="false" customHeight="false" outlineLevel="0" collapsed="false">
      <c r="A2001" s="31"/>
      <c r="B2001" s="32"/>
      <c r="C2001" s="32"/>
      <c r="D2001" s="33"/>
      <c r="E2001" s="34"/>
      <c r="F2001" s="32"/>
      <c r="G2001" s="35" t="str">
        <f aca="false">IF(A2001="","",A2001+7-WEEKDAY(A2001))</f>
        <v/>
      </c>
      <c r="H2001" s="36" t="str">
        <f aca="false">IF(A2001="","",DATE(YEAR(A2001),MONTH(A2001),1))</f>
        <v/>
      </c>
      <c r="I2001" s="37" t="str">
        <f aca="false">IF(B2001="","",IFERROR(INDEX(st_ID,MATCH(B2001,st_Name,0)),"Unknown"))</f>
        <v/>
      </c>
      <c r="J2001" s="37" t="str">
        <f aca="false">IF(C2001="","",IFERROR(INDEX(cl_Code,MATCH(C2001,cl_Name,0)),"Unknown"))</f>
        <v/>
      </c>
      <c r="K2001" s="37" t="str">
        <f aca="false">IF(D2001="","",IFERROR(INDEX(rt_Billable,MATCH(D2001,rt_Code,0)),"Unknown"))</f>
        <v/>
      </c>
      <c r="L2001" s="38" t="str">
        <f aca="false">IF(K2001&lt;&gt;"Yes","",IFERROR(INDEX(cr_Rate,MATCH(J2001&amp;"|"&amp;D2001,cr_Key,0)),INDEX(rt_Rate,MATCH(D2001,rt_Code,0))))</f>
        <v/>
      </c>
      <c r="M2001" s="25" t="str">
        <f aca="false">IF(L2001="","",ROUND(N(E2001)*L2001,2))</f>
        <v/>
      </c>
      <c r="N2001" s="39" t="str">
        <f aca="false">IF(OR(A2001="",B2001=""),"",SUMIFS(tl_Hours,tl_StaffID,I2001,tl_Date,A2001))</f>
        <v/>
      </c>
      <c r="O2001" s="40" t="str">
        <f aca="false">IF(A2001&amp;B2001&amp;D2001="","",IF(OR(A2001="",B2001="",D2001="",E2001=""),"Incomplete",IF(K2001="Unknown","Unknown code",IF(AND(K2001="Yes",C2001=""),"Billable, needs client",IF(N2001&gt;MaxDayHours,"Over "&amp;MaxDayHours&amp;" hours that day","")))))</f>
        <v/>
      </c>
    </row>
    <row r="2002" customFormat="false" ht="15" hidden="false" customHeight="false" outlineLevel="0" collapsed="false">
      <c r="A2002" s="31"/>
      <c r="B2002" s="32"/>
      <c r="C2002" s="32"/>
      <c r="D2002" s="33"/>
      <c r="E2002" s="34"/>
      <c r="F2002" s="32"/>
      <c r="G2002" s="35" t="str">
        <f aca="false">IF(A2002="","",A2002+7-WEEKDAY(A2002))</f>
        <v/>
      </c>
      <c r="H2002" s="36" t="str">
        <f aca="false">IF(A2002="","",DATE(YEAR(A2002),MONTH(A2002),1))</f>
        <v/>
      </c>
      <c r="I2002" s="37" t="str">
        <f aca="false">IF(B2002="","",IFERROR(INDEX(st_ID,MATCH(B2002,st_Name,0)),"Unknown"))</f>
        <v/>
      </c>
      <c r="J2002" s="37" t="str">
        <f aca="false">IF(C2002="","",IFERROR(INDEX(cl_Code,MATCH(C2002,cl_Name,0)),"Unknown"))</f>
        <v/>
      </c>
      <c r="K2002" s="37" t="str">
        <f aca="false">IF(D2002="","",IFERROR(INDEX(rt_Billable,MATCH(D2002,rt_Code,0)),"Unknown"))</f>
        <v/>
      </c>
      <c r="L2002" s="38" t="str">
        <f aca="false">IF(K2002&lt;&gt;"Yes","",IFERROR(INDEX(cr_Rate,MATCH(J2002&amp;"|"&amp;D2002,cr_Key,0)),INDEX(rt_Rate,MATCH(D2002,rt_Code,0))))</f>
        <v/>
      </c>
      <c r="M2002" s="25" t="str">
        <f aca="false">IF(L2002="","",ROUND(N(E2002)*L2002,2))</f>
        <v/>
      </c>
      <c r="N2002" s="39" t="str">
        <f aca="false">IF(OR(A2002="",B2002=""),"",SUMIFS(tl_Hours,tl_StaffID,I2002,tl_Date,A2002))</f>
        <v/>
      </c>
      <c r="O2002" s="40" t="str">
        <f aca="false">IF(A2002&amp;B2002&amp;D2002="","",IF(OR(A2002="",B2002="",D2002="",E2002=""),"Incomplete",IF(K2002="Unknown","Unknown code",IF(AND(K2002="Yes",C2002=""),"Billable, needs client",IF(N2002&gt;MaxDayHours,"Over "&amp;MaxDayHours&amp;" hours that day","")))))</f>
        <v/>
      </c>
    </row>
    <row r="2003" customFormat="false" ht="15" hidden="false" customHeight="false" outlineLevel="0" collapsed="false">
      <c r="A2003" s="31"/>
      <c r="B2003" s="32"/>
      <c r="C2003" s="32"/>
      <c r="D2003" s="33"/>
      <c r="E2003" s="34"/>
      <c r="F2003" s="32"/>
      <c r="G2003" s="35" t="str">
        <f aca="false">IF(A2003="","",A2003+7-WEEKDAY(A2003))</f>
        <v/>
      </c>
      <c r="H2003" s="36" t="str">
        <f aca="false">IF(A2003="","",DATE(YEAR(A2003),MONTH(A2003),1))</f>
        <v/>
      </c>
      <c r="I2003" s="37" t="str">
        <f aca="false">IF(B2003="","",IFERROR(INDEX(st_ID,MATCH(B2003,st_Name,0)),"Unknown"))</f>
        <v/>
      </c>
      <c r="J2003" s="37" t="str">
        <f aca="false">IF(C2003="","",IFERROR(INDEX(cl_Code,MATCH(C2003,cl_Name,0)),"Unknown"))</f>
        <v/>
      </c>
      <c r="K2003" s="37" t="str">
        <f aca="false">IF(D2003="","",IFERROR(INDEX(rt_Billable,MATCH(D2003,rt_Code,0)),"Unknown"))</f>
        <v/>
      </c>
      <c r="L2003" s="38" t="str">
        <f aca="false">IF(K2003&lt;&gt;"Yes","",IFERROR(INDEX(cr_Rate,MATCH(J2003&amp;"|"&amp;D2003,cr_Key,0)),INDEX(rt_Rate,MATCH(D2003,rt_Code,0))))</f>
        <v/>
      </c>
      <c r="M2003" s="25" t="str">
        <f aca="false">IF(L2003="","",ROUND(N(E2003)*L2003,2))</f>
        <v/>
      </c>
      <c r="N2003" s="39" t="str">
        <f aca="false">IF(OR(A2003="",B2003=""),"",SUMIFS(tl_Hours,tl_StaffID,I2003,tl_Date,A2003))</f>
        <v/>
      </c>
      <c r="O2003" s="40" t="str">
        <f aca="false">IF(A2003&amp;B2003&amp;D2003="","",IF(OR(A2003="",B2003="",D2003="",E2003=""),"Incomplete",IF(K2003="Unknown","Unknown code",IF(AND(K2003="Yes",C2003=""),"Billable, needs client",IF(N2003&gt;MaxDayHours,"Over "&amp;MaxDayHours&amp;" hours that day","")))))</f>
        <v/>
      </c>
    </row>
    <row r="2004" customFormat="false" ht="15" hidden="false" customHeight="false" outlineLevel="0" collapsed="false">
      <c r="A2004" s="31"/>
      <c r="B2004" s="32"/>
      <c r="C2004" s="32"/>
      <c r="D2004" s="33"/>
      <c r="E2004" s="34"/>
      <c r="F2004" s="32"/>
      <c r="G2004" s="35" t="str">
        <f aca="false">IF(A2004="","",A2004+7-WEEKDAY(A2004))</f>
        <v/>
      </c>
      <c r="H2004" s="36" t="str">
        <f aca="false">IF(A2004="","",DATE(YEAR(A2004),MONTH(A2004),1))</f>
        <v/>
      </c>
      <c r="I2004" s="37" t="str">
        <f aca="false">IF(B2004="","",IFERROR(INDEX(st_ID,MATCH(B2004,st_Name,0)),"Unknown"))</f>
        <v/>
      </c>
      <c r="J2004" s="37" t="str">
        <f aca="false">IF(C2004="","",IFERROR(INDEX(cl_Code,MATCH(C2004,cl_Name,0)),"Unknown"))</f>
        <v/>
      </c>
      <c r="K2004" s="37" t="str">
        <f aca="false">IF(D2004="","",IFERROR(INDEX(rt_Billable,MATCH(D2004,rt_Code,0)),"Unknown"))</f>
        <v/>
      </c>
      <c r="L2004" s="38" t="str">
        <f aca="false">IF(K2004&lt;&gt;"Yes","",IFERROR(INDEX(cr_Rate,MATCH(J2004&amp;"|"&amp;D2004,cr_Key,0)),INDEX(rt_Rate,MATCH(D2004,rt_Code,0))))</f>
        <v/>
      </c>
      <c r="M2004" s="25" t="str">
        <f aca="false">IF(L2004="","",ROUND(N(E2004)*L2004,2))</f>
        <v/>
      </c>
      <c r="N2004" s="39" t="str">
        <f aca="false">IF(OR(A2004="",B2004=""),"",SUMIFS(tl_Hours,tl_StaffID,I2004,tl_Date,A2004))</f>
        <v/>
      </c>
      <c r="O2004" s="40" t="str">
        <f aca="false">IF(A2004&amp;B2004&amp;D2004="","",IF(OR(A2004="",B2004="",D2004="",E2004=""),"Incomplete",IF(K2004="Unknown","Unknown code",IF(AND(K2004="Yes",C2004=""),"Billable, needs client",IF(N2004&gt;MaxDayHours,"Over "&amp;MaxDayHours&amp;" hours that day","")))))</f>
        <v/>
      </c>
    </row>
    <row r="2005" customFormat="false" ht="15" hidden="false" customHeight="false" outlineLevel="0" collapsed="false">
      <c r="A2005" s="31"/>
      <c r="B2005" s="32"/>
      <c r="C2005" s="32"/>
      <c r="D2005" s="33"/>
      <c r="E2005" s="34"/>
      <c r="F2005" s="32"/>
      <c r="G2005" s="35" t="str">
        <f aca="false">IF(A2005="","",A2005+7-WEEKDAY(A2005))</f>
        <v/>
      </c>
      <c r="H2005" s="36" t="str">
        <f aca="false">IF(A2005="","",DATE(YEAR(A2005),MONTH(A2005),1))</f>
        <v/>
      </c>
      <c r="I2005" s="37" t="str">
        <f aca="false">IF(B2005="","",IFERROR(INDEX(st_ID,MATCH(B2005,st_Name,0)),"Unknown"))</f>
        <v/>
      </c>
      <c r="J2005" s="37" t="str">
        <f aca="false">IF(C2005="","",IFERROR(INDEX(cl_Code,MATCH(C2005,cl_Name,0)),"Unknown"))</f>
        <v/>
      </c>
      <c r="K2005" s="37" t="str">
        <f aca="false">IF(D2005="","",IFERROR(INDEX(rt_Billable,MATCH(D2005,rt_Code,0)),"Unknown"))</f>
        <v/>
      </c>
      <c r="L2005" s="38" t="str">
        <f aca="false">IF(K2005&lt;&gt;"Yes","",IFERROR(INDEX(cr_Rate,MATCH(J2005&amp;"|"&amp;D2005,cr_Key,0)),INDEX(rt_Rate,MATCH(D2005,rt_Code,0))))</f>
        <v/>
      </c>
      <c r="M2005" s="25" t="str">
        <f aca="false">IF(L2005="","",ROUND(N(E2005)*L2005,2))</f>
        <v/>
      </c>
      <c r="N2005" s="39" t="str">
        <f aca="false">IF(OR(A2005="",B2005=""),"",SUMIFS(tl_Hours,tl_StaffID,I2005,tl_Date,A2005))</f>
        <v/>
      </c>
      <c r="O2005" s="40" t="str">
        <f aca="false">IF(A2005&amp;B2005&amp;D2005="","",IF(OR(A2005="",B2005="",D2005="",E2005=""),"Incomplete",IF(K2005="Unknown","Unknown code",IF(AND(K2005="Yes",C2005=""),"Billable, needs client",IF(N2005&gt;MaxDayHours,"Over "&amp;MaxDayHours&amp;" hours that day","")))))</f>
        <v/>
      </c>
    </row>
    <row r="2006" customFormat="false" ht="15" hidden="false" customHeight="false" outlineLevel="0" collapsed="false">
      <c r="A2006" s="31"/>
      <c r="B2006" s="32"/>
      <c r="C2006" s="32"/>
      <c r="D2006" s="33"/>
      <c r="E2006" s="34"/>
      <c r="F2006" s="32"/>
      <c r="G2006" s="35" t="str">
        <f aca="false">IF(A2006="","",A2006+7-WEEKDAY(A2006))</f>
        <v/>
      </c>
      <c r="H2006" s="36" t="str">
        <f aca="false">IF(A2006="","",DATE(YEAR(A2006),MONTH(A2006),1))</f>
        <v/>
      </c>
      <c r="I2006" s="37" t="str">
        <f aca="false">IF(B2006="","",IFERROR(INDEX(st_ID,MATCH(B2006,st_Name,0)),"Unknown"))</f>
        <v/>
      </c>
      <c r="J2006" s="37" t="str">
        <f aca="false">IF(C2006="","",IFERROR(INDEX(cl_Code,MATCH(C2006,cl_Name,0)),"Unknown"))</f>
        <v/>
      </c>
      <c r="K2006" s="37" t="str">
        <f aca="false">IF(D2006="","",IFERROR(INDEX(rt_Billable,MATCH(D2006,rt_Code,0)),"Unknown"))</f>
        <v/>
      </c>
      <c r="L2006" s="38" t="str">
        <f aca="false">IF(K2006&lt;&gt;"Yes","",IFERROR(INDEX(cr_Rate,MATCH(J2006&amp;"|"&amp;D2006,cr_Key,0)),INDEX(rt_Rate,MATCH(D2006,rt_Code,0))))</f>
        <v/>
      </c>
      <c r="M2006" s="25" t="str">
        <f aca="false">IF(L2006="","",ROUND(N(E2006)*L2006,2))</f>
        <v/>
      </c>
      <c r="N2006" s="39" t="str">
        <f aca="false">IF(OR(A2006="",B2006=""),"",SUMIFS(tl_Hours,tl_StaffID,I2006,tl_Date,A2006))</f>
        <v/>
      </c>
      <c r="O2006" s="40" t="str">
        <f aca="false">IF(A2006&amp;B2006&amp;D2006="","",IF(OR(A2006="",B2006="",D2006="",E2006=""),"Incomplete",IF(K2006="Unknown","Unknown code",IF(AND(K2006="Yes",C2006=""),"Billable, needs client",IF(N2006&gt;MaxDayHours,"Over "&amp;MaxDayHours&amp;" hours that day","")))))</f>
        <v/>
      </c>
    </row>
    <row r="2007" customFormat="false" ht="15" hidden="false" customHeight="false" outlineLevel="0" collapsed="false">
      <c r="A2007" s="31"/>
      <c r="B2007" s="32"/>
      <c r="C2007" s="32"/>
      <c r="D2007" s="33"/>
      <c r="E2007" s="34"/>
      <c r="F2007" s="32"/>
      <c r="G2007" s="35" t="str">
        <f aca="false">IF(A2007="","",A2007+7-WEEKDAY(A2007))</f>
        <v/>
      </c>
      <c r="H2007" s="36" t="str">
        <f aca="false">IF(A2007="","",DATE(YEAR(A2007),MONTH(A2007),1))</f>
        <v/>
      </c>
      <c r="I2007" s="37" t="str">
        <f aca="false">IF(B2007="","",IFERROR(INDEX(st_ID,MATCH(B2007,st_Name,0)),"Unknown"))</f>
        <v/>
      </c>
      <c r="J2007" s="37" t="str">
        <f aca="false">IF(C2007="","",IFERROR(INDEX(cl_Code,MATCH(C2007,cl_Name,0)),"Unknown"))</f>
        <v/>
      </c>
      <c r="K2007" s="37" t="str">
        <f aca="false">IF(D2007="","",IFERROR(INDEX(rt_Billable,MATCH(D2007,rt_Code,0)),"Unknown"))</f>
        <v/>
      </c>
      <c r="L2007" s="38" t="str">
        <f aca="false">IF(K2007&lt;&gt;"Yes","",IFERROR(INDEX(cr_Rate,MATCH(J2007&amp;"|"&amp;D2007,cr_Key,0)),INDEX(rt_Rate,MATCH(D2007,rt_Code,0))))</f>
        <v/>
      </c>
      <c r="M2007" s="25" t="str">
        <f aca="false">IF(L2007="","",ROUND(N(E2007)*L2007,2))</f>
        <v/>
      </c>
      <c r="N2007" s="39" t="str">
        <f aca="false">IF(OR(A2007="",B2007=""),"",SUMIFS(tl_Hours,tl_StaffID,I2007,tl_Date,A2007))</f>
        <v/>
      </c>
      <c r="O2007" s="40" t="str">
        <f aca="false">IF(A2007&amp;B2007&amp;D2007="","",IF(OR(A2007="",B2007="",D2007="",E2007=""),"Incomplete",IF(K2007="Unknown","Unknown code",IF(AND(K2007="Yes",C2007=""),"Billable, needs client",IF(N2007&gt;MaxDayHours,"Over "&amp;MaxDayHours&amp;" hours that day","")))))</f>
        <v/>
      </c>
    </row>
    <row r="2008" customFormat="false" ht="15" hidden="false" customHeight="false" outlineLevel="0" collapsed="false">
      <c r="A2008" s="31"/>
      <c r="B2008" s="32"/>
      <c r="C2008" s="32"/>
      <c r="D2008" s="33"/>
      <c r="E2008" s="34"/>
      <c r="F2008" s="32"/>
      <c r="G2008" s="35" t="str">
        <f aca="false">IF(A2008="","",A2008+7-WEEKDAY(A2008))</f>
        <v/>
      </c>
      <c r="H2008" s="36" t="str">
        <f aca="false">IF(A2008="","",DATE(YEAR(A2008),MONTH(A2008),1))</f>
        <v/>
      </c>
      <c r="I2008" s="37" t="str">
        <f aca="false">IF(B2008="","",IFERROR(INDEX(st_ID,MATCH(B2008,st_Name,0)),"Unknown"))</f>
        <v/>
      </c>
      <c r="J2008" s="37" t="str">
        <f aca="false">IF(C2008="","",IFERROR(INDEX(cl_Code,MATCH(C2008,cl_Name,0)),"Unknown"))</f>
        <v/>
      </c>
      <c r="K2008" s="37" t="str">
        <f aca="false">IF(D2008="","",IFERROR(INDEX(rt_Billable,MATCH(D2008,rt_Code,0)),"Unknown"))</f>
        <v/>
      </c>
      <c r="L2008" s="38" t="str">
        <f aca="false">IF(K2008&lt;&gt;"Yes","",IFERROR(INDEX(cr_Rate,MATCH(J2008&amp;"|"&amp;D2008,cr_Key,0)),INDEX(rt_Rate,MATCH(D2008,rt_Code,0))))</f>
        <v/>
      </c>
      <c r="M2008" s="25" t="str">
        <f aca="false">IF(L2008="","",ROUND(N(E2008)*L2008,2))</f>
        <v/>
      </c>
      <c r="N2008" s="39" t="str">
        <f aca="false">IF(OR(A2008="",B2008=""),"",SUMIFS(tl_Hours,tl_StaffID,I2008,tl_Date,A2008))</f>
        <v/>
      </c>
      <c r="O2008" s="40" t="str">
        <f aca="false">IF(A2008&amp;B2008&amp;D2008="","",IF(OR(A2008="",B2008="",D2008="",E2008=""),"Incomplete",IF(K2008="Unknown","Unknown code",IF(AND(K2008="Yes",C2008=""),"Billable, needs client",IF(N2008&gt;MaxDayHours,"Over "&amp;MaxDayHours&amp;" hours that day","")))))</f>
        <v/>
      </c>
    </row>
    <row r="2009" customFormat="false" ht="15" hidden="false" customHeight="false" outlineLevel="0" collapsed="false">
      <c r="A2009" s="31"/>
      <c r="B2009" s="32"/>
      <c r="C2009" s="32"/>
      <c r="D2009" s="33"/>
      <c r="E2009" s="34"/>
      <c r="F2009" s="32"/>
      <c r="G2009" s="35" t="str">
        <f aca="false">IF(A2009="","",A2009+7-WEEKDAY(A2009))</f>
        <v/>
      </c>
      <c r="H2009" s="36" t="str">
        <f aca="false">IF(A2009="","",DATE(YEAR(A2009),MONTH(A2009),1))</f>
        <v/>
      </c>
      <c r="I2009" s="37" t="str">
        <f aca="false">IF(B2009="","",IFERROR(INDEX(st_ID,MATCH(B2009,st_Name,0)),"Unknown"))</f>
        <v/>
      </c>
      <c r="J2009" s="37" t="str">
        <f aca="false">IF(C2009="","",IFERROR(INDEX(cl_Code,MATCH(C2009,cl_Name,0)),"Unknown"))</f>
        <v/>
      </c>
      <c r="K2009" s="37" t="str">
        <f aca="false">IF(D2009="","",IFERROR(INDEX(rt_Billable,MATCH(D2009,rt_Code,0)),"Unknown"))</f>
        <v/>
      </c>
      <c r="L2009" s="38" t="str">
        <f aca="false">IF(K2009&lt;&gt;"Yes","",IFERROR(INDEX(cr_Rate,MATCH(J2009&amp;"|"&amp;D2009,cr_Key,0)),INDEX(rt_Rate,MATCH(D2009,rt_Code,0))))</f>
        <v/>
      </c>
      <c r="M2009" s="25" t="str">
        <f aca="false">IF(L2009="","",ROUND(N(E2009)*L2009,2))</f>
        <v/>
      </c>
      <c r="N2009" s="39" t="str">
        <f aca="false">IF(OR(A2009="",B2009=""),"",SUMIFS(tl_Hours,tl_StaffID,I2009,tl_Date,A2009))</f>
        <v/>
      </c>
      <c r="O2009" s="40" t="str">
        <f aca="false">IF(A2009&amp;B2009&amp;D2009="","",IF(OR(A2009="",B2009="",D2009="",E2009=""),"Incomplete",IF(K2009="Unknown","Unknown code",IF(AND(K2009="Yes",C2009=""),"Billable, needs client",IF(N2009&gt;MaxDayHours,"Over "&amp;MaxDayHours&amp;" hours that day","")))))</f>
        <v/>
      </c>
    </row>
    <row r="2010" customFormat="false" ht="15" hidden="false" customHeight="false" outlineLevel="0" collapsed="false">
      <c r="A2010" s="31"/>
      <c r="B2010" s="32"/>
      <c r="C2010" s="32"/>
      <c r="D2010" s="33"/>
      <c r="E2010" s="34"/>
      <c r="F2010" s="32"/>
      <c r="G2010" s="35" t="str">
        <f aca="false">IF(A2010="","",A2010+7-WEEKDAY(A2010))</f>
        <v/>
      </c>
      <c r="H2010" s="36" t="str">
        <f aca="false">IF(A2010="","",DATE(YEAR(A2010),MONTH(A2010),1))</f>
        <v/>
      </c>
      <c r="I2010" s="37" t="str">
        <f aca="false">IF(B2010="","",IFERROR(INDEX(st_ID,MATCH(B2010,st_Name,0)),"Unknown"))</f>
        <v/>
      </c>
      <c r="J2010" s="37" t="str">
        <f aca="false">IF(C2010="","",IFERROR(INDEX(cl_Code,MATCH(C2010,cl_Name,0)),"Unknown"))</f>
        <v/>
      </c>
      <c r="K2010" s="37" t="str">
        <f aca="false">IF(D2010="","",IFERROR(INDEX(rt_Billable,MATCH(D2010,rt_Code,0)),"Unknown"))</f>
        <v/>
      </c>
      <c r="L2010" s="38" t="str">
        <f aca="false">IF(K2010&lt;&gt;"Yes","",IFERROR(INDEX(cr_Rate,MATCH(J2010&amp;"|"&amp;D2010,cr_Key,0)),INDEX(rt_Rate,MATCH(D2010,rt_Code,0))))</f>
        <v/>
      </c>
      <c r="M2010" s="25" t="str">
        <f aca="false">IF(L2010="","",ROUND(N(E2010)*L2010,2))</f>
        <v/>
      </c>
      <c r="N2010" s="39" t="str">
        <f aca="false">IF(OR(A2010="",B2010=""),"",SUMIFS(tl_Hours,tl_StaffID,I2010,tl_Date,A2010))</f>
        <v/>
      </c>
      <c r="O2010" s="40" t="str">
        <f aca="false">IF(A2010&amp;B2010&amp;D2010="","",IF(OR(A2010="",B2010="",D2010="",E2010=""),"Incomplete",IF(K2010="Unknown","Unknown code",IF(AND(K2010="Yes",C2010=""),"Billable, needs client",IF(N2010&gt;MaxDayHours,"Over "&amp;MaxDayHours&amp;" hours that day","")))))</f>
        <v/>
      </c>
    </row>
    <row r="2011" customFormat="false" ht="15" hidden="false" customHeight="false" outlineLevel="0" collapsed="false">
      <c r="A2011" s="31"/>
      <c r="B2011" s="32"/>
      <c r="C2011" s="32"/>
      <c r="D2011" s="33"/>
      <c r="E2011" s="34"/>
      <c r="F2011" s="32"/>
      <c r="G2011" s="35" t="str">
        <f aca="false">IF(A2011="","",A2011+7-WEEKDAY(A2011))</f>
        <v/>
      </c>
      <c r="H2011" s="36" t="str">
        <f aca="false">IF(A2011="","",DATE(YEAR(A2011),MONTH(A2011),1))</f>
        <v/>
      </c>
      <c r="I2011" s="37" t="str">
        <f aca="false">IF(B2011="","",IFERROR(INDEX(st_ID,MATCH(B2011,st_Name,0)),"Unknown"))</f>
        <v/>
      </c>
      <c r="J2011" s="37" t="str">
        <f aca="false">IF(C2011="","",IFERROR(INDEX(cl_Code,MATCH(C2011,cl_Name,0)),"Unknown"))</f>
        <v/>
      </c>
      <c r="K2011" s="37" t="str">
        <f aca="false">IF(D2011="","",IFERROR(INDEX(rt_Billable,MATCH(D2011,rt_Code,0)),"Unknown"))</f>
        <v/>
      </c>
      <c r="L2011" s="38" t="str">
        <f aca="false">IF(K2011&lt;&gt;"Yes","",IFERROR(INDEX(cr_Rate,MATCH(J2011&amp;"|"&amp;D2011,cr_Key,0)),INDEX(rt_Rate,MATCH(D2011,rt_Code,0))))</f>
        <v/>
      </c>
      <c r="M2011" s="25" t="str">
        <f aca="false">IF(L2011="","",ROUND(N(E2011)*L2011,2))</f>
        <v/>
      </c>
      <c r="N2011" s="39" t="str">
        <f aca="false">IF(OR(A2011="",B2011=""),"",SUMIFS(tl_Hours,tl_StaffID,I2011,tl_Date,A2011))</f>
        <v/>
      </c>
      <c r="O2011" s="40" t="str">
        <f aca="false">IF(A2011&amp;B2011&amp;D2011="","",IF(OR(A2011="",B2011="",D2011="",E2011=""),"Incomplete",IF(K2011="Unknown","Unknown code",IF(AND(K2011="Yes",C2011=""),"Billable, needs client",IF(N2011&gt;MaxDayHours,"Over "&amp;MaxDayHours&amp;" hours that day","")))))</f>
        <v/>
      </c>
    </row>
    <row r="2012" customFormat="false" ht="15" hidden="false" customHeight="false" outlineLevel="0" collapsed="false">
      <c r="A2012" s="31"/>
      <c r="B2012" s="32"/>
      <c r="C2012" s="32"/>
      <c r="D2012" s="33"/>
      <c r="E2012" s="34"/>
      <c r="F2012" s="32"/>
      <c r="G2012" s="35" t="str">
        <f aca="false">IF(A2012="","",A2012+7-WEEKDAY(A2012))</f>
        <v/>
      </c>
      <c r="H2012" s="36" t="str">
        <f aca="false">IF(A2012="","",DATE(YEAR(A2012),MONTH(A2012),1))</f>
        <v/>
      </c>
      <c r="I2012" s="37" t="str">
        <f aca="false">IF(B2012="","",IFERROR(INDEX(st_ID,MATCH(B2012,st_Name,0)),"Unknown"))</f>
        <v/>
      </c>
      <c r="J2012" s="37" t="str">
        <f aca="false">IF(C2012="","",IFERROR(INDEX(cl_Code,MATCH(C2012,cl_Name,0)),"Unknown"))</f>
        <v/>
      </c>
      <c r="K2012" s="37" t="str">
        <f aca="false">IF(D2012="","",IFERROR(INDEX(rt_Billable,MATCH(D2012,rt_Code,0)),"Unknown"))</f>
        <v/>
      </c>
      <c r="L2012" s="38" t="str">
        <f aca="false">IF(K2012&lt;&gt;"Yes","",IFERROR(INDEX(cr_Rate,MATCH(J2012&amp;"|"&amp;D2012,cr_Key,0)),INDEX(rt_Rate,MATCH(D2012,rt_Code,0))))</f>
        <v/>
      </c>
      <c r="M2012" s="25" t="str">
        <f aca="false">IF(L2012="","",ROUND(N(E2012)*L2012,2))</f>
        <v/>
      </c>
      <c r="N2012" s="39" t="str">
        <f aca="false">IF(OR(A2012="",B2012=""),"",SUMIFS(tl_Hours,tl_StaffID,I2012,tl_Date,A2012))</f>
        <v/>
      </c>
      <c r="O2012" s="40" t="str">
        <f aca="false">IF(A2012&amp;B2012&amp;D2012="","",IF(OR(A2012="",B2012="",D2012="",E2012=""),"Incomplete",IF(K2012="Unknown","Unknown code",IF(AND(K2012="Yes",C2012=""),"Billable, needs client",IF(N2012&gt;MaxDayHours,"Over "&amp;MaxDayHours&amp;" hours that day","")))))</f>
        <v/>
      </c>
    </row>
    <row r="2013" customFormat="false" ht="15" hidden="false" customHeight="false" outlineLevel="0" collapsed="false">
      <c r="A2013" s="31"/>
      <c r="B2013" s="32"/>
      <c r="C2013" s="32"/>
      <c r="D2013" s="33"/>
      <c r="E2013" s="34"/>
      <c r="F2013" s="32"/>
      <c r="G2013" s="35" t="str">
        <f aca="false">IF(A2013="","",A2013+7-WEEKDAY(A2013))</f>
        <v/>
      </c>
      <c r="H2013" s="36" t="str">
        <f aca="false">IF(A2013="","",DATE(YEAR(A2013),MONTH(A2013),1))</f>
        <v/>
      </c>
      <c r="I2013" s="37" t="str">
        <f aca="false">IF(B2013="","",IFERROR(INDEX(st_ID,MATCH(B2013,st_Name,0)),"Unknown"))</f>
        <v/>
      </c>
      <c r="J2013" s="37" t="str">
        <f aca="false">IF(C2013="","",IFERROR(INDEX(cl_Code,MATCH(C2013,cl_Name,0)),"Unknown"))</f>
        <v/>
      </c>
      <c r="K2013" s="37" t="str">
        <f aca="false">IF(D2013="","",IFERROR(INDEX(rt_Billable,MATCH(D2013,rt_Code,0)),"Unknown"))</f>
        <v/>
      </c>
      <c r="L2013" s="38" t="str">
        <f aca="false">IF(K2013&lt;&gt;"Yes","",IFERROR(INDEX(cr_Rate,MATCH(J2013&amp;"|"&amp;D2013,cr_Key,0)),INDEX(rt_Rate,MATCH(D2013,rt_Code,0))))</f>
        <v/>
      </c>
      <c r="M2013" s="25" t="str">
        <f aca="false">IF(L2013="","",ROUND(N(E2013)*L2013,2))</f>
        <v/>
      </c>
      <c r="N2013" s="39" t="str">
        <f aca="false">IF(OR(A2013="",B2013=""),"",SUMIFS(tl_Hours,tl_StaffID,I2013,tl_Date,A2013))</f>
        <v/>
      </c>
      <c r="O2013" s="40" t="str">
        <f aca="false">IF(A2013&amp;B2013&amp;D2013="","",IF(OR(A2013="",B2013="",D2013="",E2013=""),"Incomplete",IF(K2013="Unknown","Unknown code",IF(AND(K2013="Yes",C2013=""),"Billable, needs client",IF(N2013&gt;MaxDayHours,"Over "&amp;MaxDayHours&amp;" hours that day","")))))</f>
        <v/>
      </c>
    </row>
    <row r="2014" customFormat="false" ht="15" hidden="false" customHeight="false" outlineLevel="0" collapsed="false">
      <c r="A2014" s="31"/>
      <c r="B2014" s="32"/>
      <c r="C2014" s="32"/>
      <c r="D2014" s="33"/>
      <c r="E2014" s="34"/>
      <c r="F2014" s="32"/>
      <c r="G2014" s="35" t="str">
        <f aca="false">IF(A2014="","",A2014+7-WEEKDAY(A2014))</f>
        <v/>
      </c>
      <c r="H2014" s="36" t="str">
        <f aca="false">IF(A2014="","",DATE(YEAR(A2014),MONTH(A2014),1))</f>
        <v/>
      </c>
      <c r="I2014" s="37" t="str">
        <f aca="false">IF(B2014="","",IFERROR(INDEX(st_ID,MATCH(B2014,st_Name,0)),"Unknown"))</f>
        <v/>
      </c>
      <c r="J2014" s="37" t="str">
        <f aca="false">IF(C2014="","",IFERROR(INDEX(cl_Code,MATCH(C2014,cl_Name,0)),"Unknown"))</f>
        <v/>
      </c>
      <c r="K2014" s="37" t="str">
        <f aca="false">IF(D2014="","",IFERROR(INDEX(rt_Billable,MATCH(D2014,rt_Code,0)),"Unknown"))</f>
        <v/>
      </c>
      <c r="L2014" s="38" t="str">
        <f aca="false">IF(K2014&lt;&gt;"Yes","",IFERROR(INDEX(cr_Rate,MATCH(J2014&amp;"|"&amp;D2014,cr_Key,0)),INDEX(rt_Rate,MATCH(D2014,rt_Code,0))))</f>
        <v/>
      </c>
      <c r="M2014" s="25" t="str">
        <f aca="false">IF(L2014="","",ROUND(N(E2014)*L2014,2))</f>
        <v/>
      </c>
      <c r="N2014" s="39" t="str">
        <f aca="false">IF(OR(A2014="",B2014=""),"",SUMIFS(tl_Hours,tl_StaffID,I2014,tl_Date,A2014))</f>
        <v/>
      </c>
      <c r="O2014" s="40" t="str">
        <f aca="false">IF(A2014&amp;B2014&amp;D2014="","",IF(OR(A2014="",B2014="",D2014="",E2014=""),"Incomplete",IF(K2014="Unknown","Unknown code",IF(AND(K2014="Yes",C2014=""),"Billable, needs client",IF(N2014&gt;MaxDayHours,"Over "&amp;MaxDayHours&amp;" hours that day","")))))</f>
        <v/>
      </c>
    </row>
    <row r="2015" customFormat="false" ht="15" hidden="false" customHeight="false" outlineLevel="0" collapsed="false">
      <c r="A2015" s="31"/>
      <c r="B2015" s="32"/>
      <c r="C2015" s="32"/>
      <c r="D2015" s="33"/>
      <c r="E2015" s="34"/>
      <c r="F2015" s="32"/>
      <c r="G2015" s="35" t="str">
        <f aca="false">IF(A2015="","",A2015+7-WEEKDAY(A2015))</f>
        <v/>
      </c>
      <c r="H2015" s="36" t="str">
        <f aca="false">IF(A2015="","",DATE(YEAR(A2015),MONTH(A2015),1))</f>
        <v/>
      </c>
      <c r="I2015" s="37" t="str">
        <f aca="false">IF(B2015="","",IFERROR(INDEX(st_ID,MATCH(B2015,st_Name,0)),"Unknown"))</f>
        <v/>
      </c>
      <c r="J2015" s="37" t="str">
        <f aca="false">IF(C2015="","",IFERROR(INDEX(cl_Code,MATCH(C2015,cl_Name,0)),"Unknown"))</f>
        <v/>
      </c>
      <c r="K2015" s="37" t="str">
        <f aca="false">IF(D2015="","",IFERROR(INDEX(rt_Billable,MATCH(D2015,rt_Code,0)),"Unknown"))</f>
        <v/>
      </c>
      <c r="L2015" s="38" t="str">
        <f aca="false">IF(K2015&lt;&gt;"Yes","",IFERROR(INDEX(cr_Rate,MATCH(J2015&amp;"|"&amp;D2015,cr_Key,0)),INDEX(rt_Rate,MATCH(D2015,rt_Code,0))))</f>
        <v/>
      </c>
      <c r="M2015" s="25" t="str">
        <f aca="false">IF(L2015="","",ROUND(N(E2015)*L2015,2))</f>
        <v/>
      </c>
      <c r="N2015" s="39" t="str">
        <f aca="false">IF(OR(A2015="",B2015=""),"",SUMIFS(tl_Hours,tl_StaffID,I2015,tl_Date,A2015))</f>
        <v/>
      </c>
      <c r="O2015" s="40" t="str">
        <f aca="false">IF(A2015&amp;B2015&amp;D2015="","",IF(OR(A2015="",B2015="",D2015="",E2015=""),"Incomplete",IF(K2015="Unknown","Unknown code",IF(AND(K2015="Yes",C2015=""),"Billable, needs client",IF(N2015&gt;MaxDayHours,"Over "&amp;MaxDayHours&amp;" hours that day","")))))</f>
        <v/>
      </c>
    </row>
    <row r="2016" customFormat="false" ht="15" hidden="false" customHeight="false" outlineLevel="0" collapsed="false">
      <c r="A2016" s="31"/>
      <c r="B2016" s="32"/>
      <c r="C2016" s="32"/>
      <c r="D2016" s="33"/>
      <c r="E2016" s="34"/>
      <c r="F2016" s="32"/>
      <c r="G2016" s="35" t="str">
        <f aca="false">IF(A2016="","",A2016+7-WEEKDAY(A2016))</f>
        <v/>
      </c>
      <c r="H2016" s="36" t="str">
        <f aca="false">IF(A2016="","",DATE(YEAR(A2016),MONTH(A2016),1))</f>
        <v/>
      </c>
      <c r="I2016" s="37" t="str">
        <f aca="false">IF(B2016="","",IFERROR(INDEX(st_ID,MATCH(B2016,st_Name,0)),"Unknown"))</f>
        <v/>
      </c>
      <c r="J2016" s="37" t="str">
        <f aca="false">IF(C2016="","",IFERROR(INDEX(cl_Code,MATCH(C2016,cl_Name,0)),"Unknown"))</f>
        <v/>
      </c>
      <c r="K2016" s="37" t="str">
        <f aca="false">IF(D2016="","",IFERROR(INDEX(rt_Billable,MATCH(D2016,rt_Code,0)),"Unknown"))</f>
        <v/>
      </c>
      <c r="L2016" s="38" t="str">
        <f aca="false">IF(K2016&lt;&gt;"Yes","",IFERROR(INDEX(cr_Rate,MATCH(J2016&amp;"|"&amp;D2016,cr_Key,0)),INDEX(rt_Rate,MATCH(D2016,rt_Code,0))))</f>
        <v/>
      </c>
      <c r="M2016" s="25" t="str">
        <f aca="false">IF(L2016="","",ROUND(N(E2016)*L2016,2))</f>
        <v/>
      </c>
      <c r="N2016" s="39" t="str">
        <f aca="false">IF(OR(A2016="",B2016=""),"",SUMIFS(tl_Hours,tl_StaffID,I2016,tl_Date,A2016))</f>
        <v/>
      </c>
      <c r="O2016" s="40" t="str">
        <f aca="false">IF(A2016&amp;B2016&amp;D2016="","",IF(OR(A2016="",B2016="",D2016="",E2016=""),"Incomplete",IF(K2016="Unknown","Unknown code",IF(AND(K2016="Yes",C2016=""),"Billable, needs client",IF(N2016&gt;MaxDayHours,"Over "&amp;MaxDayHours&amp;" hours that day","")))))</f>
        <v/>
      </c>
    </row>
    <row r="2017" customFormat="false" ht="15" hidden="false" customHeight="false" outlineLevel="0" collapsed="false">
      <c r="A2017" s="31"/>
      <c r="B2017" s="32"/>
      <c r="C2017" s="32"/>
      <c r="D2017" s="33"/>
      <c r="E2017" s="34"/>
      <c r="F2017" s="32"/>
      <c r="G2017" s="35" t="str">
        <f aca="false">IF(A2017="","",A2017+7-WEEKDAY(A2017))</f>
        <v/>
      </c>
      <c r="H2017" s="36" t="str">
        <f aca="false">IF(A2017="","",DATE(YEAR(A2017),MONTH(A2017),1))</f>
        <v/>
      </c>
      <c r="I2017" s="37" t="str">
        <f aca="false">IF(B2017="","",IFERROR(INDEX(st_ID,MATCH(B2017,st_Name,0)),"Unknown"))</f>
        <v/>
      </c>
      <c r="J2017" s="37" t="str">
        <f aca="false">IF(C2017="","",IFERROR(INDEX(cl_Code,MATCH(C2017,cl_Name,0)),"Unknown"))</f>
        <v/>
      </c>
      <c r="K2017" s="37" t="str">
        <f aca="false">IF(D2017="","",IFERROR(INDEX(rt_Billable,MATCH(D2017,rt_Code,0)),"Unknown"))</f>
        <v/>
      </c>
      <c r="L2017" s="38" t="str">
        <f aca="false">IF(K2017&lt;&gt;"Yes","",IFERROR(INDEX(cr_Rate,MATCH(J2017&amp;"|"&amp;D2017,cr_Key,0)),INDEX(rt_Rate,MATCH(D2017,rt_Code,0))))</f>
        <v/>
      </c>
      <c r="M2017" s="25" t="str">
        <f aca="false">IF(L2017="","",ROUND(N(E2017)*L2017,2))</f>
        <v/>
      </c>
      <c r="N2017" s="39" t="str">
        <f aca="false">IF(OR(A2017="",B2017=""),"",SUMIFS(tl_Hours,tl_StaffID,I2017,tl_Date,A2017))</f>
        <v/>
      </c>
      <c r="O2017" s="40" t="str">
        <f aca="false">IF(A2017&amp;B2017&amp;D2017="","",IF(OR(A2017="",B2017="",D2017="",E2017=""),"Incomplete",IF(K2017="Unknown","Unknown code",IF(AND(K2017="Yes",C2017=""),"Billable, needs client",IF(N2017&gt;MaxDayHours,"Over "&amp;MaxDayHours&amp;" hours that day","")))))</f>
        <v/>
      </c>
    </row>
    <row r="2018" customFormat="false" ht="15" hidden="false" customHeight="false" outlineLevel="0" collapsed="false">
      <c r="A2018" s="31"/>
      <c r="B2018" s="32"/>
      <c r="C2018" s="32"/>
      <c r="D2018" s="33"/>
      <c r="E2018" s="34"/>
      <c r="F2018" s="32"/>
      <c r="G2018" s="35" t="str">
        <f aca="false">IF(A2018="","",A2018+7-WEEKDAY(A2018))</f>
        <v/>
      </c>
      <c r="H2018" s="36" t="str">
        <f aca="false">IF(A2018="","",DATE(YEAR(A2018),MONTH(A2018),1))</f>
        <v/>
      </c>
      <c r="I2018" s="37" t="str">
        <f aca="false">IF(B2018="","",IFERROR(INDEX(st_ID,MATCH(B2018,st_Name,0)),"Unknown"))</f>
        <v/>
      </c>
      <c r="J2018" s="37" t="str">
        <f aca="false">IF(C2018="","",IFERROR(INDEX(cl_Code,MATCH(C2018,cl_Name,0)),"Unknown"))</f>
        <v/>
      </c>
      <c r="K2018" s="37" t="str">
        <f aca="false">IF(D2018="","",IFERROR(INDEX(rt_Billable,MATCH(D2018,rt_Code,0)),"Unknown"))</f>
        <v/>
      </c>
      <c r="L2018" s="38" t="str">
        <f aca="false">IF(K2018&lt;&gt;"Yes","",IFERROR(INDEX(cr_Rate,MATCH(J2018&amp;"|"&amp;D2018,cr_Key,0)),INDEX(rt_Rate,MATCH(D2018,rt_Code,0))))</f>
        <v/>
      </c>
      <c r="M2018" s="25" t="str">
        <f aca="false">IF(L2018="","",ROUND(N(E2018)*L2018,2))</f>
        <v/>
      </c>
      <c r="N2018" s="39" t="str">
        <f aca="false">IF(OR(A2018="",B2018=""),"",SUMIFS(tl_Hours,tl_StaffID,I2018,tl_Date,A2018))</f>
        <v/>
      </c>
      <c r="O2018" s="40" t="str">
        <f aca="false">IF(A2018&amp;B2018&amp;D2018="","",IF(OR(A2018="",B2018="",D2018="",E2018=""),"Incomplete",IF(K2018="Unknown","Unknown code",IF(AND(K2018="Yes",C2018=""),"Billable, needs client",IF(N2018&gt;MaxDayHours,"Over "&amp;MaxDayHours&amp;" hours that day","")))))</f>
        <v/>
      </c>
    </row>
    <row r="2019" customFormat="false" ht="15" hidden="false" customHeight="false" outlineLevel="0" collapsed="false">
      <c r="A2019" s="31"/>
      <c r="B2019" s="32"/>
      <c r="C2019" s="32"/>
      <c r="D2019" s="33"/>
      <c r="E2019" s="34"/>
      <c r="F2019" s="32"/>
      <c r="G2019" s="35" t="str">
        <f aca="false">IF(A2019="","",A2019+7-WEEKDAY(A2019))</f>
        <v/>
      </c>
      <c r="H2019" s="36" t="str">
        <f aca="false">IF(A2019="","",DATE(YEAR(A2019),MONTH(A2019),1))</f>
        <v/>
      </c>
      <c r="I2019" s="37" t="str">
        <f aca="false">IF(B2019="","",IFERROR(INDEX(st_ID,MATCH(B2019,st_Name,0)),"Unknown"))</f>
        <v/>
      </c>
      <c r="J2019" s="37" t="str">
        <f aca="false">IF(C2019="","",IFERROR(INDEX(cl_Code,MATCH(C2019,cl_Name,0)),"Unknown"))</f>
        <v/>
      </c>
      <c r="K2019" s="37" t="str">
        <f aca="false">IF(D2019="","",IFERROR(INDEX(rt_Billable,MATCH(D2019,rt_Code,0)),"Unknown"))</f>
        <v/>
      </c>
      <c r="L2019" s="38" t="str">
        <f aca="false">IF(K2019&lt;&gt;"Yes","",IFERROR(INDEX(cr_Rate,MATCH(J2019&amp;"|"&amp;D2019,cr_Key,0)),INDEX(rt_Rate,MATCH(D2019,rt_Code,0))))</f>
        <v/>
      </c>
      <c r="M2019" s="25" t="str">
        <f aca="false">IF(L2019="","",ROUND(N(E2019)*L2019,2))</f>
        <v/>
      </c>
      <c r="N2019" s="39" t="str">
        <f aca="false">IF(OR(A2019="",B2019=""),"",SUMIFS(tl_Hours,tl_StaffID,I2019,tl_Date,A2019))</f>
        <v/>
      </c>
      <c r="O2019" s="40" t="str">
        <f aca="false">IF(A2019&amp;B2019&amp;D2019="","",IF(OR(A2019="",B2019="",D2019="",E2019=""),"Incomplete",IF(K2019="Unknown","Unknown code",IF(AND(K2019="Yes",C2019=""),"Billable, needs client",IF(N2019&gt;MaxDayHours,"Over "&amp;MaxDayHours&amp;" hours that day","")))))</f>
        <v/>
      </c>
    </row>
    <row r="2020" customFormat="false" ht="15" hidden="false" customHeight="false" outlineLevel="0" collapsed="false">
      <c r="A2020" s="31"/>
      <c r="B2020" s="32"/>
      <c r="C2020" s="32"/>
      <c r="D2020" s="33"/>
      <c r="E2020" s="34"/>
      <c r="F2020" s="32"/>
      <c r="G2020" s="35" t="str">
        <f aca="false">IF(A2020="","",A2020+7-WEEKDAY(A2020))</f>
        <v/>
      </c>
      <c r="H2020" s="36" t="str">
        <f aca="false">IF(A2020="","",DATE(YEAR(A2020),MONTH(A2020),1))</f>
        <v/>
      </c>
      <c r="I2020" s="37" t="str">
        <f aca="false">IF(B2020="","",IFERROR(INDEX(st_ID,MATCH(B2020,st_Name,0)),"Unknown"))</f>
        <v/>
      </c>
      <c r="J2020" s="37" t="str">
        <f aca="false">IF(C2020="","",IFERROR(INDEX(cl_Code,MATCH(C2020,cl_Name,0)),"Unknown"))</f>
        <v/>
      </c>
      <c r="K2020" s="37" t="str">
        <f aca="false">IF(D2020="","",IFERROR(INDEX(rt_Billable,MATCH(D2020,rt_Code,0)),"Unknown"))</f>
        <v/>
      </c>
      <c r="L2020" s="38" t="str">
        <f aca="false">IF(K2020&lt;&gt;"Yes","",IFERROR(INDEX(cr_Rate,MATCH(J2020&amp;"|"&amp;D2020,cr_Key,0)),INDEX(rt_Rate,MATCH(D2020,rt_Code,0))))</f>
        <v/>
      </c>
      <c r="M2020" s="25" t="str">
        <f aca="false">IF(L2020="","",ROUND(N(E2020)*L2020,2))</f>
        <v/>
      </c>
      <c r="N2020" s="39" t="str">
        <f aca="false">IF(OR(A2020="",B2020=""),"",SUMIFS(tl_Hours,tl_StaffID,I2020,tl_Date,A2020))</f>
        <v/>
      </c>
      <c r="O2020" s="40" t="str">
        <f aca="false">IF(A2020&amp;B2020&amp;D2020="","",IF(OR(A2020="",B2020="",D2020="",E2020=""),"Incomplete",IF(K2020="Unknown","Unknown code",IF(AND(K2020="Yes",C2020=""),"Billable, needs client",IF(N2020&gt;MaxDayHours,"Over "&amp;MaxDayHours&amp;" hours that day","")))))</f>
        <v/>
      </c>
    </row>
    <row r="2021" customFormat="false" ht="15" hidden="false" customHeight="false" outlineLevel="0" collapsed="false">
      <c r="A2021" s="31"/>
      <c r="B2021" s="32"/>
      <c r="C2021" s="32"/>
      <c r="D2021" s="33"/>
      <c r="E2021" s="34"/>
      <c r="F2021" s="32"/>
      <c r="G2021" s="35" t="str">
        <f aca="false">IF(A2021="","",A2021+7-WEEKDAY(A2021))</f>
        <v/>
      </c>
      <c r="H2021" s="36" t="str">
        <f aca="false">IF(A2021="","",DATE(YEAR(A2021),MONTH(A2021),1))</f>
        <v/>
      </c>
      <c r="I2021" s="37" t="str">
        <f aca="false">IF(B2021="","",IFERROR(INDEX(st_ID,MATCH(B2021,st_Name,0)),"Unknown"))</f>
        <v/>
      </c>
      <c r="J2021" s="37" t="str">
        <f aca="false">IF(C2021="","",IFERROR(INDEX(cl_Code,MATCH(C2021,cl_Name,0)),"Unknown"))</f>
        <v/>
      </c>
      <c r="K2021" s="37" t="str">
        <f aca="false">IF(D2021="","",IFERROR(INDEX(rt_Billable,MATCH(D2021,rt_Code,0)),"Unknown"))</f>
        <v/>
      </c>
      <c r="L2021" s="38" t="str">
        <f aca="false">IF(K2021&lt;&gt;"Yes","",IFERROR(INDEX(cr_Rate,MATCH(J2021&amp;"|"&amp;D2021,cr_Key,0)),INDEX(rt_Rate,MATCH(D2021,rt_Code,0))))</f>
        <v/>
      </c>
      <c r="M2021" s="25" t="str">
        <f aca="false">IF(L2021="","",ROUND(N(E2021)*L2021,2))</f>
        <v/>
      </c>
      <c r="N2021" s="39" t="str">
        <f aca="false">IF(OR(A2021="",B2021=""),"",SUMIFS(tl_Hours,tl_StaffID,I2021,tl_Date,A2021))</f>
        <v/>
      </c>
      <c r="O2021" s="40" t="str">
        <f aca="false">IF(A2021&amp;B2021&amp;D2021="","",IF(OR(A2021="",B2021="",D2021="",E2021=""),"Incomplete",IF(K2021="Unknown","Unknown code",IF(AND(K2021="Yes",C2021=""),"Billable, needs client",IF(N2021&gt;MaxDayHours,"Over "&amp;MaxDayHours&amp;" hours that day","")))))</f>
        <v/>
      </c>
    </row>
    <row r="2022" customFormat="false" ht="15" hidden="false" customHeight="false" outlineLevel="0" collapsed="false">
      <c r="A2022" s="31"/>
      <c r="B2022" s="32"/>
      <c r="C2022" s="32"/>
      <c r="D2022" s="33"/>
      <c r="E2022" s="34"/>
      <c r="F2022" s="32"/>
      <c r="G2022" s="35" t="str">
        <f aca="false">IF(A2022="","",A2022+7-WEEKDAY(A2022))</f>
        <v/>
      </c>
      <c r="H2022" s="36" t="str">
        <f aca="false">IF(A2022="","",DATE(YEAR(A2022),MONTH(A2022),1))</f>
        <v/>
      </c>
      <c r="I2022" s="37" t="str">
        <f aca="false">IF(B2022="","",IFERROR(INDEX(st_ID,MATCH(B2022,st_Name,0)),"Unknown"))</f>
        <v/>
      </c>
      <c r="J2022" s="37" t="str">
        <f aca="false">IF(C2022="","",IFERROR(INDEX(cl_Code,MATCH(C2022,cl_Name,0)),"Unknown"))</f>
        <v/>
      </c>
      <c r="K2022" s="37" t="str">
        <f aca="false">IF(D2022="","",IFERROR(INDEX(rt_Billable,MATCH(D2022,rt_Code,0)),"Unknown"))</f>
        <v/>
      </c>
      <c r="L2022" s="38" t="str">
        <f aca="false">IF(K2022&lt;&gt;"Yes","",IFERROR(INDEX(cr_Rate,MATCH(J2022&amp;"|"&amp;D2022,cr_Key,0)),INDEX(rt_Rate,MATCH(D2022,rt_Code,0))))</f>
        <v/>
      </c>
      <c r="M2022" s="25" t="str">
        <f aca="false">IF(L2022="","",ROUND(N(E2022)*L2022,2))</f>
        <v/>
      </c>
      <c r="N2022" s="39" t="str">
        <f aca="false">IF(OR(A2022="",B2022=""),"",SUMIFS(tl_Hours,tl_StaffID,I2022,tl_Date,A2022))</f>
        <v/>
      </c>
      <c r="O2022" s="40" t="str">
        <f aca="false">IF(A2022&amp;B2022&amp;D2022="","",IF(OR(A2022="",B2022="",D2022="",E2022=""),"Incomplete",IF(K2022="Unknown","Unknown code",IF(AND(K2022="Yes",C2022=""),"Billable, needs client",IF(N2022&gt;MaxDayHours,"Over "&amp;MaxDayHours&amp;" hours that day","")))))</f>
        <v/>
      </c>
    </row>
    <row r="2023" customFormat="false" ht="15" hidden="false" customHeight="false" outlineLevel="0" collapsed="false">
      <c r="A2023" s="31"/>
      <c r="B2023" s="32"/>
      <c r="C2023" s="32"/>
      <c r="D2023" s="33"/>
      <c r="E2023" s="34"/>
      <c r="F2023" s="32"/>
      <c r="G2023" s="35" t="str">
        <f aca="false">IF(A2023="","",A2023+7-WEEKDAY(A2023))</f>
        <v/>
      </c>
      <c r="H2023" s="36" t="str">
        <f aca="false">IF(A2023="","",DATE(YEAR(A2023),MONTH(A2023),1))</f>
        <v/>
      </c>
      <c r="I2023" s="37" t="str">
        <f aca="false">IF(B2023="","",IFERROR(INDEX(st_ID,MATCH(B2023,st_Name,0)),"Unknown"))</f>
        <v/>
      </c>
      <c r="J2023" s="37" t="str">
        <f aca="false">IF(C2023="","",IFERROR(INDEX(cl_Code,MATCH(C2023,cl_Name,0)),"Unknown"))</f>
        <v/>
      </c>
      <c r="K2023" s="37" t="str">
        <f aca="false">IF(D2023="","",IFERROR(INDEX(rt_Billable,MATCH(D2023,rt_Code,0)),"Unknown"))</f>
        <v/>
      </c>
      <c r="L2023" s="38" t="str">
        <f aca="false">IF(K2023&lt;&gt;"Yes","",IFERROR(INDEX(cr_Rate,MATCH(J2023&amp;"|"&amp;D2023,cr_Key,0)),INDEX(rt_Rate,MATCH(D2023,rt_Code,0))))</f>
        <v/>
      </c>
      <c r="M2023" s="25" t="str">
        <f aca="false">IF(L2023="","",ROUND(N(E2023)*L2023,2))</f>
        <v/>
      </c>
      <c r="N2023" s="39" t="str">
        <f aca="false">IF(OR(A2023="",B2023=""),"",SUMIFS(tl_Hours,tl_StaffID,I2023,tl_Date,A2023))</f>
        <v/>
      </c>
      <c r="O2023" s="40" t="str">
        <f aca="false">IF(A2023&amp;B2023&amp;D2023="","",IF(OR(A2023="",B2023="",D2023="",E2023=""),"Incomplete",IF(K2023="Unknown","Unknown code",IF(AND(K2023="Yes",C2023=""),"Billable, needs client",IF(N2023&gt;MaxDayHours,"Over "&amp;MaxDayHours&amp;" hours that day","")))))</f>
        <v/>
      </c>
    </row>
    <row r="2024" customFormat="false" ht="15" hidden="false" customHeight="false" outlineLevel="0" collapsed="false">
      <c r="A2024" s="31"/>
      <c r="B2024" s="32"/>
      <c r="C2024" s="32"/>
      <c r="D2024" s="33"/>
      <c r="E2024" s="34"/>
      <c r="F2024" s="32"/>
      <c r="G2024" s="35" t="str">
        <f aca="false">IF(A2024="","",A2024+7-WEEKDAY(A2024))</f>
        <v/>
      </c>
      <c r="H2024" s="36" t="str">
        <f aca="false">IF(A2024="","",DATE(YEAR(A2024),MONTH(A2024),1))</f>
        <v/>
      </c>
      <c r="I2024" s="37" t="str">
        <f aca="false">IF(B2024="","",IFERROR(INDEX(st_ID,MATCH(B2024,st_Name,0)),"Unknown"))</f>
        <v/>
      </c>
      <c r="J2024" s="37" t="str">
        <f aca="false">IF(C2024="","",IFERROR(INDEX(cl_Code,MATCH(C2024,cl_Name,0)),"Unknown"))</f>
        <v/>
      </c>
      <c r="K2024" s="37" t="str">
        <f aca="false">IF(D2024="","",IFERROR(INDEX(rt_Billable,MATCH(D2024,rt_Code,0)),"Unknown"))</f>
        <v/>
      </c>
      <c r="L2024" s="38" t="str">
        <f aca="false">IF(K2024&lt;&gt;"Yes","",IFERROR(INDEX(cr_Rate,MATCH(J2024&amp;"|"&amp;D2024,cr_Key,0)),INDEX(rt_Rate,MATCH(D2024,rt_Code,0))))</f>
        <v/>
      </c>
      <c r="M2024" s="25" t="str">
        <f aca="false">IF(L2024="","",ROUND(N(E2024)*L2024,2))</f>
        <v/>
      </c>
      <c r="N2024" s="39" t="str">
        <f aca="false">IF(OR(A2024="",B2024=""),"",SUMIFS(tl_Hours,tl_StaffID,I2024,tl_Date,A2024))</f>
        <v/>
      </c>
      <c r="O2024" s="40" t="str">
        <f aca="false">IF(A2024&amp;B2024&amp;D2024="","",IF(OR(A2024="",B2024="",D2024="",E2024=""),"Incomplete",IF(K2024="Unknown","Unknown code",IF(AND(K2024="Yes",C2024=""),"Billable, needs client",IF(N2024&gt;MaxDayHours,"Over "&amp;MaxDayHours&amp;" hours that day","")))))</f>
        <v/>
      </c>
    </row>
    <row r="2025" customFormat="false" ht="15" hidden="false" customHeight="false" outlineLevel="0" collapsed="false">
      <c r="A2025" s="31"/>
      <c r="B2025" s="32"/>
      <c r="C2025" s="32"/>
      <c r="D2025" s="33"/>
      <c r="E2025" s="34"/>
      <c r="F2025" s="32"/>
      <c r="G2025" s="35" t="str">
        <f aca="false">IF(A2025="","",A2025+7-WEEKDAY(A2025))</f>
        <v/>
      </c>
      <c r="H2025" s="36" t="str">
        <f aca="false">IF(A2025="","",DATE(YEAR(A2025),MONTH(A2025),1))</f>
        <v/>
      </c>
      <c r="I2025" s="37" t="str">
        <f aca="false">IF(B2025="","",IFERROR(INDEX(st_ID,MATCH(B2025,st_Name,0)),"Unknown"))</f>
        <v/>
      </c>
      <c r="J2025" s="37" t="str">
        <f aca="false">IF(C2025="","",IFERROR(INDEX(cl_Code,MATCH(C2025,cl_Name,0)),"Unknown"))</f>
        <v/>
      </c>
      <c r="K2025" s="37" t="str">
        <f aca="false">IF(D2025="","",IFERROR(INDEX(rt_Billable,MATCH(D2025,rt_Code,0)),"Unknown"))</f>
        <v/>
      </c>
      <c r="L2025" s="38" t="str">
        <f aca="false">IF(K2025&lt;&gt;"Yes","",IFERROR(INDEX(cr_Rate,MATCH(J2025&amp;"|"&amp;D2025,cr_Key,0)),INDEX(rt_Rate,MATCH(D2025,rt_Code,0))))</f>
        <v/>
      </c>
      <c r="M2025" s="25" t="str">
        <f aca="false">IF(L2025="","",ROUND(N(E2025)*L2025,2))</f>
        <v/>
      </c>
      <c r="N2025" s="39" t="str">
        <f aca="false">IF(OR(A2025="",B2025=""),"",SUMIFS(tl_Hours,tl_StaffID,I2025,tl_Date,A2025))</f>
        <v/>
      </c>
      <c r="O2025" s="40" t="str">
        <f aca="false">IF(A2025&amp;B2025&amp;D2025="","",IF(OR(A2025="",B2025="",D2025="",E2025=""),"Incomplete",IF(K2025="Unknown","Unknown code",IF(AND(K2025="Yes",C2025=""),"Billable, needs client",IF(N2025&gt;MaxDayHours,"Over "&amp;MaxDayHours&amp;" hours that day","")))))</f>
        <v/>
      </c>
    </row>
    <row r="2026" customFormat="false" ht="15" hidden="false" customHeight="false" outlineLevel="0" collapsed="false">
      <c r="A2026" s="31"/>
      <c r="B2026" s="32"/>
      <c r="C2026" s="32"/>
      <c r="D2026" s="33"/>
      <c r="E2026" s="34"/>
      <c r="F2026" s="32"/>
      <c r="G2026" s="35" t="str">
        <f aca="false">IF(A2026="","",A2026+7-WEEKDAY(A2026))</f>
        <v/>
      </c>
      <c r="H2026" s="36" t="str">
        <f aca="false">IF(A2026="","",DATE(YEAR(A2026),MONTH(A2026),1))</f>
        <v/>
      </c>
      <c r="I2026" s="37" t="str">
        <f aca="false">IF(B2026="","",IFERROR(INDEX(st_ID,MATCH(B2026,st_Name,0)),"Unknown"))</f>
        <v/>
      </c>
      <c r="J2026" s="37" t="str">
        <f aca="false">IF(C2026="","",IFERROR(INDEX(cl_Code,MATCH(C2026,cl_Name,0)),"Unknown"))</f>
        <v/>
      </c>
      <c r="K2026" s="37" t="str">
        <f aca="false">IF(D2026="","",IFERROR(INDEX(rt_Billable,MATCH(D2026,rt_Code,0)),"Unknown"))</f>
        <v/>
      </c>
      <c r="L2026" s="38" t="str">
        <f aca="false">IF(K2026&lt;&gt;"Yes","",IFERROR(INDEX(cr_Rate,MATCH(J2026&amp;"|"&amp;D2026,cr_Key,0)),INDEX(rt_Rate,MATCH(D2026,rt_Code,0))))</f>
        <v/>
      </c>
      <c r="M2026" s="25" t="str">
        <f aca="false">IF(L2026="","",ROUND(N(E2026)*L2026,2))</f>
        <v/>
      </c>
      <c r="N2026" s="39" t="str">
        <f aca="false">IF(OR(A2026="",B2026=""),"",SUMIFS(tl_Hours,tl_StaffID,I2026,tl_Date,A2026))</f>
        <v/>
      </c>
      <c r="O2026" s="40" t="str">
        <f aca="false">IF(A2026&amp;B2026&amp;D2026="","",IF(OR(A2026="",B2026="",D2026="",E2026=""),"Incomplete",IF(K2026="Unknown","Unknown code",IF(AND(K2026="Yes",C2026=""),"Billable, needs client",IF(N2026&gt;MaxDayHours,"Over "&amp;MaxDayHours&amp;" hours that day","")))))</f>
        <v/>
      </c>
    </row>
    <row r="2027" customFormat="false" ht="15" hidden="false" customHeight="false" outlineLevel="0" collapsed="false">
      <c r="A2027" s="31"/>
      <c r="B2027" s="32"/>
      <c r="C2027" s="32"/>
      <c r="D2027" s="33"/>
      <c r="E2027" s="34"/>
      <c r="F2027" s="32"/>
      <c r="G2027" s="35" t="str">
        <f aca="false">IF(A2027="","",A2027+7-WEEKDAY(A2027))</f>
        <v/>
      </c>
      <c r="H2027" s="36" t="str">
        <f aca="false">IF(A2027="","",DATE(YEAR(A2027),MONTH(A2027),1))</f>
        <v/>
      </c>
      <c r="I2027" s="37" t="str">
        <f aca="false">IF(B2027="","",IFERROR(INDEX(st_ID,MATCH(B2027,st_Name,0)),"Unknown"))</f>
        <v/>
      </c>
      <c r="J2027" s="37" t="str">
        <f aca="false">IF(C2027="","",IFERROR(INDEX(cl_Code,MATCH(C2027,cl_Name,0)),"Unknown"))</f>
        <v/>
      </c>
      <c r="K2027" s="37" t="str">
        <f aca="false">IF(D2027="","",IFERROR(INDEX(rt_Billable,MATCH(D2027,rt_Code,0)),"Unknown"))</f>
        <v/>
      </c>
      <c r="L2027" s="38" t="str">
        <f aca="false">IF(K2027&lt;&gt;"Yes","",IFERROR(INDEX(cr_Rate,MATCH(J2027&amp;"|"&amp;D2027,cr_Key,0)),INDEX(rt_Rate,MATCH(D2027,rt_Code,0))))</f>
        <v/>
      </c>
      <c r="M2027" s="25" t="str">
        <f aca="false">IF(L2027="","",ROUND(N(E2027)*L2027,2))</f>
        <v/>
      </c>
      <c r="N2027" s="39" t="str">
        <f aca="false">IF(OR(A2027="",B2027=""),"",SUMIFS(tl_Hours,tl_StaffID,I2027,tl_Date,A2027))</f>
        <v/>
      </c>
      <c r="O2027" s="40" t="str">
        <f aca="false">IF(A2027&amp;B2027&amp;D2027="","",IF(OR(A2027="",B2027="",D2027="",E2027=""),"Incomplete",IF(K2027="Unknown","Unknown code",IF(AND(K2027="Yes",C2027=""),"Billable, needs client",IF(N2027&gt;MaxDayHours,"Over "&amp;MaxDayHours&amp;" hours that day","")))))</f>
        <v/>
      </c>
    </row>
    <row r="2028" customFormat="false" ht="15" hidden="false" customHeight="false" outlineLevel="0" collapsed="false">
      <c r="A2028" s="31"/>
      <c r="B2028" s="32"/>
      <c r="C2028" s="32"/>
      <c r="D2028" s="33"/>
      <c r="E2028" s="34"/>
      <c r="F2028" s="32"/>
      <c r="G2028" s="35" t="str">
        <f aca="false">IF(A2028="","",A2028+7-WEEKDAY(A2028))</f>
        <v/>
      </c>
      <c r="H2028" s="36" t="str">
        <f aca="false">IF(A2028="","",DATE(YEAR(A2028),MONTH(A2028),1))</f>
        <v/>
      </c>
      <c r="I2028" s="37" t="str">
        <f aca="false">IF(B2028="","",IFERROR(INDEX(st_ID,MATCH(B2028,st_Name,0)),"Unknown"))</f>
        <v/>
      </c>
      <c r="J2028" s="37" t="str">
        <f aca="false">IF(C2028="","",IFERROR(INDEX(cl_Code,MATCH(C2028,cl_Name,0)),"Unknown"))</f>
        <v/>
      </c>
      <c r="K2028" s="37" t="str">
        <f aca="false">IF(D2028="","",IFERROR(INDEX(rt_Billable,MATCH(D2028,rt_Code,0)),"Unknown"))</f>
        <v/>
      </c>
      <c r="L2028" s="38" t="str">
        <f aca="false">IF(K2028&lt;&gt;"Yes","",IFERROR(INDEX(cr_Rate,MATCH(J2028&amp;"|"&amp;D2028,cr_Key,0)),INDEX(rt_Rate,MATCH(D2028,rt_Code,0))))</f>
        <v/>
      </c>
      <c r="M2028" s="25" t="str">
        <f aca="false">IF(L2028="","",ROUND(N(E2028)*L2028,2))</f>
        <v/>
      </c>
      <c r="N2028" s="39" t="str">
        <f aca="false">IF(OR(A2028="",B2028=""),"",SUMIFS(tl_Hours,tl_StaffID,I2028,tl_Date,A2028))</f>
        <v/>
      </c>
      <c r="O2028" s="40" t="str">
        <f aca="false">IF(A2028&amp;B2028&amp;D2028="","",IF(OR(A2028="",B2028="",D2028="",E2028=""),"Incomplete",IF(K2028="Unknown","Unknown code",IF(AND(K2028="Yes",C2028=""),"Billable, needs client",IF(N2028&gt;MaxDayHours,"Over "&amp;MaxDayHours&amp;" hours that day","")))))</f>
        <v/>
      </c>
    </row>
    <row r="2029" customFormat="false" ht="15" hidden="false" customHeight="false" outlineLevel="0" collapsed="false">
      <c r="A2029" s="31"/>
      <c r="B2029" s="32"/>
      <c r="C2029" s="32"/>
      <c r="D2029" s="33"/>
      <c r="E2029" s="34"/>
      <c r="F2029" s="32"/>
      <c r="G2029" s="35" t="str">
        <f aca="false">IF(A2029="","",A2029+7-WEEKDAY(A2029))</f>
        <v/>
      </c>
      <c r="H2029" s="36" t="str">
        <f aca="false">IF(A2029="","",DATE(YEAR(A2029),MONTH(A2029),1))</f>
        <v/>
      </c>
      <c r="I2029" s="37" t="str">
        <f aca="false">IF(B2029="","",IFERROR(INDEX(st_ID,MATCH(B2029,st_Name,0)),"Unknown"))</f>
        <v/>
      </c>
      <c r="J2029" s="37" t="str">
        <f aca="false">IF(C2029="","",IFERROR(INDEX(cl_Code,MATCH(C2029,cl_Name,0)),"Unknown"))</f>
        <v/>
      </c>
      <c r="K2029" s="37" t="str">
        <f aca="false">IF(D2029="","",IFERROR(INDEX(rt_Billable,MATCH(D2029,rt_Code,0)),"Unknown"))</f>
        <v/>
      </c>
      <c r="L2029" s="38" t="str">
        <f aca="false">IF(K2029&lt;&gt;"Yes","",IFERROR(INDEX(cr_Rate,MATCH(J2029&amp;"|"&amp;D2029,cr_Key,0)),INDEX(rt_Rate,MATCH(D2029,rt_Code,0))))</f>
        <v/>
      </c>
      <c r="M2029" s="25" t="str">
        <f aca="false">IF(L2029="","",ROUND(N(E2029)*L2029,2))</f>
        <v/>
      </c>
      <c r="N2029" s="39" t="str">
        <f aca="false">IF(OR(A2029="",B2029=""),"",SUMIFS(tl_Hours,tl_StaffID,I2029,tl_Date,A2029))</f>
        <v/>
      </c>
      <c r="O2029" s="40" t="str">
        <f aca="false">IF(A2029&amp;B2029&amp;D2029="","",IF(OR(A2029="",B2029="",D2029="",E2029=""),"Incomplete",IF(K2029="Unknown","Unknown code",IF(AND(K2029="Yes",C2029=""),"Billable, needs client",IF(N2029&gt;MaxDayHours,"Over "&amp;MaxDayHours&amp;" hours that day","")))))</f>
        <v/>
      </c>
    </row>
    <row r="2030" customFormat="false" ht="15" hidden="false" customHeight="false" outlineLevel="0" collapsed="false">
      <c r="A2030" s="31"/>
      <c r="B2030" s="32"/>
      <c r="C2030" s="32"/>
      <c r="D2030" s="33"/>
      <c r="E2030" s="34"/>
      <c r="F2030" s="32"/>
      <c r="G2030" s="35" t="str">
        <f aca="false">IF(A2030="","",A2030+7-WEEKDAY(A2030))</f>
        <v/>
      </c>
      <c r="H2030" s="36" t="str">
        <f aca="false">IF(A2030="","",DATE(YEAR(A2030),MONTH(A2030),1))</f>
        <v/>
      </c>
      <c r="I2030" s="37" t="str">
        <f aca="false">IF(B2030="","",IFERROR(INDEX(st_ID,MATCH(B2030,st_Name,0)),"Unknown"))</f>
        <v/>
      </c>
      <c r="J2030" s="37" t="str">
        <f aca="false">IF(C2030="","",IFERROR(INDEX(cl_Code,MATCH(C2030,cl_Name,0)),"Unknown"))</f>
        <v/>
      </c>
      <c r="K2030" s="37" t="str">
        <f aca="false">IF(D2030="","",IFERROR(INDEX(rt_Billable,MATCH(D2030,rt_Code,0)),"Unknown"))</f>
        <v/>
      </c>
      <c r="L2030" s="38" t="str">
        <f aca="false">IF(K2030&lt;&gt;"Yes","",IFERROR(INDEX(cr_Rate,MATCH(J2030&amp;"|"&amp;D2030,cr_Key,0)),INDEX(rt_Rate,MATCH(D2030,rt_Code,0))))</f>
        <v/>
      </c>
      <c r="M2030" s="25" t="str">
        <f aca="false">IF(L2030="","",ROUND(N(E2030)*L2030,2))</f>
        <v/>
      </c>
      <c r="N2030" s="39" t="str">
        <f aca="false">IF(OR(A2030="",B2030=""),"",SUMIFS(tl_Hours,tl_StaffID,I2030,tl_Date,A2030))</f>
        <v/>
      </c>
      <c r="O2030" s="40" t="str">
        <f aca="false">IF(A2030&amp;B2030&amp;D2030="","",IF(OR(A2030="",B2030="",D2030="",E2030=""),"Incomplete",IF(K2030="Unknown","Unknown code",IF(AND(K2030="Yes",C2030=""),"Billable, needs client",IF(N2030&gt;MaxDayHours,"Over "&amp;MaxDayHours&amp;" hours that day","")))))</f>
        <v/>
      </c>
    </row>
    <row r="2031" customFormat="false" ht="15" hidden="false" customHeight="false" outlineLevel="0" collapsed="false">
      <c r="A2031" s="31"/>
      <c r="B2031" s="32"/>
      <c r="C2031" s="32"/>
      <c r="D2031" s="33"/>
      <c r="E2031" s="34"/>
      <c r="F2031" s="32"/>
      <c r="G2031" s="35" t="str">
        <f aca="false">IF(A2031="","",A2031+7-WEEKDAY(A2031))</f>
        <v/>
      </c>
      <c r="H2031" s="36" t="str">
        <f aca="false">IF(A2031="","",DATE(YEAR(A2031),MONTH(A2031),1))</f>
        <v/>
      </c>
      <c r="I2031" s="37" t="str">
        <f aca="false">IF(B2031="","",IFERROR(INDEX(st_ID,MATCH(B2031,st_Name,0)),"Unknown"))</f>
        <v/>
      </c>
      <c r="J2031" s="37" t="str">
        <f aca="false">IF(C2031="","",IFERROR(INDEX(cl_Code,MATCH(C2031,cl_Name,0)),"Unknown"))</f>
        <v/>
      </c>
      <c r="K2031" s="37" t="str">
        <f aca="false">IF(D2031="","",IFERROR(INDEX(rt_Billable,MATCH(D2031,rt_Code,0)),"Unknown"))</f>
        <v/>
      </c>
      <c r="L2031" s="38" t="str">
        <f aca="false">IF(K2031&lt;&gt;"Yes","",IFERROR(INDEX(cr_Rate,MATCH(J2031&amp;"|"&amp;D2031,cr_Key,0)),INDEX(rt_Rate,MATCH(D2031,rt_Code,0))))</f>
        <v/>
      </c>
      <c r="M2031" s="25" t="str">
        <f aca="false">IF(L2031="","",ROUND(N(E2031)*L2031,2))</f>
        <v/>
      </c>
      <c r="N2031" s="39" t="str">
        <f aca="false">IF(OR(A2031="",B2031=""),"",SUMIFS(tl_Hours,tl_StaffID,I2031,tl_Date,A2031))</f>
        <v/>
      </c>
      <c r="O2031" s="40" t="str">
        <f aca="false">IF(A2031&amp;B2031&amp;D2031="","",IF(OR(A2031="",B2031="",D2031="",E2031=""),"Incomplete",IF(K2031="Unknown","Unknown code",IF(AND(K2031="Yes",C2031=""),"Billable, needs client",IF(N2031&gt;MaxDayHours,"Over "&amp;MaxDayHours&amp;" hours that day","")))))</f>
        <v/>
      </c>
    </row>
    <row r="2032" customFormat="false" ht="15" hidden="false" customHeight="false" outlineLevel="0" collapsed="false">
      <c r="A2032" s="31"/>
      <c r="B2032" s="32"/>
      <c r="C2032" s="32"/>
      <c r="D2032" s="33"/>
      <c r="E2032" s="34"/>
      <c r="F2032" s="32"/>
      <c r="G2032" s="35" t="str">
        <f aca="false">IF(A2032="","",A2032+7-WEEKDAY(A2032))</f>
        <v/>
      </c>
      <c r="H2032" s="36" t="str">
        <f aca="false">IF(A2032="","",DATE(YEAR(A2032),MONTH(A2032),1))</f>
        <v/>
      </c>
      <c r="I2032" s="37" t="str">
        <f aca="false">IF(B2032="","",IFERROR(INDEX(st_ID,MATCH(B2032,st_Name,0)),"Unknown"))</f>
        <v/>
      </c>
      <c r="J2032" s="37" t="str">
        <f aca="false">IF(C2032="","",IFERROR(INDEX(cl_Code,MATCH(C2032,cl_Name,0)),"Unknown"))</f>
        <v/>
      </c>
      <c r="K2032" s="37" t="str">
        <f aca="false">IF(D2032="","",IFERROR(INDEX(rt_Billable,MATCH(D2032,rt_Code,0)),"Unknown"))</f>
        <v/>
      </c>
      <c r="L2032" s="38" t="str">
        <f aca="false">IF(K2032&lt;&gt;"Yes","",IFERROR(INDEX(cr_Rate,MATCH(J2032&amp;"|"&amp;D2032,cr_Key,0)),INDEX(rt_Rate,MATCH(D2032,rt_Code,0))))</f>
        <v/>
      </c>
      <c r="M2032" s="25" t="str">
        <f aca="false">IF(L2032="","",ROUND(N(E2032)*L2032,2))</f>
        <v/>
      </c>
      <c r="N2032" s="39" t="str">
        <f aca="false">IF(OR(A2032="",B2032=""),"",SUMIFS(tl_Hours,tl_StaffID,I2032,tl_Date,A2032))</f>
        <v/>
      </c>
      <c r="O2032" s="40" t="str">
        <f aca="false">IF(A2032&amp;B2032&amp;D2032="","",IF(OR(A2032="",B2032="",D2032="",E2032=""),"Incomplete",IF(K2032="Unknown","Unknown code",IF(AND(K2032="Yes",C2032=""),"Billable, needs client",IF(N2032&gt;MaxDayHours,"Over "&amp;MaxDayHours&amp;" hours that day","")))))</f>
        <v/>
      </c>
    </row>
    <row r="2033" customFormat="false" ht="15" hidden="false" customHeight="false" outlineLevel="0" collapsed="false">
      <c r="A2033" s="31"/>
      <c r="B2033" s="32"/>
      <c r="C2033" s="32"/>
      <c r="D2033" s="33"/>
      <c r="E2033" s="34"/>
      <c r="F2033" s="32"/>
      <c r="G2033" s="35" t="str">
        <f aca="false">IF(A2033="","",A2033+7-WEEKDAY(A2033))</f>
        <v/>
      </c>
      <c r="H2033" s="36" t="str">
        <f aca="false">IF(A2033="","",DATE(YEAR(A2033),MONTH(A2033),1))</f>
        <v/>
      </c>
      <c r="I2033" s="37" t="str">
        <f aca="false">IF(B2033="","",IFERROR(INDEX(st_ID,MATCH(B2033,st_Name,0)),"Unknown"))</f>
        <v/>
      </c>
      <c r="J2033" s="37" t="str">
        <f aca="false">IF(C2033="","",IFERROR(INDEX(cl_Code,MATCH(C2033,cl_Name,0)),"Unknown"))</f>
        <v/>
      </c>
      <c r="K2033" s="37" t="str">
        <f aca="false">IF(D2033="","",IFERROR(INDEX(rt_Billable,MATCH(D2033,rt_Code,0)),"Unknown"))</f>
        <v/>
      </c>
      <c r="L2033" s="38" t="str">
        <f aca="false">IF(K2033&lt;&gt;"Yes","",IFERROR(INDEX(cr_Rate,MATCH(J2033&amp;"|"&amp;D2033,cr_Key,0)),INDEX(rt_Rate,MATCH(D2033,rt_Code,0))))</f>
        <v/>
      </c>
      <c r="M2033" s="25" t="str">
        <f aca="false">IF(L2033="","",ROUND(N(E2033)*L2033,2))</f>
        <v/>
      </c>
      <c r="N2033" s="39" t="str">
        <f aca="false">IF(OR(A2033="",B2033=""),"",SUMIFS(tl_Hours,tl_StaffID,I2033,tl_Date,A2033))</f>
        <v/>
      </c>
      <c r="O2033" s="40" t="str">
        <f aca="false">IF(A2033&amp;B2033&amp;D2033="","",IF(OR(A2033="",B2033="",D2033="",E2033=""),"Incomplete",IF(K2033="Unknown","Unknown code",IF(AND(K2033="Yes",C2033=""),"Billable, needs client",IF(N2033&gt;MaxDayHours,"Over "&amp;MaxDayHours&amp;" hours that day","")))))</f>
        <v/>
      </c>
    </row>
    <row r="2034" customFormat="false" ht="15" hidden="false" customHeight="false" outlineLevel="0" collapsed="false">
      <c r="A2034" s="31"/>
      <c r="B2034" s="32"/>
      <c r="C2034" s="32"/>
      <c r="D2034" s="33"/>
      <c r="E2034" s="34"/>
      <c r="F2034" s="32"/>
      <c r="G2034" s="35" t="str">
        <f aca="false">IF(A2034="","",A2034+7-WEEKDAY(A2034))</f>
        <v/>
      </c>
      <c r="H2034" s="36" t="str">
        <f aca="false">IF(A2034="","",DATE(YEAR(A2034),MONTH(A2034),1))</f>
        <v/>
      </c>
      <c r="I2034" s="37" t="str">
        <f aca="false">IF(B2034="","",IFERROR(INDEX(st_ID,MATCH(B2034,st_Name,0)),"Unknown"))</f>
        <v/>
      </c>
      <c r="J2034" s="37" t="str">
        <f aca="false">IF(C2034="","",IFERROR(INDEX(cl_Code,MATCH(C2034,cl_Name,0)),"Unknown"))</f>
        <v/>
      </c>
      <c r="K2034" s="37" t="str">
        <f aca="false">IF(D2034="","",IFERROR(INDEX(rt_Billable,MATCH(D2034,rt_Code,0)),"Unknown"))</f>
        <v/>
      </c>
      <c r="L2034" s="38" t="str">
        <f aca="false">IF(K2034&lt;&gt;"Yes","",IFERROR(INDEX(cr_Rate,MATCH(J2034&amp;"|"&amp;D2034,cr_Key,0)),INDEX(rt_Rate,MATCH(D2034,rt_Code,0))))</f>
        <v/>
      </c>
      <c r="M2034" s="25" t="str">
        <f aca="false">IF(L2034="","",ROUND(N(E2034)*L2034,2))</f>
        <v/>
      </c>
      <c r="N2034" s="39" t="str">
        <f aca="false">IF(OR(A2034="",B2034=""),"",SUMIFS(tl_Hours,tl_StaffID,I2034,tl_Date,A2034))</f>
        <v/>
      </c>
      <c r="O2034" s="40" t="str">
        <f aca="false">IF(A2034&amp;B2034&amp;D2034="","",IF(OR(A2034="",B2034="",D2034="",E2034=""),"Incomplete",IF(K2034="Unknown","Unknown code",IF(AND(K2034="Yes",C2034=""),"Billable, needs client",IF(N2034&gt;MaxDayHours,"Over "&amp;MaxDayHours&amp;" hours that day","")))))</f>
        <v/>
      </c>
    </row>
    <row r="2035" customFormat="false" ht="15" hidden="false" customHeight="false" outlineLevel="0" collapsed="false">
      <c r="A2035" s="31"/>
      <c r="B2035" s="32"/>
      <c r="C2035" s="32"/>
      <c r="D2035" s="33"/>
      <c r="E2035" s="34"/>
      <c r="F2035" s="32"/>
      <c r="G2035" s="35" t="str">
        <f aca="false">IF(A2035="","",A2035+7-WEEKDAY(A2035))</f>
        <v/>
      </c>
      <c r="H2035" s="36" t="str">
        <f aca="false">IF(A2035="","",DATE(YEAR(A2035),MONTH(A2035),1))</f>
        <v/>
      </c>
      <c r="I2035" s="37" t="str">
        <f aca="false">IF(B2035="","",IFERROR(INDEX(st_ID,MATCH(B2035,st_Name,0)),"Unknown"))</f>
        <v/>
      </c>
      <c r="J2035" s="37" t="str">
        <f aca="false">IF(C2035="","",IFERROR(INDEX(cl_Code,MATCH(C2035,cl_Name,0)),"Unknown"))</f>
        <v/>
      </c>
      <c r="K2035" s="37" t="str">
        <f aca="false">IF(D2035="","",IFERROR(INDEX(rt_Billable,MATCH(D2035,rt_Code,0)),"Unknown"))</f>
        <v/>
      </c>
      <c r="L2035" s="38" t="str">
        <f aca="false">IF(K2035&lt;&gt;"Yes","",IFERROR(INDEX(cr_Rate,MATCH(J2035&amp;"|"&amp;D2035,cr_Key,0)),INDEX(rt_Rate,MATCH(D2035,rt_Code,0))))</f>
        <v/>
      </c>
      <c r="M2035" s="25" t="str">
        <f aca="false">IF(L2035="","",ROUND(N(E2035)*L2035,2))</f>
        <v/>
      </c>
      <c r="N2035" s="39" t="str">
        <f aca="false">IF(OR(A2035="",B2035=""),"",SUMIFS(tl_Hours,tl_StaffID,I2035,tl_Date,A2035))</f>
        <v/>
      </c>
      <c r="O2035" s="40" t="str">
        <f aca="false">IF(A2035&amp;B2035&amp;D2035="","",IF(OR(A2035="",B2035="",D2035="",E2035=""),"Incomplete",IF(K2035="Unknown","Unknown code",IF(AND(K2035="Yes",C2035=""),"Billable, needs client",IF(N2035&gt;MaxDayHours,"Over "&amp;MaxDayHours&amp;" hours that day","")))))</f>
        <v/>
      </c>
    </row>
    <row r="2036" customFormat="false" ht="15" hidden="false" customHeight="false" outlineLevel="0" collapsed="false">
      <c r="A2036" s="31"/>
      <c r="B2036" s="32"/>
      <c r="C2036" s="32"/>
      <c r="D2036" s="33"/>
      <c r="E2036" s="34"/>
      <c r="F2036" s="32"/>
      <c r="G2036" s="35" t="str">
        <f aca="false">IF(A2036="","",A2036+7-WEEKDAY(A2036))</f>
        <v/>
      </c>
      <c r="H2036" s="36" t="str">
        <f aca="false">IF(A2036="","",DATE(YEAR(A2036),MONTH(A2036),1))</f>
        <v/>
      </c>
      <c r="I2036" s="37" t="str">
        <f aca="false">IF(B2036="","",IFERROR(INDEX(st_ID,MATCH(B2036,st_Name,0)),"Unknown"))</f>
        <v/>
      </c>
      <c r="J2036" s="37" t="str">
        <f aca="false">IF(C2036="","",IFERROR(INDEX(cl_Code,MATCH(C2036,cl_Name,0)),"Unknown"))</f>
        <v/>
      </c>
      <c r="K2036" s="37" t="str">
        <f aca="false">IF(D2036="","",IFERROR(INDEX(rt_Billable,MATCH(D2036,rt_Code,0)),"Unknown"))</f>
        <v/>
      </c>
      <c r="L2036" s="38" t="str">
        <f aca="false">IF(K2036&lt;&gt;"Yes","",IFERROR(INDEX(cr_Rate,MATCH(J2036&amp;"|"&amp;D2036,cr_Key,0)),INDEX(rt_Rate,MATCH(D2036,rt_Code,0))))</f>
        <v/>
      </c>
      <c r="M2036" s="25" t="str">
        <f aca="false">IF(L2036="","",ROUND(N(E2036)*L2036,2))</f>
        <v/>
      </c>
      <c r="N2036" s="39" t="str">
        <f aca="false">IF(OR(A2036="",B2036=""),"",SUMIFS(tl_Hours,tl_StaffID,I2036,tl_Date,A2036))</f>
        <v/>
      </c>
      <c r="O2036" s="40" t="str">
        <f aca="false">IF(A2036&amp;B2036&amp;D2036="","",IF(OR(A2036="",B2036="",D2036="",E2036=""),"Incomplete",IF(K2036="Unknown","Unknown code",IF(AND(K2036="Yes",C2036=""),"Billable, needs client",IF(N2036&gt;MaxDayHours,"Over "&amp;MaxDayHours&amp;" hours that day","")))))</f>
        <v/>
      </c>
    </row>
    <row r="2037" customFormat="false" ht="15" hidden="false" customHeight="false" outlineLevel="0" collapsed="false">
      <c r="A2037" s="31"/>
      <c r="B2037" s="32"/>
      <c r="C2037" s="32"/>
      <c r="D2037" s="33"/>
      <c r="E2037" s="34"/>
      <c r="F2037" s="32"/>
      <c r="G2037" s="35" t="str">
        <f aca="false">IF(A2037="","",A2037+7-WEEKDAY(A2037))</f>
        <v/>
      </c>
      <c r="H2037" s="36" t="str">
        <f aca="false">IF(A2037="","",DATE(YEAR(A2037),MONTH(A2037),1))</f>
        <v/>
      </c>
      <c r="I2037" s="37" t="str">
        <f aca="false">IF(B2037="","",IFERROR(INDEX(st_ID,MATCH(B2037,st_Name,0)),"Unknown"))</f>
        <v/>
      </c>
      <c r="J2037" s="37" t="str">
        <f aca="false">IF(C2037="","",IFERROR(INDEX(cl_Code,MATCH(C2037,cl_Name,0)),"Unknown"))</f>
        <v/>
      </c>
      <c r="K2037" s="37" t="str">
        <f aca="false">IF(D2037="","",IFERROR(INDEX(rt_Billable,MATCH(D2037,rt_Code,0)),"Unknown"))</f>
        <v/>
      </c>
      <c r="L2037" s="38" t="str">
        <f aca="false">IF(K2037&lt;&gt;"Yes","",IFERROR(INDEX(cr_Rate,MATCH(J2037&amp;"|"&amp;D2037,cr_Key,0)),INDEX(rt_Rate,MATCH(D2037,rt_Code,0))))</f>
        <v/>
      </c>
      <c r="M2037" s="25" t="str">
        <f aca="false">IF(L2037="","",ROUND(N(E2037)*L2037,2))</f>
        <v/>
      </c>
      <c r="N2037" s="39" t="str">
        <f aca="false">IF(OR(A2037="",B2037=""),"",SUMIFS(tl_Hours,tl_StaffID,I2037,tl_Date,A2037))</f>
        <v/>
      </c>
      <c r="O2037" s="40" t="str">
        <f aca="false">IF(A2037&amp;B2037&amp;D2037="","",IF(OR(A2037="",B2037="",D2037="",E2037=""),"Incomplete",IF(K2037="Unknown","Unknown code",IF(AND(K2037="Yes",C2037=""),"Billable, needs client",IF(N2037&gt;MaxDayHours,"Over "&amp;MaxDayHours&amp;" hours that day","")))))</f>
        <v/>
      </c>
    </row>
    <row r="2038" customFormat="false" ht="15" hidden="false" customHeight="false" outlineLevel="0" collapsed="false">
      <c r="A2038" s="31"/>
      <c r="B2038" s="32"/>
      <c r="C2038" s="32"/>
      <c r="D2038" s="33"/>
      <c r="E2038" s="34"/>
      <c r="F2038" s="32"/>
      <c r="G2038" s="35" t="str">
        <f aca="false">IF(A2038="","",A2038+7-WEEKDAY(A2038))</f>
        <v/>
      </c>
      <c r="H2038" s="36" t="str">
        <f aca="false">IF(A2038="","",DATE(YEAR(A2038),MONTH(A2038),1))</f>
        <v/>
      </c>
      <c r="I2038" s="37" t="str">
        <f aca="false">IF(B2038="","",IFERROR(INDEX(st_ID,MATCH(B2038,st_Name,0)),"Unknown"))</f>
        <v/>
      </c>
      <c r="J2038" s="37" t="str">
        <f aca="false">IF(C2038="","",IFERROR(INDEX(cl_Code,MATCH(C2038,cl_Name,0)),"Unknown"))</f>
        <v/>
      </c>
      <c r="K2038" s="37" t="str">
        <f aca="false">IF(D2038="","",IFERROR(INDEX(rt_Billable,MATCH(D2038,rt_Code,0)),"Unknown"))</f>
        <v/>
      </c>
      <c r="L2038" s="38" t="str">
        <f aca="false">IF(K2038&lt;&gt;"Yes","",IFERROR(INDEX(cr_Rate,MATCH(J2038&amp;"|"&amp;D2038,cr_Key,0)),INDEX(rt_Rate,MATCH(D2038,rt_Code,0))))</f>
        <v/>
      </c>
      <c r="M2038" s="25" t="str">
        <f aca="false">IF(L2038="","",ROUND(N(E2038)*L2038,2))</f>
        <v/>
      </c>
      <c r="N2038" s="39" t="str">
        <f aca="false">IF(OR(A2038="",B2038=""),"",SUMIFS(tl_Hours,tl_StaffID,I2038,tl_Date,A2038))</f>
        <v/>
      </c>
      <c r="O2038" s="40" t="str">
        <f aca="false">IF(A2038&amp;B2038&amp;D2038="","",IF(OR(A2038="",B2038="",D2038="",E2038=""),"Incomplete",IF(K2038="Unknown","Unknown code",IF(AND(K2038="Yes",C2038=""),"Billable, needs client",IF(N2038&gt;MaxDayHours,"Over "&amp;MaxDayHours&amp;" hours that day","")))))</f>
        <v/>
      </c>
    </row>
    <row r="2039" customFormat="false" ht="15" hidden="false" customHeight="false" outlineLevel="0" collapsed="false">
      <c r="A2039" s="31"/>
      <c r="B2039" s="32"/>
      <c r="C2039" s="32"/>
      <c r="D2039" s="33"/>
      <c r="E2039" s="34"/>
      <c r="F2039" s="32"/>
      <c r="G2039" s="35" t="str">
        <f aca="false">IF(A2039="","",A2039+7-WEEKDAY(A2039))</f>
        <v/>
      </c>
      <c r="H2039" s="36" t="str">
        <f aca="false">IF(A2039="","",DATE(YEAR(A2039),MONTH(A2039),1))</f>
        <v/>
      </c>
      <c r="I2039" s="37" t="str">
        <f aca="false">IF(B2039="","",IFERROR(INDEX(st_ID,MATCH(B2039,st_Name,0)),"Unknown"))</f>
        <v/>
      </c>
      <c r="J2039" s="37" t="str">
        <f aca="false">IF(C2039="","",IFERROR(INDEX(cl_Code,MATCH(C2039,cl_Name,0)),"Unknown"))</f>
        <v/>
      </c>
      <c r="K2039" s="37" t="str">
        <f aca="false">IF(D2039="","",IFERROR(INDEX(rt_Billable,MATCH(D2039,rt_Code,0)),"Unknown"))</f>
        <v/>
      </c>
      <c r="L2039" s="38" t="str">
        <f aca="false">IF(K2039&lt;&gt;"Yes","",IFERROR(INDEX(cr_Rate,MATCH(J2039&amp;"|"&amp;D2039,cr_Key,0)),INDEX(rt_Rate,MATCH(D2039,rt_Code,0))))</f>
        <v/>
      </c>
      <c r="M2039" s="25" t="str">
        <f aca="false">IF(L2039="","",ROUND(N(E2039)*L2039,2))</f>
        <v/>
      </c>
      <c r="N2039" s="39" t="str">
        <f aca="false">IF(OR(A2039="",B2039=""),"",SUMIFS(tl_Hours,tl_StaffID,I2039,tl_Date,A2039))</f>
        <v/>
      </c>
      <c r="O2039" s="40" t="str">
        <f aca="false">IF(A2039&amp;B2039&amp;D2039="","",IF(OR(A2039="",B2039="",D2039="",E2039=""),"Incomplete",IF(K2039="Unknown","Unknown code",IF(AND(K2039="Yes",C2039=""),"Billable, needs client",IF(N2039&gt;MaxDayHours,"Over "&amp;MaxDayHours&amp;" hours that day","")))))</f>
        <v/>
      </c>
    </row>
    <row r="2040" customFormat="false" ht="15" hidden="false" customHeight="false" outlineLevel="0" collapsed="false">
      <c r="A2040" s="31"/>
      <c r="B2040" s="32"/>
      <c r="C2040" s="32"/>
      <c r="D2040" s="33"/>
      <c r="E2040" s="34"/>
      <c r="F2040" s="32"/>
      <c r="G2040" s="35" t="str">
        <f aca="false">IF(A2040="","",A2040+7-WEEKDAY(A2040))</f>
        <v/>
      </c>
      <c r="H2040" s="36" t="str">
        <f aca="false">IF(A2040="","",DATE(YEAR(A2040),MONTH(A2040),1))</f>
        <v/>
      </c>
      <c r="I2040" s="37" t="str">
        <f aca="false">IF(B2040="","",IFERROR(INDEX(st_ID,MATCH(B2040,st_Name,0)),"Unknown"))</f>
        <v/>
      </c>
      <c r="J2040" s="37" t="str">
        <f aca="false">IF(C2040="","",IFERROR(INDEX(cl_Code,MATCH(C2040,cl_Name,0)),"Unknown"))</f>
        <v/>
      </c>
      <c r="K2040" s="37" t="str">
        <f aca="false">IF(D2040="","",IFERROR(INDEX(rt_Billable,MATCH(D2040,rt_Code,0)),"Unknown"))</f>
        <v/>
      </c>
      <c r="L2040" s="38" t="str">
        <f aca="false">IF(K2040&lt;&gt;"Yes","",IFERROR(INDEX(cr_Rate,MATCH(J2040&amp;"|"&amp;D2040,cr_Key,0)),INDEX(rt_Rate,MATCH(D2040,rt_Code,0))))</f>
        <v/>
      </c>
      <c r="M2040" s="25" t="str">
        <f aca="false">IF(L2040="","",ROUND(N(E2040)*L2040,2))</f>
        <v/>
      </c>
      <c r="N2040" s="39" t="str">
        <f aca="false">IF(OR(A2040="",B2040=""),"",SUMIFS(tl_Hours,tl_StaffID,I2040,tl_Date,A2040))</f>
        <v/>
      </c>
      <c r="O2040" s="40" t="str">
        <f aca="false">IF(A2040&amp;B2040&amp;D2040="","",IF(OR(A2040="",B2040="",D2040="",E2040=""),"Incomplete",IF(K2040="Unknown","Unknown code",IF(AND(K2040="Yes",C2040=""),"Billable, needs client",IF(N2040&gt;MaxDayHours,"Over "&amp;MaxDayHours&amp;" hours that day","")))))</f>
        <v/>
      </c>
    </row>
    <row r="2041" customFormat="false" ht="15" hidden="false" customHeight="false" outlineLevel="0" collapsed="false">
      <c r="A2041" s="31"/>
      <c r="B2041" s="32"/>
      <c r="C2041" s="32"/>
      <c r="D2041" s="33"/>
      <c r="E2041" s="34"/>
      <c r="F2041" s="32"/>
      <c r="G2041" s="35" t="str">
        <f aca="false">IF(A2041="","",A2041+7-WEEKDAY(A2041))</f>
        <v/>
      </c>
      <c r="H2041" s="36" t="str">
        <f aca="false">IF(A2041="","",DATE(YEAR(A2041),MONTH(A2041),1))</f>
        <v/>
      </c>
      <c r="I2041" s="37" t="str">
        <f aca="false">IF(B2041="","",IFERROR(INDEX(st_ID,MATCH(B2041,st_Name,0)),"Unknown"))</f>
        <v/>
      </c>
      <c r="J2041" s="37" t="str">
        <f aca="false">IF(C2041="","",IFERROR(INDEX(cl_Code,MATCH(C2041,cl_Name,0)),"Unknown"))</f>
        <v/>
      </c>
      <c r="K2041" s="37" t="str">
        <f aca="false">IF(D2041="","",IFERROR(INDEX(rt_Billable,MATCH(D2041,rt_Code,0)),"Unknown"))</f>
        <v/>
      </c>
      <c r="L2041" s="38" t="str">
        <f aca="false">IF(K2041&lt;&gt;"Yes","",IFERROR(INDEX(cr_Rate,MATCH(J2041&amp;"|"&amp;D2041,cr_Key,0)),INDEX(rt_Rate,MATCH(D2041,rt_Code,0))))</f>
        <v/>
      </c>
      <c r="M2041" s="25" t="str">
        <f aca="false">IF(L2041="","",ROUND(N(E2041)*L2041,2))</f>
        <v/>
      </c>
      <c r="N2041" s="39" t="str">
        <f aca="false">IF(OR(A2041="",B2041=""),"",SUMIFS(tl_Hours,tl_StaffID,I2041,tl_Date,A2041))</f>
        <v/>
      </c>
      <c r="O2041" s="40" t="str">
        <f aca="false">IF(A2041&amp;B2041&amp;D2041="","",IF(OR(A2041="",B2041="",D2041="",E2041=""),"Incomplete",IF(K2041="Unknown","Unknown code",IF(AND(K2041="Yes",C2041=""),"Billable, needs client",IF(N2041&gt;MaxDayHours,"Over "&amp;MaxDayHours&amp;" hours that day","")))))</f>
        <v/>
      </c>
    </row>
    <row r="2042" customFormat="false" ht="15" hidden="false" customHeight="false" outlineLevel="0" collapsed="false">
      <c r="A2042" s="31"/>
      <c r="B2042" s="32"/>
      <c r="C2042" s="32"/>
      <c r="D2042" s="33"/>
      <c r="E2042" s="34"/>
      <c r="F2042" s="32"/>
      <c r="G2042" s="35" t="str">
        <f aca="false">IF(A2042="","",A2042+7-WEEKDAY(A2042))</f>
        <v/>
      </c>
      <c r="H2042" s="36" t="str">
        <f aca="false">IF(A2042="","",DATE(YEAR(A2042),MONTH(A2042),1))</f>
        <v/>
      </c>
      <c r="I2042" s="37" t="str">
        <f aca="false">IF(B2042="","",IFERROR(INDEX(st_ID,MATCH(B2042,st_Name,0)),"Unknown"))</f>
        <v/>
      </c>
      <c r="J2042" s="37" t="str">
        <f aca="false">IF(C2042="","",IFERROR(INDEX(cl_Code,MATCH(C2042,cl_Name,0)),"Unknown"))</f>
        <v/>
      </c>
      <c r="K2042" s="37" t="str">
        <f aca="false">IF(D2042="","",IFERROR(INDEX(rt_Billable,MATCH(D2042,rt_Code,0)),"Unknown"))</f>
        <v/>
      </c>
      <c r="L2042" s="38" t="str">
        <f aca="false">IF(K2042&lt;&gt;"Yes","",IFERROR(INDEX(cr_Rate,MATCH(J2042&amp;"|"&amp;D2042,cr_Key,0)),INDEX(rt_Rate,MATCH(D2042,rt_Code,0))))</f>
        <v/>
      </c>
      <c r="M2042" s="25" t="str">
        <f aca="false">IF(L2042="","",ROUND(N(E2042)*L2042,2))</f>
        <v/>
      </c>
      <c r="N2042" s="39" t="str">
        <f aca="false">IF(OR(A2042="",B2042=""),"",SUMIFS(tl_Hours,tl_StaffID,I2042,tl_Date,A2042))</f>
        <v/>
      </c>
      <c r="O2042" s="40" t="str">
        <f aca="false">IF(A2042&amp;B2042&amp;D2042="","",IF(OR(A2042="",B2042="",D2042="",E2042=""),"Incomplete",IF(K2042="Unknown","Unknown code",IF(AND(K2042="Yes",C2042=""),"Billable, needs client",IF(N2042&gt;MaxDayHours,"Over "&amp;MaxDayHours&amp;" hours that day","")))))</f>
        <v/>
      </c>
    </row>
    <row r="2043" customFormat="false" ht="15" hidden="false" customHeight="false" outlineLevel="0" collapsed="false">
      <c r="A2043" s="31"/>
      <c r="B2043" s="32"/>
      <c r="C2043" s="32"/>
      <c r="D2043" s="33"/>
      <c r="E2043" s="34"/>
      <c r="F2043" s="32"/>
      <c r="G2043" s="35" t="str">
        <f aca="false">IF(A2043="","",A2043+7-WEEKDAY(A2043))</f>
        <v/>
      </c>
      <c r="H2043" s="36" t="str">
        <f aca="false">IF(A2043="","",DATE(YEAR(A2043),MONTH(A2043),1))</f>
        <v/>
      </c>
      <c r="I2043" s="37" t="str">
        <f aca="false">IF(B2043="","",IFERROR(INDEX(st_ID,MATCH(B2043,st_Name,0)),"Unknown"))</f>
        <v/>
      </c>
      <c r="J2043" s="37" t="str">
        <f aca="false">IF(C2043="","",IFERROR(INDEX(cl_Code,MATCH(C2043,cl_Name,0)),"Unknown"))</f>
        <v/>
      </c>
      <c r="K2043" s="37" t="str">
        <f aca="false">IF(D2043="","",IFERROR(INDEX(rt_Billable,MATCH(D2043,rt_Code,0)),"Unknown"))</f>
        <v/>
      </c>
      <c r="L2043" s="38" t="str">
        <f aca="false">IF(K2043&lt;&gt;"Yes","",IFERROR(INDEX(cr_Rate,MATCH(J2043&amp;"|"&amp;D2043,cr_Key,0)),INDEX(rt_Rate,MATCH(D2043,rt_Code,0))))</f>
        <v/>
      </c>
      <c r="M2043" s="25" t="str">
        <f aca="false">IF(L2043="","",ROUND(N(E2043)*L2043,2))</f>
        <v/>
      </c>
      <c r="N2043" s="39" t="str">
        <f aca="false">IF(OR(A2043="",B2043=""),"",SUMIFS(tl_Hours,tl_StaffID,I2043,tl_Date,A2043))</f>
        <v/>
      </c>
      <c r="O2043" s="40" t="str">
        <f aca="false">IF(A2043&amp;B2043&amp;D2043="","",IF(OR(A2043="",B2043="",D2043="",E2043=""),"Incomplete",IF(K2043="Unknown","Unknown code",IF(AND(K2043="Yes",C2043=""),"Billable, needs client",IF(N2043&gt;MaxDayHours,"Over "&amp;MaxDayHours&amp;" hours that day","")))))</f>
        <v/>
      </c>
    </row>
    <row r="2044" customFormat="false" ht="15" hidden="false" customHeight="false" outlineLevel="0" collapsed="false">
      <c r="A2044" s="31"/>
      <c r="B2044" s="32"/>
      <c r="C2044" s="32"/>
      <c r="D2044" s="33"/>
      <c r="E2044" s="34"/>
      <c r="F2044" s="32"/>
      <c r="G2044" s="35" t="str">
        <f aca="false">IF(A2044="","",A2044+7-WEEKDAY(A2044))</f>
        <v/>
      </c>
      <c r="H2044" s="36" t="str">
        <f aca="false">IF(A2044="","",DATE(YEAR(A2044),MONTH(A2044),1))</f>
        <v/>
      </c>
      <c r="I2044" s="37" t="str">
        <f aca="false">IF(B2044="","",IFERROR(INDEX(st_ID,MATCH(B2044,st_Name,0)),"Unknown"))</f>
        <v/>
      </c>
      <c r="J2044" s="37" t="str">
        <f aca="false">IF(C2044="","",IFERROR(INDEX(cl_Code,MATCH(C2044,cl_Name,0)),"Unknown"))</f>
        <v/>
      </c>
      <c r="K2044" s="37" t="str">
        <f aca="false">IF(D2044="","",IFERROR(INDEX(rt_Billable,MATCH(D2044,rt_Code,0)),"Unknown"))</f>
        <v/>
      </c>
      <c r="L2044" s="38" t="str">
        <f aca="false">IF(K2044&lt;&gt;"Yes","",IFERROR(INDEX(cr_Rate,MATCH(J2044&amp;"|"&amp;D2044,cr_Key,0)),INDEX(rt_Rate,MATCH(D2044,rt_Code,0))))</f>
        <v/>
      </c>
      <c r="M2044" s="25" t="str">
        <f aca="false">IF(L2044="","",ROUND(N(E2044)*L2044,2))</f>
        <v/>
      </c>
      <c r="N2044" s="39" t="str">
        <f aca="false">IF(OR(A2044="",B2044=""),"",SUMIFS(tl_Hours,tl_StaffID,I2044,tl_Date,A2044))</f>
        <v/>
      </c>
      <c r="O2044" s="40" t="str">
        <f aca="false">IF(A2044&amp;B2044&amp;D2044="","",IF(OR(A2044="",B2044="",D2044="",E2044=""),"Incomplete",IF(K2044="Unknown","Unknown code",IF(AND(K2044="Yes",C2044=""),"Billable, needs client",IF(N2044&gt;MaxDayHours,"Over "&amp;MaxDayHours&amp;" hours that day","")))))</f>
        <v/>
      </c>
    </row>
    <row r="2045" customFormat="false" ht="15" hidden="false" customHeight="false" outlineLevel="0" collapsed="false">
      <c r="A2045" s="31"/>
      <c r="B2045" s="32"/>
      <c r="C2045" s="32"/>
      <c r="D2045" s="33"/>
      <c r="E2045" s="34"/>
      <c r="F2045" s="32"/>
      <c r="G2045" s="35" t="str">
        <f aca="false">IF(A2045="","",A2045+7-WEEKDAY(A2045))</f>
        <v/>
      </c>
      <c r="H2045" s="36" t="str">
        <f aca="false">IF(A2045="","",DATE(YEAR(A2045),MONTH(A2045),1))</f>
        <v/>
      </c>
      <c r="I2045" s="37" t="str">
        <f aca="false">IF(B2045="","",IFERROR(INDEX(st_ID,MATCH(B2045,st_Name,0)),"Unknown"))</f>
        <v/>
      </c>
      <c r="J2045" s="37" t="str">
        <f aca="false">IF(C2045="","",IFERROR(INDEX(cl_Code,MATCH(C2045,cl_Name,0)),"Unknown"))</f>
        <v/>
      </c>
      <c r="K2045" s="37" t="str">
        <f aca="false">IF(D2045="","",IFERROR(INDEX(rt_Billable,MATCH(D2045,rt_Code,0)),"Unknown"))</f>
        <v/>
      </c>
      <c r="L2045" s="38" t="str">
        <f aca="false">IF(K2045&lt;&gt;"Yes","",IFERROR(INDEX(cr_Rate,MATCH(J2045&amp;"|"&amp;D2045,cr_Key,0)),INDEX(rt_Rate,MATCH(D2045,rt_Code,0))))</f>
        <v/>
      </c>
      <c r="M2045" s="25" t="str">
        <f aca="false">IF(L2045="","",ROUND(N(E2045)*L2045,2))</f>
        <v/>
      </c>
      <c r="N2045" s="39" t="str">
        <f aca="false">IF(OR(A2045="",B2045=""),"",SUMIFS(tl_Hours,tl_StaffID,I2045,tl_Date,A2045))</f>
        <v/>
      </c>
      <c r="O2045" s="40" t="str">
        <f aca="false">IF(A2045&amp;B2045&amp;D2045="","",IF(OR(A2045="",B2045="",D2045="",E2045=""),"Incomplete",IF(K2045="Unknown","Unknown code",IF(AND(K2045="Yes",C2045=""),"Billable, needs client",IF(N2045&gt;MaxDayHours,"Over "&amp;MaxDayHours&amp;" hours that day","")))))</f>
        <v/>
      </c>
    </row>
    <row r="2046" customFormat="false" ht="15" hidden="false" customHeight="false" outlineLevel="0" collapsed="false">
      <c r="A2046" s="31"/>
      <c r="B2046" s="32"/>
      <c r="C2046" s="32"/>
      <c r="D2046" s="33"/>
      <c r="E2046" s="34"/>
      <c r="F2046" s="32"/>
      <c r="G2046" s="35" t="str">
        <f aca="false">IF(A2046="","",A2046+7-WEEKDAY(A2046))</f>
        <v/>
      </c>
      <c r="H2046" s="36" t="str">
        <f aca="false">IF(A2046="","",DATE(YEAR(A2046),MONTH(A2046),1))</f>
        <v/>
      </c>
      <c r="I2046" s="37" t="str">
        <f aca="false">IF(B2046="","",IFERROR(INDEX(st_ID,MATCH(B2046,st_Name,0)),"Unknown"))</f>
        <v/>
      </c>
      <c r="J2046" s="37" t="str">
        <f aca="false">IF(C2046="","",IFERROR(INDEX(cl_Code,MATCH(C2046,cl_Name,0)),"Unknown"))</f>
        <v/>
      </c>
      <c r="K2046" s="37" t="str">
        <f aca="false">IF(D2046="","",IFERROR(INDEX(rt_Billable,MATCH(D2046,rt_Code,0)),"Unknown"))</f>
        <v/>
      </c>
      <c r="L2046" s="38" t="str">
        <f aca="false">IF(K2046&lt;&gt;"Yes","",IFERROR(INDEX(cr_Rate,MATCH(J2046&amp;"|"&amp;D2046,cr_Key,0)),INDEX(rt_Rate,MATCH(D2046,rt_Code,0))))</f>
        <v/>
      </c>
      <c r="M2046" s="25" t="str">
        <f aca="false">IF(L2046="","",ROUND(N(E2046)*L2046,2))</f>
        <v/>
      </c>
      <c r="N2046" s="39" t="str">
        <f aca="false">IF(OR(A2046="",B2046=""),"",SUMIFS(tl_Hours,tl_StaffID,I2046,tl_Date,A2046))</f>
        <v/>
      </c>
      <c r="O2046" s="40" t="str">
        <f aca="false">IF(A2046&amp;B2046&amp;D2046="","",IF(OR(A2046="",B2046="",D2046="",E2046=""),"Incomplete",IF(K2046="Unknown","Unknown code",IF(AND(K2046="Yes",C2046=""),"Billable, needs client",IF(N2046&gt;MaxDayHours,"Over "&amp;MaxDayHours&amp;" hours that day","")))))</f>
        <v/>
      </c>
    </row>
    <row r="2047" customFormat="false" ht="15" hidden="false" customHeight="false" outlineLevel="0" collapsed="false">
      <c r="A2047" s="31"/>
      <c r="B2047" s="32"/>
      <c r="C2047" s="32"/>
      <c r="D2047" s="33"/>
      <c r="E2047" s="34"/>
      <c r="F2047" s="32"/>
      <c r="G2047" s="35" t="str">
        <f aca="false">IF(A2047="","",A2047+7-WEEKDAY(A2047))</f>
        <v/>
      </c>
      <c r="H2047" s="36" t="str">
        <f aca="false">IF(A2047="","",DATE(YEAR(A2047),MONTH(A2047),1))</f>
        <v/>
      </c>
      <c r="I2047" s="37" t="str">
        <f aca="false">IF(B2047="","",IFERROR(INDEX(st_ID,MATCH(B2047,st_Name,0)),"Unknown"))</f>
        <v/>
      </c>
      <c r="J2047" s="37" t="str">
        <f aca="false">IF(C2047="","",IFERROR(INDEX(cl_Code,MATCH(C2047,cl_Name,0)),"Unknown"))</f>
        <v/>
      </c>
      <c r="K2047" s="37" t="str">
        <f aca="false">IF(D2047="","",IFERROR(INDEX(rt_Billable,MATCH(D2047,rt_Code,0)),"Unknown"))</f>
        <v/>
      </c>
      <c r="L2047" s="38" t="str">
        <f aca="false">IF(K2047&lt;&gt;"Yes","",IFERROR(INDEX(cr_Rate,MATCH(J2047&amp;"|"&amp;D2047,cr_Key,0)),INDEX(rt_Rate,MATCH(D2047,rt_Code,0))))</f>
        <v/>
      </c>
      <c r="M2047" s="25" t="str">
        <f aca="false">IF(L2047="","",ROUND(N(E2047)*L2047,2))</f>
        <v/>
      </c>
      <c r="N2047" s="39" t="str">
        <f aca="false">IF(OR(A2047="",B2047=""),"",SUMIFS(tl_Hours,tl_StaffID,I2047,tl_Date,A2047))</f>
        <v/>
      </c>
      <c r="O2047" s="40" t="str">
        <f aca="false">IF(A2047&amp;B2047&amp;D2047="","",IF(OR(A2047="",B2047="",D2047="",E2047=""),"Incomplete",IF(K2047="Unknown","Unknown code",IF(AND(K2047="Yes",C2047=""),"Billable, needs client",IF(N2047&gt;MaxDayHours,"Over "&amp;MaxDayHours&amp;" hours that day","")))))</f>
        <v/>
      </c>
    </row>
    <row r="2048" customFormat="false" ht="15" hidden="false" customHeight="false" outlineLevel="0" collapsed="false">
      <c r="A2048" s="31"/>
      <c r="B2048" s="32"/>
      <c r="C2048" s="32"/>
      <c r="D2048" s="33"/>
      <c r="E2048" s="34"/>
      <c r="F2048" s="32"/>
      <c r="G2048" s="35" t="str">
        <f aca="false">IF(A2048="","",A2048+7-WEEKDAY(A2048))</f>
        <v/>
      </c>
      <c r="H2048" s="36" t="str">
        <f aca="false">IF(A2048="","",DATE(YEAR(A2048),MONTH(A2048),1))</f>
        <v/>
      </c>
      <c r="I2048" s="37" t="str">
        <f aca="false">IF(B2048="","",IFERROR(INDEX(st_ID,MATCH(B2048,st_Name,0)),"Unknown"))</f>
        <v/>
      </c>
      <c r="J2048" s="37" t="str">
        <f aca="false">IF(C2048="","",IFERROR(INDEX(cl_Code,MATCH(C2048,cl_Name,0)),"Unknown"))</f>
        <v/>
      </c>
      <c r="K2048" s="37" t="str">
        <f aca="false">IF(D2048="","",IFERROR(INDEX(rt_Billable,MATCH(D2048,rt_Code,0)),"Unknown"))</f>
        <v/>
      </c>
      <c r="L2048" s="38" t="str">
        <f aca="false">IF(K2048&lt;&gt;"Yes","",IFERROR(INDEX(cr_Rate,MATCH(J2048&amp;"|"&amp;D2048,cr_Key,0)),INDEX(rt_Rate,MATCH(D2048,rt_Code,0))))</f>
        <v/>
      </c>
      <c r="M2048" s="25" t="str">
        <f aca="false">IF(L2048="","",ROUND(N(E2048)*L2048,2))</f>
        <v/>
      </c>
      <c r="N2048" s="39" t="str">
        <f aca="false">IF(OR(A2048="",B2048=""),"",SUMIFS(tl_Hours,tl_StaffID,I2048,tl_Date,A2048))</f>
        <v/>
      </c>
      <c r="O2048" s="40" t="str">
        <f aca="false">IF(A2048&amp;B2048&amp;D2048="","",IF(OR(A2048="",B2048="",D2048="",E2048=""),"Incomplete",IF(K2048="Unknown","Unknown code",IF(AND(K2048="Yes",C2048=""),"Billable, needs client",IF(N2048&gt;MaxDayHours,"Over "&amp;MaxDayHours&amp;" hours that day","")))))</f>
        <v/>
      </c>
    </row>
    <row r="2049" customFormat="false" ht="15" hidden="false" customHeight="false" outlineLevel="0" collapsed="false">
      <c r="A2049" s="31"/>
      <c r="B2049" s="32"/>
      <c r="C2049" s="32"/>
      <c r="D2049" s="33"/>
      <c r="E2049" s="34"/>
      <c r="F2049" s="32"/>
      <c r="G2049" s="35" t="str">
        <f aca="false">IF(A2049="","",A2049+7-WEEKDAY(A2049))</f>
        <v/>
      </c>
      <c r="H2049" s="36" t="str">
        <f aca="false">IF(A2049="","",DATE(YEAR(A2049),MONTH(A2049),1))</f>
        <v/>
      </c>
      <c r="I2049" s="37" t="str">
        <f aca="false">IF(B2049="","",IFERROR(INDEX(st_ID,MATCH(B2049,st_Name,0)),"Unknown"))</f>
        <v/>
      </c>
      <c r="J2049" s="37" t="str">
        <f aca="false">IF(C2049="","",IFERROR(INDEX(cl_Code,MATCH(C2049,cl_Name,0)),"Unknown"))</f>
        <v/>
      </c>
      <c r="K2049" s="37" t="str">
        <f aca="false">IF(D2049="","",IFERROR(INDEX(rt_Billable,MATCH(D2049,rt_Code,0)),"Unknown"))</f>
        <v/>
      </c>
      <c r="L2049" s="38" t="str">
        <f aca="false">IF(K2049&lt;&gt;"Yes","",IFERROR(INDEX(cr_Rate,MATCH(J2049&amp;"|"&amp;D2049,cr_Key,0)),INDEX(rt_Rate,MATCH(D2049,rt_Code,0))))</f>
        <v/>
      </c>
      <c r="M2049" s="25" t="str">
        <f aca="false">IF(L2049="","",ROUND(N(E2049)*L2049,2))</f>
        <v/>
      </c>
      <c r="N2049" s="39" t="str">
        <f aca="false">IF(OR(A2049="",B2049=""),"",SUMIFS(tl_Hours,tl_StaffID,I2049,tl_Date,A2049))</f>
        <v/>
      </c>
      <c r="O2049" s="40" t="str">
        <f aca="false">IF(A2049&amp;B2049&amp;D2049="","",IF(OR(A2049="",B2049="",D2049="",E2049=""),"Incomplete",IF(K2049="Unknown","Unknown code",IF(AND(K2049="Yes",C2049=""),"Billable, needs client",IF(N2049&gt;MaxDayHours,"Over "&amp;MaxDayHours&amp;" hours that day","")))))</f>
        <v/>
      </c>
    </row>
    <row r="2050" customFormat="false" ht="15" hidden="false" customHeight="false" outlineLevel="0" collapsed="false">
      <c r="A2050" s="31"/>
      <c r="B2050" s="32"/>
      <c r="C2050" s="32"/>
      <c r="D2050" s="33"/>
      <c r="E2050" s="34"/>
      <c r="F2050" s="32"/>
      <c r="G2050" s="35" t="str">
        <f aca="false">IF(A2050="","",A2050+7-WEEKDAY(A2050))</f>
        <v/>
      </c>
      <c r="H2050" s="36" t="str">
        <f aca="false">IF(A2050="","",DATE(YEAR(A2050),MONTH(A2050),1))</f>
        <v/>
      </c>
      <c r="I2050" s="37" t="str">
        <f aca="false">IF(B2050="","",IFERROR(INDEX(st_ID,MATCH(B2050,st_Name,0)),"Unknown"))</f>
        <v/>
      </c>
      <c r="J2050" s="37" t="str">
        <f aca="false">IF(C2050="","",IFERROR(INDEX(cl_Code,MATCH(C2050,cl_Name,0)),"Unknown"))</f>
        <v/>
      </c>
      <c r="K2050" s="37" t="str">
        <f aca="false">IF(D2050="","",IFERROR(INDEX(rt_Billable,MATCH(D2050,rt_Code,0)),"Unknown"))</f>
        <v/>
      </c>
      <c r="L2050" s="38" t="str">
        <f aca="false">IF(K2050&lt;&gt;"Yes","",IFERROR(INDEX(cr_Rate,MATCH(J2050&amp;"|"&amp;D2050,cr_Key,0)),INDEX(rt_Rate,MATCH(D2050,rt_Code,0))))</f>
        <v/>
      </c>
      <c r="M2050" s="25" t="str">
        <f aca="false">IF(L2050="","",ROUND(N(E2050)*L2050,2))</f>
        <v/>
      </c>
      <c r="N2050" s="39" t="str">
        <f aca="false">IF(OR(A2050="",B2050=""),"",SUMIFS(tl_Hours,tl_StaffID,I2050,tl_Date,A2050))</f>
        <v/>
      </c>
      <c r="O2050" s="40" t="str">
        <f aca="false">IF(A2050&amp;B2050&amp;D2050="","",IF(OR(A2050="",B2050="",D2050="",E2050=""),"Incomplete",IF(K2050="Unknown","Unknown code",IF(AND(K2050="Yes",C2050=""),"Billable, needs client",IF(N2050&gt;MaxDayHours,"Over "&amp;MaxDayHours&amp;" hours that day","")))))</f>
        <v/>
      </c>
    </row>
    <row r="2051" customFormat="false" ht="15" hidden="false" customHeight="false" outlineLevel="0" collapsed="false">
      <c r="A2051" s="31"/>
      <c r="B2051" s="32"/>
      <c r="C2051" s="32"/>
      <c r="D2051" s="33"/>
      <c r="E2051" s="34"/>
      <c r="F2051" s="32"/>
      <c r="G2051" s="35" t="str">
        <f aca="false">IF(A2051="","",A2051+7-WEEKDAY(A2051))</f>
        <v/>
      </c>
      <c r="H2051" s="36" t="str">
        <f aca="false">IF(A2051="","",DATE(YEAR(A2051),MONTH(A2051),1))</f>
        <v/>
      </c>
      <c r="I2051" s="37" t="str">
        <f aca="false">IF(B2051="","",IFERROR(INDEX(st_ID,MATCH(B2051,st_Name,0)),"Unknown"))</f>
        <v/>
      </c>
      <c r="J2051" s="37" t="str">
        <f aca="false">IF(C2051="","",IFERROR(INDEX(cl_Code,MATCH(C2051,cl_Name,0)),"Unknown"))</f>
        <v/>
      </c>
      <c r="K2051" s="37" t="str">
        <f aca="false">IF(D2051="","",IFERROR(INDEX(rt_Billable,MATCH(D2051,rt_Code,0)),"Unknown"))</f>
        <v/>
      </c>
      <c r="L2051" s="38" t="str">
        <f aca="false">IF(K2051&lt;&gt;"Yes","",IFERROR(INDEX(cr_Rate,MATCH(J2051&amp;"|"&amp;D2051,cr_Key,0)),INDEX(rt_Rate,MATCH(D2051,rt_Code,0))))</f>
        <v/>
      </c>
      <c r="M2051" s="25" t="str">
        <f aca="false">IF(L2051="","",ROUND(N(E2051)*L2051,2))</f>
        <v/>
      </c>
      <c r="N2051" s="39" t="str">
        <f aca="false">IF(OR(A2051="",B2051=""),"",SUMIFS(tl_Hours,tl_StaffID,I2051,tl_Date,A2051))</f>
        <v/>
      </c>
      <c r="O2051" s="40" t="str">
        <f aca="false">IF(A2051&amp;B2051&amp;D2051="","",IF(OR(A2051="",B2051="",D2051="",E2051=""),"Incomplete",IF(K2051="Unknown","Unknown code",IF(AND(K2051="Yes",C2051=""),"Billable, needs client",IF(N2051&gt;MaxDayHours,"Over "&amp;MaxDayHours&amp;" hours that day","")))))</f>
        <v/>
      </c>
    </row>
    <row r="2052" customFormat="false" ht="15" hidden="false" customHeight="false" outlineLevel="0" collapsed="false">
      <c r="A2052" s="31"/>
      <c r="B2052" s="32"/>
      <c r="C2052" s="32"/>
      <c r="D2052" s="33"/>
      <c r="E2052" s="34"/>
      <c r="F2052" s="32"/>
      <c r="G2052" s="35" t="str">
        <f aca="false">IF(A2052="","",A2052+7-WEEKDAY(A2052))</f>
        <v/>
      </c>
      <c r="H2052" s="36" t="str">
        <f aca="false">IF(A2052="","",DATE(YEAR(A2052),MONTH(A2052),1))</f>
        <v/>
      </c>
      <c r="I2052" s="37" t="str">
        <f aca="false">IF(B2052="","",IFERROR(INDEX(st_ID,MATCH(B2052,st_Name,0)),"Unknown"))</f>
        <v/>
      </c>
      <c r="J2052" s="37" t="str">
        <f aca="false">IF(C2052="","",IFERROR(INDEX(cl_Code,MATCH(C2052,cl_Name,0)),"Unknown"))</f>
        <v/>
      </c>
      <c r="K2052" s="37" t="str">
        <f aca="false">IF(D2052="","",IFERROR(INDEX(rt_Billable,MATCH(D2052,rt_Code,0)),"Unknown"))</f>
        <v/>
      </c>
      <c r="L2052" s="38" t="str">
        <f aca="false">IF(K2052&lt;&gt;"Yes","",IFERROR(INDEX(cr_Rate,MATCH(J2052&amp;"|"&amp;D2052,cr_Key,0)),INDEX(rt_Rate,MATCH(D2052,rt_Code,0))))</f>
        <v/>
      </c>
      <c r="M2052" s="25" t="str">
        <f aca="false">IF(L2052="","",ROUND(N(E2052)*L2052,2))</f>
        <v/>
      </c>
      <c r="N2052" s="39" t="str">
        <f aca="false">IF(OR(A2052="",B2052=""),"",SUMIFS(tl_Hours,tl_StaffID,I2052,tl_Date,A2052))</f>
        <v/>
      </c>
      <c r="O2052" s="40" t="str">
        <f aca="false">IF(A2052&amp;B2052&amp;D2052="","",IF(OR(A2052="",B2052="",D2052="",E2052=""),"Incomplete",IF(K2052="Unknown","Unknown code",IF(AND(K2052="Yes",C2052=""),"Billable, needs client",IF(N2052&gt;MaxDayHours,"Over "&amp;MaxDayHours&amp;" hours that day","")))))</f>
        <v/>
      </c>
    </row>
    <row r="2053" customFormat="false" ht="15" hidden="false" customHeight="false" outlineLevel="0" collapsed="false">
      <c r="A2053" s="31"/>
      <c r="B2053" s="32"/>
      <c r="C2053" s="32"/>
      <c r="D2053" s="33"/>
      <c r="E2053" s="34"/>
      <c r="F2053" s="32"/>
      <c r="G2053" s="35" t="str">
        <f aca="false">IF(A2053="","",A2053+7-WEEKDAY(A2053))</f>
        <v/>
      </c>
      <c r="H2053" s="36" t="str">
        <f aca="false">IF(A2053="","",DATE(YEAR(A2053),MONTH(A2053),1))</f>
        <v/>
      </c>
      <c r="I2053" s="37" t="str">
        <f aca="false">IF(B2053="","",IFERROR(INDEX(st_ID,MATCH(B2053,st_Name,0)),"Unknown"))</f>
        <v/>
      </c>
      <c r="J2053" s="37" t="str">
        <f aca="false">IF(C2053="","",IFERROR(INDEX(cl_Code,MATCH(C2053,cl_Name,0)),"Unknown"))</f>
        <v/>
      </c>
      <c r="K2053" s="37" t="str">
        <f aca="false">IF(D2053="","",IFERROR(INDEX(rt_Billable,MATCH(D2053,rt_Code,0)),"Unknown"))</f>
        <v/>
      </c>
      <c r="L2053" s="38" t="str">
        <f aca="false">IF(K2053&lt;&gt;"Yes","",IFERROR(INDEX(cr_Rate,MATCH(J2053&amp;"|"&amp;D2053,cr_Key,0)),INDEX(rt_Rate,MATCH(D2053,rt_Code,0))))</f>
        <v/>
      </c>
      <c r="M2053" s="25" t="str">
        <f aca="false">IF(L2053="","",ROUND(N(E2053)*L2053,2))</f>
        <v/>
      </c>
      <c r="N2053" s="39" t="str">
        <f aca="false">IF(OR(A2053="",B2053=""),"",SUMIFS(tl_Hours,tl_StaffID,I2053,tl_Date,A2053))</f>
        <v/>
      </c>
      <c r="O2053" s="40" t="str">
        <f aca="false">IF(A2053&amp;B2053&amp;D2053="","",IF(OR(A2053="",B2053="",D2053="",E2053=""),"Incomplete",IF(K2053="Unknown","Unknown code",IF(AND(K2053="Yes",C2053=""),"Billable, needs client",IF(N2053&gt;MaxDayHours,"Over "&amp;MaxDayHours&amp;" hours that day","")))))</f>
        <v/>
      </c>
    </row>
    <row r="2054" customFormat="false" ht="15" hidden="false" customHeight="false" outlineLevel="0" collapsed="false">
      <c r="A2054" s="31"/>
      <c r="B2054" s="32"/>
      <c r="C2054" s="32"/>
      <c r="D2054" s="33"/>
      <c r="E2054" s="34"/>
      <c r="F2054" s="32"/>
      <c r="G2054" s="35" t="str">
        <f aca="false">IF(A2054="","",A2054+7-WEEKDAY(A2054))</f>
        <v/>
      </c>
      <c r="H2054" s="36" t="str">
        <f aca="false">IF(A2054="","",DATE(YEAR(A2054),MONTH(A2054),1))</f>
        <v/>
      </c>
      <c r="I2054" s="37" t="str">
        <f aca="false">IF(B2054="","",IFERROR(INDEX(st_ID,MATCH(B2054,st_Name,0)),"Unknown"))</f>
        <v/>
      </c>
      <c r="J2054" s="37" t="str">
        <f aca="false">IF(C2054="","",IFERROR(INDEX(cl_Code,MATCH(C2054,cl_Name,0)),"Unknown"))</f>
        <v/>
      </c>
      <c r="K2054" s="37" t="str">
        <f aca="false">IF(D2054="","",IFERROR(INDEX(rt_Billable,MATCH(D2054,rt_Code,0)),"Unknown"))</f>
        <v/>
      </c>
      <c r="L2054" s="38" t="str">
        <f aca="false">IF(K2054&lt;&gt;"Yes","",IFERROR(INDEX(cr_Rate,MATCH(J2054&amp;"|"&amp;D2054,cr_Key,0)),INDEX(rt_Rate,MATCH(D2054,rt_Code,0))))</f>
        <v/>
      </c>
      <c r="M2054" s="25" t="str">
        <f aca="false">IF(L2054="","",ROUND(N(E2054)*L2054,2))</f>
        <v/>
      </c>
      <c r="N2054" s="39" t="str">
        <f aca="false">IF(OR(A2054="",B2054=""),"",SUMIFS(tl_Hours,tl_StaffID,I2054,tl_Date,A2054))</f>
        <v/>
      </c>
      <c r="O2054" s="40" t="str">
        <f aca="false">IF(A2054&amp;B2054&amp;D2054="","",IF(OR(A2054="",B2054="",D2054="",E2054=""),"Incomplete",IF(K2054="Unknown","Unknown code",IF(AND(K2054="Yes",C2054=""),"Billable, needs client",IF(N2054&gt;MaxDayHours,"Over "&amp;MaxDayHours&amp;" hours that day","")))))</f>
        <v/>
      </c>
    </row>
    <row r="2055" customFormat="false" ht="15" hidden="false" customHeight="false" outlineLevel="0" collapsed="false">
      <c r="A2055" s="31"/>
      <c r="B2055" s="32"/>
      <c r="C2055" s="32"/>
      <c r="D2055" s="33"/>
      <c r="E2055" s="34"/>
      <c r="F2055" s="32"/>
      <c r="G2055" s="35" t="str">
        <f aca="false">IF(A2055="","",A2055+7-WEEKDAY(A2055))</f>
        <v/>
      </c>
      <c r="H2055" s="36" t="str">
        <f aca="false">IF(A2055="","",DATE(YEAR(A2055),MONTH(A2055),1))</f>
        <v/>
      </c>
      <c r="I2055" s="37" t="str">
        <f aca="false">IF(B2055="","",IFERROR(INDEX(st_ID,MATCH(B2055,st_Name,0)),"Unknown"))</f>
        <v/>
      </c>
      <c r="J2055" s="37" t="str">
        <f aca="false">IF(C2055="","",IFERROR(INDEX(cl_Code,MATCH(C2055,cl_Name,0)),"Unknown"))</f>
        <v/>
      </c>
      <c r="K2055" s="37" t="str">
        <f aca="false">IF(D2055="","",IFERROR(INDEX(rt_Billable,MATCH(D2055,rt_Code,0)),"Unknown"))</f>
        <v/>
      </c>
      <c r="L2055" s="38" t="str">
        <f aca="false">IF(K2055&lt;&gt;"Yes","",IFERROR(INDEX(cr_Rate,MATCH(J2055&amp;"|"&amp;D2055,cr_Key,0)),INDEX(rt_Rate,MATCH(D2055,rt_Code,0))))</f>
        <v/>
      </c>
      <c r="M2055" s="25" t="str">
        <f aca="false">IF(L2055="","",ROUND(N(E2055)*L2055,2))</f>
        <v/>
      </c>
      <c r="N2055" s="39" t="str">
        <f aca="false">IF(OR(A2055="",B2055=""),"",SUMIFS(tl_Hours,tl_StaffID,I2055,tl_Date,A2055))</f>
        <v/>
      </c>
      <c r="O2055" s="40" t="str">
        <f aca="false">IF(A2055&amp;B2055&amp;D2055="","",IF(OR(A2055="",B2055="",D2055="",E2055=""),"Incomplete",IF(K2055="Unknown","Unknown code",IF(AND(K2055="Yes",C2055=""),"Billable, needs client",IF(N2055&gt;MaxDayHours,"Over "&amp;MaxDayHours&amp;" hours that day","")))))</f>
        <v/>
      </c>
    </row>
    <row r="2056" customFormat="false" ht="15" hidden="false" customHeight="false" outlineLevel="0" collapsed="false">
      <c r="A2056" s="31"/>
      <c r="B2056" s="32"/>
      <c r="C2056" s="32"/>
      <c r="D2056" s="33"/>
      <c r="E2056" s="34"/>
      <c r="F2056" s="32"/>
      <c r="G2056" s="35" t="str">
        <f aca="false">IF(A2056="","",A2056+7-WEEKDAY(A2056))</f>
        <v/>
      </c>
      <c r="H2056" s="36" t="str">
        <f aca="false">IF(A2056="","",DATE(YEAR(A2056),MONTH(A2056),1))</f>
        <v/>
      </c>
      <c r="I2056" s="37" t="str">
        <f aca="false">IF(B2056="","",IFERROR(INDEX(st_ID,MATCH(B2056,st_Name,0)),"Unknown"))</f>
        <v/>
      </c>
      <c r="J2056" s="37" t="str">
        <f aca="false">IF(C2056="","",IFERROR(INDEX(cl_Code,MATCH(C2056,cl_Name,0)),"Unknown"))</f>
        <v/>
      </c>
      <c r="K2056" s="37" t="str">
        <f aca="false">IF(D2056="","",IFERROR(INDEX(rt_Billable,MATCH(D2056,rt_Code,0)),"Unknown"))</f>
        <v/>
      </c>
      <c r="L2056" s="38" t="str">
        <f aca="false">IF(K2056&lt;&gt;"Yes","",IFERROR(INDEX(cr_Rate,MATCH(J2056&amp;"|"&amp;D2056,cr_Key,0)),INDEX(rt_Rate,MATCH(D2056,rt_Code,0))))</f>
        <v/>
      </c>
      <c r="M2056" s="25" t="str">
        <f aca="false">IF(L2056="","",ROUND(N(E2056)*L2056,2))</f>
        <v/>
      </c>
      <c r="N2056" s="39" t="str">
        <f aca="false">IF(OR(A2056="",B2056=""),"",SUMIFS(tl_Hours,tl_StaffID,I2056,tl_Date,A2056))</f>
        <v/>
      </c>
      <c r="O2056" s="40" t="str">
        <f aca="false">IF(A2056&amp;B2056&amp;D2056="","",IF(OR(A2056="",B2056="",D2056="",E2056=""),"Incomplete",IF(K2056="Unknown","Unknown code",IF(AND(K2056="Yes",C2056=""),"Billable, needs client",IF(N2056&gt;MaxDayHours,"Over "&amp;MaxDayHours&amp;" hours that day","")))))</f>
        <v/>
      </c>
    </row>
    <row r="2057" customFormat="false" ht="15" hidden="false" customHeight="false" outlineLevel="0" collapsed="false">
      <c r="A2057" s="31"/>
      <c r="B2057" s="32"/>
      <c r="C2057" s="32"/>
      <c r="D2057" s="33"/>
      <c r="E2057" s="34"/>
      <c r="F2057" s="32"/>
      <c r="G2057" s="35" t="str">
        <f aca="false">IF(A2057="","",A2057+7-WEEKDAY(A2057))</f>
        <v/>
      </c>
      <c r="H2057" s="36" t="str">
        <f aca="false">IF(A2057="","",DATE(YEAR(A2057),MONTH(A2057),1))</f>
        <v/>
      </c>
      <c r="I2057" s="37" t="str">
        <f aca="false">IF(B2057="","",IFERROR(INDEX(st_ID,MATCH(B2057,st_Name,0)),"Unknown"))</f>
        <v/>
      </c>
      <c r="J2057" s="37" t="str">
        <f aca="false">IF(C2057="","",IFERROR(INDEX(cl_Code,MATCH(C2057,cl_Name,0)),"Unknown"))</f>
        <v/>
      </c>
      <c r="K2057" s="37" t="str">
        <f aca="false">IF(D2057="","",IFERROR(INDEX(rt_Billable,MATCH(D2057,rt_Code,0)),"Unknown"))</f>
        <v/>
      </c>
      <c r="L2057" s="38" t="str">
        <f aca="false">IF(K2057&lt;&gt;"Yes","",IFERROR(INDEX(cr_Rate,MATCH(J2057&amp;"|"&amp;D2057,cr_Key,0)),INDEX(rt_Rate,MATCH(D2057,rt_Code,0))))</f>
        <v/>
      </c>
      <c r="M2057" s="25" t="str">
        <f aca="false">IF(L2057="","",ROUND(N(E2057)*L2057,2))</f>
        <v/>
      </c>
      <c r="N2057" s="39" t="str">
        <f aca="false">IF(OR(A2057="",B2057=""),"",SUMIFS(tl_Hours,tl_StaffID,I2057,tl_Date,A2057))</f>
        <v/>
      </c>
      <c r="O2057" s="40" t="str">
        <f aca="false">IF(A2057&amp;B2057&amp;D2057="","",IF(OR(A2057="",B2057="",D2057="",E2057=""),"Incomplete",IF(K2057="Unknown","Unknown code",IF(AND(K2057="Yes",C2057=""),"Billable, needs client",IF(N2057&gt;MaxDayHours,"Over "&amp;MaxDayHours&amp;" hours that day","")))))</f>
        <v/>
      </c>
    </row>
    <row r="2058" customFormat="false" ht="15" hidden="false" customHeight="false" outlineLevel="0" collapsed="false">
      <c r="A2058" s="31"/>
      <c r="B2058" s="32"/>
      <c r="C2058" s="32"/>
      <c r="D2058" s="33"/>
      <c r="E2058" s="34"/>
      <c r="F2058" s="32"/>
      <c r="G2058" s="35" t="str">
        <f aca="false">IF(A2058="","",A2058+7-WEEKDAY(A2058))</f>
        <v/>
      </c>
      <c r="H2058" s="36" t="str">
        <f aca="false">IF(A2058="","",DATE(YEAR(A2058),MONTH(A2058),1))</f>
        <v/>
      </c>
      <c r="I2058" s="37" t="str">
        <f aca="false">IF(B2058="","",IFERROR(INDEX(st_ID,MATCH(B2058,st_Name,0)),"Unknown"))</f>
        <v/>
      </c>
      <c r="J2058" s="37" t="str">
        <f aca="false">IF(C2058="","",IFERROR(INDEX(cl_Code,MATCH(C2058,cl_Name,0)),"Unknown"))</f>
        <v/>
      </c>
      <c r="K2058" s="37" t="str">
        <f aca="false">IF(D2058="","",IFERROR(INDEX(rt_Billable,MATCH(D2058,rt_Code,0)),"Unknown"))</f>
        <v/>
      </c>
      <c r="L2058" s="38" t="str">
        <f aca="false">IF(K2058&lt;&gt;"Yes","",IFERROR(INDEX(cr_Rate,MATCH(J2058&amp;"|"&amp;D2058,cr_Key,0)),INDEX(rt_Rate,MATCH(D2058,rt_Code,0))))</f>
        <v/>
      </c>
      <c r="M2058" s="25" t="str">
        <f aca="false">IF(L2058="","",ROUND(N(E2058)*L2058,2))</f>
        <v/>
      </c>
      <c r="N2058" s="39" t="str">
        <f aca="false">IF(OR(A2058="",B2058=""),"",SUMIFS(tl_Hours,tl_StaffID,I2058,tl_Date,A2058))</f>
        <v/>
      </c>
      <c r="O2058" s="40" t="str">
        <f aca="false">IF(A2058&amp;B2058&amp;D2058="","",IF(OR(A2058="",B2058="",D2058="",E2058=""),"Incomplete",IF(K2058="Unknown","Unknown code",IF(AND(K2058="Yes",C2058=""),"Billable, needs client",IF(N2058&gt;MaxDayHours,"Over "&amp;MaxDayHours&amp;" hours that day","")))))</f>
        <v/>
      </c>
    </row>
    <row r="2059" customFormat="false" ht="15" hidden="false" customHeight="false" outlineLevel="0" collapsed="false">
      <c r="A2059" s="31"/>
      <c r="B2059" s="32"/>
      <c r="C2059" s="32"/>
      <c r="D2059" s="33"/>
      <c r="E2059" s="34"/>
      <c r="F2059" s="32"/>
      <c r="G2059" s="35" t="str">
        <f aca="false">IF(A2059="","",A2059+7-WEEKDAY(A2059))</f>
        <v/>
      </c>
      <c r="H2059" s="36" t="str">
        <f aca="false">IF(A2059="","",DATE(YEAR(A2059),MONTH(A2059),1))</f>
        <v/>
      </c>
      <c r="I2059" s="37" t="str">
        <f aca="false">IF(B2059="","",IFERROR(INDEX(st_ID,MATCH(B2059,st_Name,0)),"Unknown"))</f>
        <v/>
      </c>
      <c r="J2059" s="37" t="str">
        <f aca="false">IF(C2059="","",IFERROR(INDEX(cl_Code,MATCH(C2059,cl_Name,0)),"Unknown"))</f>
        <v/>
      </c>
      <c r="K2059" s="37" t="str">
        <f aca="false">IF(D2059="","",IFERROR(INDEX(rt_Billable,MATCH(D2059,rt_Code,0)),"Unknown"))</f>
        <v/>
      </c>
      <c r="L2059" s="38" t="str">
        <f aca="false">IF(K2059&lt;&gt;"Yes","",IFERROR(INDEX(cr_Rate,MATCH(J2059&amp;"|"&amp;D2059,cr_Key,0)),INDEX(rt_Rate,MATCH(D2059,rt_Code,0))))</f>
        <v/>
      </c>
      <c r="M2059" s="25" t="str">
        <f aca="false">IF(L2059="","",ROUND(N(E2059)*L2059,2))</f>
        <v/>
      </c>
      <c r="N2059" s="39" t="str">
        <f aca="false">IF(OR(A2059="",B2059=""),"",SUMIFS(tl_Hours,tl_StaffID,I2059,tl_Date,A2059))</f>
        <v/>
      </c>
      <c r="O2059" s="40" t="str">
        <f aca="false">IF(A2059&amp;B2059&amp;D2059="","",IF(OR(A2059="",B2059="",D2059="",E2059=""),"Incomplete",IF(K2059="Unknown","Unknown code",IF(AND(K2059="Yes",C2059=""),"Billable, needs client",IF(N2059&gt;MaxDayHours,"Over "&amp;MaxDayHours&amp;" hours that day","")))))</f>
        <v/>
      </c>
    </row>
    <row r="2060" customFormat="false" ht="15" hidden="false" customHeight="false" outlineLevel="0" collapsed="false">
      <c r="A2060" s="31"/>
      <c r="B2060" s="32"/>
      <c r="C2060" s="32"/>
      <c r="D2060" s="33"/>
      <c r="E2060" s="34"/>
      <c r="F2060" s="32"/>
      <c r="G2060" s="35" t="str">
        <f aca="false">IF(A2060="","",A2060+7-WEEKDAY(A2060))</f>
        <v/>
      </c>
      <c r="H2060" s="36" t="str">
        <f aca="false">IF(A2060="","",DATE(YEAR(A2060),MONTH(A2060),1))</f>
        <v/>
      </c>
      <c r="I2060" s="37" t="str">
        <f aca="false">IF(B2060="","",IFERROR(INDEX(st_ID,MATCH(B2060,st_Name,0)),"Unknown"))</f>
        <v/>
      </c>
      <c r="J2060" s="37" t="str">
        <f aca="false">IF(C2060="","",IFERROR(INDEX(cl_Code,MATCH(C2060,cl_Name,0)),"Unknown"))</f>
        <v/>
      </c>
      <c r="K2060" s="37" t="str">
        <f aca="false">IF(D2060="","",IFERROR(INDEX(rt_Billable,MATCH(D2060,rt_Code,0)),"Unknown"))</f>
        <v/>
      </c>
      <c r="L2060" s="38" t="str">
        <f aca="false">IF(K2060&lt;&gt;"Yes","",IFERROR(INDEX(cr_Rate,MATCH(J2060&amp;"|"&amp;D2060,cr_Key,0)),INDEX(rt_Rate,MATCH(D2060,rt_Code,0))))</f>
        <v/>
      </c>
      <c r="M2060" s="25" t="str">
        <f aca="false">IF(L2060="","",ROUND(N(E2060)*L2060,2))</f>
        <v/>
      </c>
      <c r="N2060" s="39" t="str">
        <f aca="false">IF(OR(A2060="",B2060=""),"",SUMIFS(tl_Hours,tl_StaffID,I2060,tl_Date,A2060))</f>
        <v/>
      </c>
      <c r="O2060" s="40" t="str">
        <f aca="false">IF(A2060&amp;B2060&amp;D2060="","",IF(OR(A2060="",B2060="",D2060="",E2060=""),"Incomplete",IF(K2060="Unknown","Unknown code",IF(AND(K2060="Yes",C2060=""),"Billable, needs client",IF(N2060&gt;MaxDayHours,"Over "&amp;MaxDayHours&amp;" hours that day","")))))</f>
        <v/>
      </c>
    </row>
    <row r="2061" customFormat="false" ht="15" hidden="false" customHeight="false" outlineLevel="0" collapsed="false">
      <c r="A2061" s="31"/>
      <c r="B2061" s="32"/>
      <c r="C2061" s="32"/>
      <c r="D2061" s="33"/>
      <c r="E2061" s="34"/>
      <c r="F2061" s="32"/>
      <c r="G2061" s="35" t="str">
        <f aca="false">IF(A2061="","",A2061+7-WEEKDAY(A2061))</f>
        <v/>
      </c>
      <c r="H2061" s="36" t="str">
        <f aca="false">IF(A2061="","",DATE(YEAR(A2061),MONTH(A2061),1))</f>
        <v/>
      </c>
      <c r="I2061" s="37" t="str">
        <f aca="false">IF(B2061="","",IFERROR(INDEX(st_ID,MATCH(B2061,st_Name,0)),"Unknown"))</f>
        <v/>
      </c>
      <c r="J2061" s="37" t="str">
        <f aca="false">IF(C2061="","",IFERROR(INDEX(cl_Code,MATCH(C2061,cl_Name,0)),"Unknown"))</f>
        <v/>
      </c>
      <c r="K2061" s="37" t="str">
        <f aca="false">IF(D2061="","",IFERROR(INDEX(rt_Billable,MATCH(D2061,rt_Code,0)),"Unknown"))</f>
        <v/>
      </c>
      <c r="L2061" s="38" t="str">
        <f aca="false">IF(K2061&lt;&gt;"Yes","",IFERROR(INDEX(cr_Rate,MATCH(J2061&amp;"|"&amp;D2061,cr_Key,0)),INDEX(rt_Rate,MATCH(D2061,rt_Code,0))))</f>
        <v/>
      </c>
      <c r="M2061" s="25" t="str">
        <f aca="false">IF(L2061="","",ROUND(N(E2061)*L2061,2))</f>
        <v/>
      </c>
      <c r="N2061" s="39" t="str">
        <f aca="false">IF(OR(A2061="",B2061=""),"",SUMIFS(tl_Hours,tl_StaffID,I2061,tl_Date,A2061))</f>
        <v/>
      </c>
      <c r="O2061" s="40" t="str">
        <f aca="false">IF(A2061&amp;B2061&amp;D2061="","",IF(OR(A2061="",B2061="",D2061="",E2061=""),"Incomplete",IF(K2061="Unknown","Unknown code",IF(AND(K2061="Yes",C2061=""),"Billable, needs client",IF(N2061&gt;MaxDayHours,"Over "&amp;MaxDayHours&amp;" hours that day","")))))</f>
        <v/>
      </c>
    </row>
    <row r="2062" customFormat="false" ht="15" hidden="false" customHeight="false" outlineLevel="0" collapsed="false">
      <c r="A2062" s="31"/>
      <c r="B2062" s="32"/>
      <c r="C2062" s="32"/>
      <c r="D2062" s="33"/>
      <c r="E2062" s="34"/>
      <c r="F2062" s="32"/>
      <c r="G2062" s="35" t="str">
        <f aca="false">IF(A2062="","",A2062+7-WEEKDAY(A2062))</f>
        <v/>
      </c>
      <c r="H2062" s="36" t="str">
        <f aca="false">IF(A2062="","",DATE(YEAR(A2062),MONTH(A2062),1))</f>
        <v/>
      </c>
      <c r="I2062" s="37" t="str">
        <f aca="false">IF(B2062="","",IFERROR(INDEX(st_ID,MATCH(B2062,st_Name,0)),"Unknown"))</f>
        <v/>
      </c>
      <c r="J2062" s="37" t="str">
        <f aca="false">IF(C2062="","",IFERROR(INDEX(cl_Code,MATCH(C2062,cl_Name,0)),"Unknown"))</f>
        <v/>
      </c>
      <c r="K2062" s="37" t="str">
        <f aca="false">IF(D2062="","",IFERROR(INDEX(rt_Billable,MATCH(D2062,rt_Code,0)),"Unknown"))</f>
        <v/>
      </c>
      <c r="L2062" s="38" t="str">
        <f aca="false">IF(K2062&lt;&gt;"Yes","",IFERROR(INDEX(cr_Rate,MATCH(J2062&amp;"|"&amp;D2062,cr_Key,0)),INDEX(rt_Rate,MATCH(D2062,rt_Code,0))))</f>
        <v/>
      </c>
      <c r="M2062" s="25" t="str">
        <f aca="false">IF(L2062="","",ROUND(N(E2062)*L2062,2))</f>
        <v/>
      </c>
      <c r="N2062" s="39" t="str">
        <f aca="false">IF(OR(A2062="",B2062=""),"",SUMIFS(tl_Hours,tl_StaffID,I2062,tl_Date,A2062))</f>
        <v/>
      </c>
      <c r="O2062" s="40" t="str">
        <f aca="false">IF(A2062&amp;B2062&amp;D2062="","",IF(OR(A2062="",B2062="",D2062="",E2062=""),"Incomplete",IF(K2062="Unknown","Unknown code",IF(AND(K2062="Yes",C2062=""),"Billable, needs client",IF(N2062&gt;MaxDayHours,"Over "&amp;MaxDayHours&amp;" hours that day","")))))</f>
        <v/>
      </c>
    </row>
    <row r="2063" customFormat="false" ht="15" hidden="false" customHeight="false" outlineLevel="0" collapsed="false">
      <c r="A2063" s="31"/>
      <c r="B2063" s="32"/>
      <c r="C2063" s="32"/>
      <c r="D2063" s="33"/>
      <c r="E2063" s="34"/>
      <c r="F2063" s="32"/>
      <c r="G2063" s="35" t="str">
        <f aca="false">IF(A2063="","",A2063+7-WEEKDAY(A2063))</f>
        <v/>
      </c>
      <c r="H2063" s="36" t="str">
        <f aca="false">IF(A2063="","",DATE(YEAR(A2063),MONTH(A2063),1))</f>
        <v/>
      </c>
      <c r="I2063" s="37" t="str">
        <f aca="false">IF(B2063="","",IFERROR(INDEX(st_ID,MATCH(B2063,st_Name,0)),"Unknown"))</f>
        <v/>
      </c>
      <c r="J2063" s="37" t="str">
        <f aca="false">IF(C2063="","",IFERROR(INDEX(cl_Code,MATCH(C2063,cl_Name,0)),"Unknown"))</f>
        <v/>
      </c>
      <c r="K2063" s="37" t="str">
        <f aca="false">IF(D2063="","",IFERROR(INDEX(rt_Billable,MATCH(D2063,rt_Code,0)),"Unknown"))</f>
        <v/>
      </c>
      <c r="L2063" s="38" t="str">
        <f aca="false">IF(K2063&lt;&gt;"Yes","",IFERROR(INDEX(cr_Rate,MATCH(J2063&amp;"|"&amp;D2063,cr_Key,0)),INDEX(rt_Rate,MATCH(D2063,rt_Code,0))))</f>
        <v/>
      </c>
      <c r="M2063" s="25" t="str">
        <f aca="false">IF(L2063="","",ROUND(N(E2063)*L2063,2))</f>
        <v/>
      </c>
      <c r="N2063" s="39" t="str">
        <f aca="false">IF(OR(A2063="",B2063=""),"",SUMIFS(tl_Hours,tl_StaffID,I2063,tl_Date,A2063))</f>
        <v/>
      </c>
      <c r="O2063" s="40" t="str">
        <f aca="false">IF(A2063&amp;B2063&amp;D2063="","",IF(OR(A2063="",B2063="",D2063="",E2063=""),"Incomplete",IF(K2063="Unknown","Unknown code",IF(AND(K2063="Yes",C2063=""),"Billable, needs client",IF(N2063&gt;MaxDayHours,"Over "&amp;MaxDayHours&amp;" hours that day","")))))</f>
        <v/>
      </c>
    </row>
    <row r="2064" customFormat="false" ht="15" hidden="false" customHeight="false" outlineLevel="0" collapsed="false">
      <c r="A2064" s="31"/>
      <c r="B2064" s="32"/>
      <c r="C2064" s="32"/>
      <c r="D2064" s="33"/>
      <c r="E2064" s="34"/>
      <c r="F2064" s="32"/>
      <c r="G2064" s="35" t="str">
        <f aca="false">IF(A2064="","",A2064+7-WEEKDAY(A2064))</f>
        <v/>
      </c>
      <c r="H2064" s="36" t="str">
        <f aca="false">IF(A2064="","",DATE(YEAR(A2064),MONTH(A2064),1))</f>
        <v/>
      </c>
      <c r="I2064" s="37" t="str">
        <f aca="false">IF(B2064="","",IFERROR(INDEX(st_ID,MATCH(B2064,st_Name,0)),"Unknown"))</f>
        <v/>
      </c>
      <c r="J2064" s="37" t="str">
        <f aca="false">IF(C2064="","",IFERROR(INDEX(cl_Code,MATCH(C2064,cl_Name,0)),"Unknown"))</f>
        <v/>
      </c>
      <c r="K2064" s="37" t="str">
        <f aca="false">IF(D2064="","",IFERROR(INDEX(rt_Billable,MATCH(D2064,rt_Code,0)),"Unknown"))</f>
        <v/>
      </c>
      <c r="L2064" s="38" t="str">
        <f aca="false">IF(K2064&lt;&gt;"Yes","",IFERROR(INDEX(cr_Rate,MATCH(J2064&amp;"|"&amp;D2064,cr_Key,0)),INDEX(rt_Rate,MATCH(D2064,rt_Code,0))))</f>
        <v/>
      </c>
      <c r="M2064" s="25" t="str">
        <f aca="false">IF(L2064="","",ROUND(N(E2064)*L2064,2))</f>
        <v/>
      </c>
      <c r="N2064" s="39" t="str">
        <f aca="false">IF(OR(A2064="",B2064=""),"",SUMIFS(tl_Hours,tl_StaffID,I2064,tl_Date,A2064))</f>
        <v/>
      </c>
      <c r="O2064" s="40" t="str">
        <f aca="false">IF(A2064&amp;B2064&amp;D2064="","",IF(OR(A2064="",B2064="",D2064="",E2064=""),"Incomplete",IF(K2064="Unknown","Unknown code",IF(AND(K2064="Yes",C2064=""),"Billable, needs client",IF(N2064&gt;MaxDayHours,"Over "&amp;MaxDayHours&amp;" hours that day","")))))</f>
        <v/>
      </c>
    </row>
    <row r="2065" customFormat="false" ht="15" hidden="false" customHeight="false" outlineLevel="0" collapsed="false">
      <c r="A2065" s="31"/>
      <c r="B2065" s="32"/>
      <c r="C2065" s="32"/>
      <c r="D2065" s="33"/>
      <c r="E2065" s="34"/>
      <c r="F2065" s="32"/>
      <c r="G2065" s="35" t="str">
        <f aca="false">IF(A2065="","",A2065+7-WEEKDAY(A2065))</f>
        <v/>
      </c>
      <c r="H2065" s="36" t="str">
        <f aca="false">IF(A2065="","",DATE(YEAR(A2065),MONTH(A2065),1))</f>
        <v/>
      </c>
      <c r="I2065" s="37" t="str">
        <f aca="false">IF(B2065="","",IFERROR(INDEX(st_ID,MATCH(B2065,st_Name,0)),"Unknown"))</f>
        <v/>
      </c>
      <c r="J2065" s="37" t="str">
        <f aca="false">IF(C2065="","",IFERROR(INDEX(cl_Code,MATCH(C2065,cl_Name,0)),"Unknown"))</f>
        <v/>
      </c>
      <c r="K2065" s="37" t="str">
        <f aca="false">IF(D2065="","",IFERROR(INDEX(rt_Billable,MATCH(D2065,rt_Code,0)),"Unknown"))</f>
        <v/>
      </c>
      <c r="L2065" s="38" t="str">
        <f aca="false">IF(K2065&lt;&gt;"Yes","",IFERROR(INDEX(cr_Rate,MATCH(J2065&amp;"|"&amp;D2065,cr_Key,0)),INDEX(rt_Rate,MATCH(D2065,rt_Code,0))))</f>
        <v/>
      </c>
      <c r="M2065" s="25" t="str">
        <f aca="false">IF(L2065="","",ROUND(N(E2065)*L2065,2))</f>
        <v/>
      </c>
      <c r="N2065" s="39" t="str">
        <f aca="false">IF(OR(A2065="",B2065=""),"",SUMIFS(tl_Hours,tl_StaffID,I2065,tl_Date,A2065))</f>
        <v/>
      </c>
      <c r="O2065" s="40" t="str">
        <f aca="false">IF(A2065&amp;B2065&amp;D2065="","",IF(OR(A2065="",B2065="",D2065="",E2065=""),"Incomplete",IF(K2065="Unknown","Unknown code",IF(AND(K2065="Yes",C2065=""),"Billable, needs client",IF(N2065&gt;MaxDayHours,"Over "&amp;MaxDayHours&amp;" hours that day","")))))</f>
        <v/>
      </c>
    </row>
    <row r="2066" customFormat="false" ht="15" hidden="false" customHeight="false" outlineLevel="0" collapsed="false">
      <c r="A2066" s="31"/>
      <c r="B2066" s="32"/>
      <c r="C2066" s="32"/>
      <c r="D2066" s="33"/>
      <c r="E2066" s="34"/>
      <c r="F2066" s="32"/>
      <c r="G2066" s="35" t="str">
        <f aca="false">IF(A2066="","",A2066+7-WEEKDAY(A2066))</f>
        <v/>
      </c>
      <c r="H2066" s="36" t="str">
        <f aca="false">IF(A2066="","",DATE(YEAR(A2066),MONTH(A2066),1))</f>
        <v/>
      </c>
      <c r="I2066" s="37" t="str">
        <f aca="false">IF(B2066="","",IFERROR(INDEX(st_ID,MATCH(B2066,st_Name,0)),"Unknown"))</f>
        <v/>
      </c>
      <c r="J2066" s="37" t="str">
        <f aca="false">IF(C2066="","",IFERROR(INDEX(cl_Code,MATCH(C2066,cl_Name,0)),"Unknown"))</f>
        <v/>
      </c>
      <c r="K2066" s="37" t="str">
        <f aca="false">IF(D2066="","",IFERROR(INDEX(rt_Billable,MATCH(D2066,rt_Code,0)),"Unknown"))</f>
        <v/>
      </c>
      <c r="L2066" s="38" t="str">
        <f aca="false">IF(K2066&lt;&gt;"Yes","",IFERROR(INDEX(cr_Rate,MATCH(J2066&amp;"|"&amp;D2066,cr_Key,0)),INDEX(rt_Rate,MATCH(D2066,rt_Code,0))))</f>
        <v/>
      </c>
      <c r="M2066" s="25" t="str">
        <f aca="false">IF(L2066="","",ROUND(N(E2066)*L2066,2))</f>
        <v/>
      </c>
      <c r="N2066" s="39" t="str">
        <f aca="false">IF(OR(A2066="",B2066=""),"",SUMIFS(tl_Hours,tl_StaffID,I2066,tl_Date,A2066))</f>
        <v/>
      </c>
      <c r="O2066" s="40" t="str">
        <f aca="false">IF(A2066&amp;B2066&amp;D2066="","",IF(OR(A2066="",B2066="",D2066="",E2066=""),"Incomplete",IF(K2066="Unknown","Unknown code",IF(AND(K2066="Yes",C2066=""),"Billable, needs client",IF(N2066&gt;MaxDayHours,"Over "&amp;MaxDayHours&amp;" hours that day","")))))</f>
        <v/>
      </c>
    </row>
    <row r="2067" customFormat="false" ht="15" hidden="false" customHeight="false" outlineLevel="0" collapsed="false">
      <c r="A2067" s="31"/>
      <c r="B2067" s="32"/>
      <c r="C2067" s="32"/>
      <c r="D2067" s="33"/>
      <c r="E2067" s="34"/>
      <c r="F2067" s="32"/>
      <c r="G2067" s="35" t="str">
        <f aca="false">IF(A2067="","",A2067+7-WEEKDAY(A2067))</f>
        <v/>
      </c>
      <c r="H2067" s="36" t="str">
        <f aca="false">IF(A2067="","",DATE(YEAR(A2067),MONTH(A2067),1))</f>
        <v/>
      </c>
      <c r="I2067" s="37" t="str">
        <f aca="false">IF(B2067="","",IFERROR(INDEX(st_ID,MATCH(B2067,st_Name,0)),"Unknown"))</f>
        <v/>
      </c>
      <c r="J2067" s="37" t="str">
        <f aca="false">IF(C2067="","",IFERROR(INDEX(cl_Code,MATCH(C2067,cl_Name,0)),"Unknown"))</f>
        <v/>
      </c>
      <c r="K2067" s="37" t="str">
        <f aca="false">IF(D2067="","",IFERROR(INDEX(rt_Billable,MATCH(D2067,rt_Code,0)),"Unknown"))</f>
        <v/>
      </c>
      <c r="L2067" s="38" t="str">
        <f aca="false">IF(K2067&lt;&gt;"Yes","",IFERROR(INDEX(cr_Rate,MATCH(J2067&amp;"|"&amp;D2067,cr_Key,0)),INDEX(rt_Rate,MATCH(D2067,rt_Code,0))))</f>
        <v/>
      </c>
      <c r="M2067" s="25" t="str">
        <f aca="false">IF(L2067="","",ROUND(N(E2067)*L2067,2))</f>
        <v/>
      </c>
      <c r="N2067" s="39" t="str">
        <f aca="false">IF(OR(A2067="",B2067=""),"",SUMIFS(tl_Hours,tl_StaffID,I2067,tl_Date,A2067))</f>
        <v/>
      </c>
      <c r="O2067" s="40" t="str">
        <f aca="false">IF(A2067&amp;B2067&amp;D2067="","",IF(OR(A2067="",B2067="",D2067="",E2067=""),"Incomplete",IF(K2067="Unknown","Unknown code",IF(AND(K2067="Yes",C2067=""),"Billable, needs client",IF(N2067&gt;MaxDayHours,"Over "&amp;MaxDayHours&amp;" hours that day","")))))</f>
        <v/>
      </c>
    </row>
    <row r="2068" customFormat="false" ht="15" hidden="false" customHeight="false" outlineLevel="0" collapsed="false">
      <c r="A2068" s="31"/>
      <c r="B2068" s="32"/>
      <c r="C2068" s="32"/>
      <c r="D2068" s="33"/>
      <c r="E2068" s="34"/>
      <c r="F2068" s="32"/>
      <c r="G2068" s="35" t="str">
        <f aca="false">IF(A2068="","",A2068+7-WEEKDAY(A2068))</f>
        <v/>
      </c>
      <c r="H2068" s="36" t="str">
        <f aca="false">IF(A2068="","",DATE(YEAR(A2068),MONTH(A2068),1))</f>
        <v/>
      </c>
      <c r="I2068" s="37" t="str">
        <f aca="false">IF(B2068="","",IFERROR(INDEX(st_ID,MATCH(B2068,st_Name,0)),"Unknown"))</f>
        <v/>
      </c>
      <c r="J2068" s="37" t="str">
        <f aca="false">IF(C2068="","",IFERROR(INDEX(cl_Code,MATCH(C2068,cl_Name,0)),"Unknown"))</f>
        <v/>
      </c>
      <c r="K2068" s="37" t="str">
        <f aca="false">IF(D2068="","",IFERROR(INDEX(rt_Billable,MATCH(D2068,rt_Code,0)),"Unknown"))</f>
        <v/>
      </c>
      <c r="L2068" s="38" t="str">
        <f aca="false">IF(K2068&lt;&gt;"Yes","",IFERROR(INDEX(cr_Rate,MATCH(J2068&amp;"|"&amp;D2068,cr_Key,0)),INDEX(rt_Rate,MATCH(D2068,rt_Code,0))))</f>
        <v/>
      </c>
      <c r="M2068" s="25" t="str">
        <f aca="false">IF(L2068="","",ROUND(N(E2068)*L2068,2))</f>
        <v/>
      </c>
      <c r="N2068" s="39" t="str">
        <f aca="false">IF(OR(A2068="",B2068=""),"",SUMIFS(tl_Hours,tl_StaffID,I2068,tl_Date,A2068))</f>
        <v/>
      </c>
      <c r="O2068" s="40" t="str">
        <f aca="false">IF(A2068&amp;B2068&amp;D2068="","",IF(OR(A2068="",B2068="",D2068="",E2068=""),"Incomplete",IF(K2068="Unknown","Unknown code",IF(AND(K2068="Yes",C2068=""),"Billable, needs client",IF(N2068&gt;MaxDayHours,"Over "&amp;MaxDayHours&amp;" hours that day","")))))</f>
        <v/>
      </c>
    </row>
    <row r="2069" customFormat="false" ht="15" hidden="false" customHeight="false" outlineLevel="0" collapsed="false">
      <c r="A2069" s="31"/>
      <c r="B2069" s="32"/>
      <c r="C2069" s="32"/>
      <c r="D2069" s="33"/>
      <c r="E2069" s="34"/>
      <c r="F2069" s="32"/>
      <c r="G2069" s="35" t="str">
        <f aca="false">IF(A2069="","",A2069+7-WEEKDAY(A2069))</f>
        <v/>
      </c>
      <c r="H2069" s="36" t="str">
        <f aca="false">IF(A2069="","",DATE(YEAR(A2069),MONTH(A2069),1))</f>
        <v/>
      </c>
      <c r="I2069" s="37" t="str">
        <f aca="false">IF(B2069="","",IFERROR(INDEX(st_ID,MATCH(B2069,st_Name,0)),"Unknown"))</f>
        <v/>
      </c>
      <c r="J2069" s="37" t="str">
        <f aca="false">IF(C2069="","",IFERROR(INDEX(cl_Code,MATCH(C2069,cl_Name,0)),"Unknown"))</f>
        <v/>
      </c>
      <c r="K2069" s="37" t="str">
        <f aca="false">IF(D2069="","",IFERROR(INDEX(rt_Billable,MATCH(D2069,rt_Code,0)),"Unknown"))</f>
        <v/>
      </c>
      <c r="L2069" s="38" t="str">
        <f aca="false">IF(K2069&lt;&gt;"Yes","",IFERROR(INDEX(cr_Rate,MATCH(J2069&amp;"|"&amp;D2069,cr_Key,0)),INDEX(rt_Rate,MATCH(D2069,rt_Code,0))))</f>
        <v/>
      </c>
      <c r="M2069" s="25" t="str">
        <f aca="false">IF(L2069="","",ROUND(N(E2069)*L2069,2))</f>
        <v/>
      </c>
      <c r="N2069" s="39" t="str">
        <f aca="false">IF(OR(A2069="",B2069=""),"",SUMIFS(tl_Hours,tl_StaffID,I2069,tl_Date,A2069))</f>
        <v/>
      </c>
      <c r="O2069" s="40" t="str">
        <f aca="false">IF(A2069&amp;B2069&amp;D2069="","",IF(OR(A2069="",B2069="",D2069="",E2069=""),"Incomplete",IF(K2069="Unknown","Unknown code",IF(AND(K2069="Yes",C2069=""),"Billable, needs client",IF(N2069&gt;MaxDayHours,"Over "&amp;MaxDayHours&amp;" hours that day","")))))</f>
        <v/>
      </c>
    </row>
    <row r="2070" customFormat="false" ht="15" hidden="false" customHeight="false" outlineLevel="0" collapsed="false">
      <c r="A2070" s="31"/>
      <c r="B2070" s="32"/>
      <c r="C2070" s="32"/>
      <c r="D2070" s="33"/>
      <c r="E2070" s="34"/>
      <c r="F2070" s="32"/>
      <c r="G2070" s="35" t="str">
        <f aca="false">IF(A2070="","",A2070+7-WEEKDAY(A2070))</f>
        <v/>
      </c>
      <c r="H2070" s="36" t="str">
        <f aca="false">IF(A2070="","",DATE(YEAR(A2070),MONTH(A2070),1))</f>
        <v/>
      </c>
      <c r="I2070" s="37" t="str">
        <f aca="false">IF(B2070="","",IFERROR(INDEX(st_ID,MATCH(B2070,st_Name,0)),"Unknown"))</f>
        <v/>
      </c>
      <c r="J2070" s="37" t="str">
        <f aca="false">IF(C2070="","",IFERROR(INDEX(cl_Code,MATCH(C2070,cl_Name,0)),"Unknown"))</f>
        <v/>
      </c>
      <c r="K2070" s="37" t="str">
        <f aca="false">IF(D2070="","",IFERROR(INDEX(rt_Billable,MATCH(D2070,rt_Code,0)),"Unknown"))</f>
        <v/>
      </c>
      <c r="L2070" s="38" t="str">
        <f aca="false">IF(K2070&lt;&gt;"Yes","",IFERROR(INDEX(cr_Rate,MATCH(J2070&amp;"|"&amp;D2070,cr_Key,0)),INDEX(rt_Rate,MATCH(D2070,rt_Code,0))))</f>
        <v/>
      </c>
      <c r="M2070" s="25" t="str">
        <f aca="false">IF(L2070="","",ROUND(N(E2070)*L2070,2))</f>
        <v/>
      </c>
      <c r="N2070" s="39" t="str">
        <f aca="false">IF(OR(A2070="",B2070=""),"",SUMIFS(tl_Hours,tl_StaffID,I2070,tl_Date,A2070))</f>
        <v/>
      </c>
      <c r="O2070" s="40" t="str">
        <f aca="false">IF(A2070&amp;B2070&amp;D2070="","",IF(OR(A2070="",B2070="",D2070="",E2070=""),"Incomplete",IF(K2070="Unknown","Unknown code",IF(AND(K2070="Yes",C2070=""),"Billable, needs client",IF(N2070&gt;MaxDayHours,"Over "&amp;MaxDayHours&amp;" hours that day","")))))</f>
        <v/>
      </c>
    </row>
    <row r="2071" customFormat="false" ht="15" hidden="false" customHeight="false" outlineLevel="0" collapsed="false">
      <c r="A2071" s="31"/>
      <c r="B2071" s="32"/>
      <c r="C2071" s="32"/>
      <c r="D2071" s="33"/>
      <c r="E2071" s="34"/>
      <c r="F2071" s="32"/>
      <c r="G2071" s="35" t="str">
        <f aca="false">IF(A2071="","",A2071+7-WEEKDAY(A2071))</f>
        <v/>
      </c>
      <c r="H2071" s="36" t="str">
        <f aca="false">IF(A2071="","",DATE(YEAR(A2071),MONTH(A2071),1))</f>
        <v/>
      </c>
      <c r="I2071" s="37" t="str">
        <f aca="false">IF(B2071="","",IFERROR(INDEX(st_ID,MATCH(B2071,st_Name,0)),"Unknown"))</f>
        <v/>
      </c>
      <c r="J2071" s="37" t="str">
        <f aca="false">IF(C2071="","",IFERROR(INDEX(cl_Code,MATCH(C2071,cl_Name,0)),"Unknown"))</f>
        <v/>
      </c>
      <c r="K2071" s="37" t="str">
        <f aca="false">IF(D2071="","",IFERROR(INDEX(rt_Billable,MATCH(D2071,rt_Code,0)),"Unknown"))</f>
        <v/>
      </c>
      <c r="L2071" s="38" t="str">
        <f aca="false">IF(K2071&lt;&gt;"Yes","",IFERROR(INDEX(cr_Rate,MATCH(J2071&amp;"|"&amp;D2071,cr_Key,0)),INDEX(rt_Rate,MATCH(D2071,rt_Code,0))))</f>
        <v/>
      </c>
      <c r="M2071" s="25" t="str">
        <f aca="false">IF(L2071="","",ROUND(N(E2071)*L2071,2))</f>
        <v/>
      </c>
      <c r="N2071" s="39" t="str">
        <f aca="false">IF(OR(A2071="",B2071=""),"",SUMIFS(tl_Hours,tl_StaffID,I2071,tl_Date,A2071))</f>
        <v/>
      </c>
      <c r="O2071" s="40" t="str">
        <f aca="false">IF(A2071&amp;B2071&amp;D2071="","",IF(OR(A2071="",B2071="",D2071="",E2071=""),"Incomplete",IF(K2071="Unknown","Unknown code",IF(AND(K2071="Yes",C2071=""),"Billable, needs client",IF(N2071&gt;MaxDayHours,"Over "&amp;MaxDayHours&amp;" hours that day","")))))</f>
        <v/>
      </c>
    </row>
    <row r="2072" customFormat="false" ht="15" hidden="false" customHeight="false" outlineLevel="0" collapsed="false">
      <c r="A2072" s="31"/>
      <c r="B2072" s="32"/>
      <c r="C2072" s="32"/>
      <c r="D2072" s="33"/>
      <c r="E2072" s="34"/>
      <c r="F2072" s="32"/>
      <c r="G2072" s="35" t="str">
        <f aca="false">IF(A2072="","",A2072+7-WEEKDAY(A2072))</f>
        <v/>
      </c>
      <c r="H2072" s="36" t="str">
        <f aca="false">IF(A2072="","",DATE(YEAR(A2072),MONTH(A2072),1))</f>
        <v/>
      </c>
      <c r="I2072" s="37" t="str">
        <f aca="false">IF(B2072="","",IFERROR(INDEX(st_ID,MATCH(B2072,st_Name,0)),"Unknown"))</f>
        <v/>
      </c>
      <c r="J2072" s="37" t="str">
        <f aca="false">IF(C2072="","",IFERROR(INDEX(cl_Code,MATCH(C2072,cl_Name,0)),"Unknown"))</f>
        <v/>
      </c>
      <c r="K2072" s="37" t="str">
        <f aca="false">IF(D2072="","",IFERROR(INDEX(rt_Billable,MATCH(D2072,rt_Code,0)),"Unknown"))</f>
        <v/>
      </c>
      <c r="L2072" s="38" t="str">
        <f aca="false">IF(K2072&lt;&gt;"Yes","",IFERROR(INDEX(cr_Rate,MATCH(J2072&amp;"|"&amp;D2072,cr_Key,0)),INDEX(rt_Rate,MATCH(D2072,rt_Code,0))))</f>
        <v/>
      </c>
      <c r="M2072" s="25" t="str">
        <f aca="false">IF(L2072="","",ROUND(N(E2072)*L2072,2))</f>
        <v/>
      </c>
      <c r="N2072" s="39" t="str">
        <f aca="false">IF(OR(A2072="",B2072=""),"",SUMIFS(tl_Hours,tl_StaffID,I2072,tl_Date,A2072))</f>
        <v/>
      </c>
      <c r="O2072" s="40" t="str">
        <f aca="false">IF(A2072&amp;B2072&amp;D2072="","",IF(OR(A2072="",B2072="",D2072="",E2072=""),"Incomplete",IF(K2072="Unknown","Unknown code",IF(AND(K2072="Yes",C2072=""),"Billable, needs client",IF(N2072&gt;MaxDayHours,"Over "&amp;MaxDayHours&amp;" hours that day","")))))</f>
        <v/>
      </c>
    </row>
    <row r="2073" customFormat="false" ht="15" hidden="false" customHeight="false" outlineLevel="0" collapsed="false">
      <c r="A2073" s="31"/>
      <c r="B2073" s="32"/>
      <c r="C2073" s="32"/>
      <c r="D2073" s="33"/>
      <c r="E2073" s="34"/>
      <c r="F2073" s="32"/>
      <c r="G2073" s="35" t="str">
        <f aca="false">IF(A2073="","",A2073+7-WEEKDAY(A2073))</f>
        <v/>
      </c>
      <c r="H2073" s="36" t="str">
        <f aca="false">IF(A2073="","",DATE(YEAR(A2073),MONTH(A2073),1))</f>
        <v/>
      </c>
      <c r="I2073" s="37" t="str">
        <f aca="false">IF(B2073="","",IFERROR(INDEX(st_ID,MATCH(B2073,st_Name,0)),"Unknown"))</f>
        <v/>
      </c>
      <c r="J2073" s="37" t="str">
        <f aca="false">IF(C2073="","",IFERROR(INDEX(cl_Code,MATCH(C2073,cl_Name,0)),"Unknown"))</f>
        <v/>
      </c>
      <c r="K2073" s="37" t="str">
        <f aca="false">IF(D2073="","",IFERROR(INDEX(rt_Billable,MATCH(D2073,rt_Code,0)),"Unknown"))</f>
        <v/>
      </c>
      <c r="L2073" s="38" t="str">
        <f aca="false">IF(K2073&lt;&gt;"Yes","",IFERROR(INDEX(cr_Rate,MATCH(J2073&amp;"|"&amp;D2073,cr_Key,0)),INDEX(rt_Rate,MATCH(D2073,rt_Code,0))))</f>
        <v/>
      </c>
      <c r="M2073" s="25" t="str">
        <f aca="false">IF(L2073="","",ROUND(N(E2073)*L2073,2))</f>
        <v/>
      </c>
      <c r="N2073" s="39" t="str">
        <f aca="false">IF(OR(A2073="",B2073=""),"",SUMIFS(tl_Hours,tl_StaffID,I2073,tl_Date,A2073))</f>
        <v/>
      </c>
      <c r="O2073" s="40" t="str">
        <f aca="false">IF(A2073&amp;B2073&amp;D2073="","",IF(OR(A2073="",B2073="",D2073="",E2073=""),"Incomplete",IF(K2073="Unknown","Unknown code",IF(AND(K2073="Yes",C2073=""),"Billable, needs client",IF(N2073&gt;MaxDayHours,"Over "&amp;MaxDayHours&amp;" hours that day","")))))</f>
        <v/>
      </c>
    </row>
    <row r="2074" customFormat="false" ht="15" hidden="false" customHeight="false" outlineLevel="0" collapsed="false">
      <c r="A2074" s="31"/>
      <c r="B2074" s="32"/>
      <c r="C2074" s="32"/>
      <c r="D2074" s="33"/>
      <c r="E2074" s="34"/>
      <c r="F2074" s="32"/>
      <c r="G2074" s="35" t="str">
        <f aca="false">IF(A2074="","",A2074+7-WEEKDAY(A2074))</f>
        <v/>
      </c>
      <c r="H2074" s="36" t="str">
        <f aca="false">IF(A2074="","",DATE(YEAR(A2074),MONTH(A2074),1))</f>
        <v/>
      </c>
      <c r="I2074" s="37" t="str">
        <f aca="false">IF(B2074="","",IFERROR(INDEX(st_ID,MATCH(B2074,st_Name,0)),"Unknown"))</f>
        <v/>
      </c>
      <c r="J2074" s="37" t="str">
        <f aca="false">IF(C2074="","",IFERROR(INDEX(cl_Code,MATCH(C2074,cl_Name,0)),"Unknown"))</f>
        <v/>
      </c>
      <c r="K2074" s="37" t="str">
        <f aca="false">IF(D2074="","",IFERROR(INDEX(rt_Billable,MATCH(D2074,rt_Code,0)),"Unknown"))</f>
        <v/>
      </c>
      <c r="L2074" s="38" t="str">
        <f aca="false">IF(K2074&lt;&gt;"Yes","",IFERROR(INDEX(cr_Rate,MATCH(J2074&amp;"|"&amp;D2074,cr_Key,0)),INDEX(rt_Rate,MATCH(D2074,rt_Code,0))))</f>
        <v/>
      </c>
      <c r="M2074" s="25" t="str">
        <f aca="false">IF(L2074="","",ROUND(N(E2074)*L2074,2))</f>
        <v/>
      </c>
      <c r="N2074" s="39" t="str">
        <f aca="false">IF(OR(A2074="",B2074=""),"",SUMIFS(tl_Hours,tl_StaffID,I2074,tl_Date,A2074))</f>
        <v/>
      </c>
      <c r="O2074" s="40" t="str">
        <f aca="false">IF(A2074&amp;B2074&amp;D2074="","",IF(OR(A2074="",B2074="",D2074="",E2074=""),"Incomplete",IF(K2074="Unknown","Unknown code",IF(AND(K2074="Yes",C2074=""),"Billable, needs client",IF(N2074&gt;MaxDayHours,"Over "&amp;MaxDayHours&amp;" hours that day","")))))</f>
        <v/>
      </c>
    </row>
    <row r="2075" customFormat="false" ht="15" hidden="false" customHeight="false" outlineLevel="0" collapsed="false">
      <c r="A2075" s="31"/>
      <c r="B2075" s="32"/>
      <c r="C2075" s="32"/>
      <c r="D2075" s="33"/>
      <c r="E2075" s="34"/>
      <c r="F2075" s="32"/>
      <c r="G2075" s="35" t="str">
        <f aca="false">IF(A2075="","",A2075+7-WEEKDAY(A2075))</f>
        <v/>
      </c>
      <c r="H2075" s="36" t="str">
        <f aca="false">IF(A2075="","",DATE(YEAR(A2075),MONTH(A2075),1))</f>
        <v/>
      </c>
      <c r="I2075" s="37" t="str">
        <f aca="false">IF(B2075="","",IFERROR(INDEX(st_ID,MATCH(B2075,st_Name,0)),"Unknown"))</f>
        <v/>
      </c>
      <c r="J2075" s="37" t="str">
        <f aca="false">IF(C2075="","",IFERROR(INDEX(cl_Code,MATCH(C2075,cl_Name,0)),"Unknown"))</f>
        <v/>
      </c>
      <c r="K2075" s="37" t="str">
        <f aca="false">IF(D2075="","",IFERROR(INDEX(rt_Billable,MATCH(D2075,rt_Code,0)),"Unknown"))</f>
        <v/>
      </c>
      <c r="L2075" s="38" t="str">
        <f aca="false">IF(K2075&lt;&gt;"Yes","",IFERROR(INDEX(cr_Rate,MATCH(J2075&amp;"|"&amp;D2075,cr_Key,0)),INDEX(rt_Rate,MATCH(D2075,rt_Code,0))))</f>
        <v/>
      </c>
      <c r="M2075" s="25" t="str">
        <f aca="false">IF(L2075="","",ROUND(N(E2075)*L2075,2))</f>
        <v/>
      </c>
      <c r="N2075" s="39" t="str">
        <f aca="false">IF(OR(A2075="",B2075=""),"",SUMIFS(tl_Hours,tl_StaffID,I2075,tl_Date,A2075))</f>
        <v/>
      </c>
      <c r="O2075" s="40" t="str">
        <f aca="false">IF(A2075&amp;B2075&amp;D2075="","",IF(OR(A2075="",B2075="",D2075="",E2075=""),"Incomplete",IF(K2075="Unknown","Unknown code",IF(AND(K2075="Yes",C2075=""),"Billable, needs client",IF(N2075&gt;MaxDayHours,"Over "&amp;MaxDayHours&amp;" hours that day","")))))</f>
        <v/>
      </c>
    </row>
    <row r="2076" customFormat="false" ht="15" hidden="false" customHeight="false" outlineLevel="0" collapsed="false">
      <c r="A2076" s="31"/>
      <c r="B2076" s="32"/>
      <c r="C2076" s="32"/>
      <c r="D2076" s="33"/>
      <c r="E2076" s="34"/>
      <c r="F2076" s="32"/>
      <c r="G2076" s="35" t="str">
        <f aca="false">IF(A2076="","",A2076+7-WEEKDAY(A2076))</f>
        <v/>
      </c>
      <c r="H2076" s="36" t="str">
        <f aca="false">IF(A2076="","",DATE(YEAR(A2076),MONTH(A2076),1))</f>
        <v/>
      </c>
      <c r="I2076" s="37" t="str">
        <f aca="false">IF(B2076="","",IFERROR(INDEX(st_ID,MATCH(B2076,st_Name,0)),"Unknown"))</f>
        <v/>
      </c>
      <c r="J2076" s="37" t="str">
        <f aca="false">IF(C2076="","",IFERROR(INDEX(cl_Code,MATCH(C2076,cl_Name,0)),"Unknown"))</f>
        <v/>
      </c>
      <c r="K2076" s="37" t="str">
        <f aca="false">IF(D2076="","",IFERROR(INDEX(rt_Billable,MATCH(D2076,rt_Code,0)),"Unknown"))</f>
        <v/>
      </c>
      <c r="L2076" s="38" t="str">
        <f aca="false">IF(K2076&lt;&gt;"Yes","",IFERROR(INDEX(cr_Rate,MATCH(J2076&amp;"|"&amp;D2076,cr_Key,0)),INDEX(rt_Rate,MATCH(D2076,rt_Code,0))))</f>
        <v/>
      </c>
      <c r="M2076" s="25" t="str">
        <f aca="false">IF(L2076="","",ROUND(N(E2076)*L2076,2))</f>
        <v/>
      </c>
      <c r="N2076" s="39" t="str">
        <f aca="false">IF(OR(A2076="",B2076=""),"",SUMIFS(tl_Hours,tl_StaffID,I2076,tl_Date,A2076))</f>
        <v/>
      </c>
      <c r="O2076" s="40" t="str">
        <f aca="false">IF(A2076&amp;B2076&amp;D2076="","",IF(OR(A2076="",B2076="",D2076="",E2076=""),"Incomplete",IF(K2076="Unknown","Unknown code",IF(AND(K2076="Yes",C2076=""),"Billable, needs client",IF(N2076&gt;MaxDayHours,"Over "&amp;MaxDayHours&amp;" hours that day","")))))</f>
        <v/>
      </c>
    </row>
    <row r="2077" customFormat="false" ht="15" hidden="false" customHeight="false" outlineLevel="0" collapsed="false">
      <c r="A2077" s="31"/>
      <c r="B2077" s="32"/>
      <c r="C2077" s="32"/>
      <c r="D2077" s="33"/>
      <c r="E2077" s="34"/>
      <c r="F2077" s="32"/>
      <c r="G2077" s="35" t="str">
        <f aca="false">IF(A2077="","",A2077+7-WEEKDAY(A2077))</f>
        <v/>
      </c>
      <c r="H2077" s="36" t="str">
        <f aca="false">IF(A2077="","",DATE(YEAR(A2077),MONTH(A2077),1))</f>
        <v/>
      </c>
      <c r="I2077" s="37" t="str">
        <f aca="false">IF(B2077="","",IFERROR(INDEX(st_ID,MATCH(B2077,st_Name,0)),"Unknown"))</f>
        <v/>
      </c>
      <c r="J2077" s="37" t="str">
        <f aca="false">IF(C2077="","",IFERROR(INDEX(cl_Code,MATCH(C2077,cl_Name,0)),"Unknown"))</f>
        <v/>
      </c>
      <c r="K2077" s="37" t="str">
        <f aca="false">IF(D2077="","",IFERROR(INDEX(rt_Billable,MATCH(D2077,rt_Code,0)),"Unknown"))</f>
        <v/>
      </c>
      <c r="L2077" s="38" t="str">
        <f aca="false">IF(K2077&lt;&gt;"Yes","",IFERROR(INDEX(cr_Rate,MATCH(J2077&amp;"|"&amp;D2077,cr_Key,0)),INDEX(rt_Rate,MATCH(D2077,rt_Code,0))))</f>
        <v/>
      </c>
      <c r="M2077" s="25" t="str">
        <f aca="false">IF(L2077="","",ROUND(N(E2077)*L2077,2))</f>
        <v/>
      </c>
      <c r="N2077" s="39" t="str">
        <f aca="false">IF(OR(A2077="",B2077=""),"",SUMIFS(tl_Hours,tl_StaffID,I2077,tl_Date,A2077))</f>
        <v/>
      </c>
      <c r="O2077" s="40" t="str">
        <f aca="false">IF(A2077&amp;B2077&amp;D2077="","",IF(OR(A2077="",B2077="",D2077="",E2077=""),"Incomplete",IF(K2077="Unknown","Unknown code",IF(AND(K2077="Yes",C2077=""),"Billable, needs client",IF(N2077&gt;MaxDayHours,"Over "&amp;MaxDayHours&amp;" hours that day","")))))</f>
        <v/>
      </c>
    </row>
    <row r="2078" customFormat="false" ht="15" hidden="false" customHeight="false" outlineLevel="0" collapsed="false">
      <c r="A2078" s="31"/>
      <c r="B2078" s="32"/>
      <c r="C2078" s="32"/>
      <c r="D2078" s="33"/>
      <c r="E2078" s="34"/>
      <c r="F2078" s="32"/>
      <c r="G2078" s="35" t="str">
        <f aca="false">IF(A2078="","",A2078+7-WEEKDAY(A2078))</f>
        <v/>
      </c>
      <c r="H2078" s="36" t="str">
        <f aca="false">IF(A2078="","",DATE(YEAR(A2078),MONTH(A2078),1))</f>
        <v/>
      </c>
      <c r="I2078" s="37" t="str">
        <f aca="false">IF(B2078="","",IFERROR(INDEX(st_ID,MATCH(B2078,st_Name,0)),"Unknown"))</f>
        <v/>
      </c>
      <c r="J2078" s="37" t="str">
        <f aca="false">IF(C2078="","",IFERROR(INDEX(cl_Code,MATCH(C2078,cl_Name,0)),"Unknown"))</f>
        <v/>
      </c>
      <c r="K2078" s="37" t="str">
        <f aca="false">IF(D2078="","",IFERROR(INDEX(rt_Billable,MATCH(D2078,rt_Code,0)),"Unknown"))</f>
        <v/>
      </c>
      <c r="L2078" s="38" t="str">
        <f aca="false">IF(K2078&lt;&gt;"Yes","",IFERROR(INDEX(cr_Rate,MATCH(J2078&amp;"|"&amp;D2078,cr_Key,0)),INDEX(rt_Rate,MATCH(D2078,rt_Code,0))))</f>
        <v/>
      </c>
      <c r="M2078" s="25" t="str">
        <f aca="false">IF(L2078="","",ROUND(N(E2078)*L2078,2))</f>
        <v/>
      </c>
      <c r="N2078" s="39" t="str">
        <f aca="false">IF(OR(A2078="",B2078=""),"",SUMIFS(tl_Hours,tl_StaffID,I2078,tl_Date,A2078))</f>
        <v/>
      </c>
      <c r="O2078" s="40" t="str">
        <f aca="false">IF(A2078&amp;B2078&amp;D2078="","",IF(OR(A2078="",B2078="",D2078="",E2078=""),"Incomplete",IF(K2078="Unknown","Unknown code",IF(AND(K2078="Yes",C2078=""),"Billable, needs client",IF(N2078&gt;MaxDayHours,"Over "&amp;MaxDayHours&amp;" hours that day","")))))</f>
        <v/>
      </c>
    </row>
    <row r="2079" customFormat="false" ht="15" hidden="false" customHeight="false" outlineLevel="0" collapsed="false">
      <c r="A2079" s="31"/>
      <c r="B2079" s="32"/>
      <c r="C2079" s="32"/>
      <c r="D2079" s="33"/>
      <c r="E2079" s="34"/>
      <c r="F2079" s="32"/>
      <c r="G2079" s="35" t="str">
        <f aca="false">IF(A2079="","",A2079+7-WEEKDAY(A2079))</f>
        <v/>
      </c>
      <c r="H2079" s="36" t="str">
        <f aca="false">IF(A2079="","",DATE(YEAR(A2079),MONTH(A2079),1))</f>
        <v/>
      </c>
      <c r="I2079" s="37" t="str">
        <f aca="false">IF(B2079="","",IFERROR(INDEX(st_ID,MATCH(B2079,st_Name,0)),"Unknown"))</f>
        <v/>
      </c>
      <c r="J2079" s="37" t="str">
        <f aca="false">IF(C2079="","",IFERROR(INDEX(cl_Code,MATCH(C2079,cl_Name,0)),"Unknown"))</f>
        <v/>
      </c>
      <c r="K2079" s="37" t="str">
        <f aca="false">IF(D2079="","",IFERROR(INDEX(rt_Billable,MATCH(D2079,rt_Code,0)),"Unknown"))</f>
        <v/>
      </c>
      <c r="L2079" s="38" t="str">
        <f aca="false">IF(K2079&lt;&gt;"Yes","",IFERROR(INDEX(cr_Rate,MATCH(J2079&amp;"|"&amp;D2079,cr_Key,0)),INDEX(rt_Rate,MATCH(D2079,rt_Code,0))))</f>
        <v/>
      </c>
      <c r="M2079" s="25" t="str">
        <f aca="false">IF(L2079="","",ROUND(N(E2079)*L2079,2))</f>
        <v/>
      </c>
      <c r="N2079" s="39" t="str">
        <f aca="false">IF(OR(A2079="",B2079=""),"",SUMIFS(tl_Hours,tl_StaffID,I2079,tl_Date,A2079))</f>
        <v/>
      </c>
      <c r="O2079" s="40" t="str">
        <f aca="false">IF(A2079&amp;B2079&amp;D2079="","",IF(OR(A2079="",B2079="",D2079="",E2079=""),"Incomplete",IF(K2079="Unknown","Unknown code",IF(AND(K2079="Yes",C2079=""),"Billable, needs client",IF(N2079&gt;MaxDayHours,"Over "&amp;MaxDayHours&amp;" hours that day","")))))</f>
        <v/>
      </c>
    </row>
    <row r="2080" customFormat="false" ht="15" hidden="false" customHeight="false" outlineLevel="0" collapsed="false">
      <c r="A2080" s="31"/>
      <c r="B2080" s="32"/>
      <c r="C2080" s="32"/>
      <c r="D2080" s="33"/>
      <c r="E2080" s="34"/>
      <c r="F2080" s="32"/>
      <c r="G2080" s="35" t="str">
        <f aca="false">IF(A2080="","",A2080+7-WEEKDAY(A2080))</f>
        <v/>
      </c>
      <c r="H2080" s="36" t="str">
        <f aca="false">IF(A2080="","",DATE(YEAR(A2080),MONTH(A2080),1))</f>
        <v/>
      </c>
      <c r="I2080" s="37" t="str">
        <f aca="false">IF(B2080="","",IFERROR(INDEX(st_ID,MATCH(B2080,st_Name,0)),"Unknown"))</f>
        <v/>
      </c>
      <c r="J2080" s="37" t="str">
        <f aca="false">IF(C2080="","",IFERROR(INDEX(cl_Code,MATCH(C2080,cl_Name,0)),"Unknown"))</f>
        <v/>
      </c>
      <c r="K2080" s="37" t="str">
        <f aca="false">IF(D2080="","",IFERROR(INDEX(rt_Billable,MATCH(D2080,rt_Code,0)),"Unknown"))</f>
        <v/>
      </c>
      <c r="L2080" s="38" t="str">
        <f aca="false">IF(K2080&lt;&gt;"Yes","",IFERROR(INDEX(cr_Rate,MATCH(J2080&amp;"|"&amp;D2080,cr_Key,0)),INDEX(rt_Rate,MATCH(D2080,rt_Code,0))))</f>
        <v/>
      </c>
      <c r="M2080" s="25" t="str">
        <f aca="false">IF(L2080="","",ROUND(N(E2080)*L2080,2))</f>
        <v/>
      </c>
      <c r="N2080" s="39" t="str">
        <f aca="false">IF(OR(A2080="",B2080=""),"",SUMIFS(tl_Hours,tl_StaffID,I2080,tl_Date,A2080))</f>
        <v/>
      </c>
      <c r="O2080" s="40" t="str">
        <f aca="false">IF(A2080&amp;B2080&amp;D2080="","",IF(OR(A2080="",B2080="",D2080="",E2080=""),"Incomplete",IF(K2080="Unknown","Unknown code",IF(AND(K2080="Yes",C2080=""),"Billable, needs client",IF(N2080&gt;MaxDayHours,"Over "&amp;MaxDayHours&amp;" hours that day","")))))</f>
        <v/>
      </c>
    </row>
    <row r="2081" customFormat="false" ht="15" hidden="false" customHeight="false" outlineLevel="0" collapsed="false">
      <c r="A2081" s="31"/>
      <c r="B2081" s="32"/>
      <c r="C2081" s="32"/>
      <c r="D2081" s="33"/>
      <c r="E2081" s="34"/>
      <c r="F2081" s="32"/>
      <c r="G2081" s="35" t="str">
        <f aca="false">IF(A2081="","",A2081+7-WEEKDAY(A2081))</f>
        <v/>
      </c>
      <c r="H2081" s="36" t="str">
        <f aca="false">IF(A2081="","",DATE(YEAR(A2081),MONTH(A2081),1))</f>
        <v/>
      </c>
      <c r="I2081" s="37" t="str">
        <f aca="false">IF(B2081="","",IFERROR(INDEX(st_ID,MATCH(B2081,st_Name,0)),"Unknown"))</f>
        <v/>
      </c>
      <c r="J2081" s="37" t="str">
        <f aca="false">IF(C2081="","",IFERROR(INDEX(cl_Code,MATCH(C2081,cl_Name,0)),"Unknown"))</f>
        <v/>
      </c>
      <c r="K2081" s="37" t="str">
        <f aca="false">IF(D2081="","",IFERROR(INDEX(rt_Billable,MATCH(D2081,rt_Code,0)),"Unknown"))</f>
        <v/>
      </c>
      <c r="L2081" s="38" t="str">
        <f aca="false">IF(K2081&lt;&gt;"Yes","",IFERROR(INDEX(cr_Rate,MATCH(J2081&amp;"|"&amp;D2081,cr_Key,0)),INDEX(rt_Rate,MATCH(D2081,rt_Code,0))))</f>
        <v/>
      </c>
      <c r="M2081" s="25" t="str">
        <f aca="false">IF(L2081="","",ROUND(N(E2081)*L2081,2))</f>
        <v/>
      </c>
      <c r="N2081" s="39" t="str">
        <f aca="false">IF(OR(A2081="",B2081=""),"",SUMIFS(tl_Hours,tl_StaffID,I2081,tl_Date,A2081))</f>
        <v/>
      </c>
      <c r="O2081" s="40" t="str">
        <f aca="false">IF(A2081&amp;B2081&amp;D2081="","",IF(OR(A2081="",B2081="",D2081="",E2081=""),"Incomplete",IF(K2081="Unknown","Unknown code",IF(AND(K2081="Yes",C2081=""),"Billable, needs client",IF(N2081&gt;MaxDayHours,"Over "&amp;MaxDayHours&amp;" hours that day","")))))</f>
        <v/>
      </c>
    </row>
    <row r="2082" customFormat="false" ht="15" hidden="false" customHeight="false" outlineLevel="0" collapsed="false">
      <c r="A2082" s="31"/>
      <c r="B2082" s="32"/>
      <c r="C2082" s="32"/>
      <c r="D2082" s="33"/>
      <c r="E2082" s="34"/>
      <c r="F2082" s="32"/>
      <c r="G2082" s="35" t="str">
        <f aca="false">IF(A2082="","",A2082+7-WEEKDAY(A2082))</f>
        <v/>
      </c>
      <c r="H2082" s="36" t="str">
        <f aca="false">IF(A2082="","",DATE(YEAR(A2082),MONTH(A2082),1))</f>
        <v/>
      </c>
      <c r="I2082" s="37" t="str">
        <f aca="false">IF(B2082="","",IFERROR(INDEX(st_ID,MATCH(B2082,st_Name,0)),"Unknown"))</f>
        <v/>
      </c>
      <c r="J2082" s="37" t="str">
        <f aca="false">IF(C2082="","",IFERROR(INDEX(cl_Code,MATCH(C2082,cl_Name,0)),"Unknown"))</f>
        <v/>
      </c>
      <c r="K2082" s="37" t="str">
        <f aca="false">IF(D2082="","",IFERROR(INDEX(rt_Billable,MATCH(D2082,rt_Code,0)),"Unknown"))</f>
        <v/>
      </c>
      <c r="L2082" s="38" t="str">
        <f aca="false">IF(K2082&lt;&gt;"Yes","",IFERROR(INDEX(cr_Rate,MATCH(J2082&amp;"|"&amp;D2082,cr_Key,0)),INDEX(rt_Rate,MATCH(D2082,rt_Code,0))))</f>
        <v/>
      </c>
      <c r="M2082" s="25" t="str">
        <f aca="false">IF(L2082="","",ROUND(N(E2082)*L2082,2))</f>
        <v/>
      </c>
      <c r="N2082" s="39" t="str">
        <f aca="false">IF(OR(A2082="",B2082=""),"",SUMIFS(tl_Hours,tl_StaffID,I2082,tl_Date,A2082))</f>
        <v/>
      </c>
      <c r="O2082" s="40" t="str">
        <f aca="false">IF(A2082&amp;B2082&amp;D2082="","",IF(OR(A2082="",B2082="",D2082="",E2082=""),"Incomplete",IF(K2082="Unknown","Unknown code",IF(AND(K2082="Yes",C2082=""),"Billable, needs client",IF(N2082&gt;MaxDayHours,"Over "&amp;MaxDayHours&amp;" hours that day","")))))</f>
        <v/>
      </c>
    </row>
    <row r="2083" customFormat="false" ht="15" hidden="false" customHeight="false" outlineLevel="0" collapsed="false">
      <c r="A2083" s="31"/>
      <c r="B2083" s="32"/>
      <c r="C2083" s="32"/>
      <c r="D2083" s="33"/>
      <c r="E2083" s="34"/>
      <c r="F2083" s="32"/>
      <c r="G2083" s="35" t="str">
        <f aca="false">IF(A2083="","",A2083+7-WEEKDAY(A2083))</f>
        <v/>
      </c>
      <c r="H2083" s="36" t="str">
        <f aca="false">IF(A2083="","",DATE(YEAR(A2083),MONTH(A2083),1))</f>
        <v/>
      </c>
      <c r="I2083" s="37" t="str">
        <f aca="false">IF(B2083="","",IFERROR(INDEX(st_ID,MATCH(B2083,st_Name,0)),"Unknown"))</f>
        <v/>
      </c>
      <c r="J2083" s="37" t="str">
        <f aca="false">IF(C2083="","",IFERROR(INDEX(cl_Code,MATCH(C2083,cl_Name,0)),"Unknown"))</f>
        <v/>
      </c>
      <c r="K2083" s="37" t="str">
        <f aca="false">IF(D2083="","",IFERROR(INDEX(rt_Billable,MATCH(D2083,rt_Code,0)),"Unknown"))</f>
        <v/>
      </c>
      <c r="L2083" s="38" t="str">
        <f aca="false">IF(K2083&lt;&gt;"Yes","",IFERROR(INDEX(cr_Rate,MATCH(J2083&amp;"|"&amp;D2083,cr_Key,0)),INDEX(rt_Rate,MATCH(D2083,rt_Code,0))))</f>
        <v/>
      </c>
      <c r="M2083" s="25" t="str">
        <f aca="false">IF(L2083="","",ROUND(N(E2083)*L2083,2))</f>
        <v/>
      </c>
      <c r="N2083" s="39" t="str">
        <f aca="false">IF(OR(A2083="",B2083=""),"",SUMIFS(tl_Hours,tl_StaffID,I2083,tl_Date,A2083))</f>
        <v/>
      </c>
      <c r="O2083" s="40" t="str">
        <f aca="false">IF(A2083&amp;B2083&amp;D2083="","",IF(OR(A2083="",B2083="",D2083="",E2083=""),"Incomplete",IF(K2083="Unknown","Unknown code",IF(AND(K2083="Yes",C2083=""),"Billable, needs client",IF(N2083&gt;MaxDayHours,"Over "&amp;MaxDayHours&amp;" hours that day","")))))</f>
        <v/>
      </c>
    </row>
    <row r="2084" customFormat="false" ht="15" hidden="false" customHeight="false" outlineLevel="0" collapsed="false">
      <c r="A2084" s="31"/>
      <c r="B2084" s="32"/>
      <c r="C2084" s="32"/>
      <c r="D2084" s="33"/>
      <c r="E2084" s="34"/>
      <c r="F2084" s="32"/>
      <c r="G2084" s="35" t="str">
        <f aca="false">IF(A2084="","",A2084+7-WEEKDAY(A2084))</f>
        <v/>
      </c>
      <c r="H2084" s="36" t="str">
        <f aca="false">IF(A2084="","",DATE(YEAR(A2084),MONTH(A2084),1))</f>
        <v/>
      </c>
      <c r="I2084" s="37" t="str">
        <f aca="false">IF(B2084="","",IFERROR(INDEX(st_ID,MATCH(B2084,st_Name,0)),"Unknown"))</f>
        <v/>
      </c>
      <c r="J2084" s="37" t="str">
        <f aca="false">IF(C2084="","",IFERROR(INDEX(cl_Code,MATCH(C2084,cl_Name,0)),"Unknown"))</f>
        <v/>
      </c>
      <c r="K2084" s="37" t="str">
        <f aca="false">IF(D2084="","",IFERROR(INDEX(rt_Billable,MATCH(D2084,rt_Code,0)),"Unknown"))</f>
        <v/>
      </c>
      <c r="L2084" s="38" t="str">
        <f aca="false">IF(K2084&lt;&gt;"Yes","",IFERROR(INDEX(cr_Rate,MATCH(J2084&amp;"|"&amp;D2084,cr_Key,0)),INDEX(rt_Rate,MATCH(D2084,rt_Code,0))))</f>
        <v/>
      </c>
      <c r="M2084" s="25" t="str">
        <f aca="false">IF(L2084="","",ROUND(N(E2084)*L2084,2))</f>
        <v/>
      </c>
      <c r="N2084" s="39" t="str">
        <f aca="false">IF(OR(A2084="",B2084=""),"",SUMIFS(tl_Hours,tl_StaffID,I2084,tl_Date,A2084))</f>
        <v/>
      </c>
      <c r="O2084" s="40" t="str">
        <f aca="false">IF(A2084&amp;B2084&amp;D2084="","",IF(OR(A2084="",B2084="",D2084="",E2084=""),"Incomplete",IF(K2084="Unknown","Unknown code",IF(AND(K2084="Yes",C2084=""),"Billable, needs client",IF(N2084&gt;MaxDayHours,"Over "&amp;MaxDayHours&amp;" hours that day","")))))</f>
        <v/>
      </c>
    </row>
    <row r="2085" customFormat="false" ht="15" hidden="false" customHeight="false" outlineLevel="0" collapsed="false">
      <c r="A2085" s="31"/>
      <c r="B2085" s="32"/>
      <c r="C2085" s="32"/>
      <c r="D2085" s="33"/>
      <c r="E2085" s="34"/>
      <c r="F2085" s="32"/>
      <c r="G2085" s="35" t="str">
        <f aca="false">IF(A2085="","",A2085+7-WEEKDAY(A2085))</f>
        <v/>
      </c>
      <c r="H2085" s="36" t="str">
        <f aca="false">IF(A2085="","",DATE(YEAR(A2085),MONTH(A2085),1))</f>
        <v/>
      </c>
      <c r="I2085" s="37" t="str">
        <f aca="false">IF(B2085="","",IFERROR(INDEX(st_ID,MATCH(B2085,st_Name,0)),"Unknown"))</f>
        <v/>
      </c>
      <c r="J2085" s="37" t="str">
        <f aca="false">IF(C2085="","",IFERROR(INDEX(cl_Code,MATCH(C2085,cl_Name,0)),"Unknown"))</f>
        <v/>
      </c>
      <c r="K2085" s="37" t="str">
        <f aca="false">IF(D2085="","",IFERROR(INDEX(rt_Billable,MATCH(D2085,rt_Code,0)),"Unknown"))</f>
        <v/>
      </c>
      <c r="L2085" s="38" t="str">
        <f aca="false">IF(K2085&lt;&gt;"Yes","",IFERROR(INDEX(cr_Rate,MATCH(J2085&amp;"|"&amp;D2085,cr_Key,0)),INDEX(rt_Rate,MATCH(D2085,rt_Code,0))))</f>
        <v/>
      </c>
      <c r="M2085" s="25" t="str">
        <f aca="false">IF(L2085="","",ROUND(N(E2085)*L2085,2))</f>
        <v/>
      </c>
      <c r="N2085" s="39" t="str">
        <f aca="false">IF(OR(A2085="",B2085=""),"",SUMIFS(tl_Hours,tl_StaffID,I2085,tl_Date,A2085))</f>
        <v/>
      </c>
      <c r="O2085" s="40" t="str">
        <f aca="false">IF(A2085&amp;B2085&amp;D2085="","",IF(OR(A2085="",B2085="",D2085="",E2085=""),"Incomplete",IF(K2085="Unknown","Unknown code",IF(AND(K2085="Yes",C2085=""),"Billable, needs client",IF(N2085&gt;MaxDayHours,"Over "&amp;MaxDayHours&amp;" hours that day","")))))</f>
        <v/>
      </c>
    </row>
    <row r="2086" customFormat="false" ht="15" hidden="false" customHeight="false" outlineLevel="0" collapsed="false">
      <c r="A2086" s="31"/>
      <c r="B2086" s="32"/>
      <c r="C2086" s="32"/>
      <c r="D2086" s="33"/>
      <c r="E2086" s="34"/>
      <c r="F2086" s="32"/>
      <c r="G2086" s="35" t="str">
        <f aca="false">IF(A2086="","",A2086+7-WEEKDAY(A2086))</f>
        <v/>
      </c>
      <c r="H2086" s="36" t="str">
        <f aca="false">IF(A2086="","",DATE(YEAR(A2086),MONTH(A2086),1))</f>
        <v/>
      </c>
      <c r="I2086" s="37" t="str">
        <f aca="false">IF(B2086="","",IFERROR(INDEX(st_ID,MATCH(B2086,st_Name,0)),"Unknown"))</f>
        <v/>
      </c>
      <c r="J2086" s="37" t="str">
        <f aca="false">IF(C2086="","",IFERROR(INDEX(cl_Code,MATCH(C2086,cl_Name,0)),"Unknown"))</f>
        <v/>
      </c>
      <c r="K2086" s="37" t="str">
        <f aca="false">IF(D2086="","",IFERROR(INDEX(rt_Billable,MATCH(D2086,rt_Code,0)),"Unknown"))</f>
        <v/>
      </c>
      <c r="L2086" s="38" t="str">
        <f aca="false">IF(K2086&lt;&gt;"Yes","",IFERROR(INDEX(cr_Rate,MATCH(J2086&amp;"|"&amp;D2086,cr_Key,0)),INDEX(rt_Rate,MATCH(D2086,rt_Code,0))))</f>
        <v/>
      </c>
      <c r="M2086" s="25" t="str">
        <f aca="false">IF(L2086="","",ROUND(N(E2086)*L2086,2))</f>
        <v/>
      </c>
      <c r="N2086" s="39" t="str">
        <f aca="false">IF(OR(A2086="",B2086=""),"",SUMIFS(tl_Hours,tl_StaffID,I2086,tl_Date,A2086))</f>
        <v/>
      </c>
      <c r="O2086" s="40" t="str">
        <f aca="false">IF(A2086&amp;B2086&amp;D2086="","",IF(OR(A2086="",B2086="",D2086="",E2086=""),"Incomplete",IF(K2086="Unknown","Unknown code",IF(AND(K2086="Yes",C2086=""),"Billable, needs client",IF(N2086&gt;MaxDayHours,"Over "&amp;MaxDayHours&amp;" hours that day","")))))</f>
        <v/>
      </c>
    </row>
    <row r="2087" customFormat="false" ht="15" hidden="false" customHeight="false" outlineLevel="0" collapsed="false">
      <c r="A2087" s="31"/>
      <c r="B2087" s="32"/>
      <c r="C2087" s="32"/>
      <c r="D2087" s="33"/>
      <c r="E2087" s="34"/>
      <c r="F2087" s="32"/>
      <c r="G2087" s="35" t="str">
        <f aca="false">IF(A2087="","",A2087+7-WEEKDAY(A2087))</f>
        <v/>
      </c>
      <c r="H2087" s="36" t="str">
        <f aca="false">IF(A2087="","",DATE(YEAR(A2087),MONTH(A2087),1))</f>
        <v/>
      </c>
      <c r="I2087" s="37" t="str">
        <f aca="false">IF(B2087="","",IFERROR(INDEX(st_ID,MATCH(B2087,st_Name,0)),"Unknown"))</f>
        <v/>
      </c>
      <c r="J2087" s="37" t="str">
        <f aca="false">IF(C2087="","",IFERROR(INDEX(cl_Code,MATCH(C2087,cl_Name,0)),"Unknown"))</f>
        <v/>
      </c>
      <c r="K2087" s="37" t="str">
        <f aca="false">IF(D2087="","",IFERROR(INDEX(rt_Billable,MATCH(D2087,rt_Code,0)),"Unknown"))</f>
        <v/>
      </c>
      <c r="L2087" s="38" t="str">
        <f aca="false">IF(K2087&lt;&gt;"Yes","",IFERROR(INDEX(cr_Rate,MATCH(J2087&amp;"|"&amp;D2087,cr_Key,0)),INDEX(rt_Rate,MATCH(D2087,rt_Code,0))))</f>
        <v/>
      </c>
      <c r="M2087" s="25" t="str">
        <f aca="false">IF(L2087="","",ROUND(N(E2087)*L2087,2))</f>
        <v/>
      </c>
      <c r="N2087" s="39" t="str">
        <f aca="false">IF(OR(A2087="",B2087=""),"",SUMIFS(tl_Hours,tl_StaffID,I2087,tl_Date,A2087))</f>
        <v/>
      </c>
      <c r="O2087" s="40" t="str">
        <f aca="false">IF(A2087&amp;B2087&amp;D2087="","",IF(OR(A2087="",B2087="",D2087="",E2087=""),"Incomplete",IF(K2087="Unknown","Unknown code",IF(AND(K2087="Yes",C2087=""),"Billable, needs client",IF(N2087&gt;MaxDayHours,"Over "&amp;MaxDayHours&amp;" hours that day","")))))</f>
        <v/>
      </c>
    </row>
    <row r="2088" customFormat="false" ht="15" hidden="false" customHeight="false" outlineLevel="0" collapsed="false">
      <c r="A2088" s="31"/>
      <c r="B2088" s="32"/>
      <c r="C2088" s="32"/>
      <c r="D2088" s="33"/>
      <c r="E2088" s="34"/>
      <c r="F2088" s="32"/>
      <c r="G2088" s="35" t="str">
        <f aca="false">IF(A2088="","",A2088+7-WEEKDAY(A2088))</f>
        <v/>
      </c>
      <c r="H2088" s="36" t="str">
        <f aca="false">IF(A2088="","",DATE(YEAR(A2088),MONTH(A2088),1))</f>
        <v/>
      </c>
      <c r="I2088" s="37" t="str">
        <f aca="false">IF(B2088="","",IFERROR(INDEX(st_ID,MATCH(B2088,st_Name,0)),"Unknown"))</f>
        <v/>
      </c>
      <c r="J2088" s="37" t="str">
        <f aca="false">IF(C2088="","",IFERROR(INDEX(cl_Code,MATCH(C2088,cl_Name,0)),"Unknown"))</f>
        <v/>
      </c>
      <c r="K2088" s="37" t="str">
        <f aca="false">IF(D2088="","",IFERROR(INDEX(rt_Billable,MATCH(D2088,rt_Code,0)),"Unknown"))</f>
        <v/>
      </c>
      <c r="L2088" s="38" t="str">
        <f aca="false">IF(K2088&lt;&gt;"Yes","",IFERROR(INDEX(cr_Rate,MATCH(J2088&amp;"|"&amp;D2088,cr_Key,0)),INDEX(rt_Rate,MATCH(D2088,rt_Code,0))))</f>
        <v/>
      </c>
      <c r="M2088" s="25" t="str">
        <f aca="false">IF(L2088="","",ROUND(N(E2088)*L2088,2))</f>
        <v/>
      </c>
      <c r="N2088" s="39" t="str">
        <f aca="false">IF(OR(A2088="",B2088=""),"",SUMIFS(tl_Hours,tl_StaffID,I2088,tl_Date,A2088))</f>
        <v/>
      </c>
      <c r="O2088" s="40" t="str">
        <f aca="false">IF(A2088&amp;B2088&amp;D2088="","",IF(OR(A2088="",B2088="",D2088="",E2088=""),"Incomplete",IF(K2088="Unknown","Unknown code",IF(AND(K2088="Yes",C2088=""),"Billable, needs client",IF(N2088&gt;MaxDayHours,"Over "&amp;MaxDayHours&amp;" hours that day","")))))</f>
        <v/>
      </c>
    </row>
    <row r="2089" customFormat="false" ht="15" hidden="false" customHeight="false" outlineLevel="0" collapsed="false">
      <c r="A2089" s="31"/>
      <c r="B2089" s="32"/>
      <c r="C2089" s="32"/>
      <c r="D2089" s="33"/>
      <c r="E2089" s="34"/>
      <c r="F2089" s="32"/>
      <c r="G2089" s="35" t="str">
        <f aca="false">IF(A2089="","",A2089+7-WEEKDAY(A2089))</f>
        <v/>
      </c>
      <c r="H2089" s="36" t="str">
        <f aca="false">IF(A2089="","",DATE(YEAR(A2089),MONTH(A2089),1))</f>
        <v/>
      </c>
      <c r="I2089" s="37" t="str">
        <f aca="false">IF(B2089="","",IFERROR(INDEX(st_ID,MATCH(B2089,st_Name,0)),"Unknown"))</f>
        <v/>
      </c>
      <c r="J2089" s="37" t="str">
        <f aca="false">IF(C2089="","",IFERROR(INDEX(cl_Code,MATCH(C2089,cl_Name,0)),"Unknown"))</f>
        <v/>
      </c>
      <c r="K2089" s="37" t="str">
        <f aca="false">IF(D2089="","",IFERROR(INDEX(rt_Billable,MATCH(D2089,rt_Code,0)),"Unknown"))</f>
        <v/>
      </c>
      <c r="L2089" s="38" t="str">
        <f aca="false">IF(K2089&lt;&gt;"Yes","",IFERROR(INDEX(cr_Rate,MATCH(J2089&amp;"|"&amp;D2089,cr_Key,0)),INDEX(rt_Rate,MATCH(D2089,rt_Code,0))))</f>
        <v/>
      </c>
      <c r="M2089" s="25" t="str">
        <f aca="false">IF(L2089="","",ROUND(N(E2089)*L2089,2))</f>
        <v/>
      </c>
      <c r="N2089" s="39" t="str">
        <f aca="false">IF(OR(A2089="",B2089=""),"",SUMIFS(tl_Hours,tl_StaffID,I2089,tl_Date,A2089))</f>
        <v/>
      </c>
      <c r="O2089" s="40" t="str">
        <f aca="false">IF(A2089&amp;B2089&amp;D2089="","",IF(OR(A2089="",B2089="",D2089="",E2089=""),"Incomplete",IF(K2089="Unknown","Unknown code",IF(AND(K2089="Yes",C2089=""),"Billable, needs client",IF(N2089&gt;MaxDayHours,"Over "&amp;MaxDayHours&amp;" hours that day","")))))</f>
        <v/>
      </c>
    </row>
    <row r="2090" customFormat="false" ht="15" hidden="false" customHeight="false" outlineLevel="0" collapsed="false">
      <c r="A2090" s="31"/>
      <c r="B2090" s="32"/>
      <c r="C2090" s="32"/>
      <c r="D2090" s="33"/>
      <c r="E2090" s="34"/>
      <c r="F2090" s="32"/>
      <c r="G2090" s="35" t="str">
        <f aca="false">IF(A2090="","",A2090+7-WEEKDAY(A2090))</f>
        <v/>
      </c>
      <c r="H2090" s="36" t="str">
        <f aca="false">IF(A2090="","",DATE(YEAR(A2090),MONTH(A2090),1))</f>
        <v/>
      </c>
      <c r="I2090" s="37" t="str">
        <f aca="false">IF(B2090="","",IFERROR(INDEX(st_ID,MATCH(B2090,st_Name,0)),"Unknown"))</f>
        <v/>
      </c>
      <c r="J2090" s="37" t="str">
        <f aca="false">IF(C2090="","",IFERROR(INDEX(cl_Code,MATCH(C2090,cl_Name,0)),"Unknown"))</f>
        <v/>
      </c>
      <c r="K2090" s="37" t="str">
        <f aca="false">IF(D2090="","",IFERROR(INDEX(rt_Billable,MATCH(D2090,rt_Code,0)),"Unknown"))</f>
        <v/>
      </c>
      <c r="L2090" s="38" t="str">
        <f aca="false">IF(K2090&lt;&gt;"Yes","",IFERROR(INDEX(cr_Rate,MATCH(J2090&amp;"|"&amp;D2090,cr_Key,0)),INDEX(rt_Rate,MATCH(D2090,rt_Code,0))))</f>
        <v/>
      </c>
      <c r="M2090" s="25" t="str">
        <f aca="false">IF(L2090="","",ROUND(N(E2090)*L2090,2))</f>
        <v/>
      </c>
      <c r="N2090" s="39" t="str">
        <f aca="false">IF(OR(A2090="",B2090=""),"",SUMIFS(tl_Hours,tl_StaffID,I2090,tl_Date,A2090))</f>
        <v/>
      </c>
      <c r="O2090" s="40" t="str">
        <f aca="false">IF(A2090&amp;B2090&amp;D2090="","",IF(OR(A2090="",B2090="",D2090="",E2090=""),"Incomplete",IF(K2090="Unknown","Unknown code",IF(AND(K2090="Yes",C2090=""),"Billable, needs client",IF(N2090&gt;MaxDayHours,"Over "&amp;MaxDayHours&amp;" hours that day","")))))</f>
        <v/>
      </c>
    </row>
    <row r="2091" customFormat="false" ht="15" hidden="false" customHeight="false" outlineLevel="0" collapsed="false">
      <c r="A2091" s="31"/>
      <c r="B2091" s="32"/>
      <c r="C2091" s="32"/>
      <c r="D2091" s="33"/>
      <c r="E2091" s="34"/>
      <c r="F2091" s="32"/>
      <c r="G2091" s="35" t="str">
        <f aca="false">IF(A2091="","",A2091+7-WEEKDAY(A2091))</f>
        <v/>
      </c>
      <c r="H2091" s="36" t="str">
        <f aca="false">IF(A2091="","",DATE(YEAR(A2091),MONTH(A2091),1))</f>
        <v/>
      </c>
      <c r="I2091" s="37" t="str">
        <f aca="false">IF(B2091="","",IFERROR(INDEX(st_ID,MATCH(B2091,st_Name,0)),"Unknown"))</f>
        <v/>
      </c>
      <c r="J2091" s="37" t="str">
        <f aca="false">IF(C2091="","",IFERROR(INDEX(cl_Code,MATCH(C2091,cl_Name,0)),"Unknown"))</f>
        <v/>
      </c>
      <c r="K2091" s="37" t="str">
        <f aca="false">IF(D2091="","",IFERROR(INDEX(rt_Billable,MATCH(D2091,rt_Code,0)),"Unknown"))</f>
        <v/>
      </c>
      <c r="L2091" s="38" t="str">
        <f aca="false">IF(K2091&lt;&gt;"Yes","",IFERROR(INDEX(cr_Rate,MATCH(J2091&amp;"|"&amp;D2091,cr_Key,0)),INDEX(rt_Rate,MATCH(D2091,rt_Code,0))))</f>
        <v/>
      </c>
      <c r="M2091" s="25" t="str">
        <f aca="false">IF(L2091="","",ROUND(N(E2091)*L2091,2))</f>
        <v/>
      </c>
      <c r="N2091" s="39" t="str">
        <f aca="false">IF(OR(A2091="",B2091=""),"",SUMIFS(tl_Hours,tl_StaffID,I2091,tl_Date,A2091))</f>
        <v/>
      </c>
      <c r="O2091" s="40" t="str">
        <f aca="false">IF(A2091&amp;B2091&amp;D2091="","",IF(OR(A2091="",B2091="",D2091="",E2091=""),"Incomplete",IF(K2091="Unknown","Unknown code",IF(AND(K2091="Yes",C2091=""),"Billable, needs client",IF(N2091&gt;MaxDayHours,"Over "&amp;MaxDayHours&amp;" hours that day","")))))</f>
        <v/>
      </c>
    </row>
    <row r="2092" customFormat="false" ht="15" hidden="false" customHeight="false" outlineLevel="0" collapsed="false">
      <c r="A2092" s="31"/>
      <c r="B2092" s="32"/>
      <c r="C2092" s="32"/>
      <c r="D2092" s="33"/>
      <c r="E2092" s="34"/>
      <c r="F2092" s="32"/>
      <c r="G2092" s="35" t="str">
        <f aca="false">IF(A2092="","",A2092+7-WEEKDAY(A2092))</f>
        <v/>
      </c>
      <c r="H2092" s="36" t="str">
        <f aca="false">IF(A2092="","",DATE(YEAR(A2092),MONTH(A2092),1))</f>
        <v/>
      </c>
      <c r="I2092" s="37" t="str">
        <f aca="false">IF(B2092="","",IFERROR(INDEX(st_ID,MATCH(B2092,st_Name,0)),"Unknown"))</f>
        <v/>
      </c>
      <c r="J2092" s="37" t="str">
        <f aca="false">IF(C2092="","",IFERROR(INDEX(cl_Code,MATCH(C2092,cl_Name,0)),"Unknown"))</f>
        <v/>
      </c>
      <c r="K2092" s="37" t="str">
        <f aca="false">IF(D2092="","",IFERROR(INDEX(rt_Billable,MATCH(D2092,rt_Code,0)),"Unknown"))</f>
        <v/>
      </c>
      <c r="L2092" s="38" t="str">
        <f aca="false">IF(K2092&lt;&gt;"Yes","",IFERROR(INDEX(cr_Rate,MATCH(J2092&amp;"|"&amp;D2092,cr_Key,0)),INDEX(rt_Rate,MATCH(D2092,rt_Code,0))))</f>
        <v/>
      </c>
      <c r="M2092" s="25" t="str">
        <f aca="false">IF(L2092="","",ROUND(N(E2092)*L2092,2))</f>
        <v/>
      </c>
      <c r="N2092" s="39" t="str">
        <f aca="false">IF(OR(A2092="",B2092=""),"",SUMIFS(tl_Hours,tl_StaffID,I2092,tl_Date,A2092))</f>
        <v/>
      </c>
      <c r="O2092" s="40" t="str">
        <f aca="false">IF(A2092&amp;B2092&amp;D2092="","",IF(OR(A2092="",B2092="",D2092="",E2092=""),"Incomplete",IF(K2092="Unknown","Unknown code",IF(AND(K2092="Yes",C2092=""),"Billable, needs client",IF(N2092&gt;MaxDayHours,"Over "&amp;MaxDayHours&amp;" hours that day","")))))</f>
        <v/>
      </c>
    </row>
    <row r="2093" customFormat="false" ht="15" hidden="false" customHeight="false" outlineLevel="0" collapsed="false">
      <c r="A2093" s="31"/>
      <c r="B2093" s="32"/>
      <c r="C2093" s="32"/>
      <c r="D2093" s="33"/>
      <c r="E2093" s="34"/>
      <c r="F2093" s="32"/>
      <c r="G2093" s="35" t="str">
        <f aca="false">IF(A2093="","",A2093+7-WEEKDAY(A2093))</f>
        <v/>
      </c>
      <c r="H2093" s="36" t="str">
        <f aca="false">IF(A2093="","",DATE(YEAR(A2093),MONTH(A2093),1))</f>
        <v/>
      </c>
      <c r="I2093" s="37" t="str">
        <f aca="false">IF(B2093="","",IFERROR(INDEX(st_ID,MATCH(B2093,st_Name,0)),"Unknown"))</f>
        <v/>
      </c>
      <c r="J2093" s="37" t="str">
        <f aca="false">IF(C2093="","",IFERROR(INDEX(cl_Code,MATCH(C2093,cl_Name,0)),"Unknown"))</f>
        <v/>
      </c>
      <c r="K2093" s="37" t="str">
        <f aca="false">IF(D2093="","",IFERROR(INDEX(rt_Billable,MATCH(D2093,rt_Code,0)),"Unknown"))</f>
        <v/>
      </c>
      <c r="L2093" s="38" t="str">
        <f aca="false">IF(K2093&lt;&gt;"Yes","",IFERROR(INDEX(cr_Rate,MATCH(J2093&amp;"|"&amp;D2093,cr_Key,0)),INDEX(rt_Rate,MATCH(D2093,rt_Code,0))))</f>
        <v/>
      </c>
      <c r="M2093" s="25" t="str">
        <f aca="false">IF(L2093="","",ROUND(N(E2093)*L2093,2))</f>
        <v/>
      </c>
      <c r="N2093" s="39" t="str">
        <f aca="false">IF(OR(A2093="",B2093=""),"",SUMIFS(tl_Hours,tl_StaffID,I2093,tl_Date,A2093))</f>
        <v/>
      </c>
      <c r="O2093" s="40" t="str">
        <f aca="false">IF(A2093&amp;B2093&amp;D2093="","",IF(OR(A2093="",B2093="",D2093="",E2093=""),"Incomplete",IF(K2093="Unknown","Unknown code",IF(AND(K2093="Yes",C2093=""),"Billable, needs client",IF(N2093&gt;MaxDayHours,"Over "&amp;MaxDayHours&amp;" hours that day","")))))</f>
        <v/>
      </c>
    </row>
    <row r="2094" customFormat="false" ht="15" hidden="false" customHeight="false" outlineLevel="0" collapsed="false">
      <c r="A2094" s="31"/>
      <c r="B2094" s="32"/>
      <c r="C2094" s="32"/>
      <c r="D2094" s="33"/>
      <c r="E2094" s="34"/>
      <c r="F2094" s="32"/>
      <c r="G2094" s="35" t="str">
        <f aca="false">IF(A2094="","",A2094+7-WEEKDAY(A2094))</f>
        <v/>
      </c>
      <c r="H2094" s="36" t="str">
        <f aca="false">IF(A2094="","",DATE(YEAR(A2094),MONTH(A2094),1))</f>
        <v/>
      </c>
      <c r="I2094" s="37" t="str">
        <f aca="false">IF(B2094="","",IFERROR(INDEX(st_ID,MATCH(B2094,st_Name,0)),"Unknown"))</f>
        <v/>
      </c>
      <c r="J2094" s="37" t="str">
        <f aca="false">IF(C2094="","",IFERROR(INDEX(cl_Code,MATCH(C2094,cl_Name,0)),"Unknown"))</f>
        <v/>
      </c>
      <c r="K2094" s="37" t="str">
        <f aca="false">IF(D2094="","",IFERROR(INDEX(rt_Billable,MATCH(D2094,rt_Code,0)),"Unknown"))</f>
        <v/>
      </c>
      <c r="L2094" s="38" t="str">
        <f aca="false">IF(K2094&lt;&gt;"Yes","",IFERROR(INDEX(cr_Rate,MATCH(J2094&amp;"|"&amp;D2094,cr_Key,0)),INDEX(rt_Rate,MATCH(D2094,rt_Code,0))))</f>
        <v/>
      </c>
      <c r="M2094" s="25" t="str">
        <f aca="false">IF(L2094="","",ROUND(N(E2094)*L2094,2))</f>
        <v/>
      </c>
      <c r="N2094" s="39" t="str">
        <f aca="false">IF(OR(A2094="",B2094=""),"",SUMIFS(tl_Hours,tl_StaffID,I2094,tl_Date,A2094))</f>
        <v/>
      </c>
      <c r="O2094" s="40" t="str">
        <f aca="false">IF(A2094&amp;B2094&amp;D2094="","",IF(OR(A2094="",B2094="",D2094="",E2094=""),"Incomplete",IF(K2094="Unknown","Unknown code",IF(AND(K2094="Yes",C2094=""),"Billable, needs client",IF(N2094&gt;MaxDayHours,"Over "&amp;MaxDayHours&amp;" hours that day","")))))</f>
        <v/>
      </c>
    </row>
    <row r="2095" customFormat="false" ht="15" hidden="false" customHeight="false" outlineLevel="0" collapsed="false">
      <c r="A2095" s="31"/>
      <c r="B2095" s="32"/>
      <c r="C2095" s="32"/>
      <c r="D2095" s="33"/>
      <c r="E2095" s="34"/>
      <c r="F2095" s="32"/>
      <c r="G2095" s="35" t="str">
        <f aca="false">IF(A2095="","",A2095+7-WEEKDAY(A2095))</f>
        <v/>
      </c>
      <c r="H2095" s="36" t="str">
        <f aca="false">IF(A2095="","",DATE(YEAR(A2095),MONTH(A2095),1))</f>
        <v/>
      </c>
      <c r="I2095" s="37" t="str">
        <f aca="false">IF(B2095="","",IFERROR(INDEX(st_ID,MATCH(B2095,st_Name,0)),"Unknown"))</f>
        <v/>
      </c>
      <c r="J2095" s="37" t="str">
        <f aca="false">IF(C2095="","",IFERROR(INDEX(cl_Code,MATCH(C2095,cl_Name,0)),"Unknown"))</f>
        <v/>
      </c>
      <c r="K2095" s="37" t="str">
        <f aca="false">IF(D2095="","",IFERROR(INDEX(rt_Billable,MATCH(D2095,rt_Code,0)),"Unknown"))</f>
        <v/>
      </c>
      <c r="L2095" s="38" t="str">
        <f aca="false">IF(K2095&lt;&gt;"Yes","",IFERROR(INDEX(cr_Rate,MATCH(J2095&amp;"|"&amp;D2095,cr_Key,0)),INDEX(rt_Rate,MATCH(D2095,rt_Code,0))))</f>
        <v/>
      </c>
      <c r="M2095" s="25" t="str">
        <f aca="false">IF(L2095="","",ROUND(N(E2095)*L2095,2))</f>
        <v/>
      </c>
      <c r="N2095" s="39" t="str">
        <f aca="false">IF(OR(A2095="",B2095=""),"",SUMIFS(tl_Hours,tl_StaffID,I2095,tl_Date,A2095))</f>
        <v/>
      </c>
      <c r="O2095" s="40" t="str">
        <f aca="false">IF(A2095&amp;B2095&amp;D2095="","",IF(OR(A2095="",B2095="",D2095="",E2095=""),"Incomplete",IF(K2095="Unknown","Unknown code",IF(AND(K2095="Yes",C2095=""),"Billable, needs client",IF(N2095&gt;MaxDayHours,"Over "&amp;MaxDayHours&amp;" hours that day","")))))</f>
        <v/>
      </c>
    </row>
    <row r="2096" customFormat="false" ht="15" hidden="false" customHeight="false" outlineLevel="0" collapsed="false">
      <c r="A2096" s="31"/>
      <c r="B2096" s="32"/>
      <c r="C2096" s="32"/>
      <c r="D2096" s="33"/>
      <c r="E2096" s="34"/>
      <c r="F2096" s="32"/>
      <c r="G2096" s="35" t="str">
        <f aca="false">IF(A2096="","",A2096+7-WEEKDAY(A2096))</f>
        <v/>
      </c>
      <c r="H2096" s="36" t="str">
        <f aca="false">IF(A2096="","",DATE(YEAR(A2096),MONTH(A2096),1))</f>
        <v/>
      </c>
      <c r="I2096" s="37" t="str">
        <f aca="false">IF(B2096="","",IFERROR(INDEX(st_ID,MATCH(B2096,st_Name,0)),"Unknown"))</f>
        <v/>
      </c>
      <c r="J2096" s="37" t="str">
        <f aca="false">IF(C2096="","",IFERROR(INDEX(cl_Code,MATCH(C2096,cl_Name,0)),"Unknown"))</f>
        <v/>
      </c>
      <c r="K2096" s="37" t="str">
        <f aca="false">IF(D2096="","",IFERROR(INDEX(rt_Billable,MATCH(D2096,rt_Code,0)),"Unknown"))</f>
        <v/>
      </c>
      <c r="L2096" s="38" t="str">
        <f aca="false">IF(K2096&lt;&gt;"Yes","",IFERROR(INDEX(cr_Rate,MATCH(J2096&amp;"|"&amp;D2096,cr_Key,0)),INDEX(rt_Rate,MATCH(D2096,rt_Code,0))))</f>
        <v/>
      </c>
      <c r="M2096" s="25" t="str">
        <f aca="false">IF(L2096="","",ROUND(N(E2096)*L2096,2))</f>
        <v/>
      </c>
      <c r="N2096" s="39" t="str">
        <f aca="false">IF(OR(A2096="",B2096=""),"",SUMIFS(tl_Hours,tl_StaffID,I2096,tl_Date,A2096))</f>
        <v/>
      </c>
      <c r="O2096" s="40" t="str">
        <f aca="false">IF(A2096&amp;B2096&amp;D2096="","",IF(OR(A2096="",B2096="",D2096="",E2096=""),"Incomplete",IF(K2096="Unknown","Unknown code",IF(AND(K2096="Yes",C2096=""),"Billable, needs client",IF(N2096&gt;MaxDayHours,"Over "&amp;MaxDayHours&amp;" hours that day","")))))</f>
        <v/>
      </c>
    </row>
    <row r="2097" customFormat="false" ht="15" hidden="false" customHeight="false" outlineLevel="0" collapsed="false">
      <c r="A2097" s="31"/>
      <c r="B2097" s="32"/>
      <c r="C2097" s="32"/>
      <c r="D2097" s="33"/>
      <c r="E2097" s="34"/>
      <c r="F2097" s="32"/>
      <c r="G2097" s="35" t="str">
        <f aca="false">IF(A2097="","",A2097+7-WEEKDAY(A2097))</f>
        <v/>
      </c>
      <c r="H2097" s="36" t="str">
        <f aca="false">IF(A2097="","",DATE(YEAR(A2097),MONTH(A2097),1))</f>
        <v/>
      </c>
      <c r="I2097" s="37" t="str">
        <f aca="false">IF(B2097="","",IFERROR(INDEX(st_ID,MATCH(B2097,st_Name,0)),"Unknown"))</f>
        <v/>
      </c>
      <c r="J2097" s="37" t="str">
        <f aca="false">IF(C2097="","",IFERROR(INDEX(cl_Code,MATCH(C2097,cl_Name,0)),"Unknown"))</f>
        <v/>
      </c>
      <c r="K2097" s="37" t="str">
        <f aca="false">IF(D2097="","",IFERROR(INDEX(rt_Billable,MATCH(D2097,rt_Code,0)),"Unknown"))</f>
        <v/>
      </c>
      <c r="L2097" s="38" t="str">
        <f aca="false">IF(K2097&lt;&gt;"Yes","",IFERROR(INDEX(cr_Rate,MATCH(J2097&amp;"|"&amp;D2097,cr_Key,0)),INDEX(rt_Rate,MATCH(D2097,rt_Code,0))))</f>
        <v/>
      </c>
      <c r="M2097" s="25" t="str">
        <f aca="false">IF(L2097="","",ROUND(N(E2097)*L2097,2))</f>
        <v/>
      </c>
      <c r="N2097" s="39" t="str">
        <f aca="false">IF(OR(A2097="",B2097=""),"",SUMIFS(tl_Hours,tl_StaffID,I2097,tl_Date,A2097))</f>
        <v/>
      </c>
      <c r="O2097" s="40" t="str">
        <f aca="false">IF(A2097&amp;B2097&amp;D2097="","",IF(OR(A2097="",B2097="",D2097="",E2097=""),"Incomplete",IF(K2097="Unknown","Unknown code",IF(AND(K2097="Yes",C2097=""),"Billable, needs client",IF(N2097&gt;MaxDayHours,"Over "&amp;MaxDayHours&amp;" hours that day","")))))</f>
        <v/>
      </c>
    </row>
    <row r="2098" customFormat="false" ht="15" hidden="false" customHeight="false" outlineLevel="0" collapsed="false">
      <c r="A2098" s="31"/>
      <c r="B2098" s="32"/>
      <c r="C2098" s="32"/>
      <c r="D2098" s="33"/>
      <c r="E2098" s="34"/>
      <c r="F2098" s="32"/>
      <c r="G2098" s="35" t="str">
        <f aca="false">IF(A2098="","",A2098+7-WEEKDAY(A2098))</f>
        <v/>
      </c>
      <c r="H2098" s="36" t="str">
        <f aca="false">IF(A2098="","",DATE(YEAR(A2098),MONTH(A2098),1))</f>
        <v/>
      </c>
      <c r="I2098" s="37" t="str">
        <f aca="false">IF(B2098="","",IFERROR(INDEX(st_ID,MATCH(B2098,st_Name,0)),"Unknown"))</f>
        <v/>
      </c>
      <c r="J2098" s="37" t="str">
        <f aca="false">IF(C2098="","",IFERROR(INDEX(cl_Code,MATCH(C2098,cl_Name,0)),"Unknown"))</f>
        <v/>
      </c>
      <c r="K2098" s="37" t="str">
        <f aca="false">IF(D2098="","",IFERROR(INDEX(rt_Billable,MATCH(D2098,rt_Code,0)),"Unknown"))</f>
        <v/>
      </c>
      <c r="L2098" s="38" t="str">
        <f aca="false">IF(K2098&lt;&gt;"Yes","",IFERROR(INDEX(cr_Rate,MATCH(J2098&amp;"|"&amp;D2098,cr_Key,0)),INDEX(rt_Rate,MATCH(D2098,rt_Code,0))))</f>
        <v/>
      </c>
      <c r="M2098" s="25" t="str">
        <f aca="false">IF(L2098="","",ROUND(N(E2098)*L2098,2))</f>
        <v/>
      </c>
      <c r="N2098" s="39" t="str">
        <f aca="false">IF(OR(A2098="",B2098=""),"",SUMIFS(tl_Hours,tl_StaffID,I2098,tl_Date,A2098))</f>
        <v/>
      </c>
      <c r="O2098" s="40" t="str">
        <f aca="false">IF(A2098&amp;B2098&amp;D2098="","",IF(OR(A2098="",B2098="",D2098="",E2098=""),"Incomplete",IF(K2098="Unknown","Unknown code",IF(AND(K2098="Yes",C2098=""),"Billable, needs client",IF(N2098&gt;MaxDayHours,"Over "&amp;MaxDayHours&amp;" hours that day","")))))</f>
        <v/>
      </c>
    </row>
    <row r="2099" customFormat="false" ht="15" hidden="false" customHeight="false" outlineLevel="0" collapsed="false">
      <c r="A2099" s="31"/>
      <c r="B2099" s="32"/>
      <c r="C2099" s="32"/>
      <c r="D2099" s="33"/>
      <c r="E2099" s="34"/>
      <c r="F2099" s="32"/>
      <c r="G2099" s="35" t="str">
        <f aca="false">IF(A2099="","",A2099+7-WEEKDAY(A2099))</f>
        <v/>
      </c>
      <c r="H2099" s="36" t="str">
        <f aca="false">IF(A2099="","",DATE(YEAR(A2099),MONTH(A2099),1))</f>
        <v/>
      </c>
      <c r="I2099" s="37" t="str">
        <f aca="false">IF(B2099="","",IFERROR(INDEX(st_ID,MATCH(B2099,st_Name,0)),"Unknown"))</f>
        <v/>
      </c>
      <c r="J2099" s="37" t="str">
        <f aca="false">IF(C2099="","",IFERROR(INDEX(cl_Code,MATCH(C2099,cl_Name,0)),"Unknown"))</f>
        <v/>
      </c>
      <c r="K2099" s="37" t="str">
        <f aca="false">IF(D2099="","",IFERROR(INDEX(rt_Billable,MATCH(D2099,rt_Code,0)),"Unknown"))</f>
        <v/>
      </c>
      <c r="L2099" s="38" t="str">
        <f aca="false">IF(K2099&lt;&gt;"Yes","",IFERROR(INDEX(cr_Rate,MATCH(J2099&amp;"|"&amp;D2099,cr_Key,0)),INDEX(rt_Rate,MATCH(D2099,rt_Code,0))))</f>
        <v/>
      </c>
      <c r="M2099" s="25" t="str">
        <f aca="false">IF(L2099="","",ROUND(N(E2099)*L2099,2))</f>
        <v/>
      </c>
      <c r="N2099" s="39" t="str">
        <f aca="false">IF(OR(A2099="",B2099=""),"",SUMIFS(tl_Hours,tl_StaffID,I2099,tl_Date,A2099))</f>
        <v/>
      </c>
      <c r="O2099" s="40" t="str">
        <f aca="false">IF(A2099&amp;B2099&amp;D2099="","",IF(OR(A2099="",B2099="",D2099="",E2099=""),"Incomplete",IF(K2099="Unknown","Unknown code",IF(AND(K2099="Yes",C2099=""),"Billable, needs client",IF(N2099&gt;MaxDayHours,"Over "&amp;MaxDayHours&amp;" hours that day","")))))</f>
        <v/>
      </c>
    </row>
    <row r="2100" customFormat="false" ht="15" hidden="false" customHeight="false" outlineLevel="0" collapsed="false">
      <c r="A2100" s="31"/>
      <c r="B2100" s="32"/>
      <c r="C2100" s="32"/>
      <c r="D2100" s="33"/>
      <c r="E2100" s="34"/>
      <c r="F2100" s="32"/>
      <c r="G2100" s="35" t="str">
        <f aca="false">IF(A2100="","",A2100+7-WEEKDAY(A2100))</f>
        <v/>
      </c>
      <c r="H2100" s="36" t="str">
        <f aca="false">IF(A2100="","",DATE(YEAR(A2100),MONTH(A2100),1))</f>
        <v/>
      </c>
      <c r="I2100" s="37" t="str">
        <f aca="false">IF(B2100="","",IFERROR(INDEX(st_ID,MATCH(B2100,st_Name,0)),"Unknown"))</f>
        <v/>
      </c>
      <c r="J2100" s="37" t="str">
        <f aca="false">IF(C2100="","",IFERROR(INDEX(cl_Code,MATCH(C2100,cl_Name,0)),"Unknown"))</f>
        <v/>
      </c>
      <c r="K2100" s="37" t="str">
        <f aca="false">IF(D2100="","",IFERROR(INDEX(rt_Billable,MATCH(D2100,rt_Code,0)),"Unknown"))</f>
        <v/>
      </c>
      <c r="L2100" s="38" t="str">
        <f aca="false">IF(K2100&lt;&gt;"Yes","",IFERROR(INDEX(cr_Rate,MATCH(J2100&amp;"|"&amp;D2100,cr_Key,0)),INDEX(rt_Rate,MATCH(D2100,rt_Code,0))))</f>
        <v/>
      </c>
      <c r="M2100" s="25" t="str">
        <f aca="false">IF(L2100="","",ROUND(N(E2100)*L2100,2))</f>
        <v/>
      </c>
      <c r="N2100" s="39" t="str">
        <f aca="false">IF(OR(A2100="",B2100=""),"",SUMIFS(tl_Hours,tl_StaffID,I2100,tl_Date,A2100))</f>
        <v/>
      </c>
      <c r="O2100" s="40" t="str">
        <f aca="false">IF(A2100&amp;B2100&amp;D2100="","",IF(OR(A2100="",B2100="",D2100="",E2100=""),"Incomplete",IF(K2100="Unknown","Unknown code",IF(AND(K2100="Yes",C2100=""),"Billable, needs client",IF(N2100&gt;MaxDayHours,"Over "&amp;MaxDayHours&amp;" hours that day","")))))</f>
        <v/>
      </c>
    </row>
    <row r="2101" customFormat="false" ht="15" hidden="false" customHeight="false" outlineLevel="0" collapsed="false">
      <c r="A2101" s="31"/>
      <c r="B2101" s="32"/>
      <c r="C2101" s="32"/>
      <c r="D2101" s="33"/>
      <c r="E2101" s="34"/>
      <c r="F2101" s="32"/>
      <c r="G2101" s="35" t="str">
        <f aca="false">IF(A2101="","",A2101+7-WEEKDAY(A2101))</f>
        <v/>
      </c>
      <c r="H2101" s="36" t="str">
        <f aca="false">IF(A2101="","",DATE(YEAR(A2101),MONTH(A2101),1))</f>
        <v/>
      </c>
      <c r="I2101" s="37" t="str">
        <f aca="false">IF(B2101="","",IFERROR(INDEX(st_ID,MATCH(B2101,st_Name,0)),"Unknown"))</f>
        <v/>
      </c>
      <c r="J2101" s="37" t="str">
        <f aca="false">IF(C2101="","",IFERROR(INDEX(cl_Code,MATCH(C2101,cl_Name,0)),"Unknown"))</f>
        <v/>
      </c>
      <c r="K2101" s="37" t="str">
        <f aca="false">IF(D2101="","",IFERROR(INDEX(rt_Billable,MATCH(D2101,rt_Code,0)),"Unknown"))</f>
        <v/>
      </c>
      <c r="L2101" s="38" t="str">
        <f aca="false">IF(K2101&lt;&gt;"Yes","",IFERROR(INDEX(cr_Rate,MATCH(J2101&amp;"|"&amp;D2101,cr_Key,0)),INDEX(rt_Rate,MATCH(D2101,rt_Code,0))))</f>
        <v/>
      </c>
      <c r="M2101" s="25" t="str">
        <f aca="false">IF(L2101="","",ROUND(N(E2101)*L2101,2))</f>
        <v/>
      </c>
      <c r="N2101" s="39" t="str">
        <f aca="false">IF(OR(A2101="",B2101=""),"",SUMIFS(tl_Hours,tl_StaffID,I2101,tl_Date,A2101))</f>
        <v/>
      </c>
      <c r="O2101" s="40" t="str">
        <f aca="false">IF(A2101&amp;B2101&amp;D2101="","",IF(OR(A2101="",B2101="",D2101="",E2101=""),"Incomplete",IF(K2101="Unknown","Unknown code",IF(AND(K2101="Yes",C2101=""),"Billable, needs client",IF(N2101&gt;MaxDayHours,"Over "&amp;MaxDayHours&amp;" hours that day","")))))</f>
        <v/>
      </c>
    </row>
    <row r="2102" customFormat="false" ht="15" hidden="false" customHeight="false" outlineLevel="0" collapsed="false">
      <c r="A2102" s="31"/>
      <c r="B2102" s="32"/>
      <c r="C2102" s="32"/>
      <c r="D2102" s="33"/>
      <c r="E2102" s="34"/>
      <c r="F2102" s="32"/>
      <c r="G2102" s="35" t="str">
        <f aca="false">IF(A2102="","",A2102+7-WEEKDAY(A2102))</f>
        <v/>
      </c>
      <c r="H2102" s="36" t="str">
        <f aca="false">IF(A2102="","",DATE(YEAR(A2102),MONTH(A2102),1))</f>
        <v/>
      </c>
      <c r="I2102" s="37" t="str">
        <f aca="false">IF(B2102="","",IFERROR(INDEX(st_ID,MATCH(B2102,st_Name,0)),"Unknown"))</f>
        <v/>
      </c>
      <c r="J2102" s="37" t="str">
        <f aca="false">IF(C2102="","",IFERROR(INDEX(cl_Code,MATCH(C2102,cl_Name,0)),"Unknown"))</f>
        <v/>
      </c>
      <c r="K2102" s="37" t="str">
        <f aca="false">IF(D2102="","",IFERROR(INDEX(rt_Billable,MATCH(D2102,rt_Code,0)),"Unknown"))</f>
        <v/>
      </c>
      <c r="L2102" s="38" t="str">
        <f aca="false">IF(K2102&lt;&gt;"Yes","",IFERROR(INDEX(cr_Rate,MATCH(J2102&amp;"|"&amp;D2102,cr_Key,0)),INDEX(rt_Rate,MATCH(D2102,rt_Code,0))))</f>
        <v/>
      </c>
      <c r="M2102" s="25" t="str">
        <f aca="false">IF(L2102="","",ROUND(N(E2102)*L2102,2))</f>
        <v/>
      </c>
      <c r="N2102" s="39" t="str">
        <f aca="false">IF(OR(A2102="",B2102=""),"",SUMIFS(tl_Hours,tl_StaffID,I2102,tl_Date,A2102))</f>
        <v/>
      </c>
      <c r="O2102" s="40" t="str">
        <f aca="false">IF(A2102&amp;B2102&amp;D2102="","",IF(OR(A2102="",B2102="",D2102="",E2102=""),"Incomplete",IF(K2102="Unknown","Unknown code",IF(AND(K2102="Yes",C2102=""),"Billable, needs client",IF(N2102&gt;MaxDayHours,"Over "&amp;MaxDayHours&amp;" hours that day","")))))</f>
        <v/>
      </c>
    </row>
    <row r="2103" customFormat="false" ht="15" hidden="false" customHeight="false" outlineLevel="0" collapsed="false">
      <c r="A2103" s="31"/>
      <c r="B2103" s="32"/>
      <c r="C2103" s="32"/>
      <c r="D2103" s="33"/>
      <c r="E2103" s="34"/>
      <c r="F2103" s="32"/>
      <c r="G2103" s="35" t="str">
        <f aca="false">IF(A2103="","",A2103+7-WEEKDAY(A2103))</f>
        <v/>
      </c>
      <c r="H2103" s="36" t="str">
        <f aca="false">IF(A2103="","",DATE(YEAR(A2103),MONTH(A2103),1))</f>
        <v/>
      </c>
      <c r="I2103" s="37" t="str">
        <f aca="false">IF(B2103="","",IFERROR(INDEX(st_ID,MATCH(B2103,st_Name,0)),"Unknown"))</f>
        <v/>
      </c>
      <c r="J2103" s="37" t="str">
        <f aca="false">IF(C2103="","",IFERROR(INDEX(cl_Code,MATCH(C2103,cl_Name,0)),"Unknown"))</f>
        <v/>
      </c>
      <c r="K2103" s="37" t="str">
        <f aca="false">IF(D2103="","",IFERROR(INDEX(rt_Billable,MATCH(D2103,rt_Code,0)),"Unknown"))</f>
        <v/>
      </c>
      <c r="L2103" s="38" t="str">
        <f aca="false">IF(K2103&lt;&gt;"Yes","",IFERROR(INDEX(cr_Rate,MATCH(J2103&amp;"|"&amp;D2103,cr_Key,0)),INDEX(rt_Rate,MATCH(D2103,rt_Code,0))))</f>
        <v/>
      </c>
      <c r="M2103" s="25" t="str">
        <f aca="false">IF(L2103="","",ROUND(N(E2103)*L2103,2))</f>
        <v/>
      </c>
      <c r="N2103" s="39" t="str">
        <f aca="false">IF(OR(A2103="",B2103=""),"",SUMIFS(tl_Hours,tl_StaffID,I2103,tl_Date,A2103))</f>
        <v/>
      </c>
      <c r="O2103" s="40" t="str">
        <f aca="false">IF(A2103&amp;B2103&amp;D2103="","",IF(OR(A2103="",B2103="",D2103="",E2103=""),"Incomplete",IF(K2103="Unknown","Unknown code",IF(AND(K2103="Yes",C2103=""),"Billable, needs client",IF(N2103&gt;MaxDayHours,"Over "&amp;MaxDayHours&amp;" hours that day","")))))</f>
        <v/>
      </c>
    </row>
    <row r="2104" customFormat="false" ht="15" hidden="false" customHeight="false" outlineLevel="0" collapsed="false">
      <c r="A2104" s="31"/>
      <c r="B2104" s="32"/>
      <c r="C2104" s="32"/>
      <c r="D2104" s="33"/>
      <c r="E2104" s="34"/>
      <c r="F2104" s="32"/>
      <c r="G2104" s="35" t="str">
        <f aca="false">IF(A2104="","",A2104+7-WEEKDAY(A2104))</f>
        <v/>
      </c>
      <c r="H2104" s="36" t="str">
        <f aca="false">IF(A2104="","",DATE(YEAR(A2104),MONTH(A2104),1))</f>
        <v/>
      </c>
      <c r="I2104" s="37" t="str">
        <f aca="false">IF(B2104="","",IFERROR(INDEX(st_ID,MATCH(B2104,st_Name,0)),"Unknown"))</f>
        <v/>
      </c>
      <c r="J2104" s="37" t="str">
        <f aca="false">IF(C2104="","",IFERROR(INDEX(cl_Code,MATCH(C2104,cl_Name,0)),"Unknown"))</f>
        <v/>
      </c>
      <c r="K2104" s="37" t="str">
        <f aca="false">IF(D2104="","",IFERROR(INDEX(rt_Billable,MATCH(D2104,rt_Code,0)),"Unknown"))</f>
        <v/>
      </c>
      <c r="L2104" s="38" t="str">
        <f aca="false">IF(K2104&lt;&gt;"Yes","",IFERROR(INDEX(cr_Rate,MATCH(J2104&amp;"|"&amp;D2104,cr_Key,0)),INDEX(rt_Rate,MATCH(D2104,rt_Code,0))))</f>
        <v/>
      </c>
      <c r="M2104" s="25" t="str">
        <f aca="false">IF(L2104="","",ROUND(N(E2104)*L2104,2))</f>
        <v/>
      </c>
      <c r="N2104" s="39" t="str">
        <f aca="false">IF(OR(A2104="",B2104=""),"",SUMIFS(tl_Hours,tl_StaffID,I2104,tl_Date,A2104))</f>
        <v/>
      </c>
      <c r="O2104" s="40" t="str">
        <f aca="false">IF(A2104&amp;B2104&amp;D2104="","",IF(OR(A2104="",B2104="",D2104="",E2104=""),"Incomplete",IF(K2104="Unknown","Unknown code",IF(AND(K2104="Yes",C2104=""),"Billable, needs client",IF(N2104&gt;MaxDayHours,"Over "&amp;MaxDayHours&amp;" hours that day","")))))</f>
        <v/>
      </c>
    </row>
    <row r="2105" customFormat="false" ht="15" hidden="false" customHeight="false" outlineLevel="0" collapsed="false">
      <c r="A2105" s="31"/>
      <c r="B2105" s="32"/>
      <c r="C2105" s="32"/>
      <c r="D2105" s="33"/>
      <c r="E2105" s="34"/>
      <c r="F2105" s="32"/>
      <c r="G2105" s="35" t="str">
        <f aca="false">IF(A2105="","",A2105+7-WEEKDAY(A2105))</f>
        <v/>
      </c>
      <c r="H2105" s="36" t="str">
        <f aca="false">IF(A2105="","",DATE(YEAR(A2105),MONTH(A2105),1))</f>
        <v/>
      </c>
      <c r="I2105" s="37" t="str">
        <f aca="false">IF(B2105="","",IFERROR(INDEX(st_ID,MATCH(B2105,st_Name,0)),"Unknown"))</f>
        <v/>
      </c>
      <c r="J2105" s="37" t="str">
        <f aca="false">IF(C2105="","",IFERROR(INDEX(cl_Code,MATCH(C2105,cl_Name,0)),"Unknown"))</f>
        <v/>
      </c>
      <c r="K2105" s="37" t="str">
        <f aca="false">IF(D2105="","",IFERROR(INDEX(rt_Billable,MATCH(D2105,rt_Code,0)),"Unknown"))</f>
        <v/>
      </c>
      <c r="L2105" s="38" t="str">
        <f aca="false">IF(K2105&lt;&gt;"Yes","",IFERROR(INDEX(cr_Rate,MATCH(J2105&amp;"|"&amp;D2105,cr_Key,0)),INDEX(rt_Rate,MATCH(D2105,rt_Code,0))))</f>
        <v/>
      </c>
      <c r="M2105" s="25" t="str">
        <f aca="false">IF(L2105="","",ROUND(N(E2105)*L2105,2))</f>
        <v/>
      </c>
      <c r="N2105" s="39" t="str">
        <f aca="false">IF(OR(A2105="",B2105=""),"",SUMIFS(tl_Hours,tl_StaffID,I2105,tl_Date,A2105))</f>
        <v/>
      </c>
      <c r="O2105" s="40" t="str">
        <f aca="false">IF(A2105&amp;B2105&amp;D2105="","",IF(OR(A2105="",B2105="",D2105="",E2105=""),"Incomplete",IF(K2105="Unknown","Unknown code",IF(AND(K2105="Yes",C2105=""),"Billable, needs client",IF(N2105&gt;MaxDayHours,"Over "&amp;MaxDayHours&amp;" hours that day","")))))</f>
        <v/>
      </c>
    </row>
    <row r="2106" customFormat="false" ht="15" hidden="false" customHeight="false" outlineLevel="0" collapsed="false">
      <c r="A2106" s="31"/>
      <c r="B2106" s="32"/>
      <c r="C2106" s="32"/>
      <c r="D2106" s="33"/>
      <c r="E2106" s="34"/>
      <c r="F2106" s="32"/>
      <c r="G2106" s="35" t="str">
        <f aca="false">IF(A2106="","",A2106+7-WEEKDAY(A2106))</f>
        <v/>
      </c>
      <c r="H2106" s="36" t="str">
        <f aca="false">IF(A2106="","",DATE(YEAR(A2106),MONTH(A2106),1))</f>
        <v/>
      </c>
      <c r="I2106" s="37" t="str">
        <f aca="false">IF(B2106="","",IFERROR(INDEX(st_ID,MATCH(B2106,st_Name,0)),"Unknown"))</f>
        <v/>
      </c>
      <c r="J2106" s="37" t="str">
        <f aca="false">IF(C2106="","",IFERROR(INDEX(cl_Code,MATCH(C2106,cl_Name,0)),"Unknown"))</f>
        <v/>
      </c>
      <c r="K2106" s="37" t="str">
        <f aca="false">IF(D2106="","",IFERROR(INDEX(rt_Billable,MATCH(D2106,rt_Code,0)),"Unknown"))</f>
        <v/>
      </c>
      <c r="L2106" s="38" t="str">
        <f aca="false">IF(K2106&lt;&gt;"Yes","",IFERROR(INDEX(cr_Rate,MATCH(J2106&amp;"|"&amp;D2106,cr_Key,0)),INDEX(rt_Rate,MATCH(D2106,rt_Code,0))))</f>
        <v/>
      </c>
      <c r="M2106" s="25" t="str">
        <f aca="false">IF(L2106="","",ROUND(N(E2106)*L2106,2))</f>
        <v/>
      </c>
      <c r="N2106" s="39" t="str">
        <f aca="false">IF(OR(A2106="",B2106=""),"",SUMIFS(tl_Hours,tl_StaffID,I2106,tl_Date,A2106))</f>
        <v/>
      </c>
      <c r="O2106" s="40" t="str">
        <f aca="false">IF(A2106&amp;B2106&amp;D2106="","",IF(OR(A2106="",B2106="",D2106="",E2106=""),"Incomplete",IF(K2106="Unknown","Unknown code",IF(AND(K2106="Yes",C2106=""),"Billable, needs client",IF(N2106&gt;MaxDayHours,"Over "&amp;MaxDayHours&amp;" hours that day","")))))</f>
        <v/>
      </c>
    </row>
    <row r="2107" customFormat="false" ht="15" hidden="false" customHeight="false" outlineLevel="0" collapsed="false">
      <c r="A2107" s="31"/>
      <c r="B2107" s="32"/>
      <c r="C2107" s="32"/>
      <c r="D2107" s="33"/>
      <c r="E2107" s="34"/>
      <c r="F2107" s="32"/>
      <c r="G2107" s="35" t="str">
        <f aca="false">IF(A2107="","",A2107+7-WEEKDAY(A2107))</f>
        <v/>
      </c>
      <c r="H2107" s="36" t="str">
        <f aca="false">IF(A2107="","",DATE(YEAR(A2107),MONTH(A2107),1))</f>
        <v/>
      </c>
      <c r="I2107" s="37" t="str">
        <f aca="false">IF(B2107="","",IFERROR(INDEX(st_ID,MATCH(B2107,st_Name,0)),"Unknown"))</f>
        <v/>
      </c>
      <c r="J2107" s="37" t="str">
        <f aca="false">IF(C2107="","",IFERROR(INDEX(cl_Code,MATCH(C2107,cl_Name,0)),"Unknown"))</f>
        <v/>
      </c>
      <c r="K2107" s="37" t="str">
        <f aca="false">IF(D2107="","",IFERROR(INDEX(rt_Billable,MATCH(D2107,rt_Code,0)),"Unknown"))</f>
        <v/>
      </c>
      <c r="L2107" s="38" t="str">
        <f aca="false">IF(K2107&lt;&gt;"Yes","",IFERROR(INDEX(cr_Rate,MATCH(J2107&amp;"|"&amp;D2107,cr_Key,0)),INDEX(rt_Rate,MATCH(D2107,rt_Code,0))))</f>
        <v/>
      </c>
      <c r="M2107" s="25" t="str">
        <f aca="false">IF(L2107="","",ROUND(N(E2107)*L2107,2))</f>
        <v/>
      </c>
      <c r="N2107" s="39" t="str">
        <f aca="false">IF(OR(A2107="",B2107=""),"",SUMIFS(tl_Hours,tl_StaffID,I2107,tl_Date,A2107))</f>
        <v/>
      </c>
      <c r="O2107" s="40" t="str">
        <f aca="false">IF(A2107&amp;B2107&amp;D2107="","",IF(OR(A2107="",B2107="",D2107="",E2107=""),"Incomplete",IF(K2107="Unknown","Unknown code",IF(AND(K2107="Yes",C2107=""),"Billable, needs client",IF(N2107&gt;MaxDayHours,"Over "&amp;MaxDayHours&amp;" hours that day","")))))</f>
        <v/>
      </c>
    </row>
    <row r="2108" customFormat="false" ht="15" hidden="false" customHeight="false" outlineLevel="0" collapsed="false">
      <c r="A2108" s="31"/>
      <c r="B2108" s="32"/>
      <c r="C2108" s="32"/>
      <c r="D2108" s="33"/>
      <c r="E2108" s="34"/>
      <c r="F2108" s="32"/>
      <c r="G2108" s="35" t="str">
        <f aca="false">IF(A2108="","",A2108+7-WEEKDAY(A2108))</f>
        <v/>
      </c>
      <c r="H2108" s="36" t="str">
        <f aca="false">IF(A2108="","",DATE(YEAR(A2108),MONTH(A2108),1))</f>
        <v/>
      </c>
      <c r="I2108" s="37" t="str">
        <f aca="false">IF(B2108="","",IFERROR(INDEX(st_ID,MATCH(B2108,st_Name,0)),"Unknown"))</f>
        <v/>
      </c>
      <c r="J2108" s="37" t="str">
        <f aca="false">IF(C2108="","",IFERROR(INDEX(cl_Code,MATCH(C2108,cl_Name,0)),"Unknown"))</f>
        <v/>
      </c>
      <c r="K2108" s="37" t="str">
        <f aca="false">IF(D2108="","",IFERROR(INDEX(rt_Billable,MATCH(D2108,rt_Code,0)),"Unknown"))</f>
        <v/>
      </c>
      <c r="L2108" s="38" t="str">
        <f aca="false">IF(K2108&lt;&gt;"Yes","",IFERROR(INDEX(cr_Rate,MATCH(J2108&amp;"|"&amp;D2108,cr_Key,0)),INDEX(rt_Rate,MATCH(D2108,rt_Code,0))))</f>
        <v/>
      </c>
      <c r="M2108" s="25" t="str">
        <f aca="false">IF(L2108="","",ROUND(N(E2108)*L2108,2))</f>
        <v/>
      </c>
      <c r="N2108" s="39" t="str">
        <f aca="false">IF(OR(A2108="",B2108=""),"",SUMIFS(tl_Hours,tl_StaffID,I2108,tl_Date,A2108))</f>
        <v/>
      </c>
      <c r="O2108" s="40" t="str">
        <f aca="false">IF(A2108&amp;B2108&amp;D2108="","",IF(OR(A2108="",B2108="",D2108="",E2108=""),"Incomplete",IF(K2108="Unknown","Unknown code",IF(AND(K2108="Yes",C2108=""),"Billable, needs client",IF(N2108&gt;MaxDayHours,"Over "&amp;MaxDayHours&amp;" hours that day","")))))</f>
        <v/>
      </c>
    </row>
    <row r="2109" customFormat="false" ht="15" hidden="false" customHeight="false" outlineLevel="0" collapsed="false">
      <c r="A2109" s="31"/>
      <c r="B2109" s="32"/>
      <c r="C2109" s="32"/>
      <c r="D2109" s="33"/>
      <c r="E2109" s="34"/>
      <c r="F2109" s="32"/>
      <c r="G2109" s="35" t="str">
        <f aca="false">IF(A2109="","",A2109+7-WEEKDAY(A2109))</f>
        <v/>
      </c>
      <c r="H2109" s="36" t="str">
        <f aca="false">IF(A2109="","",DATE(YEAR(A2109),MONTH(A2109),1))</f>
        <v/>
      </c>
      <c r="I2109" s="37" t="str">
        <f aca="false">IF(B2109="","",IFERROR(INDEX(st_ID,MATCH(B2109,st_Name,0)),"Unknown"))</f>
        <v/>
      </c>
      <c r="J2109" s="37" t="str">
        <f aca="false">IF(C2109="","",IFERROR(INDEX(cl_Code,MATCH(C2109,cl_Name,0)),"Unknown"))</f>
        <v/>
      </c>
      <c r="K2109" s="37" t="str">
        <f aca="false">IF(D2109="","",IFERROR(INDEX(rt_Billable,MATCH(D2109,rt_Code,0)),"Unknown"))</f>
        <v/>
      </c>
      <c r="L2109" s="38" t="str">
        <f aca="false">IF(K2109&lt;&gt;"Yes","",IFERROR(INDEX(cr_Rate,MATCH(J2109&amp;"|"&amp;D2109,cr_Key,0)),INDEX(rt_Rate,MATCH(D2109,rt_Code,0))))</f>
        <v/>
      </c>
      <c r="M2109" s="25" t="str">
        <f aca="false">IF(L2109="","",ROUND(N(E2109)*L2109,2))</f>
        <v/>
      </c>
      <c r="N2109" s="39" t="str">
        <f aca="false">IF(OR(A2109="",B2109=""),"",SUMIFS(tl_Hours,tl_StaffID,I2109,tl_Date,A2109))</f>
        <v/>
      </c>
      <c r="O2109" s="40" t="str">
        <f aca="false">IF(A2109&amp;B2109&amp;D2109="","",IF(OR(A2109="",B2109="",D2109="",E2109=""),"Incomplete",IF(K2109="Unknown","Unknown code",IF(AND(K2109="Yes",C2109=""),"Billable, needs client",IF(N2109&gt;MaxDayHours,"Over "&amp;MaxDayHours&amp;" hours that day","")))))</f>
        <v/>
      </c>
    </row>
    <row r="2110" customFormat="false" ht="15" hidden="false" customHeight="false" outlineLevel="0" collapsed="false">
      <c r="A2110" s="31"/>
      <c r="B2110" s="32"/>
      <c r="C2110" s="32"/>
      <c r="D2110" s="33"/>
      <c r="E2110" s="34"/>
      <c r="F2110" s="32"/>
      <c r="G2110" s="35" t="str">
        <f aca="false">IF(A2110="","",A2110+7-WEEKDAY(A2110))</f>
        <v/>
      </c>
      <c r="H2110" s="36" t="str">
        <f aca="false">IF(A2110="","",DATE(YEAR(A2110),MONTH(A2110),1))</f>
        <v/>
      </c>
      <c r="I2110" s="37" t="str">
        <f aca="false">IF(B2110="","",IFERROR(INDEX(st_ID,MATCH(B2110,st_Name,0)),"Unknown"))</f>
        <v/>
      </c>
      <c r="J2110" s="37" t="str">
        <f aca="false">IF(C2110="","",IFERROR(INDEX(cl_Code,MATCH(C2110,cl_Name,0)),"Unknown"))</f>
        <v/>
      </c>
      <c r="K2110" s="37" t="str">
        <f aca="false">IF(D2110="","",IFERROR(INDEX(rt_Billable,MATCH(D2110,rt_Code,0)),"Unknown"))</f>
        <v/>
      </c>
      <c r="L2110" s="38" t="str">
        <f aca="false">IF(K2110&lt;&gt;"Yes","",IFERROR(INDEX(cr_Rate,MATCH(J2110&amp;"|"&amp;D2110,cr_Key,0)),INDEX(rt_Rate,MATCH(D2110,rt_Code,0))))</f>
        <v/>
      </c>
      <c r="M2110" s="25" t="str">
        <f aca="false">IF(L2110="","",ROUND(N(E2110)*L2110,2))</f>
        <v/>
      </c>
      <c r="N2110" s="39" t="str">
        <f aca="false">IF(OR(A2110="",B2110=""),"",SUMIFS(tl_Hours,tl_StaffID,I2110,tl_Date,A2110))</f>
        <v/>
      </c>
      <c r="O2110" s="40" t="str">
        <f aca="false">IF(A2110&amp;B2110&amp;D2110="","",IF(OR(A2110="",B2110="",D2110="",E2110=""),"Incomplete",IF(K2110="Unknown","Unknown code",IF(AND(K2110="Yes",C2110=""),"Billable, needs client",IF(N2110&gt;MaxDayHours,"Over "&amp;MaxDayHours&amp;" hours that day","")))))</f>
        <v/>
      </c>
    </row>
    <row r="2111" customFormat="false" ht="15" hidden="false" customHeight="false" outlineLevel="0" collapsed="false">
      <c r="A2111" s="31"/>
      <c r="B2111" s="32"/>
      <c r="C2111" s="32"/>
      <c r="D2111" s="33"/>
      <c r="E2111" s="34"/>
      <c r="F2111" s="32"/>
      <c r="G2111" s="35" t="str">
        <f aca="false">IF(A2111="","",A2111+7-WEEKDAY(A2111))</f>
        <v/>
      </c>
      <c r="H2111" s="36" t="str">
        <f aca="false">IF(A2111="","",DATE(YEAR(A2111),MONTH(A2111),1))</f>
        <v/>
      </c>
      <c r="I2111" s="37" t="str">
        <f aca="false">IF(B2111="","",IFERROR(INDEX(st_ID,MATCH(B2111,st_Name,0)),"Unknown"))</f>
        <v/>
      </c>
      <c r="J2111" s="37" t="str">
        <f aca="false">IF(C2111="","",IFERROR(INDEX(cl_Code,MATCH(C2111,cl_Name,0)),"Unknown"))</f>
        <v/>
      </c>
      <c r="K2111" s="37" t="str">
        <f aca="false">IF(D2111="","",IFERROR(INDEX(rt_Billable,MATCH(D2111,rt_Code,0)),"Unknown"))</f>
        <v/>
      </c>
      <c r="L2111" s="38" t="str">
        <f aca="false">IF(K2111&lt;&gt;"Yes","",IFERROR(INDEX(cr_Rate,MATCH(J2111&amp;"|"&amp;D2111,cr_Key,0)),INDEX(rt_Rate,MATCH(D2111,rt_Code,0))))</f>
        <v/>
      </c>
      <c r="M2111" s="25" t="str">
        <f aca="false">IF(L2111="","",ROUND(N(E2111)*L2111,2))</f>
        <v/>
      </c>
      <c r="N2111" s="39" t="str">
        <f aca="false">IF(OR(A2111="",B2111=""),"",SUMIFS(tl_Hours,tl_StaffID,I2111,tl_Date,A2111))</f>
        <v/>
      </c>
      <c r="O2111" s="40" t="str">
        <f aca="false">IF(A2111&amp;B2111&amp;D2111="","",IF(OR(A2111="",B2111="",D2111="",E2111=""),"Incomplete",IF(K2111="Unknown","Unknown code",IF(AND(K2111="Yes",C2111=""),"Billable, needs client",IF(N2111&gt;MaxDayHours,"Over "&amp;MaxDayHours&amp;" hours that day","")))))</f>
        <v/>
      </c>
    </row>
    <row r="2112" customFormat="false" ht="15" hidden="false" customHeight="false" outlineLevel="0" collapsed="false">
      <c r="A2112" s="31"/>
      <c r="B2112" s="32"/>
      <c r="C2112" s="32"/>
      <c r="D2112" s="33"/>
      <c r="E2112" s="34"/>
      <c r="F2112" s="32"/>
      <c r="G2112" s="35" t="str">
        <f aca="false">IF(A2112="","",A2112+7-WEEKDAY(A2112))</f>
        <v/>
      </c>
      <c r="H2112" s="36" t="str">
        <f aca="false">IF(A2112="","",DATE(YEAR(A2112),MONTH(A2112),1))</f>
        <v/>
      </c>
      <c r="I2112" s="37" t="str">
        <f aca="false">IF(B2112="","",IFERROR(INDEX(st_ID,MATCH(B2112,st_Name,0)),"Unknown"))</f>
        <v/>
      </c>
      <c r="J2112" s="37" t="str">
        <f aca="false">IF(C2112="","",IFERROR(INDEX(cl_Code,MATCH(C2112,cl_Name,0)),"Unknown"))</f>
        <v/>
      </c>
      <c r="K2112" s="37" t="str">
        <f aca="false">IF(D2112="","",IFERROR(INDEX(rt_Billable,MATCH(D2112,rt_Code,0)),"Unknown"))</f>
        <v/>
      </c>
      <c r="L2112" s="38" t="str">
        <f aca="false">IF(K2112&lt;&gt;"Yes","",IFERROR(INDEX(cr_Rate,MATCH(J2112&amp;"|"&amp;D2112,cr_Key,0)),INDEX(rt_Rate,MATCH(D2112,rt_Code,0))))</f>
        <v/>
      </c>
      <c r="M2112" s="25" t="str">
        <f aca="false">IF(L2112="","",ROUND(N(E2112)*L2112,2))</f>
        <v/>
      </c>
      <c r="N2112" s="39" t="str">
        <f aca="false">IF(OR(A2112="",B2112=""),"",SUMIFS(tl_Hours,tl_StaffID,I2112,tl_Date,A2112))</f>
        <v/>
      </c>
      <c r="O2112" s="40" t="str">
        <f aca="false">IF(A2112&amp;B2112&amp;D2112="","",IF(OR(A2112="",B2112="",D2112="",E2112=""),"Incomplete",IF(K2112="Unknown","Unknown code",IF(AND(K2112="Yes",C2112=""),"Billable, needs client",IF(N2112&gt;MaxDayHours,"Over "&amp;MaxDayHours&amp;" hours that day","")))))</f>
        <v/>
      </c>
    </row>
    <row r="2113" customFormat="false" ht="15" hidden="false" customHeight="false" outlineLevel="0" collapsed="false">
      <c r="A2113" s="31"/>
      <c r="B2113" s="32"/>
      <c r="C2113" s="32"/>
      <c r="D2113" s="33"/>
      <c r="E2113" s="34"/>
      <c r="F2113" s="32"/>
      <c r="G2113" s="35" t="str">
        <f aca="false">IF(A2113="","",A2113+7-WEEKDAY(A2113))</f>
        <v/>
      </c>
      <c r="H2113" s="36" t="str">
        <f aca="false">IF(A2113="","",DATE(YEAR(A2113),MONTH(A2113),1))</f>
        <v/>
      </c>
      <c r="I2113" s="37" t="str">
        <f aca="false">IF(B2113="","",IFERROR(INDEX(st_ID,MATCH(B2113,st_Name,0)),"Unknown"))</f>
        <v/>
      </c>
      <c r="J2113" s="37" t="str">
        <f aca="false">IF(C2113="","",IFERROR(INDEX(cl_Code,MATCH(C2113,cl_Name,0)),"Unknown"))</f>
        <v/>
      </c>
      <c r="K2113" s="37" t="str">
        <f aca="false">IF(D2113="","",IFERROR(INDEX(rt_Billable,MATCH(D2113,rt_Code,0)),"Unknown"))</f>
        <v/>
      </c>
      <c r="L2113" s="38" t="str">
        <f aca="false">IF(K2113&lt;&gt;"Yes","",IFERROR(INDEX(cr_Rate,MATCH(J2113&amp;"|"&amp;D2113,cr_Key,0)),INDEX(rt_Rate,MATCH(D2113,rt_Code,0))))</f>
        <v/>
      </c>
      <c r="M2113" s="25" t="str">
        <f aca="false">IF(L2113="","",ROUND(N(E2113)*L2113,2))</f>
        <v/>
      </c>
      <c r="N2113" s="39" t="str">
        <f aca="false">IF(OR(A2113="",B2113=""),"",SUMIFS(tl_Hours,tl_StaffID,I2113,tl_Date,A2113))</f>
        <v/>
      </c>
      <c r="O2113" s="40" t="str">
        <f aca="false">IF(A2113&amp;B2113&amp;D2113="","",IF(OR(A2113="",B2113="",D2113="",E2113=""),"Incomplete",IF(K2113="Unknown","Unknown code",IF(AND(K2113="Yes",C2113=""),"Billable, needs client",IF(N2113&gt;MaxDayHours,"Over "&amp;MaxDayHours&amp;" hours that day","")))))</f>
        <v/>
      </c>
    </row>
    <row r="2114" customFormat="false" ht="15" hidden="false" customHeight="false" outlineLevel="0" collapsed="false">
      <c r="A2114" s="31"/>
      <c r="B2114" s="32"/>
      <c r="C2114" s="32"/>
      <c r="D2114" s="33"/>
      <c r="E2114" s="34"/>
      <c r="F2114" s="32"/>
      <c r="G2114" s="35" t="str">
        <f aca="false">IF(A2114="","",A2114+7-WEEKDAY(A2114))</f>
        <v/>
      </c>
      <c r="H2114" s="36" t="str">
        <f aca="false">IF(A2114="","",DATE(YEAR(A2114),MONTH(A2114),1))</f>
        <v/>
      </c>
      <c r="I2114" s="37" t="str">
        <f aca="false">IF(B2114="","",IFERROR(INDEX(st_ID,MATCH(B2114,st_Name,0)),"Unknown"))</f>
        <v/>
      </c>
      <c r="J2114" s="37" t="str">
        <f aca="false">IF(C2114="","",IFERROR(INDEX(cl_Code,MATCH(C2114,cl_Name,0)),"Unknown"))</f>
        <v/>
      </c>
      <c r="K2114" s="37" t="str">
        <f aca="false">IF(D2114="","",IFERROR(INDEX(rt_Billable,MATCH(D2114,rt_Code,0)),"Unknown"))</f>
        <v/>
      </c>
      <c r="L2114" s="38" t="str">
        <f aca="false">IF(K2114&lt;&gt;"Yes","",IFERROR(INDEX(cr_Rate,MATCH(J2114&amp;"|"&amp;D2114,cr_Key,0)),INDEX(rt_Rate,MATCH(D2114,rt_Code,0))))</f>
        <v/>
      </c>
      <c r="M2114" s="25" t="str">
        <f aca="false">IF(L2114="","",ROUND(N(E2114)*L2114,2))</f>
        <v/>
      </c>
      <c r="N2114" s="39" t="str">
        <f aca="false">IF(OR(A2114="",B2114=""),"",SUMIFS(tl_Hours,tl_StaffID,I2114,tl_Date,A2114))</f>
        <v/>
      </c>
      <c r="O2114" s="40" t="str">
        <f aca="false">IF(A2114&amp;B2114&amp;D2114="","",IF(OR(A2114="",B2114="",D2114="",E2114=""),"Incomplete",IF(K2114="Unknown","Unknown code",IF(AND(K2114="Yes",C2114=""),"Billable, needs client",IF(N2114&gt;MaxDayHours,"Over "&amp;MaxDayHours&amp;" hours that day","")))))</f>
        <v/>
      </c>
    </row>
    <row r="2115" customFormat="false" ht="15" hidden="false" customHeight="false" outlineLevel="0" collapsed="false">
      <c r="A2115" s="31"/>
      <c r="B2115" s="32"/>
      <c r="C2115" s="32"/>
      <c r="D2115" s="33"/>
      <c r="E2115" s="34"/>
      <c r="F2115" s="32"/>
      <c r="G2115" s="35" t="str">
        <f aca="false">IF(A2115="","",A2115+7-WEEKDAY(A2115))</f>
        <v/>
      </c>
      <c r="H2115" s="36" t="str">
        <f aca="false">IF(A2115="","",DATE(YEAR(A2115),MONTH(A2115),1))</f>
        <v/>
      </c>
      <c r="I2115" s="37" t="str">
        <f aca="false">IF(B2115="","",IFERROR(INDEX(st_ID,MATCH(B2115,st_Name,0)),"Unknown"))</f>
        <v/>
      </c>
      <c r="J2115" s="37" t="str">
        <f aca="false">IF(C2115="","",IFERROR(INDEX(cl_Code,MATCH(C2115,cl_Name,0)),"Unknown"))</f>
        <v/>
      </c>
      <c r="K2115" s="37" t="str">
        <f aca="false">IF(D2115="","",IFERROR(INDEX(rt_Billable,MATCH(D2115,rt_Code,0)),"Unknown"))</f>
        <v/>
      </c>
      <c r="L2115" s="38" t="str">
        <f aca="false">IF(K2115&lt;&gt;"Yes","",IFERROR(INDEX(cr_Rate,MATCH(J2115&amp;"|"&amp;D2115,cr_Key,0)),INDEX(rt_Rate,MATCH(D2115,rt_Code,0))))</f>
        <v/>
      </c>
      <c r="M2115" s="25" t="str">
        <f aca="false">IF(L2115="","",ROUND(N(E2115)*L2115,2))</f>
        <v/>
      </c>
      <c r="N2115" s="39" t="str">
        <f aca="false">IF(OR(A2115="",B2115=""),"",SUMIFS(tl_Hours,tl_StaffID,I2115,tl_Date,A2115))</f>
        <v/>
      </c>
      <c r="O2115" s="40" t="str">
        <f aca="false">IF(A2115&amp;B2115&amp;D2115="","",IF(OR(A2115="",B2115="",D2115="",E2115=""),"Incomplete",IF(K2115="Unknown","Unknown code",IF(AND(K2115="Yes",C2115=""),"Billable, needs client",IF(N2115&gt;MaxDayHours,"Over "&amp;MaxDayHours&amp;" hours that day","")))))</f>
        <v/>
      </c>
    </row>
    <row r="2116" customFormat="false" ht="15" hidden="false" customHeight="false" outlineLevel="0" collapsed="false">
      <c r="A2116" s="31"/>
      <c r="B2116" s="32"/>
      <c r="C2116" s="32"/>
      <c r="D2116" s="33"/>
      <c r="E2116" s="34"/>
      <c r="F2116" s="32"/>
      <c r="G2116" s="35" t="str">
        <f aca="false">IF(A2116="","",A2116+7-WEEKDAY(A2116))</f>
        <v/>
      </c>
      <c r="H2116" s="36" t="str">
        <f aca="false">IF(A2116="","",DATE(YEAR(A2116),MONTH(A2116),1))</f>
        <v/>
      </c>
      <c r="I2116" s="37" t="str">
        <f aca="false">IF(B2116="","",IFERROR(INDEX(st_ID,MATCH(B2116,st_Name,0)),"Unknown"))</f>
        <v/>
      </c>
      <c r="J2116" s="37" t="str">
        <f aca="false">IF(C2116="","",IFERROR(INDEX(cl_Code,MATCH(C2116,cl_Name,0)),"Unknown"))</f>
        <v/>
      </c>
      <c r="K2116" s="37" t="str">
        <f aca="false">IF(D2116="","",IFERROR(INDEX(rt_Billable,MATCH(D2116,rt_Code,0)),"Unknown"))</f>
        <v/>
      </c>
      <c r="L2116" s="38" t="str">
        <f aca="false">IF(K2116&lt;&gt;"Yes","",IFERROR(INDEX(cr_Rate,MATCH(J2116&amp;"|"&amp;D2116,cr_Key,0)),INDEX(rt_Rate,MATCH(D2116,rt_Code,0))))</f>
        <v/>
      </c>
      <c r="M2116" s="25" t="str">
        <f aca="false">IF(L2116="","",ROUND(N(E2116)*L2116,2))</f>
        <v/>
      </c>
      <c r="N2116" s="39" t="str">
        <f aca="false">IF(OR(A2116="",B2116=""),"",SUMIFS(tl_Hours,tl_StaffID,I2116,tl_Date,A2116))</f>
        <v/>
      </c>
      <c r="O2116" s="40" t="str">
        <f aca="false">IF(A2116&amp;B2116&amp;D2116="","",IF(OR(A2116="",B2116="",D2116="",E2116=""),"Incomplete",IF(K2116="Unknown","Unknown code",IF(AND(K2116="Yes",C2116=""),"Billable, needs client",IF(N2116&gt;MaxDayHours,"Over "&amp;MaxDayHours&amp;" hours that day","")))))</f>
        <v/>
      </c>
    </row>
    <row r="2117" customFormat="false" ht="15" hidden="false" customHeight="false" outlineLevel="0" collapsed="false">
      <c r="A2117" s="31"/>
      <c r="B2117" s="32"/>
      <c r="C2117" s="32"/>
      <c r="D2117" s="33"/>
      <c r="E2117" s="34"/>
      <c r="F2117" s="32"/>
      <c r="G2117" s="35" t="str">
        <f aca="false">IF(A2117="","",A2117+7-WEEKDAY(A2117))</f>
        <v/>
      </c>
      <c r="H2117" s="36" t="str">
        <f aca="false">IF(A2117="","",DATE(YEAR(A2117),MONTH(A2117),1))</f>
        <v/>
      </c>
      <c r="I2117" s="37" t="str">
        <f aca="false">IF(B2117="","",IFERROR(INDEX(st_ID,MATCH(B2117,st_Name,0)),"Unknown"))</f>
        <v/>
      </c>
      <c r="J2117" s="37" t="str">
        <f aca="false">IF(C2117="","",IFERROR(INDEX(cl_Code,MATCH(C2117,cl_Name,0)),"Unknown"))</f>
        <v/>
      </c>
      <c r="K2117" s="37" t="str">
        <f aca="false">IF(D2117="","",IFERROR(INDEX(rt_Billable,MATCH(D2117,rt_Code,0)),"Unknown"))</f>
        <v/>
      </c>
      <c r="L2117" s="38" t="str">
        <f aca="false">IF(K2117&lt;&gt;"Yes","",IFERROR(INDEX(cr_Rate,MATCH(J2117&amp;"|"&amp;D2117,cr_Key,0)),INDEX(rt_Rate,MATCH(D2117,rt_Code,0))))</f>
        <v/>
      </c>
      <c r="M2117" s="25" t="str">
        <f aca="false">IF(L2117="","",ROUND(N(E2117)*L2117,2))</f>
        <v/>
      </c>
      <c r="N2117" s="39" t="str">
        <f aca="false">IF(OR(A2117="",B2117=""),"",SUMIFS(tl_Hours,tl_StaffID,I2117,tl_Date,A2117))</f>
        <v/>
      </c>
      <c r="O2117" s="40" t="str">
        <f aca="false">IF(A2117&amp;B2117&amp;D2117="","",IF(OR(A2117="",B2117="",D2117="",E2117=""),"Incomplete",IF(K2117="Unknown","Unknown code",IF(AND(K2117="Yes",C2117=""),"Billable, needs client",IF(N2117&gt;MaxDayHours,"Over "&amp;MaxDayHours&amp;" hours that day","")))))</f>
        <v/>
      </c>
    </row>
    <row r="2118" customFormat="false" ht="15" hidden="false" customHeight="false" outlineLevel="0" collapsed="false">
      <c r="A2118" s="31"/>
      <c r="B2118" s="32"/>
      <c r="C2118" s="32"/>
      <c r="D2118" s="33"/>
      <c r="E2118" s="34"/>
      <c r="F2118" s="32"/>
      <c r="G2118" s="35" t="str">
        <f aca="false">IF(A2118="","",A2118+7-WEEKDAY(A2118))</f>
        <v/>
      </c>
      <c r="H2118" s="36" t="str">
        <f aca="false">IF(A2118="","",DATE(YEAR(A2118),MONTH(A2118),1))</f>
        <v/>
      </c>
      <c r="I2118" s="37" t="str">
        <f aca="false">IF(B2118="","",IFERROR(INDEX(st_ID,MATCH(B2118,st_Name,0)),"Unknown"))</f>
        <v/>
      </c>
      <c r="J2118" s="37" t="str">
        <f aca="false">IF(C2118="","",IFERROR(INDEX(cl_Code,MATCH(C2118,cl_Name,0)),"Unknown"))</f>
        <v/>
      </c>
      <c r="K2118" s="37" t="str">
        <f aca="false">IF(D2118="","",IFERROR(INDEX(rt_Billable,MATCH(D2118,rt_Code,0)),"Unknown"))</f>
        <v/>
      </c>
      <c r="L2118" s="38" t="str">
        <f aca="false">IF(K2118&lt;&gt;"Yes","",IFERROR(INDEX(cr_Rate,MATCH(J2118&amp;"|"&amp;D2118,cr_Key,0)),INDEX(rt_Rate,MATCH(D2118,rt_Code,0))))</f>
        <v/>
      </c>
      <c r="M2118" s="25" t="str">
        <f aca="false">IF(L2118="","",ROUND(N(E2118)*L2118,2))</f>
        <v/>
      </c>
      <c r="N2118" s="39" t="str">
        <f aca="false">IF(OR(A2118="",B2118=""),"",SUMIFS(tl_Hours,tl_StaffID,I2118,tl_Date,A2118))</f>
        <v/>
      </c>
      <c r="O2118" s="40" t="str">
        <f aca="false">IF(A2118&amp;B2118&amp;D2118="","",IF(OR(A2118="",B2118="",D2118="",E2118=""),"Incomplete",IF(K2118="Unknown","Unknown code",IF(AND(K2118="Yes",C2118=""),"Billable, needs client",IF(N2118&gt;MaxDayHours,"Over "&amp;MaxDayHours&amp;" hours that day","")))))</f>
        <v/>
      </c>
    </row>
    <row r="2119" customFormat="false" ht="15" hidden="false" customHeight="false" outlineLevel="0" collapsed="false">
      <c r="A2119" s="31"/>
      <c r="B2119" s="32"/>
      <c r="C2119" s="32"/>
      <c r="D2119" s="33"/>
      <c r="E2119" s="34"/>
      <c r="F2119" s="32"/>
      <c r="G2119" s="35" t="str">
        <f aca="false">IF(A2119="","",A2119+7-WEEKDAY(A2119))</f>
        <v/>
      </c>
      <c r="H2119" s="36" t="str">
        <f aca="false">IF(A2119="","",DATE(YEAR(A2119),MONTH(A2119),1))</f>
        <v/>
      </c>
      <c r="I2119" s="37" t="str">
        <f aca="false">IF(B2119="","",IFERROR(INDEX(st_ID,MATCH(B2119,st_Name,0)),"Unknown"))</f>
        <v/>
      </c>
      <c r="J2119" s="37" t="str">
        <f aca="false">IF(C2119="","",IFERROR(INDEX(cl_Code,MATCH(C2119,cl_Name,0)),"Unknown"))</f>
        <v/>
      </c>
      <c r="K2119" s="37" t="str">
        <f aca="false">IF(D2119="","",IFERROR(INDEX(rt_Billable,MATCH(D2119,rt_Code,0)),"Unknown"))</f>
        <v/>
      </c>
      <c r="L2119" s="38" t="str">
        <f aca="false">IF(K2119&lt;&gt;"Yes","",IFERROR(INDEX(cr_Rate,MATCH(J2119&amp;"|"&amp;D2119,cr_Key,0)),INDEX(rt_Rate,MATCH(D2119,rt_Code,0))))</f>
        <v/>
      </c>
      <c r="M2119" s="25" t="str">
        <f aca="false">IF(L2119="","",ROUND(N(E2119)*L2119,2))</f>
        <v/>
      </c>
      <c r="N2119" s="39" t="str">
        <f aca="false">IF(OR(A2119="",B2119=""),"",SUMIFS(tl_Hours,tl_StaffID,I2119,tl_Date,A2119))</f>
        <v/>
      </c>
      <c r="O2119" s="40" t="str">
        <f aca="false">IF(A2119&amp;B2119&amp;D2119="","",IF(OR(A2119="",B2119="",D2119="",E2119=""),"Incomplete",IF(K2119="Unknown","Unknown code",IF(AND(K2119="Yes",C2119=""),"Billable, needs client",IF(N2119&gt;MaxDayHours,"Over "&amp;MaxDayHours&amp;" hours that day","")))))</f>
        <v/>
      </c>
    </row>
    <row r="2120" customFormat="false" ht="15" hidden="false" customHeight="false" outlineLevel="0" collapsed="false">
      <c r="A2120" s="31"/>
      <c r="B2120" s="32"/>
      <c r="C2120" s="32"/>
      <c r="D2120" s="33"/>
      <c r="E2120" s="34"/>
      <c r="F2120" s="32"/>
      <c r="G2120" s="35" t="str">
        <f aca="false">IF(A2120="","",A2120+7-WEEKDAY(A2120))</f>
        <v/>
      </c>
      <c r="H2120" s="36" t="str">
        <f aca="false">IF(A2120="","",DATE(YEAR(A2120),MONTH(A2120),1))</f>
        <v/>
      </c>
      <c r="I2120" s="37" t="str">
        <f aca="false">IF(B2120="","",IFERROR(INDEX(st_ID,MATCH(B2120,st_Name,0)),"Unknown"))</f>
        <v/>
      </c>
      <c r="J2120" s="37" t="str">
        <f aca="false">IF(C2120="","",IFERROR(INDEX(cl_Code,MATCH(C2120,cl_Name,0)),"Unknown"))</f>
        <v/>
      </c>
      <c r="K2120" s="37" t="str">
        <f aca="false">IF(D2120="","",IFERROR(INDEX(rt_Billable,MATCH(D2120,rt_Code,0)),"Unknown"))</f>
        <v/>
      </c>
      <c r="L2120" s="38" t="str">
        <f aca="false">IF(K2120&lt;&gt;"Yes","",IFERROR(INDEX(cr_Rate,MATCH(J2120&amp;"|"&amp;D2120,cr_Key,0)),INDEX(rt_Rate,MATCH(D2120,rt_Code,0))))</f>
        <v/>
      </c>
      <c r="M2120" s="25" t="str">
        <f aca="false">IF(L2120="","",ROUND(N(E2120)*L2120,2))</f>
        <v/>
      </c>
      <c r="N2120" s="39" t="str">
        <f aca="false">IF(OR(A2120="",B2120=""),"",SUMIFS(tl_Hours,tl_StaffID,I2120,tl_Date,A2120))</f>
        <v/>
      </c>
      <c r="O2120" s="40" t="str">
        <f aca="false">IF(A2120&amp;B2120&amp;D2120="","",IF(OR(A2120="",B2120="",D2120="",E2120=""),"Incomplete",IF(K2120="Unknown","Unknown code",IF(AND(K2120="Yes",C2120=""),"Billable, needs client",IF(N2120&gt;MaxDayHours,"Over "&amp;MaxDayHours&amp;" hours that day","")))))</f>
        <v/>
      </c>
    </row>
    <row r="2121" customFormat="false" ht="15" hidden="false" customHeight="false" outlineLevel="0" collapsed="false">
      <c r="A2121" s="31"/>
      <c r="B2121" s="32"/>
      <c r="C2121" s="32"/>
      <c r="D2121" s="33"/>
      <c r="E2121" s="34"/>
      <c r="F2121" s="32"/>
      <c r="G2121" s="35" t="str">
        <f aca="false">IF(A2121="","",A2121+7-WEEKDAY(A2121))</f>
        <v/>
      </c>
      <c r="H2121" s="36" t="str">
        <f aca="false">IF(A2121="","",DATE(YEAR(A2121),MONTH(A2121),1))</f>
        <v/>
      </c>
      <c r="I2121" s="37" t="str">
        <f aca="false">IF(B2121="","",IFERROR(INDEX(st_ID,MATCH(B2121,st_Name,0)),"Unknown"))</f>
        <v/>
      </c>
      <c r="J2121" s="37" t="str">
        <f aca="false">IF(C2121="","",IFERROR(INDEX(cl_Code,MATCH(C2121,cl_Name,0)),"Unknown"))</f>
        <v/>
      </c>
      <c r="K2121" s="37" t="str">
        <f aca="false">IF(D2121="","",IFERROR(INDEX(rt_Billable,MATCH(D2121,rt_Code,0)),"Unknown"))</f>
        <v/>
      </c>
      <c r="L2121" s="38" t="str">
        <f aca="false">IF(K2121&lt;&gt;"Yes","",IFERROR(INDEX(cr_Rate,MATCH(J2121&amp;"|"&amp;D2121,cr_Key,0)),INDEX(rt_Rate,MATCH(D2121,rt_Code,0))))</f>
        <v/>
      </c>
      <c r="M2121" s="25" t="str">
        <f aca="false">IF(L2121="","",ROUND(N(E2121)*L2121,2))</f>
        <v/>
      </c>
      <c r="N2121" s="39" t="str">
        <f aca="false">IF(OR(A2121="",B2121=""),"",SUMIFS(tl_Hours,tl_StaffID,I2121,tl_Date,A2121))</f>
        <v/>
      </c>
      <c r="O2121" s="40" t="str">
        <f aca="false">IF(A2121&amp;B2121&amp;D2121="","",IF(OR(A2121="",B2121="",D2121="",E2121=""),"Incomplete",IF(K2121="Unknown","Unknown code",IF(AND(K2121="Yes",C2121=""),"Billable, needs client",IF(N2121&gt;MaxDayHours,"Over "&amp;MaxDayHours&amp;" hours that day","")))))</f>
        <v/>
      </c>
    </row>
    <row r="2122" customFormat="false" ht="15" hidden="false" customHeight="false" outlineLevel="0" collapsed="false">
      <c r="A2122" s="31"/>
      <c r="B2122" s="32"/>
      <c r="C2122" s="32"/>
      <c r="D2122" s="33"/>
      <c r="E2122" s="34"/>
      <c r="F2122" s="32"/>
      <c r="G2122" s="35" t="str">
        <f aca="false">IF(A2122="","",A2122+7-WEEKDAY(A2122))</f>
        <v/>
      </c>
      <c r="H2122" s="36" t="str">
        <f aca="false">IF(A2122="","",DATE(YEAR(A2122),MONTH(A2122),1))</f>
        <v/>
      </c>
      <c r="I2122" s="37" t="str">
        <f aca="false">IF(B2122="","",IFERROR(INDEX(st_ID,MATCH(B2122,st_Name,0)),"Unknown"))</f>
        <v/>
      </c>
      <c r="J2122" s="37" t="str">
        <f aca="false">IF(C2122="","",IFERROR(INDEX(cl_Code,MATCH(C2122,cl_Name,0)),"Unknown"))</f>
        <v/>
      </c>
      <c r="K2122" s="37" t="str">
        <f aca="false">IF(D2122="","",IFERROR(INDEX(rt_Billable,MATCH(D2122,rt_Code,0)),"Unknown"))</f>
        <v/>
      </c>
      <c r="L2122" s="38" t="str">
        <f aca="false">IF(K2122&lt;&gt;"Yes","",IFERROR(INDEX(cr_Rate,MATCH(J2122&amp;"|"&amp;D2122,cr_Key,0)),INDEX(rt_Rate,MATCH(D2122,rt_Code,0))))</f>
        <v/>
      </c>
      <c r="M2122" s="25" t="str">
        <f aca="false">IF(L2122="","",ROUND(N(E2122)*L2122,2))</f>
        <v/>
      </c>
      <c r="N2122" s="39" t="str">
        <f aca="false">IF(OR(A2122="",B2122=""),"",SUMIFS(tl_Hours,tl_StaffID,I2122,tl_Date,A2122))</f>
        <v/>
      </c>
      <c r="O2122" s="40" t="str">
        <f aca="false">IF(A2122&amp;B2122&amp;D2122="","",IF(OR(A2122="",B2122="",D2122="",E2122=""),"Incomplete",IF(K2122="Unknown","Unknown code",IF(AND(K2122="Yes",C2122=""),"Billable, needs client",IF(N2122&gt;MaxDayHours,"Over "&amp;MaxDayHours&amp;" hours that day","")))))</f>
        <v/>
      </c>
    </row>
    <row r="2123" customFormat="false" ht="15" hidden="false" customHeight="false" outlineLevel="0" collapsed="false">
      <c r="A2123" s="31"/>
      <c r="B2123" s="32"/>
      <c r="C2123" s="32"/>
      <c r="D2123" s="33"/>
      <c r="E2123" s="34"/>
      <c r="F2123" s="32"/>
      <c r="G2123" s="35" t="str">
        <f aca="false">IF(A2123="","",A2123+7-WEEKDAY(A2123))</f>
        <v/>
      </c>
      <c r="H2123" s="36" t="str">
        <f aca="false">IF(A2123="","",DATE(YEAR(A2123),MONTH(A2123),1))</f>
        <v/>
      </c>
      <c r="I2123" s="37" t="str">
        <f aca="false">IF(B2123="","",IFERROR(INDEX(st_ID,MATCH(B2123,st_Name,0)),"Unknown"))</f>
        <v/>
      </c>
      <c r="J2123" s="37" t="str">
        <f aca="false">IF(C2123="","",IFERROR(INDEX(cl_Code,MATCH(C2123,cl_Name,0)),"Unknown"))</f>
        <v/>
      </c>
      <c r="K2123" s="37" t="str">
        <f aca="false">IF(D2123="","",IFERROR(INDEX(rt_Billable,MATCH(D2123,rt_Code,0)),"Unknown"))</f>
        <v/>
      </c>
      <c r="L2123" s="38" t="str">
        <f aca="false">IF(K2123&lt;&gt;"Yes","",IFERROR(INDEX(cr_Rate,MATCH(J2123&amp;"|"&amp;D2123,cr_Key,0)),INDEX(rt_Rate,MATCH(D2123,rt_Code,0))))</f>
        <v/>
      </c>
      <c r="M2123" s="25" t="str">
        <f aca="false">IF(L2123="","",ROUND(N(E2123)*L2123,2))</f>
        <v/>
      </c>
      <c r="N2123" s="39" t="str">
        <f aca="false">IF(OR(A2123="",B2123=""),"",SUMIFS(tl_Hours,tl_StaffID,I2123,tl_Date,A2123))</f>
        <v/>
      </c>
      <c r="O2123" s="40" t="str">
        <f aca="false">IF(A2123&amp;B2123&amp;D2123="","",IF(OR(A2123="",B2123="",D2123="",E2123=""),"Incomplete",IF(K2123="Unknown","Unknown code",IF(AND(K2123="Yes",C2123=""),"Billable, needs client",IF(N2123&gt;MaxDayHours,"Over "&amp;MaxDayHours&amp;" hours that day","")))))</f>
        <v/>
      </c>
    </row>
    <row r="2124" customFormat="false" ht="15" hidden="false" customHeight="false" outlineLevel="0" collapsed="false">
      <c r="A2124" s="31"/>
      <c r="B2124" s="32"/>
      <c r="C2124" s="32"/>
      <c r="D2124" s="33"/>
      <c r="E2124" s="34"/>
      <c r="F2124" s="32"/>
      <c r="G2124" s="35" t="str">
        <f aca="false">IF(A2124="","",A2124+7-WEEKDAY(A2124))</f>
        <v/>
      </c>
      <c r="H2124" s="36" t="str">
        <f aca="false">IF(A2124="","",DATE(YEAR(A2124),MONTH(A2124),1))</f>
        <v/>
      </c>
      <c r="I2124" s="37" t="str">
        <f aca="false">IF(B2124="","",IFERROR(INDEX(st_ID,MATCH(B2124,st_Name,0)),"Unknown"))</f>
        <v/>
      </c>
      <c r="J2124" s="37" t="str">
        <f aca="false">IF(C2124="","",IFERROR(INDEX(cl_Code,MATCH(C2124,cl_Name,0)),"Unknown"))</f>
        <v/>
      </c>
      <c r="K2124" s="37" t="str">
        <f aca="false">IF(D2124="","",IFERROR(INDEX(rt_Billable,MATCH(D2124,rt_Code,0)),"Unknown"))</f>
        <v/>
      </c>
      <c r="L2124" s="38" t="str">
        <f aca="false">IF(K2124&lt;&gt;"Yes","",IFERROR(INDEX(cr_Rate,MATCH(J2124&amp;"|"&amp;D2124,cr_Key,0)),INDEX(rt_Rate,MATCH(D2124,rt_Code,0))))</f>
        <v/>
      </c>
      <c r="M2124" s="25" t="str">
        <f aca="false">IF(L2124="","",ROUND(N(E2124)*L2124,2))</f>
        <v/>
      </c>
      <c r="N2124" s="39" t="str">
        <f aca="false">IF(OR(A2124="",B2124=""),"",SUMIFS(tl_Hours,tl_StaffID,I2124,tl_Date,A2124))</f>
        <v/>
      </c>
      <c r="O2124" s="40" t="str">
        <f aca="false">IF(A2124&amp;B2124&amp;D2124="","",IF(OR(A2124="",B2124="",D2124="",E2124=""),"Incomplete",IF(K2124="Unknown","Unknown code",IF(AND(K2124="Yes",C2124=""),"Billable, needs client",IF(N2124&gt;MaxDayHours,"Over "&amp;MaxDayHours&amp;" hours that day","")))))</f>
        <v/>
      </c>
    </row>
    <row r="2125" customFormat="false" ht="15" hidden="false" customHeight="false" outlineLevel="0" collapsed="false">
      <c r="A2125" s="31"/>
      <c r="B2125" s="32"/>
      <c r="C2125" s="32"/>
      <c r="D2125" s="33"/>
      <c r="E2125" s="34"/>
      <c r="F2125" s="32"/>
      <c r="G2125" s="35" t="str">
        <f aca="false">IF(A2125="","",A2125+7-WEEKDAY(A2125))</f>
        <v/>
      </c>
      <c r="H2125" s="36" t="str">
        <f aca="false">IF(A2125="","",DATE(YEAR(A2125),MONTH(A2125),1))</f>
        <v/>
      </c>
      <c r="I2125" s="37" t="str">
        <f aca="false">IF(B2125="","",IFERROR(INDEX(st_ID,MATCH(B2125,st_Name,0)),"Unknown"))</f>
        <v/>
      </c>
      <c r="J2125" s="37" t="str">
        <f aca="false">IF(C2125="","",IFERROR(INDEX(cl_Code,MATCH(C2125,cl_Name,0)),"Unknown"))</f>
        <v/>
      </c>
      <c r="K2125" s="37" t="str">
        <f aca="false">IF(D2125="","",IFERROR(INDEX(rt_Billable,MATCH(D2125,rt_Code,0)),"Unknown"))</f>
        <v/>
      </c>
      <c r="L2125" s="38" t="str">
        <f aca="false">IF(K2125&lt;&gt;"Yes","",IFERROR(INDEX(cr_Rate,MATCH(J2125&amp;"|"&amp;D2125,cr_Key,0)),INDEX(rt_Rate,MATCH(D2125,rt_Code,0))))</f>
        <v/>
      </c>
      <c r="M2125" s="25" t="str">
        <f aca="false">IF(L2125="","",ROUND(N(E2125)*L2125,2))</f>
        <v/>
      </c>
      <c r="N2125" s="39" t="str">
        <f aca="false">IF(OR(A2125="",B2125=""),"",SUMIFS(tl_Hours,tl_StaffID,I2125,tl_Date,A2125))</f>
        <v/>
      </c>
      <c r="O2125" s="40" t="str">
        <f aca="false">IF(A2125&amp;B2125&amp;D2125="","",IF(OR(A2125="",B2125="",D2125="",E2125=""),"Incomplete",IF(K2125="Unknown","Unknown code",IF(AND(K2125="Yes",C2125=""),"Billable, needs client",IF(N2125&gt;MaxDayHours,"Over "&amp;MaxDayHours&amp;" hours that day","")))))</f>
        <v/>
      </c>
    </row>
    <row r="2126" customFormat="false" ht="15" hidden="false" customHeight="false" outlineLevel="0" collapsed="false">
      <c r="A2126" s="31"/>
      <c r="B2126" s="32"/>
      <c r="C2126" s="32"/>
      <c r="D2126" s="33"/>
      <c r="E2126" s="34"/>
      <c r="F2126" s="32"/>
      <c r="G2126" s="35" t="str">
        <f aca="false">IF(A2126="","",A2126+7-WEEKDAY(A2126))</f>
        <v/>
      </c>
      <c r="H2126" s="36" t="str">
        <f aca="false">IF(A2126="","",DATE(YEAR(A2126),MONTH(A2126),1))</f>
        <v/>
      </c>
      <c r="I2126" s="37" t="str">
        <f aca="false">IF(B2126="","",IFERROR(INDEX(st_ID,MATCH(B2126,st_Name,0)),"Unknown"))</f>
        <v/>
      </c>
      <c r="J2126" s="37" t="str">
        <f aca="false">IF(C2126="","",IFERROR(INDEX(cl_Code,MATCH(C2126,cl_Name,0)),"Unknown"))</f>
        <v/>
      </c>
      <c r="K2126" s="37" t="str">
        <f aca="false">IF(D2126="","",IFERROR(INDEX(rt_Billable,MATCH(D2126,rt_Code,0)),"Unknown"))</f>
        <v/>
      </c>
      <c r="L2126" s="38" t="str">
        <f aca="false">IF(K2126&lt;&gt;"Yes","",IFERROR(INDEX(cr_Rate,MATCH(J2126&amp;"|"&amp;D2126,cr_Key,0)),INDEX(rt_Rate,MATCH(D2126,rt_Code,0))))</f>
        <v/>
      </c>
      <c r="M2126" s="25" t="str">
        <f aca="false">IF(L2126="","",ROUND(N(E2126)*L2126,2))</f>
        <v/>
      </c>
      <c r="N2126" s="39" t="str">
        <f aca="false">IF(OR(A2126="",B2126=""),"",SUMIFS(tl_Hours,tl_StaffID,I2126,tl_Date,A2126))</f>
        <v/>
      </c>
      <c r="O2126" s="40" t="str">
        <f aca="false">IF(A2126&amp;B2126&amp;D2126="","",IF(OR(A2126="",B2126="",D2126="",E2126=""),"Incomplete",IF(K2126="Unknown","Unknown code",IF(AND(K2126="Yes",C2126=""),"Billable, needs client",IF(N2126&gt;MaxDayHours,"Over "&amp;MaxDayHours&amp;" hours that day","")))))</f>
        <v/>
      </c>
    </row>
    <row r="2127" customFormat="false" ht="15" hidden="false" customHeight="false" outlineLevel="0" collapsed="false">
      <c r="A2127" s="31"/>
      <c r="B2127" s="32"/>
      <c r="C2127" s="32"/>
      <c r="D2127" s="33"/>
      <c r="E2127" s="34"/>
      <c r="F2127" s="32"/>
      <c r="G2127" s="35" t="str">
        <f aca="false">IF(A2127="","",A2127+7-WEEKDAY(A2127))</f>
        <v/>
      </c>
      <c r="H2127" s="36" t="str">
        <f aca="false">IF(A2127="","",DATE(YEAR(A2127),MONTH(A2127),1))</f>
        <v/>
      </c>
      <c r="I2127" s="37" t="str">
        <f aca="false">IF(B2127="","",IFERROR(INDEX(st_ID,MATCH(B2127,st_Name,0)),"Unknown"))</f>
        <v/>
      </c>
      <c r="J2127" s="37" t="str">
        <f aca="false">IF(C2127="","",IFERROR(INDEX(cl_Code,MATCH(C2127,cl_Name,0)),"Unknown"))</f>
        <v/>
      </c>
      <c r="K2127" s="37" t="str">
        <f aca="false">IF(D2127="","",IFERROR(INDEX(rt_Billable,MATCH(D2127,rt_Code,0)),"Unknown"))</f>
        <v/>
      </c>
      <c r="L2127" s="38" t="str">
        <f aca="false">IF(K2127&lt;&gt;"Yes","",IFERROR(INDEX(cr_Rate,MATCH(J2127&amp;"|"&amp;D2127,cr_Key,0)),INDEX(rt_Rate,MATCH(D2127,rt_Code,0))))</f>
        <v/>
      </c>
      <c r="M2127" s="25" t="str">
        <f aca="false">IF(L2127="","",ROUND(N(E2127)*L2127,2))</f>
        <v/>
      </c>
      <c r="N2127" s="39" t="str">
        <f aca="false">IF(OR(A2127="",B2127=""),"",SUMIFS(tl_Hours,tl_StaffID,I2127,tl_Date,A2127))</f>
        <v/>
      </c>
      <c r="O2127" s="40" t="str">
        <f aca="false">IF(A2127&amp;B2127&amp;D2127="","",IF(OR(A2127="",B2127="",D2127="",E2127=""),"Incomplete",IF(K2127="Unknown","Unknown code",IF(AND(K2127="Yes",C2127=""),"Billable, needs client",IF(N2127&gt;MaxDayHours,"Over "&amp;MaxDayHours&amp;" hours that day","")))))</f>
        <v/>
      </c>
    </row>
    <row r="2128" customFormat="false" ht="15" hidden="false" customHeight="false" outlineLevel="0" collapsed="false">
      <c r="A2128" s="31"/>
      <c r="B2128" s="32"/>
      <c r="C2128" s="32"/>
      <c r="D2128" s="33"/>
      <c r="E2128" s="34"/>
      <c r="F2128" s="32"/>
      <c r="G2128" s="35" t="str">
        <f aca="false">IF(A2128="","",A2128+7-WEEKDAY(A2128))</f>
        <v/>
      </c>
      <c r="H2128" s="36" t="str">
        <f aca="false">IF(A2128="","",DATE(YEAR(A2128),MONTH(A2128),1))</f>
        <v/>
      </c>
      <c r="I2128" s="37" t="str">
        <f aca="false">IF(B2128="","",IFERROR(INDEX(st_ID,MATCH(B2128,st_Name,0)),"Unknown"))</f>
        <v/>
      </c>
      <c r="J2128" s="37" t="str">
        <f aca="false">IF(C2128="","",IFERROR(INDEX(cl_Code,MATCH(C2128,cl_Name,0)),"Unknown"))</f>
        <v/>
      </c>
      <c r="K2128" s="37" t="str">
        <f aca="false">IF(D2128="","",IFERROR(INDEX(rt_Billable,MATCH(D2128,rt_Code,0)),"Unknown"))</f>
        <v/>
      </c>
      <c r="L2128" s="38" t="str">
        <f aca="false">IF(K2128&lt;&gt;"Yes","",IFERROR(INDEX(cr_Rate,MATCH(J2128&amp;"|"&amp;D2128,cr_Key,0)),INDEX(rt_Rate,MATCH(D2128,rt_Code,0))))</f>
        <v/>
      </c>
      <c r="M2128" s="25" t="str">
        <f aca="false">IF(L2128="","",ROUND(N(E2128)*L2128,2))</f>
        <v/>
      </c>
      <c r="N2128" s="39" t="str">
        <f aca="false">IF(OR(A2128="",B2128=""),"",SUMIFS(tl_Hours,tl_StaffID,I2128,tl_Date,A2128))</f>
        <v/>
      </c>
      <c r="O2128" s="40" t="str">
        <f aca="false">IF(A2128&amp;B2128&amp;D2128="","",IF(OR(A2128="",B2128="",D2128="",E2128=""),"Incomplete",IF(K2128="Unknown","Unknown code",IF(AND(K2128="Yes",C2128=""),"Billable, needs client",IF(N2128&gt;MaxDayHours,"Over "&amp;MaxDayHours&amp;" hours that day","")))))</f>
        <v/>
      </c>
    </row>
    <row r="2129" customFormat="false" ht="15" hidden="false" customHeight="false" outlineLevel="0" collapsed="false">
      <c r="A2129" s="31"/>
      <c r="B2129" s="32"/>
      <c r="C2129" s="32"/>
      <c r="D2129" s="33"/>
      <c r="E2129" s="34"/>
      <c r="F2129" s="32"/>
      <c r="G2129" s="35" t="str">
        <f aca="false">IF(A2129="","",A2129+7-WEEKDAY(A2129))</f>
        <v/>
      </c>
      <c r="H2129" s="36" t="str">
        <f aca="false">IF(A2129="","",DATE(YEAR(A2129),MONTH(A2129),1))</f>
        <v/>
      </c>
      <c r="I2129" s="37" t="str">
        <f aca="false">IF(B2129="","",IFERROR(INDEX(st_ID,MATCH(B2129,st_Name,0)),"Unknown"))</f>
        <v/>
      </c>
      <c r="J2129" s="37" t="str">
        <f aca="false">IF(C2129="","",IFERROR(INDEX(cl_Code,MATCH(C2129,cl_Name,0)),"Unknown"))</f>
        <v/>
      </c>
      <c r="K2129" s="37" t="str">
        <f aca="false">IF(D2129="","",IFERROR(INDEX(rt_Billable,MATCH(D2129,rt_Code,0)),"Unknown"))</f>
        <v/>
      </c>
      <c r="L2129" s="38" t="str">
        <f aca="false">IF(K2129&lt;&gt;"Yes","",IFERROR(INDEX(cr_Rate,MATCH(J2129&amp;"|"&amp;D2129,cr_Key,0)),INDEX(rt_Rate,MATCH(D2129,rt_Code,0))))</f>
        <v/>
      </c>
      <c r="M2129" s="25" t="str">
        <f aca="false">IF(L2129="","",ROUND(N(E2129)*L2129,2))</f>
        <v/>
      </c>
      <c r="N2129" s="39" t="str">
        <f aca="false">IF(OR(A2129="",B2129=""),"",SUMIFS(tl_Hours,tl_StaffID,I2129,tl_Date,A2129))</f>
        <v/>
      </c>
      <c r="O2129" s="40" t="str">
        <f aca="false">IF(A2129&amp;B2129&amp;D2129="","",IF(OR(A2129="",B2129="",D2129="",E2129=""),"Incomplete",IF(K2129="Unknown","Unknown code",IF(AND(K2129="Yes",C2129=""),"Billable, needs client",IF(N2129&gt;MaxDayHours,"Over "&amp;MaxDayHours&amp;" hours that day","")))))</f>
        <v/>
      </c>
    </row>
    <row r="2130" customFormat="false" ht="15" hidden="false" customHeight="false" outlineLevel="0" collapsed="false">
      <c r="A2130" s="31"/>
      <c r="B2130" s="32"/>
      <c r="C2130" s="32"/>
      <c r="D2130" s="33"/>
      <c r="E2130" s="34"/>
      <c r="F2130" s="32"/>
      <c r="G2130" s="35" t="str">
        <f aca="false">IF(A2130="","",A2130+7-WEEKDAY(A2130))</f>
        <v/>
      </c>
      <c r="H2130" s="36" t="str">
        <f aca="false">IF(A2130="","",DATE(YEAR(A2130),MONTH(A2130),1))</f>
        <v/>
      </c>
      <c r="I2130" s="37" t="str">
        <f aca="false">IF(B2130="","",IFERROR(INDEX(st_ID,MATCH(B2130,st_Name,0)),"Unknown"))</f>
        <v/>
      </c>
      <c r="J2130" s="37" t="str">
        <f aca="false">IF(C2130="","",IFERROR(INDEX(cl_Code,MATCH(C2130,cl_Name,0)),"Unknown"))</f>
        <v/>
      </c>
      <c r="K2130" s="37" t="str">
        <f aca="false">IF(D2130="","",IFERROR(INDEX(rt_Billable,MATCH(D2130,rt_Code,0)),"Unknown"))</f>
        <v/>
      </c>
      <c r="L2130" s="38" t="str">
        <f aca="false">IF(K2130&lt;&gt;"Yes","",IFERROR(INDEX(cr_Rate,MATCH(J2130&amp;"|"&amp;D2130,cr_Key,0)),INDEX(rt_Rate,MATCH(D2130,rt_Code,0))))</f>
        <v/>
      </c>
      <c r="M2130" s="25" t="str">
        <f aca="false">IF(L2130="","",ROUND(N(E2130)*L2130,2))</f>
        <v/>
      </c>
      <c r="N2130" s="39" t="str">
        <f aca="false">IF(OR(A2130="",B2130=""),"",SUMIFS(tl_Hours,tl_StaffID,I2130,tl_Date,A2130))</f>
        <v/>
      </c>
      <c r="O2130" s="40" t="str">
        <f aca="false">IF(A2130&amp;B2130&amp;D2130="","",IF(OR(A2130="",B2130="",D2130="",E2130=""),"Incomplete",IF(K2130="Unknown","Unknown code",IF(AND(K2130="Yes",C2130=""),"Billable, needs client",IF(N2130&gt;MaxDayHours,"Over "&amp;MaxDayHours&amp;" hours that day","")))))</f>
        <v/>
      </c>
    </row>
    <row r="2131" customFormat="false" ht="15" hidden="false" customHeight="false" outlineLevel="0" collapsed="false">
      <c r="A2131" s="31"/>
      <c r="B2131" s="32"/>
      <c r="C2131" s="32"/>
      <c r="D2131" s="33"/>
      <c r="E2131" s="34"/>
      <c r="F2131" s="32"/>
      <c r="G2131" s="35" t="str">
        <f aca="false">IF(A2131="","",A2131+7-WEEKDAY(A2131))</f>
        <v/>
      </c>
      <c r="H2131" s="36" t="str">
        <f aca="false">IF(A2131="","",DATE(YEAR(A2131),MONTH(A2131),1))</f>
        <v/>
      </c>
      <c r="I2131" s="37" t="str">
        <f aca="false">IF(B2131="","",IFERROR(INDEX(st_ID,MATCH(B2131,st_Name,0)),"Unknown"))</f>
        <v/>
      </c>
      <c r="J2131" s="37" t="str">
        <f aca="false">IF(C2131="","",IFERROR(INDEX(cl_Code,MATCH(C2131,cl_Name,0)),"Unknown"))</f>
        <v/>
      </c>
      <c r="K2131" s="37" t="str">
        <f aca="false">IF(D2131="","",IFERROR(INDEX(rt_Billable,MATCH(D2131,rt_Code,0)),"Unknown"))</f>
        <v/>
      </c>
      <c r="L2131" s="38" t="str">
        <f aca="false">IF(K2131&lt;&gt;"Yes","",IFERROR(INDEX(cr_Rate,MATCH(J2131&amp;"|"&amp;D2131,cr_Key,0)),INDEX(rt_Rate,MATCH(D2131,rt_Code,0))))</f>
        <v/>
      </c>
      <c r="M2131" s="25" t="str">
        <f aca="false">IF(L2131="","",ROUND(N(E2131)*L2131,2))</f>
        <v/>
      </c>
      <c r="N2131" s="39" t="str">
        <f aca="false">IF(OR(A2131="",B2131=""),"",SUMIFS(tl_Hours,tl_StaffID,I2131,tl_Date,A2131))</f>
        <v/>
      </c>
      <c r="O2131" s="40" t="str">
        <f aca="false">IF(A2131&amp;B2131&amp;D2131="","",IF(OR(A2131="",B2131="",D2131="",E2131=""),"Incomplete",IF(K2131="Unknown","Unknown code",IF(AND(K2131="Yes",C2131=""),"Billable, needs client",IF(N2131&gt;MaxDayHours,"Over "&amp;MaxDayHours&amp;" hours that day","")))))</f>
        <v/>
      </c>
    </row>
    <row r="2132" customFormat="false" ht="15" hidden="false" customHeight="false" outlineLevel="0" collapsed="false">
      <c r="A2132" s="31"/>
      <c r="B2132" s="32"/>
      <c r="C2132" s="32"/>
      <c r="D2132" s="33"/>
      <c r="E2132" s="34"/>
      <c r="F2132" s="32"/>
      <c r="G2132" s="35" t="str">
        <f aca="false">IF(A2132="","",A2132+7-WEEKDAY(A2132))</f>
        <v/>
      </c>
      <c r="H2132" s="36" t="str">
        <f aca="false">IF(A2132="","",DATE(YEAR(A2132),MONTH(A2132),1))</f>
        <v/>
      </c>
      <c r="I2132" s="37" t="str">
        <f aca="false">IF(B2132="","",IFERROR(INDEX(st_ID,MATCH(B2132,st_Name,0)),"Unknown"))</f>
        <v/>
      </c>
      <c r="J2132" s="37" t="str">
        <f aca="false">IF(C2132="","",IFERROR(INDEX(cl_Code,MATCH(C2132,cl_Name,0)),"Unknown"))</f>
        <v/>
      </c>
      <c r="K2132" s="37" t="str">
        <f aca="false">IF(D2132="","",IFERROR(INDEX(rt_Billable,MATCH(D2132,rt_Code,0)),"Unknown"))</f>
        <v/>
      </c>
      <c r="L2132" s="38" t="str">
        <f aca="false">IF(K2132&lt;&gt;"Yes","",IFERROR(INDEX(cr_Rate,MATCH(J2132&amp;"|"&amp;D2132,cr_Key,0)),INDEX(rt_Rate,MATCH(D2132,rt_Code,0))))</f>
        <v/>
      </c>
      <c r="M2132" s="25" t="str">
        <f aca="false">IF(L2132="","",ROUND(N(E2132)*L2132,2))</f>
        <v/>
      </c>
      <c r="N2132" s="39" t="str">
        <f aca="false">IF(OR(A2132="",B2132=""),"",SUMIFS(tl_Hours,tl_StaffID,I2132,tl_Date,A2132))</f>
        <v/>
      </c>
      <c r="O2132" s="40" t="str">
        <f aca="false">IF(A2132&amp;B2132&amp;D2132="","",IF(OR(A2132="",B2132="",D2132="",E2132=""),"Incomplete",IF(K2132="Unknown","Unknown code",IF(AND(K2132="Yes",C2132=""),"Billable, needs client",IF(N2132&gt;MaxDayHours,"Over "&amp;MaxDayHours&amp;" hours that day","")))))</f>
        <v/>
      </c>
    </row>
    <row r="2133" customFormat="false" ht="15" hidden="false" customHeight="false" outlineLevel="0" collapsed="false">
      <c r="A2133" s="31"/>
      <c r="B2133" s="32"/>
      <c r="C2133" s="32"/>
      <c r="D2133" s="33"/>
      <c r="E2133" s="34"/>
      <c r="F2133" s="32"/>
      <c r="G2133" s="35" t="str">
        <f aca="false">IF(A2133="","",A2133+7-WEEKDAY(A2133))</f>
        <v/>
      </c>
      <c r="H2133" s="36" t="str">
        <f aca="false">IF(A2133="","",DATE(YEAR(A2133),MONTH(A2133),1))</f>
        <v/>
      </c>
      <c r="I2133" s="37" t="str">
        <f aca="false">IF(B2133="","",IFERROR(INDEX(st_ID,MATCH(B2133,st_Name,0)),"Unknown"))</f>
        <v/>
      </c>
      <c r="J2133" s="37" t="str">
        <f aca="false">IF(C2133="","",IFERROR(INDEX(cl_Code,MATCH(C2133,cl_Name,0)),"Unknown"))</f>
        <v/>
      </c>
      <c r="K2133" s="37" t="str">
        <f aca="false">IF(D2133="","",IFERROR(INDEX(rt_Billable,MATCH(D2133,rt_Code,0)),"Unknown"))</f>
        <v/>
      </c>
      <c r="L2133" s="38" t="str">
        <f aca="false">IF(K2133&lt;&gt;"Yes","",IFERROR(INDEX(cr_Rate,MATCH(J2133&amp;"|"&amp;D2133,cr_Key,0)),INDEX(rt_Rate,MATCH(D2133,rt_Code,0))))</f>
        <v/>
      </c>
      <c r="M2133" s="25" t="str">
        <f aca="false">IF(L2133="","",ROUND(N(E2133)*L2133,2))</f>
        <v/>
      </c>
      <c r="N2133" s="39" t="str">
        <f aca="false">IF(OR(A2133="",B2133=""),"",SUMIFS(tl_Hours,tl_StaffID,I2133,tl_Date,A2133))</f>
        <v/>
      </c>
      <c r="O2133" s="40" t="str">
        <f aca="false">IF(A2133&amp;B2133&amp;D2133="","",IF(OR(A2133="",B2133="",D2133="",E2133=""),"Incomplete",IF(K2133="Unknown","Unknown code",IF(AND(K2133="Yes",C2133=""),"Billable, needs client",IF(N2133&gt;MaxDayHours,"Over "&amp;MaxDayHours&amp;" hours that day","")))))</f>
        <v/>
      </c>
    </row>
    <row r="2134" customFormat="false" ht="15" hidden="false" customHeight="false" outlineLevel="0" collapsed="false">
      <c r="A2134" s="31"/>
      <c r="B2134" s="32"/>
      <c r="C2134" s="32"/>
      <c r="D2134" s="33"/>
      <c r="E2134" s="34"/>
      <c r="F2134" s="32"/>
      <c r="G2134" s="35" t="str">
        <f aca="false">IF(A2134="","",A2134+7-WEEKDAY(A2134))</f>
        <v/>
      </c>
      <c r="H2134" s="36" t="str">
        <f aca="false">IF(A2134="","",DATE(YEAR(A2134),MONTH(A2134),1))</f>
        <v/>
      </c>
      <c r="I2134" s="37" t="str">
        <f aca="false">IF(B2134="","",IFERROR(INDEX(st_ID,MATCH(B2134,st_Name,0)),"Unknown"))</f>
        <v/>
      </c>
      <c r="J2134" s="37" t="str">
        <f aca="false">IF(C2134="","",IFERROR(INDEX(cl_Code,MATCH(C2134,cl_Name,0)),"Unknown"))</f>
        <v/>
      </c>
      <c r="K2134" s="37" t="str">
        <f aca="false">IF(D2134="","",IFERROR(INDEX(rt_Billable,MATCH(D2134,rt_Code,0)),"Unknown"))</f>
        <v/>
      </c>
      <c r="L2134" s="38" t="str">
        <f aca="false">IF(K2134&lt;&gt;"Yes","",IFERROR(INDEX(cr_Rate,MATCH(J2134&amp;"|"&amp;D2134,cr_Key,0)),INDEX(rt_Rate,MATCH(D2134,rt_Code,0))))</f>
        <v/>
      </c>
      <c r="M2134" s="25" t="str">
        <f aca="false">IF(L2134="","",ROUND(N(E2134)*L2134,2))</f>
        <v/>
      </c>
      <c r="N2134" s="39" t="str">
        <f aca="false">IF(OR(A2134="",B2134=""),"",SUMIFS(tl_Hours,tl_StaffID,I2134,tl_Date,A2134))</f>
        <v/>
      </c>
      <c r="O2134" s="40" t="str">
        <f aca="false">IF(A2134&amp;B2134&amp;D2134="","",IF(OR(A2134="",B2134="",D2134="",E2134=""),"Incomplete",IF(K2134="Unknown","Unknown code",IF(AND(K2134="Yes",C2134=""),"Billable, needs client",IF(N2134&gt;MaxDayHours,"Over "&amp;MaxDayHours&amp;" hours that day","")))))</f>
        <v/>
      </c>
    </row>
    <row r="2135" customFormat="false" ht="15" hidden="false" customHeight="false" outlineLevel="0" collapsed="false">
      <c r="A2135" s="31"/>
      <c r="B2135" s="32"/>
      <c r="C2135" s="32"/>
      <c r="D2135" s="33"/>
      <c r="E2135" s="34"/>
      <c r="F2135" s="32"/>
      <c r="G2135" s="35" t="str">
        <f aca="false">IF(A2135="","",A2135+7-WEEKDAY(A2135))</f>
        <v/>
      </c>
      <c r="H2135" s="36" t="str">
        <f aca="false">IF(A2135="","",DATE(YEAR(A2135),MONTH(A2135),1))</f>
        <v/>
      </c>
      <c r="I2135" s="37" t="str">
        <f aca="false">IF(B2135="","",IFERROR(INDEX(st_ID,MATCH(B2135,st_Name,0)),"Unknown"))</f>
        <v/>
      </c>
      <c r="J2135" s="37" t="str">
        <f aca="false">IF(C2135="","",IFERROR(INDEX(cl_Code,MATCH(C2135,cl_Name,0)),"Unknown"))</f>
        <v/>
      </c>
      <c r="K2135" s="37" t="str">
        <f aca="false">IF(D2135="","",IFERROR(INDEX(rt_Billable,MATCH(D2135,rt_Code,0)),"Unknown"))</f>
        <v/>
      </c>
      <c r="L2135" s="38" t="str">
        <f aca="false">IF(K2135&lt;&gt;"Yes","",IFERROR(INDEX(cr_Rate,MATCH(J2135&amp;"|"&amp;D2135,cr_Key,0)),INDEX(rt_Rate,MATCH(D2135,rt_Code,0))))</f>
        <v/>
      </c>
      <c r="M2135" s="25" t="str">
        <f aca="false">IF(L2135="","",ROUND(N(E2135)*L2135,2))</f>
        <v/>
      </c>
      <c r="N2135" s="39" t="str">
        <f aca="false">IF(OR(A2135="",B2135=""),"",SUMIFS(tl_Hours,tl_StaffID,I2135,tl_Date,A2135))</f>
        <v/>
      </c>
      <c r="O2135" s="40" t="str">
        <f aca="false">IF(A2135&amp;B2135&amp;D2135="","",IF(OR(A2135="",B2135="",D2135="",E2135=""),"Incomplete",IF(K2135="Unknown","Unknown code",IF(AND(K2135="Yes",C2135=""),"Billable, needs client",IF(N2135&gt;MaxDayHours,"Over "&amp;MaxDayHours&amp;" hours that day","")))))</f>
        <v/>
      </c>
    </row>
    <row r="2136" customFormat="false" ht="15" hidden="false" customHeight="false" outlineLevel="0" collapsed="false">
      <c r="A2136" s="31"/>
      <c r="B2136" s="32"/>
      <c r="C2136" s="32"/>
      <c r="D2136" s="33"/>
      <c r="E2136" s="34"/>
      <c r="F2136" s="32"/>
      <c r="G2136" s="35" t="str">
        <f aca="false">IF(A2136="","",A2136+7-WEEKDAY(A2136))</f>
        <v/>
      </c>
      <c r="H2136" s="36" t="str">
        <f aca="false">IF(A2136="","",DATE(YEAR(A2136),MONTH(A2136),1))</f>
        <v/>
      </c>
      <c r="I2136" s="37" t="str">
        <f aca="false">IF(B2136="","",IFERROR(INDEX(st_ID,MATCH(B2136,st_Name,0)),"Unknown"))</f>
        <v/>
      </c>
      <c r="J2136" s="37" t="str">
        <f aca="false">IF(C2136="","",IFERROR(INDEX(cl_Code,MATCH(C2136,cl_Name,0)),"Unknown"))</f>
        <v/>
      </c>
      <c r="K2136" s="37" t="str">
        <f aca="false">IF(D2136="","",IFERROR(INDEX(rt_Billable,MATCH(D2136,rt_Code,0)),"Unknown"))</f>
        <v/>
      </c>
      <c r="L2136" s="38" t="str">
        <f aca="false">IF(K2136&lt;&gt;"Yes","",IFERROR(INDEX(cr_Rate,MATCH(J2136&amp;"|"&amp;D2136,cr_Key,0)),INDEX(rt_Rate,MATCH(D2136,rt_Code,0))))</f>
        <v/>
      </c>
      <c r="M2136" s="25" t="str">
        <f aca="false">IF(L2136="","",ROUND(N(E2136)*L2136,2))</f>
        <v/>
      </c>
      <c r="N2136" s="39" t="str">
        <f aca="false">IF(OR(A2136="",B2136=""),"",SUMIFS(tl_Hours,tl_StaffID,I2136,tl_Date,A2136))</f>
        <v/>
      </c>
      <c r="O2136" s="40" t="str">
        <f aca="false">IF(A2136&amp;B2136&amp;D2136="","",IF(OR(A2136="",B2136="",D2136="",E2136=""),"Incomplete",IF(K2136="Unknown","Unknown code",IF(AND(K2136="Yes",C2136=""),"Billable, needs client",IF(N2136&gt;MaxDayHours,"Over "&amp;MaxDayHours&amp;" hours that day","")))))</f>
        <v/>
      </c>
    </row>
    <row r="2137" customFormat="false" ht="15" hidden="false" customHeight="false" outlineLevel="0" collapsed="false">
      <c r="A2137" s="31"/>
      <c r="B2137" s="32"/>
      <c r="C2137" s="32"/>
      <c r="D2137" s="33"/>
      <c r="E2137" s="34"/>
      <c r="F2137" s="32"/>
      <c r="G2137" s="35" t="str">
        <f aca="false">IF(A2137="","",A2137+7-WEEKDAY(A2137))</f>
        <v/>
      </c>
      <c r="H2137" s="36" t="str">
        <f aca="false">IF(A2137="","",DATE(YEAR(A2137),MONTH(A2137),1))</f>
        <v/>
      </c>
      <c r="I2137" s="37" t="str">
        <f aca="false">IF(B2137="","",IFERROR(INDEX(st_ID,MATCH(B2137,st_Name,0)),"Unknown"))</f>
        <v/>
      </c>
      <c r="J2137" s="37" t="str">
        <f aca="false">IF(C2137="","",IFERROR(INDEX(cl_Code,MATCH(C2137,cl_Name,0)),"Unknown"))</f>
        <v/>
      </c>
      <c r="K2137" s="37" t="str">
        <f aca="false">IF(D2137="","",IFERROR(INDEX(rt_Billable,MATCH(D2137,rt_Code,0)),"Unknown"))</f>
        <v/>
      </c>
      <c r="L2137" s="38" t="str">
        <f aca="false">IF(K2137&lt;&gt;"Yes","",IFERROR(INDEX(cr_Rate,MATCH(J2137&amp;"|"&amp;D2137,cr_Key,0)),INDEX(rt_Rate,MATCH(D2137,rt_Code,0))))</f>
        <v/>
      </c>
      <c r="M2137" s="25" t="str">
        <f aca="false">IF(L2137="","",ROUND(N(E2137)*L2137,2))</f>
        <v/>
      </c>
      <c r="N2137" s="39" t="str">
        <f aca="false">IF(OR(A2137="",B2137=""),"",SUMIFS(tl_Hours,tl_StaffID,I2137,tl_Date,A2137))</f>
        <v/>
      </c>
      <c r="O2137" s="40" t="str">
        <f aca="false">IF(A2137&amp;B2137&amp;D2137="","",IF(OR(A2137="",B2137="",D2137="",E2137=""),"Incomplete",IF(K2137="Unknown","Unknown code",IF(AND(K2137="Yes",C2137=""),"Billable, needs client",IF(N2137&gt;MaxDayHours,"Over "&amp;MaxDayHours&amp;" hours that day","")))))</f>
        <v/>
      </c>
    </row>
    <row r="2138" customFormat="false" ht="15" hidden="false" customHeight="false" outlineLevel="0" collapsed="false">
      <c r="A2138" s="31"/>
      <c r="B2138" s="32"/>
      <c r="C2138" s="32"/>
      <c r="D2138" s="33"/>
      <c r="E2138" s="34"/>
      <c r="F2138" s="32"/>
      <c r="G2138" s="35" t="str">
        <f aca="false">IF(A2138="","",A2138+7-WEEKDAY(A2138))</f>
        <v/>
      </c>
      <c r="H2138" s="36" t="str">
        <f aca="false">IF(A2138="","",DATE(YEAR(A2138),MONTH(A2138),1))</f>
        <v/>
      </c>
      <c r="I2138" s="37" t="str">
        <f aca="false">IF(B2138="","",IFERROR(INDEX(st_ID,MATCH(B2138,st_Name,0)),"Unknown"))</f>
        <v/>
      </c>
      <c r="J2138" s="37" t="str">
        <f aca="false">IF(C2138="","",IFERROR(INDEX(cl_Code,MATCH(C2138,cl_Name,0)),"Unknown"))</f>
        <v/>
      </c>
      <c r="K2138" s="37" t="str">
        <f aca="false">IF(D2138="","",IFERROR(INDEX(rt_Billable,MATCH(D2138,rt_Code,0)),"Unknown"))</f>
        <v/>
      </c>
      <c r="L2138" s="38" t="str">
        <f aca="false">IF(K2138&lt;&gt;"Yes","",IFERROR(INDEX(cr_Rate,MATCH(J2138&amp;"|"&amp;D2138,cr_Key,0)),INDEX(rt_Rate,MATCH(D2138,rt_Code,0))))</f>
        <v/>
      </c>
      <c r="M2138" s="25" t="str">
        <f aca="false">IF(L2138="","",ROUND(N(E2138)*L2138,2))</f>
        <v/>
      </c>
      <c r="N2138" s="39" t="str">
        <f aca="false">IF(OR(A2138="",B2138=""),"",SUMIFS(tl_Hours,tl_StaffID,I2138,tl_Date,A2138))</f>
        <v/>
      </c>
      <c r="O2138" s="40" t="str">
        <f aca="false">IF(A2138&amp;B2138&amp;D2138="","",IF(OR(A2138="",B2138="",D2138="",E2138=""),"Incomplete",IF(K2138="Unknown","Unknown code",IF(AND(K2138="Yes",C2138=""),"Billable, needs client",IF(N2138&gt;MaxDayHours,"Over "&amp;MaxDayHours&amp;" hours that day","")))))</f>
        <v/>
      </c>
    </row>
    <row r="2139" customFormat="false" ht="15" hidden="false" customHeight="false" outlineLevel="0" collapsed="false">
      <c r="A2139" s="31"/>
      <c r="B2139" s="32"/>
      <c r="C2139" s="32"/>
      <c r="D2139" s="33"/>
      <c r="E2139" s="34"/>
      <c r="F2139" s="32"/>
      <c r="G2139" s="35" t="str">
        <f aca="false">IF(A2139="","",A2139+7-WEEKDAY(A2139))</f>
        <v/>
      </c>
      <c r="H2139" s="36" t="str">
        <f aca="false">IF(A2139="","",DATE(YEAR(A2139),MONTH(A2139),1))</f>
        <v/>
      </c>
      <c r="I2139" s="37" t="str">
        <f aca="false">IF(B2139="","",IFERROR(INDEX(st_ID,MATCH(B2139,st_Name,0)),"Unknown"))</f>
        <v/>
      </c>
      <c r="J2139" s="37" t="str">
        <f aca="false">IF(C2139="","",IFERROR(INDEX(cl_Code,MATCH(C2139,cl_Name,0)),"Unknown"))</f>
        <v/>
      </c>
      <c r="K2139" s="37" t="str">
        <f aca="false">IF(D2139="","",IFERROR(INDEX(rt_Billable,MATCH(D2139,rt_Code,0)),"Unknown"))</f>
        <v/>
      </c>
      <c r="L2139" s="38" t="str">
        <f aca="false">IF(K2139&lt;&gt;"Yes","",IFERROR(INDEX(cr_Rate,MATCH(J2139&amp;"|"&amp;D2139,cr_Key,0)),INDEX(rt_Rate,MATCH(D2139,rt_Code,0))))</f>
        <v/>
      </c>
      <c r="M2139" s="25" t="str">
        <f aca="false">IF(L2139="","",ROUND(N(E2139)*L2139,2))</f>
        <v/>
      </c>
      <c r="N2139" s="39" t="str">
        <f aca="false">IF(OR(A2139="",B2139=""),"",SUMIFS(tl_Hours,tl_StaffID,I2139,tl_Date,A2139))</f>
        <v/>
      </c>
      <c r="O2139" s="40" t="str">
        <f aca="false">IF(A2139&amp;B2139&amp;D2139="","",IF(OR(A2139="",B2139="",D2139="",E2139=""),"Incomplete",IF(K2139="Unknown","Unknown code",IF(AND(K2139="Yes",C2139=""),"Billable, needs client",IF(N2139&gt;MaxDayHours,"Over "&amp;MaxDayHours&amp;" hours that day","")))))</f>
        <v/>
      </c>
    </row>
    <row r="2140" customFormat="false" ht="15" hidden="false" customHeight="false" outlineLevel="0" collapsed="false">
      <c r="A2140" s="31"/>
      <c r="B2140" s="32"/>
      <c r="C2140" s="32"/>
      <c r="D2140" s="33"/>
      <c r="E2140" s="34"/>
      <c r="F2140" s="32"/>
      <c r="G2140" s="35" t="str">
        <f aca="false">IF(A2140="","",A2140+7-WEEKDAY(A2140))</f>
        <v/>
      </c>
      <c r="H2140" s="36" t="str">
        <f aca="false">IF(A2140="","",DATE(YEAR(A2140),MONTH(A2140),1))</f>
        <v/>
      </c>
      <c r="I2140" s="37" t="str">
        <f aca="false">IF(B2140="","",IFERROR(INDEX(st_ID,MATCH(B2140,st_Name,0)),"Unknown"))</f>
        <v/>
      </c>
      <c r="J2140" s="37" t="str">
        <f aca="false">IF(C2140="","",IFERROR(INDEX(cl_Code,MATCH(C2140,cl_Name,0)),"Unknown"))</f>
        <v/>
      </c>
      <c r="K2140" s="37" t="str">
        <f aca="false">IF(D2140="","",IFERROR(INDEX(rt_Billable,MATCH(D2140,rt_Code,0)),"Unknown"))</f>
        <v/>
      </c>
      <c r="L2140" s="38" t="str">
        <f aca="false">IF(K2140&lt;&gt;"Yes","",IFERROR(INDEX(cr_Rate,MATCH(J2140&amp;"|"&amp;D2140,cr_Key,0)),INDEX(rt_Rate,MATCH(D2140,rt_Code,0))))</f>
        <v/>
      </c>
      <c r="M2140" s="25" t="str">
        <f aca="false">IF(L2140="","",ROUND(N(E2140)*L2140,2))</f>
        <v/>
      </c>
      <c r="N2140" s="39" t="str">
        <f aca="false">IF(OR(A2140="",B2140=""),"",SUMIFS(tl_Hours,tl_StaffID,I2140,tl_Date,A2140))</f>
        <v/>
      </c>
      <c r="O2140" s="40" t="str">
        <f aca="false">IF(A2140&amp;B2140&amp;D2140="","",IF(OR(A2140="",B2140="",D2140="",E2140=""),"Incomplete",IF(K2140="Unknown","Unknown code",IF(AND(K2140="Yes",C2140=""),"Billable, needs client",IF(N2140&gt;MaxDayHours,"Over "&amp;MaxDayHours&amp;" hours that day","")))))</f>
        <v/>
      </c>
    </row>
    <row r="2141" customFormat="false" ht="15" hidden="false" customHeight="false" outlineLevel="0" collapsed="false">
      <c r="A2141" s="31"/>
      <c r="B2141" s="32"/>
      <c r="C2141" s="32"/>
      <c r="D2141" s="33"/>
      <c r="E2141" s="34"/>
      <c r="F2141" s="32"/>
      <c r="G2141" s="35" t="str">
        <f aca="false">IF(A2141="","",A2141+7-WEEKDAY(A2141))</f>
        <v/>
      </c>
      <c r="H2141" s="36" t="str">
        <f aca="false">IF(A2141="","",DATE(YEAR(A2141),MONTH(A2141),1))</f>
        <v/>
      </c>
      <c r="I2141" s="37" t="str">
        <f aca="false">IF(B2141="","",IFERROR(INDEX(st_ID,MATCH(B2141,st_Name,0)),"Unknown"))</f>
        <v/>
      </c>
      <c r="J2141" s="37" t="str">
        <f aca="false">IF(C2141="","",IFERROR(INDEX(cl_Code,MATCH(C2141,cl_Name,0)),"Unknown"))</f>
        <v/>
      </c>
      <c r="K2141" s="37" t="str">
        <f aca="false">IF(D2141="","",IFERROR(INDEX(rt_Billable,MATCH(D2141,rt_Code,0)),"Unknown"))</f>
        <v/>
      </c>
      <c r="L2141" s="38" t="str">
        <f aca="false">IF(K2141&lt;&gt;"Yes","",IFERROR(INDEX(cr_Rate,MATCH(J2141&amp;"|"&amp;D2141,cr_Key,0)),INDEX(rt_Rate,MATCH(D2141,rt_Code,0))))</f>
        <v/>
      </c>
      <c r="M2141" s="25" t="str">
        <f aca="false">IF(L2141="","",ROUND(N(E2141)*L2141,2))</f>
        <v/>
      </c>
      <c r="N2141" s="39" t="str">
        <f aca="false">IF(OR(A2141="",B2141=""),"",SUMIFS(tl_Hours,tl_StaffID,I2141,tl_Date,A2141))</f>
        <v/>
      </c>
      <c r="O2141" s="40" t="str">
        <f aca="false">IF(A2141&amp;B2141&amp;D2141="","",IF(OR(A2141="",B2141="",D2141="",E2141=""),"Incomplete",IF(K2141="Unknown","Unknown code",IF(AND(K2141="Yes",C2141=""),"Billable, needs client",IF(N2141&gt;MaxDayHours,"Over "&amp;MaxDayHours&amp;" hours that day","")))))</f>
        <v/>
      </c>
    </row>
    <row r="2142" customFormat="false" ht="15" hidden="false" customHeight="false" outlineLevel="0" collapsed="false">
      <c r="A2142" s="31"/>
      <c r="B2142" s="32"/>
      <c r="C2142" s="32"/>
      <c r="D2142" s="33"/>
      <c r="E2142" s="34"/>
      <c r="F2142" s="32"/>
      <c r="G2142" s="35" t="str">
        <f aca="false">IF(A2142="","",A2142+7-WEEKDAY(A2142))</f>
        <v/>
      </c>
      <c r="H2142" s="36" t="str">
        <f aca="false">IF(A2142="","",DATE(YEAR(A2142),MONTH(A2142),1))</f>
        <v/>
      </c>
      <c r="I2142" s="37" t="str">
        <f aca="false">IF(B2142="","",IFERROR(INDEX(st_ID,MATCH(B2142,st_Name,0)),"Unknown"))</f>
        <v/>
      </c>
      <c r="J2142" s="37" t="str">
        <f aca="false">IF(C2142="","",IFERROR(INDEX(cl_Code,MATCH(C2142,cl_Name,0)),"Unknown"))</f>
        <v/>
      </c>
      <c r="K2142" s="37" t="str">
        <f aca="false">IF(D2142="","",IFERROR(INDEX(rt_Billable,MATCH(D2142,rt_Code,0)),"Unknown"))</f>
        <v/>
      </c>
      <c r="L2142" s="38" t="str">
        <f aca="false">IF(K2142&lt;&gt;"Yes","",IFERROR(INDEX(cr_Rate,MATCH(J2142&amp;"|"&amp;D2142,cr_Key,0)),INDEX(rt_Rate,MATCH(D2142,rt_Code,0))))</f>
        <v/>
      </c>
      <c r="M2142" s="25" t="str">
        <f aca="false">IF(L2142="","",ROUND(N(E2142)*L2142,2))</f>
        <v/>
      </c>
      <c r="N2142" s="39" t="str">
        <f aca="false">IF(OR(A2142="",B2142=""),"",SUMIFS(tl_Hours,tl_StaffID,I2142,tl_Date,A2142))</f>
        <v/>
      </c>
      <c r="O2142" s="40" t="str">
        <f aca="false">IF(A2142&amp;B2142&amp;D2142="","",IF(OR(A2142="",B2142="",D2142="",E2142=""),"Incomplete",IF(K2142="Unknown","Unknown code",IF(AND(K2142="Yes",C2142=""),"Billable, needs client",IF(N2142&gt;MaxDayHours,"Over "&amp;MaxDayHours&amp;" hours that day","")))))</f>
        <v/>
      </c>
    </row>
    <row r="2143" customFormat="false" ht="15" hidden="false" customHeight="false" outlineLevel="0" collapsed="false">
      <c r="A2143" s="31"/>
      <c r="B2143" s="32"/>
      <c r="C2143" s="32"/>
      <c r="D2143" s="33"/>
      <c r="E2143" s="34"/>
      <c r="F2143" s="32"/>
      <c r="G2143" s="35" t="str">
        <f aca="false">IF(A2143="","",A2143+7-WEEKDAY(A2143))</f>
        <v/>
      </c>
      <c r="H2143" s="36" t="str">
        <f aca="false">IF(A2143="","",DATE(YEAR(A2143),MONTH(A2143),1))</f>
        <v/>
      </c>
      <c r="I2143" s="37" t="str">
        <f aca="false">IF(B2143="","",IFERROR(INDEX(st_ID,MATCH(B2143,st_Name,0)),"Unknown"))</f>
        <v/>
      </c>
      <c r="J2143" s="37" t="str">
        <f aca="false">IF(C2143="","",IFERROR(INDEX(cl_Code,MATCH(C2143,cl_Name,0)),"Unknown"))</f>
        <v/>
      </c>
      <c r="K2143" s="37" t="str">
        <f aca="false">IF(D2143="","",IFERROR(INDEX(rt_Billable,MATCH(D2143,rt_Code,0)),"Unknown"))</f>
        <v/>
      </c>
      <c r="L2143" s="38" t="str">
        <f aca="false">IF(K2143&lt;&gt;"Yes","",IFERROR(INDEX(cr_Rate,MATCH(J2143&amp;"|"&amp;D2143,cr_Key,0)),INDEX(rt_Rate,MATCH(D2143,rt_Code,0))))</f>
        <v/>
      </c>
      <c r="M2143" s="25" t="str">
        <f aca="false">IF(L2143="","",ROUND(N(E2143)*L2143,2))</f>
        <v/>
      </c>
      <c r="N2143" s="39" t="str">
        <f aca="false">IF(OR(A2143="",B2143=""),"",SUMIFS(tl_Hours,tl_StaffID,I2143,tl_Date,A2143))</f>
        <v/>
      </c>
      <c r="O2143" s="40" t="str">
        <f aca="false">IF(A2143&amp;B2143&amp;D2143="","",IF(OR(A2143="",B2143="",D2143="",E2143=""),"Incomplete",IF(K2143="Unknown","Unknown code",IF(AND(K2143="Yes",C2143=""),"Billable, needs client",IF(N2143&gt;MaxDayHours,"Over "&amp;MaxDayHours&amp;" hours that day","")))))</f>
        <v/>
      </c>
    </row>
    <row r="2144" customFormat="false" ht="15" hidden="false" customHeight="false" outlineLevel="0" collapsed="false">
      <c r="A2144" s="31"/>
      <c r="B2144" s="32"/>
      <c r="C2144" s="32"/>
      <c r="D2144" s="33"/>
      <c r="E2144" s="34"/>
      <c r="F2144" s="32"/>
      <c r="G2144" s="35" t="str">
        <f aca="false">IF(A2144="","",A2144+7-WEEKDAY(A2144))</f>
        <v/>
      </c>
      <c r="H2144" s="36" t="str">
        <f aca="false">IF(A2144="","",DATE(YEAR(A2144),MONTH(A2144),1))</f>
        <v/>
      </c>
      <c r="I2144" s="37" t="str">
        <f aca="false">IF(B2144="","",IFERROR(INDEX(st_ID,MATCH(B2144,st_Name,0)),"Unknown"))</f>
        <v/>
      </c>
      <c r="J2144" s="37" t="str">
        <f aca="false">IF(C2144="","",IFERROR(INDEX(cl_Code,MATCH(C2144,cl_Name,0)),"Unknown"))</f>
        <v/>
      </c>
      <c r="K2144" s="37" t="str">
        <f aca="false">IF(D2144="","",IFERROR(INDEX(rt_Billable,MATCH(D2144,rt_Code,0)),"Unknown"))</f>
        <v/>
      </c>
      <c r="L2144" s="38" t="str">
        <f aca="false">IF(K2144&lt;&gt;"Yes","",IFERROR(INDEX(cr_Rate,MATCH(J2144&amp;"|"&amp;D2144,cr_Key,0)),INDEX(rt_Rate,MATCH(D2144,rt_Code,0))))</f>
        <v/>
      </c>
      <c r="M2144" s="25" t="str">
        <f aca="false">IF(L2144="","",ROUND(N(E2144)*L2144,2))</f>
        <v/>
      </c>
      <c r="N2144" s="39" t="str">
        <f aca="false">IF(OR(A2144="",B2144=""),"",SUMIFS(tl_Hours,tl_StaffID,I2144,tl_Date,A2144))</f>
        <v/>
      </c>
      <c r="O2144" s="40" t="str">
        <f aca="false">IF(A2144&amp;B2144&amp;D2144="","",IF(OR(A2144="",B2144="",D2144="",E2144=""),"Incomplete",IF(K2144="Unknown","Unknown code",IF(AND(K2144="Yes",C2144=""),"Billable, needs client",IF(N2144&gt;MaxDayHours,"Over "&amp;MaxDayHours&amp;" hours that day","")))))</f>
        <v/>
      </c>
    </row>
    <row r="2145" customFormat="false" ht="15" hidden="false" customHeight="false" outlineLevel="0" collapsed="false">
      <c r="A2145" s="31"/>
      <c r="B2145" s="32"/>
      <c r="C2145" s="32"/>
      <c r="D2145" s="33"/>
      <c r="E2145" s="34"/>
      <c r="F2145" s="32"/>
      <c r="G2145" s="35" t="str">
        <f aca="false">IF(A2145="","",A2145+7-WEEKDAY(A2145))</f>
        <v/>
      </c>
      <c r="H2145" s="36" t="str">
        <f aca="false">IF(A2145="","",DATE(YEAR(A2145),MONTH(A2145),1))</f>
        <v/>
      </c>
      <c r="I2145" s="37" t="str">
        <f aca="false">IF(B2145="","",IFERROR(INDEX(st_ID,MATCH(B2145,st_Name,0)),"Unknown"))</f>
        <v/>
      </c>
      <c r="J2145" s="37" t="str">
        <f aca="false">IF(C2145="","",IFERROR(INDEX(cl_Code,MATCH(C2145,cl_Name,0)),"Unknown"))</f>
        <v/>
      </c>
      <c r="K2145" s="37" t="str">
        <f aca="false">IF(D2145="","",IFERROR(INDEX(rt_Billable,MATCH(D2145,rt_Code,0)),"Unknown"))</f>
        <v/>
      </c>
      <c r="L2145" s="38" t="str">
        <f aca="false">IF(K2145&lt;&gt;"Yes","",IFERROR(INDEX(cr_Rate,MATCH(J2145&amp;"|"&amp;D2145,cr_Key,0)),INDEX(rt_Rate,MATCH(D2145,rt_Code,0))))</f>
        <v/>
      </c>
      <c r="M2145" s="25" t="str">
        <f aca="false">IF(L2145="","",ROUND(N(E2145)*L2145,2))</f>
        <v/>
      </c>
      <c r="N2145" s="39" t="str">
        <f aca="false">IF(OR(A2145="",B2145=""),"",SUMIFS(tl_Hours,tl_StaffID,I2145,tl_Date,A2145))</f>
        <v/>
      </c>
      <c r="O2145" s="40" t="str">
        <f aca="false">IF(A2145&amp;B2145&amp;D2145="","",IF(OR(A2145="",B2145="",D2145="",E2145=""),"Incomplete",IF(K2145="Unknown","Unknown code",IF(AND(K2145="Yes",C2145=""),"Billable, needs client",IF(N2145&gt;MaxDayHours,"Over "&amp;MaxDayHours&amp;" hours that day","")))))</f>
        <v/>
      </c>
    </row>
    <row r="2146" customFormat="false" ht="15" hidden="false" customHeight="false" outlineLevel="0" collapsed="false">
      <c r="A2146" s="31"/>
      <c r="B2146" s="32"/>
      <c r="C2146" s="32"/>
      <c r="D2146" s="33"/>
      <c r="E2146" s="34"/>
      <c r="F2146" s="32"/>
      <c r="G2146" s="35" t="str">
        <f aca="false">IF(A2146="","",A2146+7-WEEKDAY(A2146))</f>
        <v/>
      </c>
      <c r="H2146" s="36" t="str">
        <f aca="false">IF(A2146="","",DATE(YEAR(A2146),MONTH(A2146),1))</f>
        <v/>
      </c>
      <c r="I2146" s="37" t="str">
        <f aca="false">IF(B2146="","",IFERROR(INDEX(st_ID,MATCH(B2146,st_Name,0)),"Unknown"))</f>
        <v/>
      </c>
      <c r="J2146" s="37" t="str">
        <f aca="false">IF(C2146="","",IFERROR(INDEX(cl_Code,MATCH(C2146,cl_Name,0)),"Unknown"))</f>
        <v/>
      </c>
      <c r="K2146" s="37" t="str">
        <f aca="false">IF(D2146="","",IFERROR(INDEX(rt_Billable,MATCH(D2146,rt_Code,0)),"Unknown"))</f>
        <v/>
      </c>
      <c r="L2146" s="38" t="str">
        <f aca="false">IF(K2146&lt;&gt;"Yes","",IFERROR(INDEX(cr_Rate,MATCH(J2146&amp;"|"&amp;D2146,cr_Key,0)),INDEX(rt_Rate,MATCH(D2146,rt_Code,0))))</f>
        <v/>
      </c>
      <c r="M2146" s="25" t="str">
        <f aca="false">IF(L2146="","",ROUND(N(E2146)*L2146,2))</f>
        <v/>
      </c>
      <c r="N2146" s="39" t="str">
        <f aca="false">IF(OR(A2146="",B2146=""),"",SUMIFS(tl_Hours,tl_StaffID,I2146,tl_Date,A2146))</f>
        <v/>
      </c>
      <c r="O2146" s="40" t="str">
        <f aca="false">IF(A2146&amp;B2146&amp;D2146="","",IF(OR(A2146="",B2146="",D2146="",E2146=""),"Incomplete",IF(K2146="Unknown","Unknown code",IF(AND(K2146="Yes",C2146=""),"Billable, needs client",IF(N2146&gt;MaxDayHours,"Over "&amp;MaxDayHours&amp;" hours that day","")))))</f>
        <v/>
      </c>
    </row>
    <row r="2147" customFormat="false" ht="15" hidden="false" customHeight="false" outlineLevel="0" collapsed="false">
      <c r="A2147" s="31"/>
      <c r="B2147" s="32"/>
      <c r="C2147" s="32"/>
      <c r="D2147" s="33"/>
      <c r="E2147" s="34"/>
      <c r="F2147" s="32"/>
      <c r="G2147" s="35" t="str">
        <f aca="false">IF(A2147="","",A2147+7-WEEKDAY(A2147))</f>
        <v/>
      </c>
      <c r="H2147" s="36" t="str">
        <f aca="false">IF(A2147="","",DATE(YEAR(A2147),MONTH(A2147),1))</f>
        <v/>
      </c>
      <c r="I2147" s="37" t="str">
        <f aca="false">IF(B2147="","",IFERROR(INDEX(st_ID,MATCH(B2147,st_Name,0)),"Unknown"))</f>
        <v/>
      </c>
      <c r="J2147" s="37" t="str">
        <f aca="false">IF(C2147="","",IFERROR(INDEX(cl_Code,MATCH(C2147,cl_Name,0)),"Unknown"))</f>
        <v/>
      </c>
      <c r="K2147" s="37" t="str">
        <f aca="false">IF(D2147="","",IFERROR(INDEX(rt_Billable,MATCH(D2147,rt_Code,0)),"Unknown"))</f>
        <v/>
      </c>
      <c r="L2147" s="38" t="str">
        <f aca="false">IF(K2147&lt;&gt;"Yes","",IFERROR(INDEX(cr_Rate,MATCH(J2147&amp;"|"&amp;D2147,cr_Key,0)),INDEX(rt_Rate,MATCH(D2147,rt_Code,0))))</f>
        <v/>
      </c>
      <c r="M2147" s="25" t="str">
        <f aca="false">IF(L2147="","",ROUND(N(E2147)*L2147,2))</f>
        <v/>
      </c>
      <c r="N2147" s="39" t="str">
        <f aca="false">IF(OR(A2147="",B2147=""),"",SUMIFS(tl_Hours,tl_StaffID,I2147,tl_Date,A2147))</f>
        <v/>
      </c>
      <c r="O2147" s="40" t="str">
        <f aca="false">IF(A2147&amp;B2147&amp;D2147="","",IF(OR(A2147="",B2147="",D2147="",E2147=""),"Incomplete",IF(K2147="Unknown","Unknown code",IF(AND(K2147="Yes",C2147=""),"Billable, needs client",IF(N2147&gt;MaxDayHours,"Over "&amp;MaxDayHours&amp;" hours that day","")))))</f>
        <v/>
      </c>
    </row>
    <row r="2148" customFormat="false" ht="15" hidden="false" customHeight="false" outlineLevel="0" collapsed="false">
      <c r="A2148" s="31"/>
      <c r="B2148" s="32"/>
      <c r="C2148" s="32"/>
      <c r="D2148" s="33"/>
      <c r="E2148" s="34"/>
      <c r="F2148" s="32"/>
      <c r="G2148" s="35" t="str">
        <f aca="false">IF(A2148="","",A2148+7-WEEKDAY(A2148))</f>
        <v/>
      </c>
      <c r="H2148" s="36" t="str">
        <f aca="false">IF(A2148="","",DATE(YEAR(A2148),MONTH(A2148),1))</f>
        <v/>
      </c>
      <c r="I2148" s="37" t="str">
        <f aca="false">IF(B2148="","",IFERROR(INDEX(st_ID,MATCH(B2148,st_Name,0)),"Unknown"))</f>
        <v/>
      </c>
      <c r="J2148" s="37" t="str">
        <f aca="false">IF(C2148="","",IFERROR(INDEX(cl_Code,MATCH(C2148,cl_Name,0)),"Unknown"))</f>
        <v/>
      </c>
      <c r="K2148" s="37" t="str">
        <f aca="false">IF(D2148="","",IFERROR(INDEX(rt_Billable,MATCH(D2148,rt_Code,0)),"Unknown"))</f>
        <v/>
      </c>
      <c r="L2148" s="38" t="str">
        <f aca="false">IF(K2148&lt;&gt;"Yes","",IFERROR(INDEX(cr_Rate,MATCH(J2148&amp;"|"&amp;D2148,cr_Key,0)),INDEX(rt_Rate,MATCH(D2148,rt_Code,0))))</f>
        <v/>
      </c>
      <c r="M2148" s="25" t="str">
        <f aca="false">IF(L2148="","",ROUND(N(E2148)*L2148,2))</f>
        <v/>
      </c>
      <c r="N2148" s="39" t="str">
        <f aca="false">IF(OR(A2148="",B2148=""),"",SUMIFS(tl_Hours,tl_StaffID,I2148,tl_Date,A2148))</f>
        <v/>
      </c>
      <c r="O2148" s="40" t="str">
        <f aca="false">IF(A2148&amp;B2148&amp;D2148="","",IF(OR(A2148="",B2148="",D2148="",E2148=""),"Incomplete",IF(K2148="Unknown","Unknown code",IF(AND(K2148="Yes",C2148=""),"Billable, needs client",IF(N2148&gt;MaxDayHours,"Over "&amp;MaxDayHours&amp;" hours that day","")))))</f>
        <v/>
      </c>
    </row>
    <row r="2149" customFormat="false" ht="15" hidden="false" customHeight="false" outlineLevel="0" collapsed="false">
      <c r="A2149" s="31"/>
      <c r="B2149" s="32"/>
      <c r="C2149" s="32"/>
      <c r="D2149" s="33"/>
      <c r="E2149" s="34"/>
      <c r="F2149" s="32"/>
      <c r="G2149" s="35" t="str">
        <f aca="false">IF(A2149="","",A2149+7-WEEKDAY(A2149))</f>
        <v/>
      </c>
      <c r="H2149" s="36" t="str">
        <f aca="false">IF(A2149="","",DATE(YEAR(A2149),MONTH(A2149),1))</f>
        <v/>
      </c>
      <c r="I2149" s="37" t="str">
        <f aca="false">IF(B2149="","",IFERROR(INDEX(st_ID,MATCH(B2149,st_Name,0)),"Unknown"))</f>
        <v/>
      </c>
      <c r="J2149" s="37" t="str">
        <f aca="false">IF(C2149="","",IFERROR(INDEX(cl_Code,MATCH(C2149,cl_Name,0)),"Unknown"))</f>
        <v/>
      </c>
      <c r="K2149" s="37" t="str">
        <f aca="false">IF(D2149="","",IFERROR(INDEX(rt_Billable,MATCH(D2149,rt_Code,0)),"Unknown"))</f>
        <v/>
      </c>
      <c r="L2149" s="38" t="str">
        <f aca="false">IF(K2149&lt;&gt;"Yes","",IFERROR(INDEX(cr_Rate,MATCH(J2149&amp;"|"&amp;D2149,cr_Key,0)),INDEX(rt_Rate,MATCH(D2149,rt_Code,0))))</f>
        <v/>
      </c>
      <c r="M2149" s="25" t="str">
        <f aca="false">IF(L2149="","",ROUND(N(E2149)*L2149,2))</f>
        <v/>
      </c>
      <c r="N2149" s="39" t="str">
        <f aca="false">IF(OR(A2149="",B2149=""),"",SUMIFS(tl_Hours,tl_StaffID,I2149,tl_Date,A2149))</f>
        <v/>
      </c>
      <c r="O2149" s="40" t="str">
        <f aca="false">IF(A2149&amp;B2149&amp;D2149="","",IF(OR(A2149="",B2149="",D2149="",E2149=""),"Incomplete",IF(K2149="Unknown","Unknown code",IF(AND(K2149="Yes",C2149=""),"Billable, needs client",IF(N2149&gt;MaxDayHours,"Over "&amp;MaxDayHours&amp;" hours that day","")))))</f>
        <v/>
      </c>
    </row>
    <row r="2150" customFormat="false" ht="15" hidden="false" customHeight="false" outlineLevel="0" collapsed="false">
      <c r="A2150" s="31"/>
      <c r="B2150" s="32"/>
      <c r="C2150" s="32"/>
      <c r="D2150" s="33"/>
      <c r="E2150" s="34"/>
      <c r="F2150" s="32"/>
      <c r="G2150" s="35" t="str">
        <f aca="false">IF(A2150="","",A2150+7-WEEKDAY(A2150))</f>
        <v/>
      </c>
      <c r="H2150" s="36" t="str">
        <f aca="false">IF(A2150="","",DATE(YEAR(A2150),MONTH(A2150),1))</f>
        <v/>
      </c>
      <c r="I2150" s="37" t="str">
        <f aca="false">IF(B2150="","",IFERROR(INDEX(st_ID,MATCH(B2150,st_Name,0)),"Unknown"))</f>
        <v/>
      </c>
      <c r="J2150" s="37" t="str">
        <f aca="false">IF(C2150="","",IFERROR(INDEX(cl_Code,MATCH(C2150,cl_Name,0)),"Unknown"))</f>
        <v/>
      </c>
      <c r="K2150" s="37" t="str">
        <f aca="false">IF(D2150="","",IFERROR(INDEX(rt_Billable,MATCH(D2150,rt_Code,0)),"Unknown"))</f>
        <v/>
      </c>
      <c r="L2150" s="38" t="str">
        <f aca="false">IF(K2150&lt;&gt;"Yes","",IFERROR(INDEX(cr_Rate,MATCH(J2150&amp;"|"&amp;D2150,cr_Key,0)),INDEX(rt_Rate,MATCH(D2150,rt_Code,0))))</f>
        <v/>
      </c>
      <c r="M2150" s="25" t="str">
        <f aca="false">IF(L2150="","",ROUND(N(E2150)*L2150,2))</f>
        <v/>
      </c>
      <c r="N2150" s="39" t="str">
        <f aca="false">IF(OR(A2150="",B2150=""),"",SUMIFS(tl_Hours,tl_StaffID,I2150,tl_Date,A2150))</f>
        <v/>
      </c>
      <c r="O2150" s="40" t="str">
        <f aca="false">IF(A2150&amp;B2150&amp;D2150="","",IF(OR(A2150="",B2150="",D2150="",E2150=""),"Incomplete",IF(K2150="Unknown","Unknown code",IF(AND(K2150="Yes",C2150=""),"Billable, needs client",IF(N2150&gt;MaxDayHours,"Over "&amp;MaxDayHours&amp;" hours that day","")))))</f>
        <v/>
      </c>
    </row>
    <row r="2151" customFormat="false" ht="15" hidden="false" customHeight="false" outlineLevel="0" collapsed="false">
      <c r="A2151" s="31"/>
      <c r="B2151" s="32"/>
      <c r="C2151" s="32"/>
      <c r="D2151" s="33"/>
      <c r="E2151" s="34"/>
      <c r="F2151" s="32"/>
      <c r="G2151" s="35" t="str">
        <f aca="false">IF(A2151="","",A2151+7-WEEKDAY(A2151))</f>
        <v/>
      </c>
      <c r="H2151" s="36" t="str">
        <f aca="false">IF(A2151="","",DATE(YEAR(A2151),MONTH(A2151),1))</f>
        <v/>
      </c>
      <c r="I2151" s="37" t="str">
        <f aca="false">IF(B2151="","",IFERROR(INDEX(st_ID,MATCH(B2151,st_Name,0)),"Unknown"))</f>
        <v/>
      </c>
      <c r="J2151" s="37" t="str">
        <f aca="false">IF(C2151="","",IFERROR(INDEX(cl_Code,MATCH(C2151,cl_Name,0)),"Unknown"))</f>
        <v/>
      </c>
      <c r="K2151" s="37" t="str">
        <f aca="false">IF(D2151="","",IFERROR(INDEX(rt_Billable,MATCH(D2151,rt_Code,0)),"Unknown"))</f>
        <v/>
      </c>
      <c r="L2151" s="38" t="str">
        <f aca="false">IF(K2151&lt;&gt;"Yes","",IFERROR(INDEX(cr_Rate,MATCH(J2151&amp;"|"&amp;D2151,cr_Key,0)),INDEX(rt_Rate,MATCH(D2151,rt_Code,0))))</f>
        <v/>
      </c>
      <c r="M2151" s="25" t="str">
        <f aca="false">IF(L2151="","",ROUND(N(E2151)*L2151,2))</f>
        <v/>
      </c>
      <c r="N2151" s="39" t="str">
        <f aca="false">IF(OR(A2151="",B2151=""),"",SUMIFS(tl_Hours,tl_StaffID,I2151,tl_Date,A2151))</f>
        <v/>
      </c>
      <c r="O2151" s="40" t="str">
        <f aca="false">IF(A2151&amp;B2151&amp;D2151="","",IF(OR(A2151="",B2151="",D2151="",E2151=""),"Incomplete",IF(K2151="Unknown","Unknown code",IF(AND(K2151="Yes",C2151=""),"Billable, needs client",IF(N2151&gt;MaxDayHours,"Over "&amp;MaxDayHours&amp;" hours that day","")))))</f>
        <v/>
      </c>
    </row>
    <row r="2152" customFormat="false" ht="15" hidden="false" customHeight="false" outlineLevel="0" collapsed="false">
      <c r="A2152" s="31"/>
      <c r="B2152" s="32"/>
      <c r="C2152" s="32"/>
      <c r="D2152" s="33"/>
      <c r="E2152" s="34"/>
      <c r="F2152" s="32"/>
      <c r="G2152" s="35" t="str">
        <f aca="false">IF(A2152="","",A2152+7-WEEKDAY(A2152))</f>
        <v/>
      </c>
      <c r="H2152" s="36" t="str">
        <f aca="false">IF(A2152="","",DATE(YEAR(A2152),MONTH(A2152),1))</f>
        <v/>
      </c>
      <c r="I2152" s="37" t="str">
        <f aca="false">IF(B2152="","",IFERROR(INDEX(st_ID,MATCH(B2152,st_Name,0)),"Unknown"))</f>
        <v/>
      </c>
      <c r="J2152" s="37" t="str">
        <f aca="false">IF(C2152="","",IFERROR(INDEX(cl_Code,MATCH(C2152,cl_Name,0)),"Unknown"))</f>
        <v/>
      </c>
      <c r="K2152" s="37" t="str">
        <f aca="false">IF(D2152="","",IFERROR(INDEX(rt_Billable,MATCH(D2152,rt_Code,0)),"Unknown"))</f>
        <v/>
      </c>
      <c r="L2152" s="38" t="str">
        <f aca="false">IF(K2152&lt;&gt;"Yes","",IFERROR(INDEX(cr_Rate,MATCH(J2152&amp;"|"&amp;D2152,cr_Key,0)),INDEX(rt_Rate,MATCH(D2152,rt_Code,0))))</f>
        <v/>
      </c>
      <c r="M2152" s="25" t="str">
        <f aca="false">IF(L2152="","",ROUND(N(E2152)*L2152,2))</f>
        <v/>
      </c>
      <c r="N2152" s="39" t="str">
        <f aca="false">IF(OR(A2152="",B2152=""),"",SUMIFS(tl_Hours,tl_StaffID,I2152,tl_Date,A2152))</f>
        <v/>
      </c>
      <c r="O2152" s="40" t="str">
        <f aca="false">IF(A2152&amp;B2152&amp;D2152="","",IF(OR(A2152="",B2152="",D2152="",E2152=""),"Incomplete",IF(K2152="Unknown","Unknown code",IF(AND(K2152="Yes",C2152=""),"Billable, needs client",IF(N2152&gt;MaxDayHours,"Over "&amp;MaxDayHours&amp;" hours that day","")))))</f>
        <v/>
      </c>
    </row>
    <row r="2153" customFormat="false" ht="15" hidden="false" customHeight="false" outlineLevel="0" collapsed="false">
      <c r="A2153" s="31"/>
      <c r="B2153" s="32"/>
      <c r="C2153" s="32"/>
      <c r="D2153" s="33"/>
      <c r="E2153" s="34"/>
      <c r="F2153" s="32"/>
      <c r="G2153" s="35" t="str">
        <f aca="false">IF(A2153="","",A2153+7-WEEKDAY(A2153))</f>
        <v/>
      </c>
      <c r="H2153" s="36" t="str">
        <f aca="false">IF(A2153="","",DATE(YEAR(A2153),MONTH(A2153),1))</f>
        <v/>
      </c>
      <c r="I2153" s="37" t="str">
        <f aca="false">IF(B2153="","",IFERROR(INDEX(st_ID,MATCH(B2153,st_Name,0)),"Unknown"))</f>
        <v/>
      </c>
      <c r="J2153" s="37" t="str">
        <f aca="false">IF(C2153="","",IFERROR(INDEX(cl_Code,MATCH(C2153,cl_Name,0)),"Unknown"))</f>
        <v/>
      </c>
      <c r="K2153" s="37" t="str">
        <f aca="false">IF(D2153="","",IFERROR(INDEX(rt_Billable,MATCH(D2153,rt_Code,0)),"Unknown"))</f>
        <v/>
      </c>
      <c r="L2153" s="38" t="str">
        <f aca="false">IF(K2153&lt;&gt;"Yes","",IFERROR(INDEX(cr_Rate,MATCH(J2153&amp;"|"&amp;D2153,cr_Key,0)),INDEX(rt_Rate,MATCH(D2153,rt_Code,0))))</f>
        <v/>
      </c>
      <c r="M2153" s="25" t="str">
        <f aca="false">IF(L2153="","",ROUND(N(E2153)*L2153,2))</f>
        <v/>
      </c>
      <c r="N2153" s="39" t="str">
        <f aca="false">IF(OR(A2153="",B2153=""),"",SUMIFS(tl_Hours,tl_StaffID,I2153,tl_Date,A2153))</f>
        <v/>
      </c>
      <c r="O2153" s="40" t="str">
        <f aca="false">IF(A2153&amp;B2153&amp;D2153="","",IF(OR(A2153="",B2153="",D2153="",E2153=""),"Incomplete",IF(K2153="Unknown","Unknown code",IF(AND(K2153="Yes",C2153=""),"Billable, needs client",IF(N2153&gt;MaxDayHours,"Over "&amp;MaxDayHours&amp;" hours that day","")))))</f>
        <v/>
      </c>
    </row>
    <row r="2154" customFormat="false" ht="15" hidden="false" customHeight="false" outlineLevel="0" collapsed="false">
      <c r="A2154" s="31"/>
      <c r="B2154" s="32"/>
      <c r="C2154" s="32"/>
      <c r="D2154" s="33"/>
      <c r="E2154" s="34"/>
      <c r="F2154" s="32"/>
      <c r="G2154" s="35" t="str">
        <f aca="false">IF(A2154="","",A2154+7-WEEKDAY(A2154))</f>
        <v/>
      </c>
      <c r="H2154" s="36" t="str">
        <f aca="false">IF(A2154="","",DATE(YEAR(A2154),MONTH(A2154),1))</f>
        <v/>
      </c>
      <c r="I2154" s="37" t="str">
        <f aca="false">IF(B2154="","",IFERROR(INDEX(st_ID,MATCH(B2154,st_Name,0)),"Unknown"))</f>
        <v/>
      </c>
      <c r="J2154" s="37" t="str">
        <f aca="false">IF(C2154="","",IFERROR(INDEX(cl_Code,MATCH(C2154,cl_Name,0)),"Unknown"))</f>
        <v/>
      </c>
      <c r="K2154" s="37" t="str">
        <f aca="false">IF(D2154="","",IFERROR(INDEX(rt_Billable,MATCH(D2154,rt_Code,0)),"Unknown"))</f>
        <v/>
      </c>
      <c r="L2154" s="38" t="str">
        <f aca="false">IF(K2154&lt;&gt;"Yes","",IFERROR(INDEX(cr_Rate,MATCH(J2154&amp;"|"&amp;D2154,cr_Key,0)),INDEX(rt_Rate,MATCH(D2154,rt_Code,0))))</f>
        <v/>
      </c>
      <c r="M2154" s="25" t="str">
        <f aca="false">IF(L2154="","",ROUND(N(E2154)*L2154,2))</f>
        <v/>
      </c>
      <c r="N2154" s="39" t="str">
        <f aca="false">IF(OR(A2154="",B2154=""),"",SUMIFS(tl_Hours,tl_StaffID,I2154,tl_Date,A2154))</f>
        <v/>
      </c>
      <c r="O2154" s="40" t="str">
        <f aca="false">IF(A2154&amp;B2154&amp;D2154="","",IF(OR(A2154="",B2154="",D2154="",E2154=""),"Incomplete",IF(K2154="Unknown","Unknown code",IF(AND(K2154="Yes",C2154=""),"Billable, needs client",IF(N2154&gt;MaxDayHours,"Over "&amp;MaxDayHours&amp;" hours that day","")))))</f>
        <v/>
      </c>
    </row>
    <row r="2155" customFormat="false" ht="15" hidden="false" customHeight="false" outlineLevel="0" collapsed="false">
      <c r="A2155" s="31"/>
      <c r="B2155" s="32"/>
      <c r="C2155" s="32"/>
      <c r="D2155" s="33"/>
      <c r="E2155" s="34"/>
      <c r="F2155" s="32"/>
      <c r="G2155" s="35" t="str">
        <f aca="false">IF(A2155="","",A2155+7-WEEKDAY(A2155))</f>
        <v/>
      </c>
      <c r="H2155" s="36" t="str">
        <f aca="false">IF(A2155="","",DATE(YEAR(A2155),MONTH(A2155),1))</f>
        <v/>
      </c>
      <c r="I2155" s="37" t="str">
        <f aca="false">IF(B2155="","",IFERROR(INDEX(st_ID,MATCH(B2155,st_Name,0)),"Unknown"))</f>
        <v/>
      </c>
      <c r="J2155" s="37" t="str">
        <f aca="false">IF(C2155="","",IFERROR(INDEX(cl_Code,MATCH(C2155,cl_Name,0)),"Unknown"))</f>
        <v/>
      </c>
      <c r="K2155" s="37" t="str">
        <f aca="false">IF(D2155="","",IFERROR(INDEX(rt_Billable,MATCH(D2155,rt_Code,0)),"Unknown"))</f>
        <v/>
      </c>
      <c r="L2155" s="38" t="str">
        <f aca="false">IF(K2155&lt;&gt;"Yes","",IFERROR(INDEX(cr_Rate,MATCH(J2155&amp;"|"&amp;D2155,cr_Key,0)),INDEX(rt_Rate,MATCH(D2155,rt_Code,0))))</f>
        <v/>
      </c>
      <c r="M2155" s="25" t="str">
        <f aca="false">IF(L2155="","",ROUND(N(E2155)*L2155,2))</f>
        <v/>
      </c>
      <c r="N2155" s="39" t="str">
        <f aca="false">IF(OR(A2155="",B2155=""),"",SUMIFS(tl_Hours,tl_StaffID,I2155,tl_Date,A2155))</f>
        <v/>
      </c>
      <c r="O2155" s="40" t="str">
        <f aca="false">IF(A2155&amp;B2155&amp;D2155="","",IF(OR(A2155="",B2155="",D2155="",E2155=""),"Incomplete",IF(K2155="Unknown","Unknown code",IF(AND(K2155="Yes",C2155=""),"Billable, needs client",IF(N2155&gt;MaxDayHours,"Over "&amp;MaxDayHours&amp;" hours that day","")))))</f>
        <v/>
      </c>
    </row>
    <row r="2156" customFormat="false" ht="15" hidden="false" customHeight="false" outlineLevel="0" collapsed="false">
      <c r="A2156" s="31"/>
      <c r="B2156" s="32"/>
      <c r="C2156" s="32"/>
      <c r="D2156" s="33"/>
      <c r="E2156" s="34"/>
      <c r="F2156" s="32"/>
      <c r="G2156" s="35" t="str">
        <f aca="false">IF(A2156="","",A2156+7-WEEKDAY(A2156))</f>
        <v/>
      </c>
      <c r="H2156" s="36" t="str">
        <f aca="false">IF(A2156="","",DATE(YEAR(A2156),MONTH(A2156),1))</f>
        <v/>
      </c>
      <c r="I2156" s="37" t="str">
        <f aca="false">IF(B2156="","",IFERROR(INDEX(st_ID,MATCH(B2156,st_Name,0)),"Unknown"))</f>
        <v/>
      </c>
      <c r="J2156" s="37" t="str">
        <f aca="false">IF(C2156="","",IFERROR(INDEX(cl_Code,MATCH(C2156,cl_Name,0)),"Unknown"))</f>
        <v/>
      </c>
      <c r="K2156" s="37" t="str">
        <f aca="false">IF(D2156="","",IFERROR(INDEX(rt_Billable,MATCH(D2156,rt_Code,0)),"Unknown"))</f>
        <v/>
      </c>
      <c r="L2156" s="38" t="str">
        <f aca="false">IF(K2156&lt;&gt;"Yes","",IFERROR(INDEX(cr_Rate,MATCH(J2156&amp;"|"&amp;D2156,cr_Key,0)),INDEX(rt_Rate,MATCH(D2156,rt_Code,0))))</f>
        <v/>
      </c>
      <c r="M2156" s="25" t="str">
        <f aca="false">IF(L2156="","",ROUND(N(E2156)*L2156,2))</f>
        <v/>
      </c>
      <c r="N2156" s="39" t="str">
        <f aca="false">IF(OR(A2156="",B2156=""),"",SUMIFS(tl_Hours,tl_StaffID,I2156,tl_Date,A2156))</f>
        <v/>
      </c>
      <c r="O2156" s="40" t="str">
        <f aca="false">IF(A2156&amp;B2156&amp;D2156="","",IF(OR(A2156="",B2156="",D2156="",E2156=""),"Incomplete",IF(K2156="Unknown","Unknown code",IF(AND(K2156="Yes",C2156=""),"Billable, needs client",IF(N2156&gt;MaxDayHours,"Over "&amp;MaxDayHours&amp;" hours that day","")))))</f>
        <v/>
      </c>
    </row>
    <row r="2157" customFormat="false" ht="15" hidden="false" customHeight="false" outlineLevel="0" collapsed="false">
      <c r="A2157" s="31"/>
      <c r="B2157" s="32"/>
      <c r="C2157" s="32"/>
      <c r="D2157" s="33"/>
      <c r="E2157" s="34"/>
      <c r="F2157" s="32"/>
      <c r="G2157" s="35" t="str">
        <f aca="false">IF(A2157="","",A2157+7-WEEKDAY(A2157))</f>
        <v/>
      </c>
      <c r="H2157" s="36" t="str">
        <f aca="false">IF(A2157="","",DATE(YEAR(A2157),MONTH(A2157),1))</f>
        <v/>
      </c>
      <c r="I2157" s="37" t="str">
        <f aca="false">IF(B2157="","",IFERROR(INDEX(st_ID,MATCH(B2157,st_Name,0)),"Unknown"))</f>
        <v/>
      </c>
      <c r="J2157" s="37" t="str">
        <f aca="false">IF(C2157="","",IFERROR(INDEX(cl_Code,MATCH(C2157,cl_Name,0)),"Unknown"))</f>
        <v/>
      </c>
      <c r="K2157" s="37" t="str">
        <f aca="false">IF(D2157="","",IFERROR(INDEX(rt_Billable,MATCH(D2157,rt_Code,0)),"Unknown"))</f>
        <v/>
      </c>
      <c r="L2157" s="38" t="str">
        <f aca="false">IF(K2157&lt;&gt;"Yes","",IFERROR(INDEX(cr_Rate,MATCH(J2157&amp;"|"&amp;D2157,cr_Key,0)),INDEX(rt_Rate,MATCH(D2157,rt_Code,0))))</f>
        <v/>
      </c>
      <c r="M2157" s="25" t="str">
        <f aca="false">IF(L2157="","",ROUND(N(E2157)*L2157,2))</f>
        <v/>
      </c>
      <c r="N2157" s="39" t="str">
        <f aca="false">IF(OR(A2157="",B2157=""),"",SUMIFS(tl_Hours,tl_StaffID,I2157,tl_Date,A2157))</f>
        <v/>
      </c>
      <c r="O2157" s="40" t="str">
        <f aca="false">IF(A2157&amp;B2157&amp;D2157="","",IF(OR(A2157="",B2157="",D2157="",E2157=""),"Incomplete",IF(K2157="Unknown","Unknown code",IF(AND(K2157="Yes",C2157=""),"Billable, needs client",IF(N2157&gt;MaxDayHours,"Over "&amp;MaxDayHours&amp;" hours that day","")))))</f>
        <v/>
      </c>
    </row>
    <row r="2158" customFormat="false" ht="15" hidden="false" customHeight="false" outlineLevel="0" collapsed="false">
      <c r="A2158" s="31"/>
      <c r="B2158" s="32"/>
      <c r="C2158" s="32"/>
      <c r="D2158" s="33"/>
      <c r="E2158" s="34"/>
      <c r="F2158" s="32"/>
      <c r="G2158" s="35" t="str">
        <f aca="false">IF(A2158="","",A2158+7-WEEKDAY(A2158))</f>
        <v/>
      </c>
      <c r="H2158" s="36" t="str">
        <f aca="false">IF(A2158="","",DATE(YEAR(A2158),MONTH(A2158),1))</f>
        <v/>
      </c>
      <c r="I2158" s="37" t="str">
        <f aca="false">IF(B2158="","",IFERROR(INDEX(st_ID,MATCH(B2158,st_Name,0)),"Unknown"))</f>
        <v/>
      </c>
      <c r="J2158" s="37" t="str">
        <f aca="false">IF(C2158="","",IFERROR(INDEX(cl_Code,MATCH(C2158,cl_Name,0)),"Unknown"))</f>
        <v/>
      </c>
      <c r="K2158" s="37" t="str">
        <f aca="false">IF(D2158="","",IFERROR(INDEX(rt_Billable,MATCH(D2158,rt_Code,0)),"Unknown"))</f>
        <v/>
      </c>
      <c r="L2158" s="38" t="str">
        <f aca="false">IF(K2158&lt;&gt;"Yes","",IFERROR(INDEX(cr_Rate,MATCH(J2158&amp;"|"&amp;D2158,cr_Key,0)),INDEX(rt_Rate,MATCH(D2158,rt_Code,0))))</f>
        <v/>
      </c>
      <c r="M2158" s="25" t="str">
        <f aca="false">IF(L2158="","",ROUND(N(E2158)*L2158,2))</f>
        <v/>
      </c>
      <c r="N2158" s="39" t="str">
        <f aca="false">IF(OR(A2158="",B2158=""),"",SUMIFS(tl_Hours,tl_StaffID,I2158,tl_Date,A2158))</f>
        <v/>
      </c>
      <c r="O2158" s="40" t="str">
        <f aca="false">IF(A2158&amp;B2158&amp;D2158="","",IF(OR(A2158="",B2158="",D2158="",E2158=""),"Incomplete",IF(K2158="Unknown","Unknown code",IF(AND(K2158="Yes",C2158=""),"Billable, needs client",IF(N2158&gt;MaxDayHours,"Over "&amp;MaxDayHours&amp;" hours that day","")))))</f>
        <v/>
      </c>
    </row>
    <row r="2159" customFormat="false" ht="15" hidden="false" customHeight="false" outlineLevel="0" collapsed="false">
      <c r="A2159" s="31"/>
      <c r="B2159" s="32"/>
      <c r="C2159" s="32"/>
      <c r="D2159" s="33"/>
      <c r="E2159" s="34"/>
      <c r="F2159" s="32"/>
      <c r="G2159" s="35" t="str">
        <f aca="false">IF(A2159="","",A2159+7-WEEKDAY(A2159))</f>
        <v/>
      </c>
      <c r="H2159" s="36" t="str">
        <f aca="false">IF(A2159="","",DATE(YEAR(A2159),MONTH(A2159),1))</f>
        <v/>
      </c>
      <c r="I2159" s="37" t="str">
        <f aca="false">IF(B2159="","",IFERROR(INDEX(st_ID,MATCH(B2159,st_Name,0)),"Unknown"))</f>
        <v/>
      </c>
      <c r="J2159" s="37" t="str">
        <f aca="false">IF(C2159="","",IFERROR(INDEX(cl_Code,MATCH(C2159,cl_Name,0)),"Unknown"))</f>
        <v/>
      </c>
      <c r="K2159" s="37" t="str">
        <f aca="false">IF(D2159="","",IFERROR(INDEX(rt_Billable,MATCH(D2159,rt_Code,0)),"Unknown"))</f>
        <v/>
      </c>
      <c r="L2159" s="38" t="str">
        <f aca="false">IF(K2159&lt;&gt;"Yes","",IFERROR(INDEX(cr_Rate,MATCH(J2159&amp;"|"&amp;D2159,cr_Key,0)),INDEX(rt_Rate,MATCH(D2159,rt_Code,0))))</f>
        <v/>
      </c>
      <c r="M2159" s="25" t="str">
        <f aca="false">IF(L2159="","",ROUND(N(E2159)*L2159,2))</f>
        <v/>
      </c>
      <c r="N2159" s="39" t="str">
        <f aca="false">IF(OR(A2159="",B2159=""),"",SUMIFS(tl_Hours,tl_StaffID,I2159,tl_Date,A2159))</f>
        <v/>
      </c>
      <c r="O2159" s="40" t="str">
        <f aca="false">IF(A2159&amp;B2159&amp;D2159="","",IF(OR(A2159="",B2159="",D2159="",E2159=""),"Incomplete",IF(K2159="Unknown","Unknown code",IF(AND(K2159="Yes",C2159=""),"Billable, needs client",IF(N2159&gt;MaxDayHours,"Over "&amp;MaxDayHours&amp;" hours that day","")))))</f>
        <v/>
      </c>
    </row>
    <row r="2160" customFormat="false" ht="15" hidden="false" customHeight="false" outlineLevel="0" collapsed="false">
      <c r="A2160" s="31"/>
      <c r="B2160" s="32"/>
      <c r="C2160" s="32"/>
      <c r="D2160" s="33"/>
      <c r="E2160" s="34"/>
      <c r="F2160" s="32"/>
      <c r="G2160" s="35" t="str">
        <f aca="false">IF(A2160="","",A2160+7-WEEKDAY(A2160))</f>
        <v/>
      </c>
      <c r="H2160" s="36" t="str">
        <f aca="false">IF(A2160="","",DATE(YEAR(A2160),MONTH(A2160),1))</f>
        <v/>
      </c>
      <c r="I2160" s="37" t="str">
        <f aca="false">IF(B2160="","",IFERROR(INDEX(st_ID,MATCH(B2160,st_Name,0)),"Unknown"))</f>
        <v/>
      </c>
      <c r="J2160" s="37" t="str">
        <f aca="false">IF(C2160="","",IFERROR(INDEX(cl_Code,MATCH(C2160,cl_Name,0)),"Unknown"))</f>
        <v/>
      </c>
      <c r="K2160" s="37" t="str">
        <f aca="false">IF(D2160="","",IFERROR(INDEX(rt_Billable,MATCH(D2160,rt_Code,0)),"Unknown"))</f>
        <v/>
      </c>
      <c r="L2160" s="38" t="str">
        <f aca="false">IF(K2160&lt;&gt;"Yes","",IFERROR(INDEX(cr_Rate,MATCH(J2160&amp;"|"&amp;D2160,cr_Key,0)),INDEX(rt_Rate,MATCH(D2160,rt_Code,0))))</f>
        <v/>
      </c>
      <c r="M2160" s="25" t="str">
        <f aca="false">IF(L2160="","",ROUND(N(E2160)*L2160,2))</f>
        <v/>
      </c>
      <c r="N2160" s="39" t="str">
        <f aca="false">IF(OR(A2160="",B2160=""),"",SUMIFS(tl_Hours,tl_StaffID,I2160,tl_Date,A2160))</f>
        <v/>
      </c>
      <c r="O2160" s="40" t="str">
        <f aca="false">IF(A2160&amp;B2160&amp;D2160="","",IF(OR(A2160="",B2160="",D2160="",E2160=""),"Incomplete",IF(K2160="Unknown","Unknown code",IF(AND(K2160="Yes",C2160=""),"Billable, needs client",IF(N2160&gt;MaxDayHours,"Over "&amp;MaxDayHours&amp;" hours that day","")))))</f>
        <v/>
      </c>
    </row>
    <row r="2161" customFormat="false" ht="15" hidden="false" customHeight="false" outlineLevel="0" collapsed="false">
      <c r="A2161" s="31"/>
      <c r="B2161" s="32"/>
      <c r="C2161" s="32"/>
      <c r="D2161" s="33"/>
      <c r="E2161" s="34"/>
      <c r="F2161" s="32"/>
      <c r="G2161" s="35" t="str">
        <f aca="false">IF(A2161="","",A2161+7-WEEKDAY(A2161))</f>
        <v/>
      </c>
      <c r="H2161" s="36" t="str">
        <f aca="false">IF(A2161="","",DATE(YEAR(A2161),MONTH(A2161),1))</f>
        <v/>
      </c>
      <c r="I2161" s="37" t="str">
        <f aca="false">IF(B2161="","",IFERROR(INDEX(st_ID,MATCH(B2161,st_Name,0)),"Unknown"))</f>
        <v/>
      </c>
      <c r="J2161" s="37" t="str">
        <f aca="false">IF(C2161="","",IFERROR(INDEX(cl_Code,MATCH(C2161,cl_Name,0)),"Unknown"))</f>
        <v/>
      </c>
      <c r="K2161" s="37" t="str">
        <f aca="false">IF(D2161="","",IFERROR(INDEX(rt_Billable,MATCH(D2161,rt_Code,0)),"Unknown"))</f>
        <v/>
      </c>
      <c r="L2161" s="38" t="str">
        <f aca="false">IF(K2161&lt;&gt;"Yes","",IFERROR(INDEX(cr_Rate,MATCH(J2161&amp;"|"&amp;D2161,cr_Key,0)),INDEX(rt_Rate,MATCH(D2161,rt_Code,0))))</f>
        <v/>
      </c>
      <c r="M2161" s="25" t="str">
        <f aca="false">IF(L2161="","",ROUND(N(E2161)*L2161,2))</f>
        <v/>
      </c>
      <c r="N2161" s="39" t="str">
        <f aca="false">IF(OR(A2161="",B2161=""),"",SUMIFS(tl_Hours,tl_StaffID,I2161,tl_Date,A2161))</f>
        <v/>
      </c>
      <c r="O2161" s="40" t="str">
        <f aca="false">IF(A2161&amp;B2161&amp;D2161="","",IF(OR(A2161="",B2161="",D2161="",E2161=""),"Incomplete",IF(K2161="Unknown","Unknown code",IF(AND(K2161="Yes",C2161=""),"Billable, needs client",IF(N2161&gt;MaxDayHours,"Over "&amp;MaxDayHours&amp;" hours that day","")))))</f>
        <v/>
      </c>
    </row>
    <row r="2162" customFormat="false" ht="15" hidden="false" customHeight="false" outlineLevel="0" collapsed="false">
      <c r="A2162" s="31"/>
      <c r="B2162" s="32"/>
      <c r="C2162" s="32"/>
      <c r="D2162" s="33"/>
      <c r="E2162" s="34"/>
      <c r="F2162" s="32"/>
      <c r="G2162" s="35" t="str">
        <f aca="false">IF(A2162="","",A2162+7-WEEKDAY(A2162))</f>
        <v/>
      </c>
      <c r="H2162" s="36" t="str">
        <f aca="false">IF(A2162="","",DATE(YEAR(A2162),MONTH(A2162),1))</f>
        <v/>
      </c>
      <c r="I2162" s="37" t="str">
        <f aca="false">IF(B2162="","",IFERROR(INDEX(st_ID,MATCH(B2162,st_Name,0)),"Unknown"))</f>
        <v/>
      </c>
      <c r="J2162" s="37" t="str">
        <f aca="false">IF(C2162="","",IFERROR(INDEX(cl_Code,MATCH(C2162,cl_Name,0)),"Unknown"))</f>
        <v/>
      </c>
      <c r="K2162" s="37" t="str">
        <f aca="false">IF(D2162="","",IFERROR(INDEX(rt_Billable,MATCH(D2162,rt_Code,0)),"Unknown"))</f>
        <v/>
      </c>
      <c r="L2162" s="38" t="str">
        <f aca="false">IF(K2162&lt;&gt;"Yes","",IFERROR(INDEX(cr_Rate,MATCH(J2162&amp;"|"&amp;D2162,cr_Key,0)),INDEX(rt_Rate,MATCH(D2162,rt_Code,0))))</f>
        <v/>
      </c>
      <c r="M2162" s="25" t="str">
        <f aca="false">IF(L2162="","",ROUND(N(E2162)*L2162,2))</f>
        <v/>
      </c>
      <c r="N2162" s="39" t="str">
        <f aca="false">IF(OR(A2162="",B2162=""),"",SUMIFS(tl_Hours,tl_StaffID,I2162,tl_Date,A2162))</f>
        <v/>
      </c>
      <c r="O2162" s="40" t="str">
        <f aca="false">IF(A2162&amp;B2162&amp;D2162="","",IF(OR(A2162="",B2162="",D2162="",E2162=""),"Incomplete",IF(K2162="Unknown","Unknown code",IF(AND(K2162="Yes",C2162=""),"Billable, needs client",IF(N2162&gt;MaxDayHours,"Over "&amp;MaxDayHours&amp;" hours that day","")))))</f>
        <v/>
      </c>
    </row>
    <row r="2163" customFormat="false" ht="15" hidden="false" customHeight="false" outlineLevel="0" collapsed="false">
      <c r="A2163" s="31"/>
      <c r="B2163" s="32"/>
      <c r="C2163" s="32"/>
      <c r="D2163" s="33"/>
      <c r="E2163" s="34"/>
      <c r="F2163" s="32"/>
      <c r="G2163" s="35" t="str">
        <f aca="false">IF(A2163="","",A2163+7-WEEKDAY(A2163))</f>
        <v/>
      </c>
      <c r="H2163" s="36" t="str">
        <f aca="false">IF(A2163="","",DATE(YEAR(A2163),MONTH(A2163),1))</f>
        <v/>
      </c>
      <c r="I2163" s="37" t="str">
        <f aca="false">IF(B2163="","",IFERROR(INDEX(st_ID,MATCH(B2163,st_Name,0)),"Unknown"))</f>
        <v/>
      </c>
      <c r="J2163" s="37" t="str">
        <f aca="false">IF(C2163="","",IFERROR(INDEX(cl_Code,MATCH(C2163,cl_Name,0)),"Unknown"))</f>
        <v/>
      </c>
      <c r="K2163" s="37" t="str">
        <f aca="false">IF(D2163="","",IFERROR(INDEX(rt_Billable,MATCH(D2163,rt_Code,0)),"Unknown"))</f>
        <v/>
      </c>
      <c r="L2163" s="38" t="str">
        <f aca="false">IF(K2163&lt;&gt;"Yes","",IFERROR(INDEX(cr_Rate,MATCH(J2163&amp;"|"&amp;D2163,cr_Key,0)),INDEX(rt_Rate,MATCH(D2163,rt_Code,0))))</f>
        <v/>
      </c>
      <c r="M2163" s="25" t="str">
        <f aca="false">IF(L2163="","",ROUND(N(E2163)*L2163,2))</f>
        <v/>
      </c>
      <c r="N2163" s="39" t="str">
        <f aca="false">IF(OR(A2163="",B2163=""),"",SUMIFS(tl_Hours,tl_StaffID,I2163,tl_Date,A2163))</f>
        <v/>
      </c>
      <c r="O2163" s="40" t="str">
        <f aca="false">IF(A2163&amp;B2163&amp;D2163="","",IF(OR(A2163="",B2163="",D2163="",E2163=""),"Incomplete",IF(K2163="Unknown","Unknown code",IF(AND(K2163="Yes",C2163=""),"Billable, needs client",IF(N2163&gt;MaxDayHours,"Over "&amp;MaxDayHours&amp;" hours that day","")))))</f>
        <v/>
      </c>
    </row>
    <row r="2164" customFormat="false" ht="15" hidden="false" customHeight="false" outlineLevel="0" collapsed="false">
      <c r="A2164" s="31"/>
      <c r="B2164" s="32"/>
      <c r="C2164" s="32"/>
      <c r="D2164" s="33"/>
      <c r="E2164" s="34"/>
      <c r="F2164" s="32"/>
      <c r="G2164" s="35" t="str">
        <f aca="false">IF(A2164="","",A2164+7-WEEKDAY(A2164))</f>
        <v/>
      </c>
      <c r="H2164" s="36" t="str">
        <f aca="false">IF(A2164="","",DATE(YEAR(A2164),MONTH(A2164),1))</f>
        <v/>
      </c>
      <c r="I2164" s="37" t="str">
        <f aca="false">IF(B2164="","",IFERROR(INDEX(st_ID,MATCH(B2164,st_Name,0)),"Unknown"))</f>
        <v/>
      </c>
      <c r="J2164" s="37" t="str">
        <f aca="false">IF(C2164="","",IFERROR(INDEX(cl_Code,MATCH(C2164,cl_Name,0)),"Unknown"))</f>
        <v/>
      </c>
      <c r="K2164" s="37" t="str">
        <f aca="false">IF(D2164="","",IFERROR(INDEX(rt_Billable,MATCH(D2164,rt_Code,0)),"Unknown"))</f>
        <v/>
      </c>
      <c r="L2164" s="38" t="str">
        <f aca="false">IF(K2164&lt;&gt;"Yes","",IFERROR(INDEX(cr_Rate,MATCH(J2164&amp;"|"&amp;D2164,cr_Key,0)),INDEX(rt_Rate,MATCH(D2164,rt_Code,0))))</f>
        <v/>
      </c>
      <c r="M2164" s="25" t="str">
        <f aca="false">IF(L2164="","",ROUND(N(E2164)*L2164,2))</f>
        <v/>
      </c>
      <c r="N2164" s="39" t="str">
        <f aca="false">IF(OR(A2164="",B2164=""),"",SUMIFS(tl_Hours,tl_StaffID,I2164,tl_Date,A2164))</f>
        <v/>
      </c>
      <c r="O2164" s="40" t="str">
        <f aca="false">IF(A2164&amp;B2164&amp;D2164="","",IF(OR(A2164="",B2164="",D2164="",E2164=""),"Incomplete",IF(K2164="Unknown","Unknown code",IF(AND(K2164="Yes",C2164=""),"Billable, needs client",IF(N2164&gt;MaxDayHours,"Over "&amp;MaxDayHours&amp;" hours that day","")))))</f>
        <v/>
      </c>
    </row>
    <row r="2165" customFormat="false" ht="15" hidden="false" customHeight="false" outlineLevel="0" collapsed="false">
      <c r="A2165" s="31"/>
      <c r="B2165" s="32"/>
      <c r="C2165" s="32"/>
      <c r="D2165" s="33"/>
      <c r="E2165" s="34"/>
      <c r="F2165" s="32"/>
      <c r="G2165" s="35" t="str">
        <f aca="false">IF(A2165="","",A2165+7-WEEKDAY(A2165))</f>
        <v/>
      </c>
      <c r="H2165" s="36" t="str">
        <f aca="false">IF(A2165="","",DATE(YEAR(A2165),MONTH(A2165),1))</f>
        <v/>
      </c>
      <c r="I2165" s="37" t="str">
        <f aca="false">IF(B2165="","",IFERROR(INDEX(st_ID,MATCH(B2165,st_Name,0)),"Unknown"))</f>
        <v/>
      </c>
      <c r="J2165" s="37" t="str">
        <f aca="false">IF(C2165="","",IFERROR(INDEX(cl_Code,MATCH(C2165,cl_Name,0)),"Unknown"))</f>
        <v/>
      </c>
      <c r="K2165" s="37" t="str">
        <f aca="false">IF(D2165="","",IFERROR(INDEX(rt_Billable,MATCH(D2165,rt_Code,0)),"Unknown"))</f>
        <v/>
      </c>
      <c r="L2165" s="38" t="str">
        <f aca="false">IF(K2165&lt;&gt;"Yes","",IFERROR(INDEX(cr_Rate,MATCH(J2165&amp;"|"&amp;D2165,cr_Key,0)),INDEX(rt_Rate,MATCH(D2165,rt_Code,0))))</f>
        <v/>
      </c>
      <c r="M2165" s="25" t="str">
        <f aca="false">IF(L2165="","",ROUND(N(E2165)*L2165,2))</f>
        <v/>
      </c>
      <c r="N2165" s="39" t="str">
        <f aca="false">IF(OR(A2165="",B2165=""),"",SUMIFS(tl_Hours,tl_StaffID,I2165,tl_Date,A2165))</f>
        <v/>
      </c>
      <c r="O2165" s="40" t="str">
        <f aca="false">IF(A2165&amp;B2165&amp;D2165="","",IF(OR(A2165="",B2165="",D2165="",E2165=""),"Incomplete",IF(K2165="Unknown","Unknown code",IF(AND(K2165="Yes",C2165=""),"Billable, needs client",IF(N2165&gt;MaxDayHours,"Over "&amp;MaxDayHours&amp;" hours that day","")))))</f>
        <v/>
      </c>
    </row>
    <row r="2166" customFormat="false" ht="15" hidden="false" customHeight="false" outlineLevel="0" collapsed="false">
      <c r="A2166" s="31"/>
      <c r="B2166" s="32"/>
      <c r="C2166" s="32"/>
      <c r="D2166" s="33"/>
      <c r="E2166" s="34"/>
      <c r="F2166" s="32"/>
      <c r="G2166" s="35" t="str">
        <f aca="false">IF(A2166="","",A2166+7-WEEKDAY(A2166))</f>
        <v/>
      </c>
      <c r="H2166" s="36" t="str">
        <f aca="false">IF(A2166="","",DATE(YEAR(A2166),MONTH(A2166),1))</f>
        <v/>
      </c>
      <c r="I2166" s="37" t="str">
        <f aca="false">IF(B2166="","",IFERROR(INDEX(st_ID,MATCH(B2166,st_Name,0)),"Unknown"))</f>
        <v/>
      </c>
      <c r="J2166" s="37" t="str">
        <f aca="false">IF(C2166="","",IFERROR(INDEX(cl_Code,MATCH(C2166,cl_Name,0)),"Unknown"))</f>
        <v/>
      </c>
      <c r="K2166" s="37" t="str">
        <f aca="false">IF(D2166="","",IFERROR(INDEX(rt_Billable,MATCH(D2166,rt_Code,0)),"Unknown"))</f>
        <v/>
      </c>
      <c r="L2166" s="38" t="str">
        <f aca="false">IF(K2166&lt;&gt;"Yes","",IFERROR(INDEX(cr_Rate,MATCH(J2166&amp;"|"&amp;D2166,cr_Key,0)),INDEX(rt_Rate,MATCH(D2166,rt_Code,0))))</f>
        <v/>
      </c>
      <c r="M2166" s="25" t="str">
        <f aca="false">IF(L2166="","",ROUND(N(E2166)*L2166,2))</f>
        <v/>
      </c>
      <c r="N2166" s="39" t="str">
        <f aca="false">IF(OR(A2166="",B2166=""),"",SUMIFS(tl_Hours,tl_StaffID,I2166,tl_Date,A2166))</f>
        <v/>
      </c>
      <c r="O2166" s="40" t="str">
        <f aca="false">IF(A2166&amp;B2166&amp;D2166="","",IF(OR(A2166="",B2166="",D2166="",E2166=""),"Incomplete",IF(K2166="Unknown","Unknown code",IF(AND(K2166="Yes",C2166=""),"Billable, needs client",IF(N2166&gt;MaxDayHours,"Over "&amp;MaxDayHours&amp;" hours that day","")))))</f>
        <v/>
      </c>
    </row>
    <row r="2167" customFormat="false" ht="15" hidden="false" customHeight="false" outlineLevel="0" collapsed="false">
      <c r="A2167" s="31"/>
      <c r="B2167" s="32"/>
      <c r="C2167" s="32"/>
      <c r="D2167" s="33"/>
      <c r="E2167" s="34"/>
      <c r="F2167" s="32"/>
      <c r="G2167" s="35" t="str">
        <f aca="false">IF(A2167="","",A2167+7-WEEKDAY(A2167))</f>
        <v/>
      </c>
      <c r="H2167" s="36" t="str">
        <f aca="false">IF(A2167="","",DATE(YEAR(A2167),MONTH(A2167),1))</f>
        <v/>
      </c>
      <c r="I2167" s="37" t="str">
        <f aca="false">IF(B2167="","",IFERROR(INDEX(st_ID,MATCH(B2167,st_Name,0)),"Unknown"))</f>
        <v/>
      </c>
      <c r="J2167" s="37" t="str">
        <f aca="false">IF(C2167="","",IFERROR(INDEX(cl_Code,MATCH(C2167,cl_Name,0)),"Unknown"))</f>
        <v/>
      </c>
      <c r="K2167" s="37" t="str">
        <f aca="false">IF(D2167="","",IFERROR(INDEX(rt_Billable,MATCH(D2167,rt_Code,0)),"Unknown"))</f>
        <v/>
      </c>
      <c r="L2167" s="38" t="str">
        <f aca="false">IF(K2167&lt;&gt;"Yes","",IFERROR(INDEX(cr_Rate,MATCH(J2167&amp;"|"&amp;D2167,cr_Key,0)),INDEX(rt_Rate,MATCH(D2167,rt_Code,0))))</f>
        <v/>
      </c>
      <c r="M2167" s="25" t="str">
        <f aca="false">IF(L2167="","",ROUND(N(E2167)*L2167,2))</f>
        <v/>
      </c>
      <c r="N2167" s="39" t="str">
        <f aca="false">IF(OR(A2167="",B2167=""),"",SUMIFS(tl_Hours,tl_StaffID,I2167,tl_Date,A2167))</f>
        <v/>
      </c>
      <c r="O2167" s="40" t="str">
        <f aca="false">IF(A2167&amp;B2167&amp;D2167="","",IF(OR(A2167="",B2167="",D2167="",E2167=""),"Incomplete",IF(K2167="Unknown","Unknown code",IF(AND(K2167="Yes",C2167=""),"Billable, needs client",IF(N2167&gt;MaxDayHours,"Over "&amp;MaxDayHours&amp;" hours that day","")))))</f>
        <v/>
      </c>
    </row>
    <row r="2168" customFormat="false" ht="15" hidden="false" customHeight="false" outlineLevel="0" collapsed="false">
      <c r="A2168" s="31"/>
      <c r="B2168" s="32"/>
      <c r="C2168" s="32"/>
      <c r="D2168" s="33"/>
      <c r="E2168" s="34"/>
      <c r="F2168" s="32"/>
      <c r="G2168" s="35" t="str">
        <f aca="false">IF(A2168="","",A2168+7-WEEKDAY(A2168))</f>
        <v/>
      </c>
      <c r="H2168" s="36" t="str">
        <f aca="false">IF(A2168="","",DATE(YEAR(A2168),MONTH(A2168),1))</f>
        <v/>
      </c>
      <c r="I2168" s="37" t="str">
        <f aca="false">IF(B2168="","",IFERROR(INDEX(st_ID,MATCH(B2168,st_Name,0)),"Unknown"))</f>
        <v/>
      </c>
      <c r="J2168" s="37" t="str">
        <f aca="false">IF(C2168="","",IFERROR(INDEX(cl_Code,MATCH(C2168,cl_Name,0)),"Unknown"))</f>
        <v/>
      </c>
      <c r="K2168" s="37" t="str">
        <f aca="false">IF(D2168="","",IFERROR(INDEX(rt_Billable,MATCH(D2168,rt_Code,0)),"Unknown"))</f>
        <v/>
      </c>
      <c r="L2168" s="38" t="str">
        <f aca="false">IF(K2168&lt;&gt;"Yes","",IFERROR(INDEX(cr_Rate,MATCH(J2168&amp;"|"&amp;D2168,cr_Key,0)),INDEX(rt_Rate,MATCH(D2168,rt_Code,0))))</f>
        <v/>
      </c>
      <c r="M2168" s="25" t="str">
        <f aca="false">IF(L2168="","",ROUND(N(E2168)*L2168,2))</f>
        <v/>
      </c>
      <c r="N2168" s="39" t="str">
        <f aca="false">IF(OR(A2168="",B2168=""),"",SUMIFS(tl_Hours,tl_StaffID,I2168,tl_Date,A2168))</f>
        <v/>
      </c>
      <c r="O2168" s="40" t="str">
        <f aca="false">IF(A2168&amp;B2168&amp;D2168="","",IF(OR(A2168="",B2168="",D2168="",E2168=""),"Incomplete",IF(K2168="Unknown","Unknown code",IF(AND(K2168="Yes",C2168=""),"Billable, needs client",IF(N2168&gt;MaxDayHours,"Over "&amp;MaxDayHours&amp;" hours that day","")))))</f>
        <v/>
      </c>
    </row>
    <row r="2169" customFormat="false" ht="15" hidden="false" customHeight="false" outlineLevel="0" collapsed="false">
      <c r="A2169" s="31"/>
      <c r="B2169" s="32"/>
      <c r="C2169" s="32"/>
      <c r="D2169" s="33"/>
      <c r="E2169" s="34"/>
      <c r="F2169" s="32"/>
      <c r="G2169" s="35" t="str">
        <f aca="false">IF(A2169="","",A2169+7-WEEKDAY(A2169))</f>
        <v/>
      </c>
      <c r="H2169" s="36" t="str">
        <f aca="false">IF(A2169="","",DATE(YEAR(A2169),MONTH(A2169),1))</f>
        <v/>
      </c>
      <c r="I2169" s="37" t="str">
        <f aca="false">IF(B2169="","",IFERROR(INDEX(st_ID,MATCH(B2169,st_Name,0)),"Unknown"))</f>
        <v/>
      </c>
      <c r="J2169" s="37" t="str">
        <f aca="false">IF(C2169="","",IFERROR(INDEX(cl_Code,MATCH(C2169,cl_Name,0)),"Unknown"))</f>
        <v/>
      </c>
      <c r="K2169" s="37" t="str">
        <f aca="false">IF(D2169="","",IFERROR(INDEX(rt_Billable,MATCH(D2169,rt_Code,0)),"Unknown"))</f>
        <v/>
      </c>
      <c r="L2169" s="38" t="str">
        <f aca="false">IF(K2169&lt;&gt;"Yes","",IFERROR(INDEX(cr_Rate,MATCH(J2169&amp;"|"&amp;D2169,cr_Key,0)),INDEX(rt_Rate,MATCH(D2169,rt_Code,0))))</f>
        <v/>
      </c>
      <c r="M2169" s="25" t="str">
        <f aca="false">IF(L2169="","",ROUND(N(E2169)*L2169,2))</f>
        <v/>
      </c>
      <c r="N2169" s="39" t="str">
        <f aca="false">IF(OR(A2169="",B2169=""),"",SUMIFS(tl_Hours,tl_StaffID,I2169,tl_Date,A2169))</f>
        <v/>
      </c>
      <c r="O2169" s="40" t="str">
        <f aca="false">IF(A2169&amp;B2169&amp;D2169="","",IF(OR(A2169="",B2169="",D2169="",E2169=""),"Incomplete",IF(K2169="Unknown","Unknown code",IF(AND(K2169="Yes",C2169=""),"Billable, needs client",IF(N2169&gt;MaxDayHours,"Over "&amp;MaxDayHours&amp;" hours that day","")))))</f>
        <v/>
      </c>
    </row>
    <row r="2170" customFormat="false" ht="15" hidden="false" customHeight="false" outlineLevel="0" collapsed="false">
      <c r="A2170" s="31"/>
      <c r="B2170" s="32"/>
      <c r="C2170" s="32"/>
      <c r="D2170" s="33"/>
      <c r="E2170" s="34"/>
      <c r="F2170" s="32"/>
      <c r="G2170" s="35" t="str">
        <f aca="false">IF(A2170="","",A2170+7-WEEKDAY(A2170))</f>
        <v/>
      </c>
      <c r="H2170" s="36" t="str">
        <f aca="false">IF(A2170="","",DATE(YEAR(A2170),MONTH(A2170),1))</f>
        <v/>
      </c>
      <c r="I2170" s="37" t="str">
        <f aca="false">IF(B2170="","",IFERROR(INDEX(st_ID,MATCH(B2170,st_Name,0)),"Unknown"))</f>
        <v/>
      </c>
      <c r="J2170" s="37" t="str">
        <f aca="false">IF(C2170="","",IFERROR(INDEX(cl_Code,MATCH(C2170,cl_Name,0)),"Unknown"))</f>
        <v/>
      </c>
      <c r="K2170" s="37" t="str">
        <f aca="false">IF(D2170="","",IFERROR(INDEX(rt_Billable,MATCH(D2170,rt_Code,0)),"Unknown"))</f>
        <v/>
      </c>
      <c r="L2170" s="38" t="str">
        <f aca="false">IF(K2170&lt;&gt;"Yes","",IFERROR(INDEX(cr_Rate,MATCH(J2170&amp;"|"&amp;D2170,cr_Key,0)),INDEX(rt_Rate,MATCH(D2170,rt_Code,0))))</f>
        <v/>
      </c>
      <c r="M2170" s="25" t="str">
        <f aca="false">IF(L2170="","",ROUND(N(E2170)*L2170,2))</f>
        <v/>
      </c>
      <c r="N2170" s="39" t="str">
        <f aca="false">IF(OR(A2170="",B2170=""),"",SUMIFS(tl_Hours,tl_StaffID,I2170,tl_Date,A2170))</f>
        <v/>
      </c>
      <c r="O2170" s="40" t="str">
        <f aca="false">IF(A2170&amp;B2170&amp;D2170="","",IF(OR(A2170="",B2170="",D2170="",E2170=""),"Incomplete",IF(K2170="Unknown","Unknown code",IF(AND(K2170="Yes",C2170=""),"Billable, needs client",IF(N2170&gt;MaxDayHours,"Over "&amp;MaxDayHours&amp;" hours that day","")))))</f>
        <v/>
      </c>
    </row>
    <row r="2171" customFormat="false" ht="15" hidden="false" customHeight="false" outlineLevel="0" collapsed="false">
      <c r="A2171" s="31"/>
      <c r="B2171" s="32"/>
      <c r="C2171" s="32"/>
      <c r="D2171" s="33"/>
      <c r="E2171" s="34"/>
      <c r="F2171" s="32"/>
      <c r="G2171" s="35" t="str">
        <f aca="false">IF(A2171="","",A2171+7-WEEKDAY(A2171))</f>
        <v/>
      </c>
      <c r="H2171" s="36" t="str">
        <f aca="false">IF(A2171="","",DATE(YEAR(A2171),MONTH(A2171),1))</f>
        <v/>
      </c>
      <c r="I2171" s="37" t="str">
        <f aca="false">IF(B2171="","",IFERROR(INDEX(st_ID,MATCH(B2171,st_Name,0)),"Unknown"))</f>
        <v/>
      </c>
      <c r="J2171" s="37" t="str">
        <f aca="false">IF(C2171="","",IFERROR(INDEX(cl_Code,MATCH(C2171,cl_Name,0)),"Unknown"))</f>
        <v/>
      </c>
      <c r="K2171" s="37" t="str">
        <f aca="false">IF(D2171="","",IFERROR(INDEX(rt_Billable,MATCH(D2171,rt_Code,0)),"Unknown"))</f>
        <v/>
      </c>
      <c r="L2171" s="38" t="str">
        <f aca="false">IF(K2171&lt;&gt;"Yes","",IFERROR(INDEX(cr_Rate,MATCH(J2171&amp;"|"&amp;D2171,cr_Key,0)),INDEX(rt_Rate,MATCH(D2171,rt_Code,0))))</f>
        <v/>
      </c>
      <c r="M2171" s="25" t="str">
        <f aca="false">IF(L2171="","",ROUND(N(E2171)*L2171,2))</f>
        <v/>
      </c>
      <c r="N2171" s="39" t="str">
        <f aca="false">IF(OR(A2171="",B2171=""),"",SUMIFS(tl_Hours,tl_StaffID,I2171,tl_Date,A2171))</f>
        <v/>
      </c>
      <c r="O2171" s="40" t="str">
        <f aca="false">IF(A2171&amp;B2171&amp;D2171="","",IF(OR(A2171="",B2171="",D2171="",E2171=""),"Incomplete",IF(K2171="Unknown","Unknown code",IF(AND(K2171="Yes",C2171=""),"Billable, needs client",IF(N2171&gt;MaxDayHours,"Over "&amp;MaxDayHours&amp;" hours that day","")))))</f>
        <v/>
      </c>
    </row>
    <row r="2172" customFormat="false" ht="15" hidden="false" customHeight="false" outlineLevel="0" collapsed="false">
      <c r="A2172" s="31"/>
      <c r="B2172" s="32"/>
      <c r="C2172" s="32"/>
      <c r="D2172" s="33"/>
      <c r="E2172" s="34"/>
      <c r="F2172" s="32"/>
      <c r="G2172" s="35" t="str">
        <f aca="false">IF(A2172="","",A2172+7-WEEKDAY(A2172))</f>
        <v/>
      </c>
      <c r="H2172" s="36" t="str">
        <f aca="false">IF(A2172="","",DATE(YEAR(A2172),MONTH(A2172),1))</f>
        <v/>
      </c>
      <c r="I2172" s="37" t="str">
        <f aca="false">IF(B2172="","",IFERROR(INDEX(st_ID,MATCH(B2172,st_Name,0)),"Unknown"))</f>
        <v/>
      </c>
      <c r="J2172" s="37" t="str">
        <f aca="false">IF(C2172="","",IFERROR(INDEX(cl_Code,MATCH(C2172,cl_Name,0)),"Unknown"))</f>
        <v/>
      </c>
      <c r="K2172" s="37" t="str">
        <f aca="false">IF(D2172="","",IFERROR(INDEX(rt_Billable,MATCH(D2172,rt_Code,0)),"Unknown"))</f>
        <v/>
      </c>
      <c r="L2172" s="38" t="str">
        <f aca="false">IF(K2172&lt;&gt;"Yes","",IFERROR(INDEX(cr_Rate,MATCH(J2172&amp;"|"&amp;D2172,cr_Key,0)),INDEX(rt_Rate,MATCH(D2172,rt_Code,0))))</f>
        <v/>
      </c>
      <c r="M2172" s="25" t="str">
        <f aca="false">IF(L2172="","",ROUND(N(E2172)*L2172,2))</f>
        <v/>
      </c>
      <c r="N2172" s="39" t="str">
        <f aca="false">IF(OR(A2172="",B2172=""),"",SUMIFS(tl_Hours,tl_StaffID,I2172,tl_Date,A2172))</f>
        <v/>
      </c>
      <c r="O2172" s="40" t="str">
        <f aca="false">IF(A2172&amp;B2172&amp;D2172="","",IF(OR(A2172="",B2172="",D2172="",E2172=""),"Incomplete",IF(K2172="Unknown","Unknown code",IF(AND(K2172="Yes",C2172=""),"Billable, needs client",IF(N2172&gt;MaxDayHours,"Over "&amp;MaxDayHours&amp;" hours that day","")))))</f>
        <v/>
      </c>
    </row>
    <row r="2173" customFormat="false" ht="15" hidden="false" customHeight="false" outlineLevel="0" collapsed="false">
      <c r="A2173" s="31"/>
      <c r="B2173" s="32"/>
      <c r="C2173" s="32"/>
      <c r="D2173" s="33"/>
      <c r="E2173" s="34"/>
      <c r="F2173" s="32"/>
      <c r="G2173" s="35" t="str">
        <f aca="false">IF(A2173="","",A2173+7-WEEKDAY(A2173))</f>
        <v/>
      </c>
      <c r="H2173" s="36" t="str">
        <f aca="false">IF(A2173="","",DATE(YEAR(A2173),MONTH(A2173),1))</f>
        <v/>
      </c>
      <c r="I2173" s="37" t="str">
        <f aca="false">IF(B2173="","",IFERROR(INDEX(st_ID,MATCH(B2173,st_Name,0)),"Unknown"))</f>
        <v/>
      </c>
      <c r="J2173" s="37" t="str">
        <f aca="false">IF(C2173="","",IFERROR(INDEX(cl_Code,MATCH(C2173,cl_Name,0)),"Unknown"))</f>
        <v/>
      </c>
      <c r="K2173" s="37" t="str">
        <f aca="false">IF(D2173="","",IFERROR(INDEX(rt_Billable,MATCH(D2173,rt_Code,0)),"Unknown"))</f>
        <v/>
      </c>
      <c r="L2173" s="38" t="str">
        <f aca="false">IF(K2173&lt;&gt;"Yes","",IFERROR(INDEX(cr_Rate,MATCH(J2173&amp;"|"&amp;D2173,cr_Key,0)),INDEX(rt_Rate,MATCH(D2173,rt_Code,0))))</f>
        <v/>
      </c>
      <c r="M2173" s="25" t="str">
        <f aca="false">IF(L2173="","",ROUND(N(E2173)*L2173,2))</f>
        <v/>
      </c>
      <c r="N2173" s="39" t="str">
        <f aca="false">IF(OR(A2173="",B2173=""),"",SUMIFS(tl_Hours,tl_StaffID,I2173,tl_Date,A2173))</f>
        <v/>
      </c>
      <c r="O2173" s="40" t="str">
        <f aca="false">IF(A2173&amp;B2173&amp;D2173="","",IF(OR(A2173="",B2173="",D2173="",E2173=""),"Incomplete",IF(K2173="Unknown","Unknown code",IF(AND(K2173="Yes",C2173=""),"Billable, needs client",IF(N2173&gt;MaxDayHours,"Over "&amp;MaxDayHours&amp;" hours that day","")))))</f>
        <v/>
      </c>
    </row>
    <row r="2174" customFormat="false" ht="15" hidden="false" customHeight="false" outlineLevel="0" collapsed="false">
      <c r="A2174" s="31"/>
      <c r="B2174" s="32"/>
      <c r="C2174" s="32"/>
      <c r="D2174" s="33"/>
      <c r="E2174" s="34"/>
      <c r="F2174" s="32"/>
      <c r="G2174" s="35" t="str">
        <f aca="false">IF(A2174="","",A2174+7-WEEKDAY(A2174))</f>
        <v/>
      </c>
      <c r="H2174" s="36" t="str">
        <f aca="false">IF(A2174="","",DATE(YEAR(A2174),MONTH(A2174),1))</f>
        <v/>
      </c>
      <c r="I2174" s="37" t="str">
        <f aca="false">IF(B2174="","",IFERROR(INDEX(st_ID,MATCH(B2174,st_Name,0)),"Unknown"))</f>
        <v/>
      </c>
      <c r="J2174" s="37" t="str">
        <f aca="false">IF(C2174="","",IFERROR(INDEX(cl_Code,MATCH(C2174,cl_Name,0)),"Unknown"))</f>
        <v/>
      </c>
      <c r="K2174" s="37" t="str">
        <f aca="false">IF(D2174="","",IFERROR(INDEX(rt_Billable,MATCH(D2174,rt_Code,0)),"Unknown"))</f>
        <v/>
      </c>
      <c r="L2174" s="38" t="str">
        <f aca="false">IF(K2174&lt;&gt;"Yes","",IFERROR(INDEX(cr_Rate,MATCH(J2174&amp;"|"&amp;D2174,cr_Key,0)),INDEX(rt_Rate,MATCH(D2174,rt_Code,0))))</f>
        <v/>
      </c>
      <c r="M2174" s="25" t="str">
        <f aca="false">IF(L2174="","",ROUND(N(E2174)*L2174,2))</f>
        <v/>
      </c>
      <c r="N2174" s="39" t="str">
        <f aca="false">IF(OR(A2174="",B2174=""),"",SUMIFS(tl_Hours,tl_StaffID,I2174,tl_Date,A2174))</f>
        <v/>
      </c>
      <c r="O2174" s="40" t="str">
        <f aca="false">IF(A2174&amp;B2174&amp;D2174="","",IF(OR(A2174="",B2174="",D2174="",E2174=""),"Incomplete",IF(K2174="Unknown","Unknown code",IF(AND(K2174="Yes",C2174=""),"Billable, needs client",IF(N2174&gt;MaxDayHours,"Over "&amp;MaxDayHours&amp;" hours that day","")))))</f>
        <v/>
      </c>
    </row>
    <row r="2175" customFormat="false" ht="15" hidden="false" customHeight="false" outlineLevel="0" collapsed="false">
      <c r="A2175" s="31"/>
      <c r="B2175" s="32"/>
      <c r="C2175" s="32"/>
      <c r="D2175" s="33"/>
      <c r="E2175" s="34"/>
      <c r="F2175" s="32"/>
      <c r="G2175" s="35" t="str">
        <f aca="false">IF(A2175="","",A2175+7-WEEKDAY(A2175))</f>
        <v/>
      </c>
      <c r="H2175" s="36" t="str">
        <f aca="false">IF(A2175="","",DATE(YEAR(A2175),MONTH(A2175),1))</f>
        <v/>
      </c>
      <c r="I2175" s="37" t="str">
        <f aca="false">IF(B2175="","",IFERROR(INDEX(st_ID,MATCH(B2175,st_Name,0)),"Unknown"))</f>
        <v/>
      </c>
      <c r="J2175" s="37" t="str">
        <f aca="false">IF(C2175="","",IFERROR(INDEX(cl_Code,MATCH(C2175,cl_Name,0)),"Unknown"))</f>
        <v/>
      </c>
      <c r="K2175" s="37" t="str">
        <f aca="false">IF(D2175="","",IFERROR(INDEX(rt_Billable,MATCH(D2175,rt_Code,0)),"Unknown"))</f>
        <v/>
      </c>
      <c r="L2175" s="38" t="str">
        <f aca="false">IF(K2175&lt;&gt;"Yes","",IFERROR(INDEX(cr_Rate,MATCH(J2175&amp;"|"&amp;D2175,cr_Key,0)),INDEX(rt_Rate,MATCH(D2175,rt_Code,0))))</f>
        <v/>
      </c>
      <c r="M2175" s="25" t="str">
        <f aca="false">IF(L2175="","",ROUND(N(E2175)*L2175,2))</f>
        <v/>
      </c>
      <c r="N2175" s="39" t="str">
        <f aca="false">IF(OR(A2175="",B2175=""),"",SUMIFS(tl_Hours,tl_StaffID,I2175,tl_Date,A2175))</f>
        <v/>
      </c>
      <c r="O2175" s="40" t="str">
        <f aca="false">IF(A2175&amp;B2175&amp;D2175="","",IF(OR(A2175="",B2175="",D2175="",E2175=""),"Incomplete",IF(K2175="Unknown","Unknown code",IF(AND(K2175="Yes",C2175=""),"Billable, needs client",IF(N2175&gt;MaxDayHours,"Over "&amp;MaxDayHours&amp;" hours that day","")))))</f>
        <v/>
      </c>
    </row>
    <row r="2176" customFormat="false" ht="15" hidden="false" customHeight="false" outlineLevel="0" collapsed="false">
      <c r="A2176" s="31"/>
      <c r="B2176" s="32"/>
      <c r="C2176" s="32"/>
      <c r="D2176" s="33"/>
      <c r="E2176" s="34"/>
      <c r="F2176" s="32"/>
      <c r="G2176" s="35" t="str">
        <f aca="false">IF(A2176="","",A2176+7-WEEKDAY(A2176))</f>
        <v/>
      </c>
      <c r="H2176" s="36" t="str">
        <f aca="false">IF(A2176="","",DATE(YEAR(A2176),MONTH(A2176),1))</f>
        <v/>
      </c>
      <c r="I2176" s="37" t="str">
        <f aca="false">IF(B2176="","",IFERROR(INDEX(st_ID,MATCH(B2176,st_Name,0)),"Unknown"))</f>
        <v/>
      </c>
      <c r="J2176" s="37" t="str">
        <f aca="false">IF(C2176="","",IFERROR(INDEX(cl_Code,MATCH(C2176,cl_Name,0)),"Unknown"))</f>
        <v/>
      </c>
      <c r="K2176" s="37" t="str">
        <f aca="false">IF(D2176="","",IFERROR(INDEX(rt_Billable,MATCH(D2176,rt_Code,0)),"Unknown"))</f>
        <v/>
      </c>
      <c r="L2176" s="38" t="str">
        <f aca="false">IF(K2176&lt;&gt;"Yes","",IFERROR(INDEX(cr_Rate,MATCH(J2176&amp;"|"&amp;D2176,cr_Key,0)),INDEX(rt_Rate,MATCH(D2176,rt_Code,0))))</f>
        <v/>
      </c>
      <c r="M2176" s="25" t="str">
        <f aca="false">IF(L2176="","",ROUND(N(E2176)*L2176,2))</f>
        <v/>
      </c>
      <c r="N2176" s="39" t="str">
        <f aca="false">IF(OR(A2176="",B2176=""),"",SUMIFS(tl_Hours,tl_StaffID,I2176,tl_Date,A2176))</f>
        <v/>
      </c>
      <c r="O2176" s="40" t="str">
        <f aca="false">IF(A2176&amp;B2176&amp;D2176="","",IF(OR(A2176="",B2176="",D2176="",E2176=""),"Incomplete",IF(K2176="Unknown","Unknown code",IF(AND(K2176="Yes",C2176=""),"Billable, needs client",IF(N2176&gt;MaxDayHours,"Over "&amp;MaxDayHours&amp;" hours that day","")))))</f>
        <v/>
      </c>
    </row>
    <row r="2177" customFormat="false" ht="15" hidden="false" customHeight="false" outlineLevel="0" collapsed="false">
      <c r="A2177" s="31"/>
      <c r="B2177" s="32"/>
      <c r="C2177" s="32"/>
      <c r="D2177" s="33"/>
      <c r="E2177" s="34"/>
      <c r="F2177" s="32"/>
      <c r="G2177" s="35" t="str">
        <f aca="false">IF(A2177="","",A2177+7-WEEKDAY(A2177))</f>
        <v/>
      </c>
      <c r="H2177" s="36" t="str">
        <f aca="false">IF(A2177="","",DATE(YEAR(A2177),MONTH(A2177),1))</f>
        <v/>
      </c>
      <c r="I2177" s="37" t="str">
        <f aca="false">IF(B2177="","",IFERROR(INDEX(st_ID,MATCH(B2177,st_Name,0)),"Unknown"))</f>
        <v/>
      </c>
      <c r="J2177" s="37" t="str">
        <f aca="false">IF(C2177="","",IFERROR(INDEX(cl_Code,MATCH(C2177,cl_Name,0)),"Unknown"))</f>
        <v/>
      </c>
      <c r="K2177" s="37" t="str">
        <f aca="false">IF(D2177="","",IFERROR(INDEX(rt_Billable,MATCH(D2177,rt_Code,0)),"Unknown"))</f>
        <v/>
      </c>
      <c r="L2177" s="38" t="str">
        <f aca="false">IF(K2177&lt;&gt;"Yes","",IFERROR(INDEX(cr_Rate,MATCH(J2177&amp;"|"&amp;D2177,cr_Key,0)),INDEX(rt_Rate,MATCH(D2177,rt_Code,0))))</f>
        <v/>
      </c>
      <c r="M2177" s="25" t="str">
        <f aca="false">IF(L2177="","",ROUND(N(E2177)*L2177,2))</f>
        <v/>
      </c>
      <c r="N2177" s="39" t="str">
        <f aca="false">IF(OR(A2177="",B2177=""),"",SUMIFS(tl_Hours,tl_StaffID,I2177,tl_Date,A2177))</f>
        <v/>
      </c>
      <c r="O2177" s="40" t="str">
        <f aca="false">IF(A2177&amp;B2177&amp;D2177="","",IF(OR(A2177="",B2177="",D2177="",E2177=""),"Incomplete",IF(K2177="Unknown","Unknown code",IF(AND(K2177="Yes",C2177=""),"Billable, needs client",IF(N2177&gt;MaxDayHours,"Over "&amp;MaxDayHours&amp;" hours that day","")))))</f>
        <v/>
      </c>
    </row>
    <row r="2178" customFormat="false" ht="15" hidden="false" customHeight="false" outlineLevel="0" collapsed="false">
      <c r="A2178" s="31"/>
      <c r="B2178" s="32"/>
      <c r="C2178" s="32"/>
      <c r="D2178" s="33"/>
      <c r="E2178" s="34"/>
      <c r="F2178" s="32"/>
      <c r="G2178" s="35" t="str">
        <f aca="false">IF(A2178="","",A2178+7-WEEKDAY(A2178))</f>
        <v/>
      </c>
      <c r="H2178" s="36" t="str">
        <f aca="false">IF(A2178="","",DATE(YEAR(A2178),MONTH(A2178),1))</f>
        <v/>
      </c>
      <c r="I2178" s="37" t="str">
        <f aca="false">IF(B2178="","",IFERROR(INDEX(st_ID,MATCH(B2178,st_Name,0)),"Unknown"))</f>
        <v/>
      </c>
      <c r="J2178" s="37" t="str">
        <f aca="false">IF(C2178="","",IFERROR(INDEX(cl_Code,MATCH(C2178,cl_Name,0)),"Unknown"))</f>
        <v/>
      </c>
      <c r="K2178" s="37" t="str">
        <f aca="false">IF(D2178="","",IFERROR(INDEX(rt_Billable,MATCH(D2178,rt_Code,0)),"Unknown"))</f>
        <v/>
      </c>
      <c r="L2178" s="38" t="str">
        <f aca="false">IF(K2178&lt;&gt;"Yes","",IFERROR(INDEX(cr_Rate,MATCH(J2178&amp;"|"&amp;D2178,cr_Key,0)),INDEX(rt_Rate,MATCH(D2178,rt_Code,0))))</f>
        <v/>
      </c>
      <c r="M2178" s="25" t="str">
        <f aca="false">IF(L2178="","",ROUND(N(E2178)*L2178,2))</f>
        <v/>
      </c>
      <c r="N2178" s="39" t="str">
        <f aca="false">IF(OR(A2178="",B2178=""),"",SUMIFS(tl_Hours,tl_StaffID,I2178,tl_Date,A2178))</f>
        <v/>
      </c>
      <c r="O2178" s="40" t="str">
        <f aca="false">IF(A2178&amp;B2178&amp;D2178="","",IF(OR(A2178="",B2178="",D2178="",E2178=""),"Incomplete",IF(K2178="Unknown","Unknown code",IF(AND(K2178="Yes",C2178=""),"Billable, needs client",IF(N2178&gt;MaxDayHours,"Over "&amp;MaxDayHours&amp;" hours that day","")))))</f>
        <v/>
      </c>
    </row>
    <row r="2179" customFormat="false" ht="15" hidden="false" customHeight="false" outlineLevel="0" collapsed="false">
      <c r="A2179" s="31"/>
      <c r="B2179" s="32"/>
      <c r="C2179" s="32"/>
      <c r="D2179" s="33"/>
      <c r="E2179" s="34"/>
      <c r="F2179" s="32"/>
      <c r="G2179" s="35" t="str">
        <f aca="false">IF(A2179="","",A2179+7-WEEKDAY(A2179))</f>
        <v/>
      </c>
      <c r="H2179" s="36" t="str">
        <f aca="false">IF(A2179="","",DATE(YEAR(A2179),MONTH(A2179),1))</f>
        <v/>
      </c>
      <c r="I2179" s="37" t="str">
        <f aca="false">IF(B2179="","",IFERROR(INDEX(st_ID,MATCH(B2179,st_Name,0)),"Unknown"))</f>
        <v/>
      </c>
      <c r="J2179" s="37" t="str">
        <f aca="false">IF(C2179="","",IFERROR(INDEX(cl_Code,MATCH(C2179,cl_Name,0)),"Unknown"))</f>
        <v/>
      </c>
      <c r="K2179" s="37" t="str">
        <f aca="false">IF(D2179="","",IFERROR(INDEX(rt_Billable,MATCH(D2179,rt_Code,0)),"Unknown"))</f>
        <v/>
      </c>
      <c r="L2179" s="38" t="str">
        <f aca="false">IF(K2179&lt;&gt;"Yes","",IFERROR(INDEX(cr_Rate,MATCH(J2179&amp;"|"&amp;D2179,cr_Key,0)),INDEX(rt_Rate,MATCH(D2179,rt_Code,0))))</f>
        <v/>
      </c>
      <c r="M2179" s="25" t="str">
        <f aca="false">IF(L2179="","",ROUND(N(E2179)*L2179,2))</f>
        <v/>
      </c>
      <c r="N2179" s="39" t="str">
        <f aca="false">IF(OR(A2179="",B2179=""),"",SUMIFS(tl_Hours,tl_StaffID,I2179,tl_Date,A2179))</f>
        <v/>
      </c>
      <c r="O2179" s="40" t="str">
        <f aca="false">IF(A2179&amp;B2179&amp;D2179="","",IF(OR(A2179="",B2179="",D2179="",E2179=""),"Incomplete",IF(K2179="Unknown","Unknown code",IF(AND(K2179="Yes",C2179=""),"Billable, needs client",IF(N2179&gt;MaxDayHours,"Over "&amp;MaxDayHours&amp;" hours that day","")))))</f>
        <v/>
      </c>
    </row>
    <row r="2180" customFormat="false" ht="15" hidden="false" customHeight="false" outlineLevel="0" collapsed="false">
      <c r="A2180" s="31"/>
      <c r="B2180" s="32"/>
      <c r="C2180" s="32"/>
      <c r="D2180" s="33"/>
      <c r="E2180" s="34"/>
      <c r="F2180" s="32"/>
      <c r="G2180" s="35" t="str">
        <f aca="false">IF(A2180="","",A2180+7-WEEKDAY(A2180))</f>
        <v/>
      </c>
      <c r="H2180" s="36" t="str">
        <f aca="false">IF(A2180="","",DATE(YEAR(A2180),MONTH(A2180),1))</f>
        <v/>
      </c>
      <c r="I2180" s="37" t="str">
        <f aca="false">IF(B2180="","",IFERROR(INDEX(st_ID,MATCH(B2180,st_Name,0)),"Unknown"))</f>
        <v/>
      </c>
      <c r="J2180" s="37" t="str">
        <f aca="false">IF(C2180="","",IFERROR(INDEX(cl_Code,MATCH(C2180,cl_Name,0)),"Unknown"))</f>
        <v/>
      </c>
      <c r="K2180" s="37" t="str">
        <f aca="false">IF(D2180="","",IFERROR(INDEX(rt_Billable,MATCH(D2180,rt_Code,0)),"Unknown"))</f>
        <v/>
      </c>
      <c r="L2180" s="38" t="str">
        <f aca="false">IF(K2180&lt;&gt;"Yes","",IFERROR(INDEX(cr_Rate,MATCH(J2180&amp;"|"&amp;D2180,cr_Key,0)),INDEX(rt_Rate,MATCH(D2180,rt_Code,0))))</f>
        <v/>
      </c>
      <c r="M2180" s="25" t="str">
        <f aca="false">IF(L2180="","",ROUND(N(E2180)*L2180,2))</f>
        <v/>
      </c>
      <c r="N2180" s="39" t="str">
        <f aca="false">IF(OR(A2180="",B2180=""),"",SUMIFS(tl_Hours,tl_StaffID,I2180,tl_Date,A2180))</f>
        <v/>
      </c>
      <c r="O2180" s="40" t="str">
        <f aca="false">IF(A2180&amp;B2180&amp;D2180="","",IF(OR(A2180="",B2180="",D2180="",E2180=""),"Incomplete",IF(K2180="Unknown","Unknown code",IF(AND(K2180="Yes",C2180=""),"Billable, needs client",IF(N2180&gt;MaxDayHours,"Over "&amp;MaxDayHours&amp;" hours that day","")))))</f>
        <v/>
      </c>
    </row>
    <row r="2181" customFormat="false" ht="15" hidden="false" customHeight="false" outlineLevel="0" collapsed="false">
      <c r="A2181" s="31"/>
      <c r="B2181" s="32"/>
      <c r="C2181" s="32"/>
      <c r="D2181" s="33"/>
      <c r="E2181" s="34"/>
      <c r="F2181" s="32"/>
      <c r="G2181" s="35" t="str">
        <f aca="false">IF(A2181="","",A2181+7-WEEKDAY(A2181))</f>
        <v/>
      </c>
      <c r="H2181" s="36" t="str">
        <f aca="false">IF(A2181="","",DATE(YEAR(A2181),MONTH(A2181),1))</f>
        <v/>
      </c>
      <c r="I2181" s="37" t="str">
        <f aca="false">IF(B2181="","",IFERROR(INDEX(st_ID,MATCH(B2181,st_Name,0)),"Unknown"))</f>
        <v/>
      </c>
      <c r="J2181" s="37" t="str">
        <f aca="false">IF(C2181="","",IFERROR(INDEX(cl_Code,MATCH(C2181,cl_Name,0)),"Unknown"))</f>
        <v/>
      </c>
      <c r="K2181" s="37" t="str">
        <f aca="false">IF(D2181="","",IFERROR(INDEX(rt_Billable,MATCH(D2181,rt_Code,0)),"Unknown"))</f>
        <v/>
      </c>
      <c r="L2181" s="38" t="str">
        <f aca="false">IF(K2181&lt;&gt;"Yes","",IFERROR(INDEX(cr_Rate,MATCH(J2181&amp;"|"&amp;D2181,cr_Key,0)),INDEX(rt_Rate,MATCH(D2181,rt_Code,0))))</f>
        <v/>
      </c>
      <c r="M2181" s="25" t="str">
        <f aca="false">IF(L2181="","",ROUND(N(E2181)*L2181,2))</f>
        <v/>
      </c>
      <c r="N2181" s="39" t="str">
        <f aca="false">IF(OR(A2181="",B2181=""),"",SUMIFS(tl_Hours,tl_StaffID,I2181,tl_Date,A2181))</f>
        <v/>
      </c>
      <c r="O2181" s="40" t="str">
        <f aca="false">IF(A2181&amp;B2181&amp;D2181="","",IF(OR(A2181="",B2181="",D2181="",E2181=""),"Incomplete",IF(K2181="Unknown","Unknown code",IF(AND(K2181="Yes",C2181=""),"Billable, needs client",IF(N2181&gt;MaxDayHours,"Over "&amp;MaxDayHours&amp;" hours that day","")))))</f>
        <v/>
      </c>
    </row>
    <row r="2182" customFormat="false" ht="15" hidden="false" customHeight="false" outlineLevel="0" collapsed="false">
      <c r="A2182" s="31"/>
      <c r="B2182" s="32"/>
      <c r="C2182" s="32"/>
      <c r="D2182" s="33"/>
      <c r="E2182" s="34"/>
      <c r="F2182" s="32"/>
      <c r="G2182" s="35" t="str">
        <f aca="false">IF(A2182="","",A2182+7-WEEKDAY(A2182))</f>
        <v/>
      </c>
      <c r="H2182" s="36" t="str">
        <f aca="false">IF(A2182="","",DATE(YEAR(A2182),MONTH(A2182),1))</f>
        <v/>
      </c>
      <c r="I2182" s="37" t="str">
        <f aca="false">IF(B2182="","",IFERROR(INDEX(st_ID,MATCH(B2182,st_Name,0)),"Unknown"))</f>
        <v/>
      </c>
      <c r="J2182" s="37" t="str">
        <f aca="false">IF(C2182="","",IFERROR(INDEX(cl_Code,MATCH(C2182,cl_Name,0)),"Unknown"))</f>
        <v/>
      </c>
      <c r="K2182" s="37" t="str">
        <f aca="false">IF(D2182="","",IFERROR(INDEX(rt_Billable,MATCH(D2182,rt_Code,0)),"Unknown"))</f>
        <v/>
      </c>
      <c r="L2182" s="38" t="str">
        <f aca="false">IF(K2182&lt;&gt;"Yes","",IFERROR(INDEX(cr_Rate,MATCH(J2182&amp;"|"&amp;D2182,cr_Key,0)),INDEX(rt_Rate,MATCH(D2182,rt_Code,0))))</f>
        <v/>
      </c>
      <c r="M2182" s="25" t="str">
        <f aca="false">IF(L2182="","",ROUND(N(E2182)*L2182,2))</f>
        <v/>
      </c>
      <c r="N2182" s="39" t="str">
        <f aca="false">IF(OR(A2182="",B2182=""),"",SUMIFS(tl_Hours,tl_StaffID,I2182,tl_Date,A2182))</f>
        <v/>
      </c>
      <c r="O2182" s="40" t="str">
        <f aca="false">IF(A2182&amp;B2182&amp;D2182="","",IF(OR(A2182="",B2182="",D2182="",E2182=""),"Incomplete",IF(K2182="Unknown","Unknown code",IF(AND(K2182="Yes",C2182=""),"Billable, needs client",IF(N2182&gt;MaxDayHours,"Over "&amp;MaxDayHours&amp;" hours that day","")))))</f>
        <v/>
      </c>
    </row>
    <row r="2183" customFormat="false" ht="15" hidden="false" customHeight="false" outlineLevel="0" collapsed="false">
      <c r="A2183" s="31"/>
      <c r="B2183" s="32"/>
      <c r="C2183" s="32"/>
      <c r="D2183" s="33"/>
      <c r="E2183" s="34"/>
      <c r="F2183" s="32"/>
      <c r="G2183" s="35" t="str">
        <f aca="false">IF(A2183="","",A2183+7-WEEKDAY(A2183))</f>
        <v/>
      </c>
      <c r="H2183" s="36" t="str">
        <f aca="false">IF(A2183="","",DATE(YEAR(A2183),MONTH(A2183),1))</f>
        <v/>
      </c>
      <c r="I2183" s="37" t="str">
        <f aca="false">IF(B2183="","",IFERROR(INDEX(st_ID,MATCH(B2183,st_Name,0)),"Unknown"))</f>
        <v/>
      </c>
      <c r="J2183" s="37" t="str">
        <f aca="false">IF(C2183="","",IFERROR(INDEX(cl_Code,MATCH(C2183,cl_Name,0)),"Unknown"))</f>
        <v/>
      </c>
      <c r="K2183" s="37" t="str">
        <f aca="false">IF(D2183="","",IFERROR(INDEX(rt_Billable,MATCH(D2183,rt_Code,0)),"Unknown"))</f>
        <v/>
      </c>
      <c r="L2183" s="38" t="str">
        <f aca="false">IF(K2183&lt;&gt;"Yes","",IFERROR(INDEX(cr_Rate,MATCH(J2183&amp;"|"&amp;D2183,cr_Key,0)),INDEX(rt_Rate,MATCH(D2183,rt_Code,0))))</f>
        <v/>
      </c>
      <c r="M2183" s="25" t="str">
        <f aca="false">IF(L2183="","",ROUND(N(E2183)*L2183,2))</f>
        <v/>
      </c>
      <c r="N2183" s="39" t="str">
        <f aca="false">IF(OR(A2183="",B2183=""),"",SUMIFS(tl_Hours,tl_StaffID,I2183,tl_Date,A2183))</f>
        <v/>
      </c>
      <c r="O2183" s="40" t="str">
        <f aca="false">IF(A2183&amp;B2183&amp;D2183="","",IF(OR(A2183="",B2183="",D2183="",E2183=""),"Incomplete",IF(K2183="Unknown","Unknown code",IF(AND(K2183="Yes",C2183=""),"Billable, needs client",IF(N2183&gt;MaxDayHours,"Over "&amp;MaxDayHours&amp;" hours that day","")))))</f>
        <v/>
      </c>
    </row>
    <row r="2184" customFormat="false" ht="15" hidden="false" customHeight="false" outlineLevel="0" collapsed="false">
      <c r="A2184" s="31"/>
      <c r="B2184" s="32"/>
      <c r="C2184" s="32"/>
      <c r="D2184" s="33"/>
      <c r="E2184" s="34"/>
      <c r="F2184" s="32"/>
      <c r="G2184" s="35" t="str">
        <f aca="false">IF(A2184="","",A2184+7-WEEKDAY(A2184))</f>
        <v/>
      </c>
      <c r="H2184" s="36" t="str">
        <f aca="false">IF(A2184="","",DATE(YEAR(A2184),MONTH(A2184),1))</f>
        <v/>
      </c>
      <c r="I2184" s="37" t="str">
        <f aca="false">IF(B2184="","",IFERROR(INDEX(st_ID,MATCH(B2184,st_Name,0)),"Unknown"))</f>
        <v/>
      </c>
      <c r="J2184" s="37" t="str">
        <f aca="false">IF(C2184="","",IFERROR(INDEX(cl_Code,MATCH(C2184,cl_Name,0)),"Unknown"))</f>
        <v/>
      </c>
      <c r="K2184" s="37" t="str">
        <f aca="false">IF(D2184="","",IFERROR(INDEX(rt_Billable,MATCH(D2184,rt_Code,0)),"Unknown"))</f>
        <v/>
      </c>
      <c r="L2184" s="38" t="str">
        <f aca="false">IF(K2184&lt;&gt;"Yes","",IFERROR(INDEX(cr_Rate,MATCH(J2184&amp;"|"&amp;D2184,cr_Key,0)),INDEX(rt_Rate,MATCH(D2184,rt_Code,0))))</f>
        <v/>
      </c>
      <c r="M2184" s="25" t="str">
        <f aca="false">IF(L2184="","",ROUND(N(E2184)*L2184,2))</f>
        <v/>
      </c>
      <c r="N2184" s="39" t="str">
        <f aca="false">IF(OR(A2184="",B2184=""),"",SUMIFS(tl_Hours,tl_StaffID,I2184,tl_Date,A2184))</f>
        <v/>
      </c>
      <c r="O2184" s="40" t="str">
        <f aca="false">IF(A2184&amp;B2184&amp;D2184="","",IF(OR(A2184="",B2184="",D2184="",E2184=""),"Incomplete",IF(K2184="Unknown","Unknown code",IF(AND(K2184="Yes",C2184=""),"Billable, needs client",IF(N2184&gt;MaxDayHours,"Over "&amp;MaxDayHours&amp;" hours that day","")))))</f>
        <v/>
      </c>
    </row>
    <row r="2185" customFormat="false" ht="15" hidden="false" customHeight="false" outlineLevel="0" collapsed="false">
      <c r="A2185" s="31"/>
      <c r="B2185" s="32"/>
      <c r="C2185" s="32"/>
      <c r="D2185" s="33"/>
      <c r="E2185" s="34"/>
      <c r="F2185" s="32"/>
      <c r="G2185" s="35" t="str">
        <f aca="false">IF(A2185="","",A2185+7-WEEKDAY(A2185))</f>
        <v/>
      </c>
      <c r="H2185" s="36" t="str">
        <f aca="false">IF(A2185="","",DATE(YEAR(A2185),MONTH(A2185),1))</f>
        <v/>
      </c>
      <c r="I2185" s="37" t="str">
        <f aca="false">IF(B2185="","",IFERROR(INDEX(st_ID,MATCH(B2185,st_Name,0)),"Unknown"))</f>
        <v/>
      </c>
      <c r="J2185" s="37" t="str">
        <f aca="false">IF(C2185="","",IFERROR(INDEX(cl_Code,MATCH(C2185,cl_Name,0)),"Unknown"))</f>
        <v/>
      </c>
      <c r="K2185" s="37" t="str">
        <f aca="false">IF(D2185="","",IFERROR(INDEX(rt_Billable,MATCH(D2185,rt_Code,0)),"Unknown"))</f>
        <v/>
      </c>
      <c r="L2185" s="38" t="str">
        <f aca="false">IF(K2185&lt;&gt;"Yes","",IFERROR(INDEX(cr_Rate,MATCH(J2185&amp;"|"&amp;D2185,cr_Key,0)),INDEX(rt_Rate,MATCH(D2185,rt_Code,0))))</f>
        <v/>
      </c>
      <c r="M2185" s="25" t="str">
        <f aca="false">IF(L2185="","",ROUND(N(E2185)*L2185,2))</f>
        <v/>
      </c>
      <c r="N2185" s="39" t="str">
        <f aca="false">IF(OR(A2185="",B2185=""),"",SUMIFS(tl_Hours,tl_StaffID,I2185,tl_Date,A2185))</f>
        <v/>
      </c>
      <c r="O2185" s="40" t="str">
        <f aca="false">IF(A2185&amp;B2185&amp;D2185="","",IF(OR(A2185="",B2185="",D2185="",E2185=""),"Incomplete",IF(K2185="Unknown","Unknown code",IF(AND(K2185="Yes",C2185=""),"Billable, needs client",IF(N2185&gt;MaxDayHours,"Over "&amp;MaxDayHours&amp;" hours that day","")))))</f>
        <v/>
      </c>
    </row>
    <row r="2186" customFormat="false" ht="15" hidden="false" customHeight="false" outlineLevel="0" collapsed="false">
      <c r="A2186" s="31"/>
      <c r="B2186" s="32"/>
      <c r="C2186" s="32"/>
      <c r="D2186" s="33"/>
      <c r="E2186" s="34"/>
      <c r="F2186" s="32"/>
      <c r="G2186" s="35" t="str">
        <f aca="false">IF(A2186="","",A2186+7-WEEKDAY(A2186))</f>
        <v/>
      </c>
      <c r="H2186" s="36" t="str">
        <f aca="false">IF(A2186="","",DATE(YEAR(A2186),MONTH(A2186),1))</f>
        <v/>
      </c>
      <c r="I2186" s="37" t="str">
        <f aca="false">IF(B2186="","",IFERROR(INDEX(st_ID,MATCH(B2186,st_Name,0)),"Unknown"))</f>
        <v/>
      </c>
      <c r="J2186" s="37" t="str">
        <f aca="false">IF(C2186="","",IFERROR(INDEX(cl_Code,MATCH(C2186,cl_Name,0)),"Unknown"))</f>
        <v/>
      </c>
      <c r="K2186" s="37" t="str">
        <f aca="false">IF(D2186="","",IFERROR(INDEX(rt_Billable,MATCH(D2186,rt_Code,0)),"Unknown"))</f>
        <v/>
      </c>
      <c r="L2186" s="38" t="str">
        <f aca="false">IF(K2186&lt;&gt;"Yes","",IFERROR(INDEX(cr_Rate,MATCH(J2186&amp;"|"&amp;D2186,cr_Key,0)),INDEX(rt_Rate,MATCH(D2186,rt_Code,0))))</f>
        <v/>
      </c>
      <c r="M2186" s="25" t="str">
        <f aca="false">IF(L2186="","",ROUND(N(E2186)*L2186,2))</f>
        <v/>
      </c>
      <c r="N2186" s="39" t="str">
        <f aca="false">IF(OR(A2186="",B2186=""),"",SUMIFS(tl_Hours,tl_StaffID,I2186,tl_Date,A2186))</f>
        <v/>
      </c>
      <c r="O2186" s="40" t="str">
        <f aca="false">IF(A2186&amp;B2186&amp;D2186="","",IF(OR(A2186="",B2186="",D2186="",E2186=""),"Incomplete",IF(K2186="Unknown","Unknown code",IF(AND(K2186="Yes",C2186=""),"Billable, needs client",IF(N2186&gt;MaxDayHours,"Over "&amp;MaxDayHours&amp;" hours that day","")))))</f>
        <v/>
      </c>
    </row>
    <row r="2187" customFormat="false" ht="15" hidden="false" customHeight="false" outlineLevel="0" collapsed="false">
      <c r="A2187" s="31"/>
      <c r="B2187" s="32"/>
      <c r="C2187" s="32"/>
      <c r="D2187" s="33"/>
      <c r="E2187" s="34"/>
      <c r="F2187" s="32"/>
      <c r="G2187" s="35" t="str">
        <f aca="false">IF(A2187="","",A2187+7-WEEKDAY(A2187))</f>
        <v/>
      </c>
      <c r="H2187" s="36" t="str">
        <f aca="false">IF(A2187="","",DATE(YEAR(A2187),MONTH(A2187),1))</f>
        <v/>
      </c>
      <c r="I2187" s="37" t="str">
        <f aca="false">IF(B2187="","",IFERROR(INDEX(st_ID,MATCH(B2187,st_Name,0)),"Unknown"))</f>
        <v/>
      </c>
      <c r="J2187" s="37" t="str">
        <f aca="false">IF(C2187="","",IFERROR(INDEX(cl_Code,MATCH(C2187,cl_Name,0)),"Unknown"))</f>
        <v/>
      </c>
      <c r="K2187" s="37" t="str">
        <f aca="false">IF(D2187="","",IFERROR(INDEX(rt_Billable,MATCH(D2187,rt_Code,0)),"Unknown"))</f>
        <v/>
      </c>
      <c r="L2187" s="38" t="str">
        <f aca="false">IF(K2187&lt;&gt;"Yes","",IFERROR(INDEX(cr_Rate,MATCH(J2187&amp;"|"&amp;D2187,cr_Key,0)),INDEX(rt_Rate,MATCH(D2187,rt_Code,0))))</f>
        <v/>
      </c>
      <c r="M2187" s="25" t="str">
        <f aca="false">IF(L2187="","",ROUND(N(E2187)*L2187,2))</f>
        <v/>
      </c>
      <c r="N2187" s="39" t="str">
        <f aca="false">IF(OR(A2187="",B2187=""),"",SUMIFS(tl_Hours,tl_StaffID,I2187,tl_Date,A2187))</f>
        <v/>
      </c>
      <c r="O2187" s="40" t="str">
        <f aca="false">IF(A2187&amp;B2187&amp;D2187="","",IF(OR(A2187="",B2187="",D2187="",E2187=""),"Incomplete",IF(K2187="Unknown","Unknown code",IF(AND(K2187="Yes",C2187=""),"Billable, needs client",IF(N2187&gt;MaxDayHours,"Over "&amp;MaxDayHours&amp;" hours that day","")))))</f>
        <v/>
      </c>
    </row>
    <row r="2188" customFormat="false" ht="15" hidden="false" customHeight="false" outlineLevel="0" collapsed="false">
      <c r="A2188" s="31"/>
      <c r="B2188" s="32"/>
      <c r="C2188" s="32"/>
      <c r="D2188" s="33"/>
      <c r="E2188" s="34"/>
      <c r="F2188" s="32"/>
      <c r="G2188" s="35" t="str">
        <f aca="false">IF(A2188="","",A2188+7-WEEKDAY(A2188))</f>
        <v/>
      </c>
      <c r="H2188" s="36" t="str">
        <f aca="false">IF(A2188="","",DATE(YEAR(A2188),MONTH(A2188),1))</f>
        <v/>
      </c>
      <c r="I2188" s="37" t="str">
        <f aca="false">IF(B2188="","",IFERROR(INDEX(st_ID,MATCH(B2188,st_Name,0)),"Unknown"))</f>
        <v/>
      </c>
      <c r="J2188" s="37" t="str">
        <f aca="false">IF(C2188="","",IFERROR(INDEX(cl_Code,MATCH(C2188,cl_Name,0)),"Unknown"))</f>
        <v/>
      </c>
      <c r="K2188" s="37" t="str">
        <f aca="false">IF(D2188="","",IFERROR(INDEX(rt_Billable,MATCH(D2188,rt_Code,0)),"Unknown"))</f>
        <v/>
      </c>
      <c r="L2188" s="38" t="str">
        <f aca="false">IF(K2188&lt;&gt;"Yes","",IFERROR(INDEX(cr_Rate,MATCH(J2188&amp;"|"&amp;D2188,cr_Key,0)),INDEX(rt_Rate,MATCH(D2188,rt_Code,0))))</f>
        <v/>
      </c>
      <c r="M2188" s="25" t="str">
        <f aca="false">IF(L2188="","",ROUND(N(E2188)*L2188,2))</f>
        <v/>
      </c>
      <c r="N2188" s="39" t="str">
        <f aca="false">IF(OR(A2188="",B2188=""),"",SUMIFS(tl_Hours,tl_StaffID,I2188,tl_Date,A2188))</f>
        <v/>
      </c>
      <c r="O2188" s="40" t="str">
        <f aca="false">IF(A2188&amp;B2188&amp;D2188="","",IF(OR(A2188="",B2188="",D2188="",E2188=""),"Incomplete",IF(K2188="Unknown","Unknown code",IF(AND(K2188="Yes",C2188=""),"Billable, needs client",IF(N2188&gt;MaxDayHours,"Over "&amp;MaxDayHours&amp;" hours that day","")))))</f>
        <v/>
      </c>
    </row>
    <row r="2189" customFormat="false" ht="15" hidden="false" customHeight="false" outlineLevel="0" collapsed="false">
      <c r="A2189" s="31"/>
      <c r="B2189" s="32"/>
      <c r="C2189" s="32"/>
      <c r="D2189" s="33"/>
      <c r="E2189" s="34"/>
      <c r="F2189" s="32"/>
      <c r="G2189" s="35" t="str">
        <f aca="false">IF(A2189="","",A2189+7-WEEKDAY(A2189))</f>
        <v/>
      </c>
      <c r="H2189" s="36" t="str">
        <f aca="false">IF(A2189="","",DATE(YEAR(A2189),MONTH(A2189),1))</f>
        <v/>
      </c>
      <c r="I2189" s="37" t="str">
        <f aca="false">IF(B2189="","",IFERROR(INDEX(st_ID,MATCH(B2189,st_Name,0)),"Unknown"))</f>
        <v/>
      </c>
      <c r="J2189" s="37" t="str">
        <f aca="false">IF(C2189="","",IFERROR(INDEX(cl_Code,MATCH(C2189,cl_Name,0)),"Unknown"))</f>
        <v/>
      </c>
      <c r="K2189" s="37" t="str">
        <f aca="false">IF(D2189="","",IFERROR(INDEX(rt_Billable,MATCH(D2189,rt_Code,0)),"Unknown"))</f>
        <v/>
      </c>
      <c r="L2189" s="38" t="str">
        <f aca="false">IF(K2189&lt;&gt;"Yes","",IFERROR(INDEX(cr_Rate,MATCH(J2189&amp;"|"&amp;D2189,cr_Key,0)),INDEX(rt_Rate,MATCH(D2189,rt_Code,0))))</f>
        <v/>
      </c>
      <c r="M2189" s="25" t="str">
        <f aca="false">IF(L2189="","",ROUND(N(E2189)*L2189,2))</f>
        <v/>
      </c>
      <c r="N2189" s="39" t="str">
        <f aca="false">IF(OR(A2189="",B2189=""),"",SUMIFS(tl_Hours,tl_StaffID,I2189,tl_Date,A2189))</f>
        <v/>
      </c>
      <c r="O2189" s="40" t="str">
        <f aca="false">IF(A2189&amp;B2189&amp;D2189="","",IF(OR(A2189="",B2189="",D2189="",E2189=""),"Incomplete",IF(K2189="Unknown","Unknown code",IF(AND(K2189="Yes",C2189=""),"Billable, needs client",IF(N2189&gt;MaxDayHours,"Over "&amp;MaxDayHours&amp;" hours that day","")))))</f>
        <v/>
      </c>
    </row>
    <row r="2190" customFormat="false" ht="15" hidden="false" customHeight="false" outlineLevel="0" collapsed="false">
      <c r="A2190" s="31"/>
      <c r="B2190" s="32"/>
      <c r="C2190" s="32"/>
      <c r="D2190" s="33"/>
      <c r="E2190" s="34"/>
      <c r="F2190" s="32"/>
      <c r="G2190" s="35" t="str">
        <f aca="false">IF(A2190="","",A2190+7-WEEKDAY(A2190))</f>
        <v/>
      </c>
      <c r="H2190" s="36" t="str">
        <f aca="false">IF(A2190="","",DATE(YEAR(A2190),MONTH(A2190),1))</f>
        <v/>
      </c>
      <c r="I2190" s="37" t="str">
        <f aca="false">IF(B2190="","",IFERROR(INDEX(st_ID,MATCH(B2190,st_Name,0)),"Unknown"))</f>
        <v/>
      </c>
      <c r="J2190" s="37" t="str">
        <f aca="false">IF(C2190="","",IFERROR(INDEX(cl_Code,MATCH(C2190,cl_Name,0)),"Unknown"))</f>
        <v/>
      </c>
      <c r="K2190" s="37" t="str">
        <f aca="false">IF(D2190="","",IFERROR(INDEX(rt_Billable,MATCH(D2190,rt_Code,0)),"Unknown"))</f>
        <v/>
      </c>
      <c r="L2190" s="38" t="str">
        <f aca="false">IF(K2190&lt;&gt;"Yes","",IFERROR(INDEX(cr_Rate,MATCH(J2190&amp;"|"&amp;D2190,cr_Key,0)),INDEX(rt_Rate,MATCH(D2190,rt_Code,0))))</f>
        <v/>
      </c>
      <c r="M2190" s="25" t="str">
        <f aca="false">IF(L2190="","",ROUND(N(E2190)*L2190,2))</f>
        <v/>
      </c>
      <c r="N2190" s="39" t="str">
        <f aca="false">IF(OR(A2190="",B2190=""),"",SUMIFS(tl_Hours,tl_StaffID,I2190,tl_Date,A2190))</f>
        <v/>
      </c>
      <c r="O2190" s="40" t="str">
        <f aca="false">IF(A2190&amp;B2190&amp;D2190="","",IF(OR(A2190="",B2190="",D2190="",E2190=""),"Incomplete",IF(K2190="Unknown","Unknown code",IF(AND(K2190="Yes",C2190=""),"Billable, needs client",IF(N2190&gt;MaxDayHours,"Over "&amp;MaxDayHours&amp;" hours that day","")))))</f>
        <v/>
      </c>
    </row>
    <row r="2191" customFormat="false" ht="15" hidden="false" customHeight="false" outlineLevel="0" collapsed="false">
      <c r="A2191" s="31"/>
      <c r="B2191" s="32"/>
      <c r="C2191" s="32"/>
      <c r="D2191" s="33"/>
      <c r="E2191" s="34"/>
      <c r="F2191" s="32"/>
      <c r="G2191" s="35" t="str">
        <f aca="false">IF(A2191="","",A2191+7-WEEKDAY(A2191))</f>
        <v/>
      </c>
      <c r="H2191" s="36" t="str">
        <f aca="false">IF(A2191="","",DATE(YEAR(A2191),MONTH(A2191),1))</f>
        <v/>
      </c>
      <c r="I2191" s="37" t="str">
        <f aca="false">IF(B2191="","",IFERROR(INDEX(st_ID,MATCH(B2191,st_Name,0)),"Unknown"))</f>
        <v/>
      </c>
      <c r="J2191" s="37" t="str">
        <f aca="false">IF(C2191="","",IFERROR(INDEX(cl_Code,MATCH(C2191,cl_Name,0)),"Unknown"))</f>
        <v/>
      </c>
      <c r="K2191" s="37" t="str">
        <f aca="false">IF(D2191="","",IFERROR(INDEX(rt_Billable,MATCH(D2191,rt_Code,0)),"Unknown"))</f>
        <v/>
      </c>
      <c r="L2191" s="38" t="str">
        <f aca="false">IF(K2191&lt;&gt;"Yes","",IFERROR(INDEX(cr_Rate,MATCH(J2191&amp;"|"&amp;D2191,cr_Key,0)),INDEX(rt_Rate,MATCH(D2191,rt_Code,0))))</f>
        <v/>
      </c>
      <c r="M2191" s="25" t="str">
        <f aca="false">IF(L2191="","",ROUND(N(E2191)*L2191,2))</f>
        <v/>
      </c>
      <c r="N2191" s="39" t="str">
        <f aca="false">IF(OR(A2191="",B2191=""),"",SUMIFS(tl_Hours,tl_StaffID,I2191,tl_Date,A2191))</f>
        <v/>
      </c>
      <c r="O2191" s="40" t="str">
        <f aca="false">IF(A2191&amp;B2191&amp;D2191="","",IF(OR(A2191="",B2191="",D2191="",E2191=""),"Incomplete",IF(K2191="Unknown","Unknown code",IF(AND(K2191="Yes",C2191=""),"Billable, needs client",IF(N2191&gt;MaxDayHours,"Over "&amp;MaxDayHours&amp;" hours that day","")))))</f>
        <v/>
      </c>
    </row>
    <row r="2192" customFormat="false" ht="15" hidden="false" customHeight="false" outlineLevel="0" collapsed="false">
      <c r="A2192" s="31"/>
      <c r="B2192" s="32"/>
      <c r="C2192" s="32"/>
      <c r="D2192" s="33"/>
      <c r="E2192" s="34"/>
      <c r="F2192" s="32"/>
      <c r="G2192" s="35" t="str">
        <f aca="false">IF(A2192="","",A2192+7-WEEKDAY(A2192))</f>
        <v/>
      </c>
      <c r="H2192" s="36" t="str">
        <f aca="false">IF(A2192="","",DATE(YEAR(A2192),MONTH(A2192),1))</f>
        <v/>
      </c>
      <c r="I2192" s="37" t="str">
        <f aca="false">IF(B2192="","",IFERROR(INDEX(st_ID,MATCH(B2192,st_Name,0)),"Unknown"))</f>
        <v/>
      </c>
      <c r="J2192" s="37" t="str">
        <f aca="false">IF(C2192="","",IFERROR(INDEX(cl_Code,MATCH(C2192,cl_Name,0)),"Unknown"))</f>
        <v/>
      </c>
      <c r="K2192" s="37" t="str">
        <f aca="false">IF(D2192="","",IFERROR(INDEX(rt_Billable,MATCH(D2192,rt_Code,0)),"Unknown"))</f>
        <v/>
      </c>
      <c r="L2192" s="38" t="str">
        <f aca="false">IF(K2192&lt;&gt;"Yes","",IFERROR(INDEX(cr_Rate,MATCH(J2192&amp;"|"&amp;D2192,cr_Key,0)),INDEX(rt_Rate,MATCH(D2192,rt_Code,0))))</f>
        <v/>
      </c>
      <c r="M2192" s="25" t="str">
        <f aca="false">IF(L2192="","",ROUND(N(E2192)*L2192,2))</f>
        <v/>
      </c>
      <c r="N2192" s="39" t="str">
        <f aca="false">IF(OR(A2192="",B2192=""),"",SUMIFS(tl_Hours,tl_StaffID,I2192,tl_Date,A2192))</f>
        <v/>
      </c>
      <c r="O2192" s="40" t="str">
        <f aca="false">IF(A2192&amp;B2192&amp;D2192="","",IF(OR(A2192="",B2192="",D2192="",E2192=""),"Incomplete",IF(K2192="Unknown","Unknown code",IF(AND(K2192="Yes",C2192=""),"Billable, needs client",IF(N2192&gt;MaxDayHours,"Over "&amp;MaxDayHours&amp;" hours that day","")))))</f>
        <v/>
      </c>
    </row>
    <row r="2193" customFormat="false" ht="15" hidden="false" customHeight="false" outlineLevel="0" collapsed="false">
      <c r="A2193" s="31"/>
      <c r="B2193" s="32"/>
      <c r="C2193" s="32"/>
      <c r="D2193" s="33"/>
      <c r="E2193" s="34"/>
      <c r="F2193" s="32"/>
      <c r="G2193" s="35" t="str">
        <f aca="false">IF(A2193="","",A2193+7-WEEKDAY(A2193))</f>
        <v/>
      </c>
      <c r="H2193" s="36" t="str">
        <f aca="false">IF(A2193="","",DATE(YEAR(A2193),MONTH(A2193),1))</f>
        <v/>
      </c>
      <c r="I2193" s="37" t="str">
        <f aca="false">IF(B2193="","",IFERROR(INDEX(st_ID,MATCH(B2193,st_Name,0)),"Unknown"))</f>
        <v/>
      </c>
      <c r="J2193" s="37" t="str">
        <f aca="false">IF(C2193="","",IFERROR(INDEX(cl_Code,MATCH(C2193,cl_Name,0)),"Unknown"))</f>
        <v/>
      </c>
      <c r="K2193" s="37" t="str">
        <f aca="false">IF(D2193="","",IFERROR(INDEX(rt_Billable,MATCH(D2193,rt_Code,0)),"Unknown"))</f>
        <v/>
      </c>
      <c r="L2193" s="38" t="str">
        <f aca="false">IF(K2193&lt;&gt;"Yes","",IFERROR(INDEX(cr_Rate,MATCH(J2193&amp;"|"&amp;D2193,cr_Key,0)),INDEX(rt_Rate,MATCH(D2193,rt_Code,0))))</f>
        <v/>
      </c>
      <c r="M2193" s="25" t="str">
        <f aca="false">IF(L2193="","",ROUND(N(E2193)*L2193,2))</f>
        <v/>
      </c>
      <c r="N2193" s="39" t="str">
        <f aca="false">IF(OR(A2193="",B2193=""),"",SUMIFS(tl_Hours,tl_StaffID,I2193,tl_Date,A2193))</f>
        <v/>
      </c>
      <c r="O2193" s="40" t="str">
        <f aca="false">IF(A2193&amp;B2193&amp;D2193="","",IF(OR(A2193="",B2193="",D2193="",E2193=""),"Incomplete",IF(K2193="Unknown","Unknown code",IF(AND(K2193="Yes",C2193=""),"Billable, needs client",IF(N2193&gt;MaxDayHours,"Over "&amp;MaxDayHours&amp;" hours that day","")))))</f>
        <v/>
      </c>
    </row>
    <row r="2194" customFormat="false" ht="15" hidden="false" customHeight="false" outlineLevel="0" collapsed="false">
      <c r="A2194" s="31"/>
      <c r="B2194" s="32"/>
      <c r="C2194" s="32"/>
      <c r="D2194" s="33"/>
      <c r="E2194" s="34"/>
      <c r="F2194" s="32"/>
      <c r="G2194" s="35" t="str">
        <f aca="false">IF(A2194="","",A2194+7-WEEKDAY(A2194))</f>
        <v/>
      </c>
      <c r="H2194" s="36" t="str">
        <f aca="false">IF(A2194="","",DATE(YEAR(A2194),MONTH(A2194),1))</f>
        <v/>
      </c>
      <c r="I2194" s="37" t="str">
        <f aca="false">IF(B2194="","",IFERROR(INDEX(st_ID,MATCH(B2194,st_Name,0)),"Unknown"))</f>
        <v/>
      </c>
      <c r="J2194" s="37" t="str">
        <f aca="false">IF(C2194="","",IFERROR(INDEX(cl_Code,MATCH(C2194,cl_Name,0)),"Unknown"))</f>
        <v/>
      </c>
      <c r="K2194" s="37" t="str">
        <f aca="false">IF(D2194="","",IFERROR(INDEX(rt_Billable,MATCH(D2194,rt_Code,0)),"Unknown"))</f>
        <v/>
      </c>
      <c r="L2194" s="38" t="str">
        <f aca="false">IF(K2194&lt;&gt;"Yes","",IFERROR(INDEX(cr_Rate,MATCH(J2194&amp;"|"&amp;D2194,cr_Key,0)),INDEX(rt_Rate,MATCH(D2194,rt_Code,0))))</f>
        <v/>
      </c>
      <c r="M2194" s="25" t="str">
        <f aca="false">IF(L2194="","",ROUND(N(E2194)*L2194,2))</f>
        <v/>
      </c>
      <c r="N2194" s="39" t="str">
        <f aca="false">IF(OR(A2194="",B2194=""),"",SUMIFS(tl_Hours,tl_StaffID,I2194,tl_Date,A2194))</f>
        <v/>
      </c>
      <c r="O2194" s="40" t="str">
        <f aca="false">IF(A2194&amp;B2194&amp;D2194="","",IF(OR(A2194="",B2194="",D2194="",E2194=""),"Incomplete",IF(K2194="Unknown","Unknown code",IF(AND(K2194="Yes",C2194=""),"Billable, needs client",IF(N2194&gt;MaxDayHours,"Over "&amp;MaxDayHours&amp;" hours that day","")))))</f>
        <v/>
      </c>
    </row>
    <row r="2195" customFormat="false" ht="15" hidden="false" customHeight="false" outlineLevel="0" collapsed="false">
      <c r="A2195" s="31"/>
      <c r="B2195" s="32"/>
      <c r="C2195" s="32"/>
      <c r="D2195" s="33"/>
      <c r="E2195" s="34"/>
      <c r="F2195" s="32"/>
      <c r="G2195" s="35" t="str">
        <f aca="false">IF(A2195="","",A2195+7-WEEKDAY(A2195))</f>
        <v/>
      </c>
      <c r="H2195" s="36" t="str">
        <f aca="false">IF(A2195="","",DATE(YEAR(A2195),MONTH(A2195),1))</f>
        <v/>
      </c>
      <c r="I2195" s="37" t="str">
        <f aca="false">IF(B2195="","",IFERROR(INDEX(st_ID,MATCH(B2195,st_Name,0)),"Unknown"))</f>
        <v/>
      </c>
      <c r="J2195" s="37" t="str">
        <f aca="false">IF(C2195="","",IFERROR(INDEX(cl_Code,MATCH(C2195,cl_Name,0)),"Unknown"))</f>
        <v/>
      </c>
      <c r="K2195" s="37" t="str">
        <f aca="false">IF(D2195="","",IFERROR(INDEX(rt_Billable,MATCH(D2195,rt_Code,0)),"Unknown"))</f>
        <v/>
      </c>
      <c r="L2195" s="38" t="str">
        <f aca="false">IF(K2195&lt;&gt;"Yes","",IFERROR(INDEX(cr_Rate,MATCH(J2195&amp;"|"&amp;D2195,cr_Key,0)),INDEX(rt_Rate,MATCH(D2195,rt_Code,0))))</f>
        <v/>
      </c>
      <c r="M2195" s="25" t="str">
        <f aca="false">IF(L2195="","",ROUND(N(E2195)*L2195,2))</f>
        <v/>
      </c>
      <c r="N2195" s="39" t="str">
        <f aca="false">IF(OR(A2195="",B2195=""),"",SUMIFS(tl_Hours,tl_StaffID,I2195,tl_Date,A2195))</f>
        <v/>
      </c>
      <c r="O2195" s="40" t="str">
        <f aca="false">IF(A2195&amp;B2195&amp;D2195="","",IF(OR(A2195="",B2195="",D2195="",E2195=""),"Incomplete",IF(K2195="Unknown","Unknown code",IF(AND(K2195="Yes",C2195=""),"Billable, needs client",IF(N2195&gt;MaxDayHours,"Over "&amp;MaxDayHours&amp;" hours that day","")))))</f>
        <v/>
      </c>
    </row>
    <row r="2196" customFormat="false" ht="15" hidden="false" customHeight="false" outlineLevel="0" collapsed="false">
      <c r="A2196" s="31"/>
      <c r="B2196" s="32"/>
      <c r="C2196" s="32"/>
      <c r="D2196" s="33"/>
      <c r="E2196" s="34"/>
      <c r="F2196" s="32"/>
      <c r="G2196" s="35" t="str">
        <f aca="false">IF(A2196="","",A2196+7-WEEKDAY(A2196))</f>
        <v/>
      </c>
      <c r="H2196" s="36" t="str">
        <f aca="false">IF(A2196="","",DATE(YEAR(A2196),MONTH(A2196),1))</f>
        <v/>
      </c>
      <c r="I2196" s="37" t="str">
        <f aca="false">IF(B2196="","",IFERROR(INDEX(st_ID,MATCH(B2196,st_Name,0)),"Unknown"))</f>
        <v/>
      </c>
      <c r="J2196" s="37" t="str">
        <f aca="false">IF(C2196="","",IFERROR(INDEX(cl_Code,MATCH(C2196,cl_Name,0)),"Unknown"))</f>
        <v/>
      </c>
      <c r="K2196" s="37" t="str">
        <f aca="false">IF(D2196="","",IFERROR(INDEX(rt_Billable,MATCH(D2196,rt_Code,0)),"Unknown"))</f>
        <v/>
      </c>
      <c r="L2196" s="38" t="str">
        <f aca="false">IF(K2196&lt;&gt;"Yes","",IFERROR(INDEX(cr_Rate,MATCH(J2196&amp;"|"&amp;D2196,cr_Key,0)),INDEX(rt_Rate,MATCH(D2196,rt_Code,0))))</f>
        <v/>
      </c>
      <c r="M2196" s="25" t="str">
        <f aca="false">IF(L2196="","",ROUND(N(E2196)*L2196,2))</f>
        <v/>
      </c>
      <c r="N2196" s="39" t="str">
        <f aca="false">IF(OR(A2196="",B2196=""),"",SUMIFS(tl_Hours,tl_StaffID,I2196,tl_Date,A2196))</f>
        <v/>
      </c>
      <c r="O2196" s="40" t="str">
        <f aca="false">IF(A2196&amp;B2196&amp;D2196="","",IF(OR(A2196="",B2196="",D2196="",E2196=""),"Incomplete",IF(K2196="Unknown","Unknown code",IF(AND(K2196="Yes",C2196=""),"Billable, needs client",IF(N2196&gt;MaxDayHours,"Over "&amp;MaxDayHours&amp;" hours that day","")))))</f>
        <v/>
      </c>
    </row>
    <row r="2197" customFormat="false" ht="15" hidden="false" customHeight="false" outlineLevel="0" collapsed="false">
      <c r="A2197" s="31"/>
      <c r="B2197" s="32"/>
      <c r="C2197" s="32"/>
      <c r="D2197" s="33"/>
      <c r="E2197" s="34"/>
      <c r="F2197" s="32"/>
      <c r="G2197" s="35" t="str">
        <f aca="false">IF(A2197="","",A2197+7-WEEKDAY(A2197))</f>
        <v/>
      </c>
      <c r="H2197" s="36" t="str">
        <f aca="false">IF(A2197="","",DATE(YEAR(A2197),MONTH(A2197),1))</f>
        <v/>
      </c>
      <c r="I2197" s="37" t="str">
        <f aca="false">IF(B2197="","",IFERROR(INDEX(st_ID,MATCH(B2197,st_Name,0)),"Unknown"))</f>
        <v/>
      </c>
      <c r="J2197" s="37" t="str">
        <f aca="false">IF(C2197="","",IFERROR(INDEX(cl_Code,MATCH(C2197,cl_Name,0)),"Unknown"))</f>
        <v/>
      </c>
      <c r="K2197" s="37" t="str">
        <f aca="false">IF(D2197="","",IFERROR(INDEX(rt_Billable,MATCH(D2197,rt_Code,0)),"Unknown"))</f>
        <v/>
      </c>
      <c r="L2197" s="38" t="str">
        <f aca="false">IF(K2197&lt;&gt;"Yes","",IFERROR(INDEX(cr_Rate,MATCH(J2197&amp;"|"&amp;D2197,cr_Key,0)),INDEX(rt_Rate,MATCH(D2197,rt_Code,0))))</f>
        <v/>
      </c>
      <c r="M2197" s="25" t="str">
        <f aca="false">IF(L2197="","",ROUND(N(E2197)*L2197,2))</f>
        <v/>
      </c>
      <c r="N2197" s="39" t="str">
        <f aca="false">IF(OR(A2197="",B2197=""),"",SUMIFS(tl_Hours,tl_StaffID,I2197,tl_Date,A2197))</f>
        <v/>
      </c>
      <c r="O2197" s="40" t="str">
        <f aca="false">IF(A2197&amp;B2197&amp;D2197="","",IF(OR(A2197="",B2197="",D2197="",E2197=""),"Incomplete",IF(K2197="Unknown","Unknown code",IF(AND(K2197="Yes",C2197=""),"Billable, needs client",IF(N2197&gt;MaxDayHours,"Over "&amp;MaxDayHours&amp;" hours that day","")))))</f>
        <v/>
      </c>
    </row>
    <row r="2198" customFormat="false" ht="15" hidden="false" customHeight="false" outlineLevel="0" collapsed="false">
      <c r="A2198" s="31"/>
      <c r="B2198" s="32"/>
      <c r="C2198" s="32"/>
      <c r="D2198" s="33"/>
      <c r="E2198" s="34"/>
      <c r="F2198" s="32"/>
      <c r="G2198" s="35" t="str">
        <f aca="false">IF(A2198="","",A2198+7-WEEKDAY(A2198))</f>
        <v/>
      </c>
      <c r="H2198" s="36" t="str">
        <f aca="false">IF(A2198="","",DATE(YEAR(A2198),MONTH(A2198),1))</f>
        <v/>
      </c>
      <c r="I2198" s="37" t="str">
        <f aca="false">IF(B2198="","",IFERROR(INDEX(st_ID,MATCH(B2198,st_Name,0)),"Unknown"))</f>
        <v/>
      </c>
      <c r="J2198" s="37" t="str">
        <f aca="false">IF(C2198="","",IFERROR(INDEX(cl_Code,MATCH(C2198,cl_Name,0)),"Unknown"))</f>
        <v/>
      </c>
      <c r="K2198" s="37" t="str">
        <f aca="false">IF(D2198="","",IFERROR(INDEX(rt_Billable,MATCH(D2198,rt_Code,0)),"Unknown"))</f>
        <v/>
      </c>
      <c r="L2198" s="38" t="str">
        <f aca="false">IF(K2198&lt;&gt;"Yes","",IFERROR(INDEX(cr_Rate,MATCH(J2198&amp;"|"&amp;D2198,cr_Key,0)),INDEX(rt_Rate,MATCH(D2198,rt_Code,0))))</f>
        <v/>
      </c>
      <c r="M2198" s="25" t="str">
        <f aca="false">IF(L2198="","",ROUND(N(E2198)*L2198,2))</f>
        <v/>
      </c>
      <c r="N2198" s="39" t="str">
        <f aca="false">IF(OR(A2198="",B2198=""),"",SUMIFS(tl_Hours,tl_StaffID,I2198,tl_Date,A2198))</f>
        <v/>
      </c>
      <c r="O2198" s="40" t="str">
        <f aca="false">IF(A2198&amp;B2198&amp;D2198="","",IF(OR(A2198="",B2198="",D2198="",E2198=""),"Incomplete",IF(K2198="Unknown","Unknown code",IF(AND(K2198="Yes",C2198=""),"Billable, needs client",IF(N2198&gt;MaxDayHours,"Over "&amp;MaxDayHours&amp;" hours that day","")))))</f>
        <v/>
      </c>
    </row>
    <row r="2199" customFormat="false" ht="15" hidden="false" customHeight="false" outlineLevel="0" collapsed="false">
      <c r="A2199" s="31"/>
      <c r="B2199" s="32"/>
      <c r="C2199" s="32"/>
      <c r="D2199" s="33"/>
      <c r="E2199" s="34"/>
      <c r="F2199" s="32"/>
      <c r="G2199" s="35" t="str">
        <f aca="false">IF(A2199="","",A2199+7-WEEKDAY(A2199))</f>
        <v/>
      </c>
      <c r="H2199" s="36" t="str">
        <f aca="false">IF(A2199="","",DATE(YEAR(A2199),MONTH(A2199),1))</f>
        <v/>
      </c>
      <c r="I2199" s="37" t="str">
        <f aca="false">IF(B2199="","",IFERROR(INDEX(st_ID,MATCH(B2199,st_Name,0)),"Unknown"))</f>
        <v/>
      </c>
      <c r="J2199" s="37" t="str">
        <f aca="false">IF(C2199="","",IFERROR(INDEX(cl_Code,MATCH(C2199,cl_Name,0)),"Unknown"))</f>
        <v/>
      </c>
      <c r="K2199" s="37" t="str">
        <f aca="false">IF(D2199="","",IFERROR(INDEX(rt_Billable,MATCH(D2199,rt_Code,0)),"Unknown"))</f>
        <v/>
      </c>
      <c r="L2199" s="38" t="str">
        <f aca="false">IF(K2199&lt;&gt;"Yes","",IFERROR(INDEX(cr_Rate,MATCH(J2199&amp;"|"&amp;D2199,cr_Key,0)),INDEX(rt_Rate,MATCH(D2199,rt_Code,0))))</f>
        <v/>
      </c>
      <c r="M2199" s="25" t="str">
        <f aca="false">IF(L2199="","",ROUND(N(E2199)*L2199,2))</f>
        <v/>
      </c>
      <c r="N2199" s="39" t="str">
        <f aca="false">IF(OR(A2199="",B2199=""),"",SUMIFS(tl_Hours,tl_StaffID,I2199,tl_Date,A2199))</f>
        <v/>
      </c>
      <c r="O2199" s="40" t="str">
        <f aca="false">IF(A2199&amp;B2199&amp;D2199="","",IF(OR(A2199="",B2199="",D2199="",E2199=""),"Incomplete",IF(K2199="Unknown","Unknown code",IF(AND(K2199="Yes",C2199=""),"Billable, needs client",IF(N2199&gt;MaxDayHours,"Over "&amp;MaxDayHours&amp;" hours that day","")))))</f>
        <v/>
      </c>
    </row>
    <row r="2200" customFormat="false" ht="15" hidden="false" customHeight="false" outlineLevel="0" collapsed="false">
      <c r="A2200" s="31"/>
      <c r="B2200" s="32"/>
      <c r="C2200" s="32"/>
      <c r="D2200" s="33"/>
      <c r="E2200" s="34"/>
      <c r="F2200" s="32"/>
      <c r="G2200" s="35" t="str">
        <f aca="false">IF(A2200="","",A2200+7-WEEKDAY(A2200))</f>
        <v/>
      </c>
      <c r="H2200" s="36" t="str">
        <f aca="false">IF(A2200="","",DATE(YEAR(A2200),MONTH(A2200),1))</f>
        <v/>
      </c>
      <c r="I2200" s="37" t="str">
        <f aca="false">IF(B2200="","",IFERROR(INDEX(st_ID,MATCH(B2200,st_Name,0)),"Unknown"))</f>
        <v/>
      </c>
      <c r="J2200" s="37" t="str">
        <f aca="false">IF(C2200="","",IFERROR(INDEX(cl_Code,MATCH(C2200,cl_Name,0)),"Unknown"))</f>
        <v/>
      </c>
      <c r="K2200" s="37" t="str">
        <f aca="false">IF(D2200="","",IFERROR(INDEX(rt_Billable,MATCH(D2200,rt_Code,0)),"Unknown"))</f>
        <v/>
      </c>
      <c r="L2200" s="38" t="str">
        <f aca="false">IF(K2200&lt;&gt;"Yes","",IFERROR(INDEX(cr_Rate,MATCH(J2200&amp;"|"&amp;D2200,cr_Key,0)),INDEX(rt_Rate,MATCH(D2200,rt_Code,0))))</f>
        <v/>
      </c>
      <c r="M2200" s="25" t="str">
        <f aca="false">IF(L2200="","",ROUND(N(E2200)*L2200,2))</f>
        <v/>
      </c>
      <c r="N2200" s="39" t="str">
        <f aca="false">IF(OR(A2200="",B2200=""),"",SUMIFS(tl_Hours,tl_StaffID,I2200,tl_Date,A2200))</f>
        <v/>
      </c>
      <c r="O2200" s="40" t="str">
        <f aca="false">IF(A2200&amp;B2200&amp;D2200="","",IF(OR(A2200="",B2200="",D2200="",E2200=""),"Incomplete",IF(K2200="Unknown","Unknown code",IF(AND(K2200="Yes",C2200=""),"Billable, needs client",IF(N2200&gt;MaxDayHours,"Over "&amp;MaxDayHours&amp;" hours that day","")))))</f>
        <v/>
      </c>
    </row>
    <row r="2201" customFormat="false" ht="15" hidden="false" customHeight="false" outlineLevel="0" collapsed="false">
      <c r="A2201" s="31"/>
      <c r="B2201" s="32"/>
      <c r="C2201" s="32"/>
      <c r="D2201" s="33"/>
      <c r="E2201" s="34"/>
      <c r="F2201" s="32"/>
      <c r="G2201" s="35" t="str">
        <f aca="false">IF(A2201="","",A2201+7-WEEKDAY(A2201))</f>
        <v/>
      </c>
      <c r="H2201" s="36" t="str">
        <f aca="false">IF(A2201="","",DATE(YEAR(A2201),MONTH(A2201),1))</f>
        <v/>
      </c>
      <c r="I2201" s="37" t="str">
        <f aca="false">IF(B2201="","",IFERROR(INDEX(st_ID,MATCH(B2201,st_Name,0)),"Unknown"))</f>
        <v/>
      </c>
      <c r="J2201" s="37" t="str">
        <f aca="false">IF(C2201="","",IFERROR(INDEX(cl_Code,MATCH(C2201,cl_Name,0)),"Unknown"))</f>
        <v/>
      </c>
      <c r="K2201" s="37" t="str">
        <f aca="false">IF(D2201="","",IFERROR(INDEX(rt_Billable,MATCH(D2201,rt_Code,0)),"Unknown"))</f>
        <v/>
      </c>
      <c r="L2201" s="38" t="str">
        <f aca="false">IF(K2201&lt;&gt;"Yes","",IFERROR(INDEX(cr_Rate,MATCH(J2201&amp;"|"&amp;D2201,cr_Key,0)),INDEX(rt_Rate,MATCH(D2201,rt_Code,0))))</f>
        <v/>
      </c>
      <c r="M2201" s="25" t="str">
        <f aca="false">IF(L2201="","",ROUND(N(E2201)*L2201,2))</f>
        <v/>
      </c>
      <c r="N2201" s="39" t="str">
        <f aca="false">IF(OR(A2201="",B2201=""),"",SUMIFS(tl_Hours,tl_StaffID,I2201,tl_Date,A2201))</f>
        <v/>
      </c>
      <c r="O2201" s="40" t="str">
        <f aca="false">IF(A2201&amp;B2201&amp;D2201="","",IF(OR(A2201="",B2201="",D2201="",E2201=""),"Incomplete",IF(K2201="Unknown","Unknown code",IF(AND(K2201="Yes",C2201=""),"Billable, needs client",IF(N2201&gt;MaxDayHours,"Over "&amp;MaxDayHours&amp;" hours that day","")))))</f>
        <v/>
      </c>
    </row>
    <row r="2202" customFormat="false" ht="15" hidden="false" customHeight="false" outlineLevel="0" collapsed="false">
      <c r="A2202" s="31"/>
      <c r="B2202" s="32"/>
      <c r="C2202" s="32"/>
      <c r="D2202" s="33"/>
      <c r="E2202" s="34"/>
      <c r="F2202" s="32"/>
      <c r="G2202" s="35" t="str">
        <f aca="false">IF(A2202="","",A2202+7-WEEKDAY(A2202))</f>
        <v/>
      </c>
      <c r="H2202" s="36" t="str">
        <f aca="false">IF(A2202="","",DATE(YEAR(A2202),MONTH(A2202),1))</f>
        <v/>
      </c>
      <c r="I2202" s="37" t="str">
        <f aca="false">IF(B2202="","",IFERROR(INDEX(st_ID,MATCH(B2202,st_Name,0)),"Unknown"))</f>
        <v/>
      </c>
      <c r="J2202" s="37" t="str">
        <f aca="false">IF(C2202="","",IFERROR(INDEX(cl_Code,MATCH(C2202,cl_Name,0)),"Unknown"))</f>
        <v/>
      </c>
      <c r="K2202" s="37" t="str">
        <f aca="false">IF(D2202="","",IFERROR(INDEX(rt_Billable,MATCH(D2202,rt_Code,0)),"Unknown"))</f>
        <v/>
      </c>
      <c r="L2202" s="38" t="str">
        <f aca="false">IF(K2202&lt;&gt;"Yes","",IFERROR(INDEX(cr_Rate,MATCH(J2202&amp;"|"&amp;D2202,cr_Key,0)),INDEX(rt_Rate,MATCH(D2202,rt_Code,0))))</f>
        <v/>
      </c>
      <c r="M2202" s="25" t="str">
        <f aca="false">IF(L2202="","",ROUND(N(E2202)*L2202,2))</f>
        <v/>
      </c>
      <c r="N2202" s="39" t="str">
        <f aca="false">IF(OR(A2202="",B2202=""),"",SUMIFS(tl_Hours,tl_StaffID,I2202,tl_Date,A2202))</f>
        <v/>
      </c>
      <c r="O2202" s="40" t="str">
        <f aca="false">IF(A2202&amp;B2202&amp;D2202="","",IF(OR(A2202="",B2202="",D2202="",E2202=""),"Incomplete",IF(K2202="Unknown","Unknown code",IF(AND(K2202="Yes",C2202=""),"Billable, needs client",IF(N2202&gt;MaxDayHours,"Over "&amp;MaxDayHours&amp;" hours that day","")))))</f>
        <v/>
      </c>
    </row>
    <row r="2203" customFormat="false" ht="15" hidden="false" customHeight="false" outlineLevel="0" collapsed="false">
      <c r="A2203" s="31"/>
      <c r="B2203" s="32"/>
      <c r="C2203" s="32"/>
      <c r="D2203" s="33"/>
      <c r="E2203" s="34"/>
      <c r="F2203" s="32"/>
      <c r="G2203" s="35" t="str">
        <f aca="false">IF(A2203="","",A2203+7-WEEKDAY(A2203))</f>
        <v/>
      </c>
      <c r="H2203" s="36" t="str">
        <f aca="false">IF(A2203="","",DATE(YEAR(A2203),MONTH(A2203),1))</f>
        <v/>
      </c>
      <c r="I2203" s="37" t="str">
        <f aca="false">IF(B2203="","",IFERROR(INDEX(st_ID,MATCH(B2203,st_Name,0)),"Unknown"))</f>
        <v/>
      </c>
      <c r="J2203" s="37" t="str">
        <f aca="false">IF(C2203="","",IFERROR(INDEX(cl_Code,MATCH(C2203,cl_Name,0)),"Unknown"))</f>
        <v/>
      </c>
      <c r="K2203" s="37" t="str">
        <f aca="false">IF(D2203="","",IFERROR(INDEX(rt_Billable,MATCH(D2203,rt_Code,0)),"Unknown"))</f>
        <v/>
      </c>
      <c r="L2203" s="38" t="str">
        <f aca="false">IF(K2203&lt;&gt;"Yes","",IFERROR(INDEX(cr_Rate,MATCH(J2203&amp;"|"&amp;D2203,cr_Key,0)),INDEX(rt_Rate,MATCH(D2203,rt_Code,0))))</f>
        <v/>
      </c>
      <c r="M2203" s="25" t="str">
        <f aca="false">IF(L2203="","",ROUND(N(E2203)*L2203,2))</f>
        <v/>
      </c>
      <c r="N2203" s="39" t="str">
        <f aca="false">IF(OR(A2203="",B2203=""),"",SUMIFS(tl_Hours,tl_StaffID,I2203,tl_Date,A2203))</f>
        <v/>
      </c>
      <c r="O2203" s="40" t="str">
        <f aca="false">IF(A2203&amp;B2203&amp;D2203="","",IF(OR(A2203="",B2203="",D2203="",E2203=""),"Incomplete",IF(K2203="Unknown","Unknown code",IF(AND(K2203="Yes",C2203=""),"Billable, needs client",IF(N2203&gt;MaxDayHours,"Over "&amp;MaxDayHours&amp;" hours that day","")))))</f>
        <v/>
      </c>
    </row>
    <row r="2204" customFormat="false" ht="15" hidden="false" customHeight="false" outlineLevel="0" collapsed="false">
      <c r="A2204" s="31"/>
      <c r="B2204" s="32"/>
      <c r="C2204" s="32"/>
      <c r="D2204" s="33"/>
      <c r="E2204" s="34"/>
      <c r="F2204" s="32"/>
      <c r="G2204" s="35" t="str">
        <f aca="false">IF(A2204="","",A2204+7-WEEKDAY(A2204))</f>
        <v/>
      </c>
      <c r="H2204" s="36" t="str">
        <f aca="false">IF(A2204="","",DATE(YEAR(A2204),MONTH(A2204),1))</f>
        <v/>
      </c>
      <c r="I2204" s="37" t="str">
        <f aca="false">IF(B2204="","",IFERROR(INDEX(st_ID,MATCH(B2204,st_Name,0)),"Unknown"))</f>
        <v/>
      </c>
      <c r="J2204" s="37" t="str">
        <f aca="false">IF(C2204="","",IFERROR(INDEX(cl_Code,MATCH(C2204,cl_Name,0)),"Unknown"))</f>
        <v/>
      </c>
      <c r="K2204" s="37" t="str">
        <f aca="false">IF(D2204="","",IFERROR(INDEX(rt_Billable,MATCH(D2204,rt_Code,0)),"Unknown"))</f>
        <v/>
      </c>
      <c r="L2204" s="38" t="str">
        <f aca="false">IF(K2204&lt;&gt;"Yes","",IFERROR(INDEX(cr_Rate,MATCH(J2204&amp;"|"&amp;D2204,cr_Key,0)),INDEX(rt_Rate,MATCH(D2204,rt_Code,0))))</f>
        <v/>
      </c>
      <c r="M2204" s="25" t="str">
        <f aca="false">IF(L2204="","",ROUND(N(E2204)*L2204,2))</f>
        <v/>
      </c>
      <c r="N2204" s="39" t="str">
        <f aca="false">IF(OR(A2204="",B2204=""),"",SUMIFS(tl_Hours,tl_StaffID,I2204,tl_Date,A2204))</f>
        <v/>
      </c>
      <c r="O2204" s="40" t="str">
        <f aca="false">IF(A2204&amp;B2204&amp;D2204="","",IF(OR(A2204="",B2204="",D2204="",E2204=""),"Incomplete",IF(K2204="Unknown","Unknown code",IF(AND(K2204="Yes",C2204=""),"Billable, needs client",IF(N2204&gt;MaxDayHours,"Over "&amp;MaxDayHours&amp;" hours that day","")))))</f>
        <v/>
      </c>
    </row>
    <row r="2205" customFormat="false" ht="15" hidden="false" customHeight="false" outlineLevel="0" collapsed="false">
      <c r="A2205" s="31"/>
      <c r="B2205" s="32"/>
      <c r="C2205" s="32"/>
      <c r="D2205" s="33"/>
      <c r="E2205" s="34"/>
      <c r="F2205" s="32"/>
      <c r="G2205" s="35" t="str">
        <f aca="false">IF(A2205="","",A2205+7-WEEKDAY(A2205))</f>
        <v/>
      </c>
      <c r="H2205" s="36" t="str">
        <f aca="false">IF(A2205="","",DATE(YEAR(A2205),MONTH(A2205),1))</f>
        <v/>
      </c>
      <c r="I2205" s="37" t="str">
        <f aca="false">IF(B2205="","",IFERROR(INDEX(st_ID,MATCH(B2205,st_Name,0)),"Unknown"))</f>
        <v/>
      </c>
      <c r="J2205" s="37" t="str">
        <f aca="false">IF(C2205="","",IFERROR(INDEX(cl_Code,MATCH(C2205,cl_Name,0)),"Unknown"))</f>
        <v/>
      </c>
      <c r="K2205" s="37" t="str">
        <f aca="false">IF(D2205="","",IFERROR(INDEX(rt_Billable,MATCH(D2205,rt_Code,0)),"Unknown"))</f>
        <v/>
      </c>
      <c r="L2205" s="38" t="str">
        <f aca="false">IF(K2205&lt;&gt;"Yes","",IFERROR(INDEX(cr_Rate,MATCH(J2205&amp;"|"&amp;D2205,cr_Key,0)),INDEX(rt_Rate,MATCH(D2205,rt_Code,0))))</f>
        <v/>
      </c>
      <c r="M2205" s="25" t="str">
        <f aca="false">IF(L2205="","",ROUND(N(E2205)*L2205,2))</f>
        <v/>
      </c>
      <c r="N2205" s="39" t="str">
        <f aca="false">IF(OR(A2205="",B2205=""),"",SUMIFS(tl_Hours,tl_StaffID,I2205,tl_Date,A2205))</f>
        <v/>
      </c>
      <c r="O2205" s="40" t="str">
        <f aca="false">IF(A2205&amp;B2205&amp;D2205="","",IF(OR(A2205="",B2205="",D2205="",E2205=""),"Incomplete",IF(K2205="Unknown","Unknown code",IF(AND(K2205="Yes",C2205=""),"Billable, needs client",IF(N2205&gt;MaxDayHours,"Over "&amp;MaxDayHours&amp;" hours that day","")))))</f>
        <v/>
      </c>
    </row>
    <row r="2206" customFormat="false" ht="15" hidden="false" customHeight="false" outlineLevel="0" collapsed="false">
      <c r="A2206" s="31"/>
      <c r="B2206" s="32"/>
      <c r="C2206" s="32"/>
      <c r="D2206" s="33"/>
      <c r="E2206" s="34"/>
      <c r="F2206" s="32"/>
      <c r="G2206" s="35" t="str">
        <f aca="false">IF(A2206="","",A2206+7-WEEKDAY(A2206))</f>
        <v/>
      </c>
      <c r="H2206" s="36" t="str">
        <f aca="false">IF(A2206="","",DATE(YEAR(A2206),MONTH(A2206),1))</f>
        <v/>
      </c>
      <c r="I2206" s="37" t="str">
        <f aca="false">IF(B2206="","",IFERROR(INDEX(st_ID,MATCH(B2206,st_Name,0)),"Unknown"))</f>
        <v/>
      </c>
      <c r="J2206" s="37" t="str">
        <f aca="false">IF(C2206="","",IFERROR(INDEX(cl_Code,MATCH(C2206,cl_Name,0)),"Unknown"))</f>
        <v/>
      </c>
      <c r="K2206" s="37" t="str">
        <f aca="false">IF(D2206="","",IFERROR(INDEX(rt_Billable,MATCH(D2206,rt_Code,0)),"Unknown"))</f>
        <v/>
      </c>
      <c r="L2206" s="38" t="str">
        <f aca="false">IF(K2206&lt;&gt;"Yes","",IFERROR(INDEX(cr_Rate,MATCH(J2206&amp;"|"&amp;D2206,cr_Key,0)),INDEX(rt_Rate,MATCH(D2206,rt_Code,0))))</f>
        <v/>
      </c>
      <c r="M2206" s="25" t="str">
        <f aca="false">IF(L2206="","",ROUND(N(E2206)*L2206,2))</f>
        <v/>
      </c>
      <c r="N2206" s="39" t="str">
        <f aca="false">IF(OR(A2206="",B2206=""),"",SUMIFS(tl_Hours,tl_StaffID,I2206,tl_Date,A2206))</f>
        <v/>
      </c>
      <c r="O2206" s="40" t="str">
        <f aca="false">IF(A2206&amp;B2206&amp;D2206="","",IF(OR(A2206="",B2206="",D2206="",E2206=""),"Incomplete",IF(K2206="Unknown","Unknown code",IF(AND(K2206="Yes",C2206=""),"Billable, needs client",IF(N2206&gt;MaxDayHours,"Over "&amp;MaxDayHours&amp;" hours that day","")))))</f>
        <v/>
      </c>
    </row>
    <row r="2207" customFormat="false" ht="15" hidden="false" customHeight="false" outlineLevel="0" collapsed="false">
      <c r="A2207" s="31"/>
      <c r="B2207" s="32"/>
      <c r="C2207" s="32"/>
      <c r="D2207" s="33"/>
      <c r="E2207" s="34"/>
      <c r="F2207" s="32"/>
      <c r="G2207" s="35" t="str">
        <f aca="false">IF(A2207="","",A2207+7-WEEKDAY(A2207))</f>
        <v/>
      </c>
      <c r="H2207" s="36" t="str">
        <f aca="false">IF(A2207="","",DATE(YEAR(A2207),MONTH(A2207),1))</f>
        <v/>
      </c>
      <c r="I2207" s="37" t="str">
        <f aca="false">IF(B2207="","",IFERROR(INDEX(st_ID,MATCH(B2207,st_Name,0)),"Unknown"))</f>
        <v/>
      </c>
      <c r="J2207" s="37" t="str">
        <f aca="false">IF(C2207="","",IFERROR(INDEX(cl_Code,MATCH(C2207,cl_Name,0)),"Unknown"))</f>
        <v/>
      </c>
      <c r="K2207" s="37" t="str">
        <f aca="false">IF(D2207="","",IFERROR(INDEX(rt_Billable,MATCH(D2207,rt_Code,0)),"Unknown"))</f>
        <v/>
      </c>
      <c r="L2207" s="38" t="str">
        <f aca="false">IF(K2207&lt;&gt;"Yes","",IFERROR(INDEX(cr_Rate,MATCH(J2207&amp;"|"&amp;D2207,cr_Key,0)),INDEX(rt_Rate,MATCH(D2207,rt_Code,0))))</f>
        <v/>
      </c>
      <c r="M2207" s="25" t="str">
        <f aca="false">IF(L2207="","",ROUND(N(E2207)*L2207,2))</f>
        <v/>
      </c>
      <c r="N2207" s="39" t="str">
        <f aca="false">IF(OR(A2207="",B2207=""),"",SUMIFS(tl_Hours,tl_StaffID,I2207,tl_Date,A2207))</f>
        <v/>
      </c>
      <c r="O2207" s="40" t="str">
        <f aca="false">IF(A2207&amp;B2207&amp;D2207="","",IF(OR(A2207="",B2207="",D2207="",E2207=""),"Incomplete",IF(K2207="Unknown","Unknown code",IF(AND(K2207="Yes",C2207=""),"Billable, needs client",IF(N2207&gt;MaxDayHours,"Over "&amp;MaxDayHours&amp;" hours that day","")))))</f>
        <v/>
      </c>
    </row>
    <row r="2208" customFormat="false" ht="15" hidden="false" customHeight="false" outlineLevel="0" collapsed="false">
      <c r="A2208" s="31"/>
      <c r="B2208" s="32"/>
      <c r="C2208" s="32"/>
      <c r="D2208" s="33"/>
      <c r="E2208" s="34"/>
      <c r="F2208" s="32"/>
      <c r="G2208" s="35" t="str">
        <f aca="false">IF(A2208="","",A2208+7-WEEKDAY(A2208))</f>
        <v/>
      </c>
      <c r="H2208" s="36" t="str">
        <f aca="false">IF(A2208="","",DATE(YEAR(A2208),MONTH(A2208),1))</f>
        <v/>
      </c>
      <c r="I2208" s="37" t="str">
        <f aca="false">IF(B2208="","",IFERROR(INDEX(st_ID,MATCH(B2208,st_Name,0)),"Unknown"))</f>
        <v/>
      </c>
      <c r="J2208" s="37" t="str">
        <f aca="false">IF(C2208="","",IFERROR(INDEX(cl_Code,MATCH(C2208,cl_Name,0)),"Unknown"))</f>
        <v/>
      </c>
      <c r="K2208" s="37" t="str">
        <f aca="false">IF(D2208="","",IFERROR(INDEX(rt_Billable,MATCH(D2208,rt_Code,0)),"Unknown"))</f>
        <v/>
      </c>
      <c r="L2208" s="38" t="str">
        <f aca="false">IF(K2208&lt;&gt;"Yes","",IFERROR(INDEX(cr_Rate,MATCH(J2208&amp;"|"&amp;D2208,cr_Key,0)),INDEX(rt_Rate,MATCH(D2208,rt_Code,0))))</f>
        <v/>
      </c>
      <c r="M2208" s="25" t="str">
        <f aca="false">IF(L2208="","",ROUND(N(E2208)*L2208,2))</f>
        <v/>
      </c>
      <c r="N2208" s="39" t="str">
        <f aca="false">IF(OR(A2208="",B2208=""),"",SUMIFS(tl_Hours,tl_StaffID,I2208,tl_Date,A2208))</f>
        <v/>
      </c>
      <c r="O2208" s="40" t="str">
        <f aca="false">IF(A2208&amp;B2208&amp;D2208="","",IF(OR(A2208="",B2208="",D2208="",E2208=""),"Incomplete",IF(K2208="Unknown","Unknown code",IF(AND(K2208="Yes",C2208=""),"Billable, needs client",IF(N2208&gt;MaxDayHours,"Over "&amp;MaxDayHours&amp;" hours that day","")))))</f>
        <v/>
      </c>
    </row>
    <row r="2209" customFormat="false" ht="15" hidden="false" customHeight="false" outlineLevel="0" collapsed="false">
      <c r="A2209" s="31"/>
      <c r="B2209" s="32"/>
      <c r="C2209" s="32"/>
      <c r="D2209" s="33"/>
      <c r="E2209" s="34"/>
      <c r="F2209" s="32"/>
      <c r="G2209" s="35" t="str">
        <f aca="false">IF(A2209="","",A2209+7-WEEKDAY(A2209))</f>
        <v/>
      </c>
      <c r="H2209" s="36" t="str">
        <f aca="false">IF(A2209="","",DATE(YEAR(A2209),MONTH(A2209),1))</f>
        <v/>
      </c>
      <c r="I2209" s="37" t="str">
        <f aca="false">IF(B2209="","",IFERROR(INDEX(st_ID,MATCH(B2209,st_Name,0)),"Unknown"))</f>
        <v/>
      </c>
      <c r="J2209" s="37" t="str">
        <f aca="false">IF(C2209="","",IFERROR(INDEX(cl_Code,MATCH(C2209,cl_Name,0)),"Unknown"))</f>
        <v/>
      </c>
      <c r="K2209" s="37" t="str">
        <f aca="false">IF(D2209="","",IFERROR(INDEX(rt_Billable,MATCH(D2209,rt_Code,0)),"Unknown"))</f>
        <v/>
      </c>
      <c r="L2209" s="38" t="str">
        <f aca="false">IF(K2209&lt;&gt;"Yes","",IFERROR(INDEX(cr_Rate,MATCH(J2209&amp;"|"&amp;D2209,cr_Key,0)),INDEX(rt_Rate,MATCH(D2209,rt_Code,0))))</f>
        <v/>
      </c>
      <c r="M2209" s="25" t="str">
        <f aca="false">IF(L2209="","",ROUND(N(E2209)*L2209,2))</f>
        <v/>
      </c>
      <c r="N2209" s="39" t="str">
        <f aca="false">IF(OR(A2209="",B2209=""),"",SUMIFS(tl_Hours,tl_StaffID,I2209,tl_Date,A2209))</f>
        <v/>
      </c>
      <c r="O2209" s="40" t="str">
        <f aca="false">IF(A2209&amp;B2209&amp;D2209="","",IF(OR(A2209="",B2209="",D2209="",E2209=""),"Incomplete",IF(K2209="Unknown","Unknown code",IF(AND(K2209="Yes",C2209=""),"Billable, needs client",IF(N2209&gt;MaxDayHours,"Over "&amp;MaxDayHours&amp;" hours that day","")))))</f>
        <v/>
      </c>
    </row>
    <row r="2210" customFormat="false" ht="15" hidden="false" customHeight="false" outlineLevel="0" collapsed="false">
      <c r="A2210" s="31"/>
      <c r="B2210" s="32"/>
      <c r="C2210" s="32"/>
      <c r="D2210" s="33"/>
      <c r="E2210" s="34"/>
      <c r="F2210" s="32"/>
      <c r="G2210" s="35" t="str">
        <f aca="false">IF(A2210="","",A2210+7-WEEKDAY(A2210))</f>
        <v/>
      </c>
      <c r="H2210" s="36" t="str">
        <f aca="false">IF(A2210="","",DATE(YEAR(A2210),MONTH(A2210),1))</f>
        <v/>
      </c>
      <c r="I2210" s="37" t="str">
        <f aca="false">IF(B2210="","",IFERROR(INDEX(st_ID,MATCH(B2210,st_Name,0)),"Unknown"))</f>
        <v/>
      </c>
      <c r="J2210" s="37" t="str">
        <f aca="false">IF(C2210="","",IFERROR(INDEX(cl_Code,MATCH(C2210,cl_Name,0)),"Unknown"))</f>
        <v/>
      </c>
      <c r="K2210" s="37" t="str">
        <f aca="false">IF(D2210="","",IFERROR(INDEX(rt_Billable,MATCH(D2210,rt_Code,0)),"Unknown"))</f>
        <v/>
      </c>
      <c r="L2210" s="38" t="str">
        <f aca="false">IF(K2210&lt;&gt;"Yes","",IFERROR(INDEX(cr_Rate,MATCH(J2210&amp;"|"&amp;D2210,cr_Key,0)),INDEX(rt_Rate,MATCH(D2210,rt_Code,0))))</f>
        <v/>
      </c>
      <c r="M2210" s="25" t="str">
        <f aca="false">IF(L2210="","",ROUND(N(E2210)*L2210,2))</f>
        <v/>
      </c>
      <c r="N2210" s="39" t="str">
        <f aca="false">IF(OR(A2210="",B2210=""),"",SUMIFS(tl_Hours,tl_StaffID,I2210,tl_Date,A2210))</f>
        <v/>
      </c>
      <c r="O2210" s="40" t="str">
        <f aca="false">IF(A2210&amp;B2210&amp;D2210="","",IF(OR(A2210="",B2210="",D2210="",E2210=""),"Incomplete",IF(K2210="Unknown","Unknown code",IF(AND(K2210="Yes",C2210=""),"Billable, needs client",IF(N2210&gt;MaxDayHours,"Over "&amp;MaxDayHours&amp;" hours that day","")))))</f>
        <v/>
      </c>
    </row>
    <row r="2211" customFormat="false" ht="15" hidden="false" customHeight="false" outlineLevel="0" collapsed="false">
      <c r="A2211" s="31"/>
      <c r="B2211" s="32"/>
      <c r="C2211" s="32"/>
      <c r="D2211" s="33"/>
      <c r="E2211" s="34"/>
      <c r="F2211" s="32"/>
      <c r="G2211" s="35" t="str">
        <f aca="false">IF(A2211="","",A2211+7-WEEKDAY(A2211))</f>
        <v/>
      </c>
      <c r="H2211" s="36" t="str">
        <f aca="false">IF(A2211="","",DATE(YEAR(A2211),MONTH(A2211),1))</f>
        <v/>
      </c>
      <c r="I2211" s="37" t="str">
        <f aca="false">IF(B2211="","",IFERROR(INDEX(st_ID,MATCH(B2211,st_Name,0)),"Unknown"))</f>
        <v/>
      </c>
      <c r="J2211" s="37" t="str">
        <f aca="false">IF(C2211="","",IFERROR(INDEX(cl_Code,MATCH(C2211,cl_Name,0)),"Unknown"))</f>
        <v/>
      </c>
      <c r="K2211" s="37" t="str">
        <f aca="false">IF(D2211="","",IFERROR(INDEX(rt_Billable,MATCH(D2211,rt_Code,0)),"Unknown"))</f>
        <v/>
      </c>
      <c r="L2211" s="38" t="str">
        <f aca="false">IF(K2211&lt;&gt;"Yes","",IFERROR(INDEX(cr_Rate,MATCH(J2211&amp;"|"&amp;D2211,cr_Key,0)),INDEX(rt_Rate,MATCH(D2211,rt_Code,0))))</f>
        <v/>
      </c>
      <c r="M2211" s="25" t="str">
        <f aca="false">IF(L2211="","",ROUND(N(E2211)*L2211,2))</f>
        <v/>
      </c>
      <c r="N2211" s="39" t="str">
        <f aca="false">IF(OR(A2211="",B2211=""),"",SUMIFS(tl_Hours,tl_StaffID,I2211,tl_Date,A2211))</f>
        <v/>
      </c>
      <c r="O2211" s="40" t="str">
        <f aca="false">IF(A2211&amp;B2211&amp;D2211="","",IF(OR(A2211="",B2211="",D2211="",E2211=""),"Incomplete",IF(K2211="Unknown","Unknown code",IF(AND(K2211="Yes",C2211=""),"Billable, needs client",IF(N2211&gt;MaxDayHours,"Over "&amp;MaxDayHours&amp;" hours that day","")))))</f>
        <v/>
      </c>
    </row>
    <row r="2212" customFormat="false" ht="15" hidden="false" customHeight="false" outlineLevel="0" collapsed="false">
      <c r="A2212" s="31"/>
      <c r="B2212" s="32"/>
      <c r="C2212" s="32"/>
      <c r="D2212" s="33"/>
      <c r="E2212" s="34"/>
      <c r="F2212" s="32"/>
      <c r="G2212" s="35" t="str">
        <f aca="false">IF(A2212="","",A2212+7-WEEKDAY(A2212))</f>
        <v/>
      </c>
      <c r="H2212" s="36" t="str">
        <f aca="false">IF(A2212="","",DATE(YEAR(A2212),MONTH(A2212),1))</f>
        <v/>
      </c>
      <c r="I2212" s="37" t="str">
        <f aca="false">IF(B2212="","",IFERROR(INDEX(st_ID,MATCH(B2212,st_Name,0)),"Unknown"))</f>
        <v/>
      </c>
      <c r="J2212" s="37" t="str">
        <f aca="false">IF(C2212="","",IFERROR(INDEX(cl_Code,MATCH(C2212,cl_Name,0)),"Unknown"))</f>
        <v/>
      </c>
      <c r="K2212" s="37" t="str">
        <f aca="false">IF(D2212="","",IFERROR(INDEX(rt_Billable,MATCH(D2212,rt_Code,0)),"Unknown"))</f>
        <v/>
      </c>
      <c r="L2212" s="38" t="str">
        <f aca="false">IF(K2212&lt;&gt;"Yes","",IFERROR(INDEX(cr_Rate,MATCH(J2212&amp;"|"&amp;D2212,cr_Key,0)),INDEX(rt_Rate,MATCH(D2212,rt_Code,0))))</f>
        <v/>
      </c>
      <c r="M2212" s="25" t="str">
        <f aca="false">IF(L2212="","",ROUND(N(E2212)*L2212,2))</f>
        <v/>
      </c>
      <c r="N2212" s="39" t="str">
        <f aca="false">IF(OR(A2212="",B2212=""),"",SUMIFS(tl_Hours,tl_StaffID,I2212,tl_Date,A2212))</f>
        <v/>
      </c>
      <c r="O2212" s="40" t="str">
        <f aca="false">IF(A2212&amp;B2212&amp;D2212="","",IF(OR(A2212="",B2212="",D2212="",E2212=""),"Incomplete",IF(K2212="Unknown","Unknown code",IF(AND(K2212="Yes",C2212=""),"Billable, needs client",IF(N2212&gt;MaxDayHours,"Over "&amp;MaxDayHours&amp;" hours that day","")))))</f>
        <v/>
      </c>
    </row>
    <row r="2213" customFormat="false" ht="15" hidden="false" customHeight="false" outlineLevel="0" collapsed="false">
      <c r="A2213" s="31"/>
      <c r="B2213" s="32"/>
      <c r="C2213" s="32"/>
      <c r="D2213" s="33"/>
      <c r="E2213" s="34"/>
      <c r="F2213" s="32"/>
      <c r="G2213" s="35" t="str">
        <f aca="false">IF(A2213="","",A2213+7-WEEKDAY(A2213))</f>
        <v/>
      </c>
      <c r="H2213" s="36" t="str">
        <f aca="false">IF(A2213="","",DATE(YEAR(A2213),MONTH(A2213),1))</f>
        <v/>
      </c>
      <c r="I2213" s="37" t="str">
        <f aca="false">IF(B2213="","",IFERROR(INDEX(st_ID,MATCH(B2213,st_Name,0)),"Unknown"))</f>
        <v/>
      </c>
      <c r="J2213" s="37" t="str">
        <f aca="false">IF(C2213="","",IFERROR(INDEX(cl_Code,MATCH(C2213,cl_Name,0)),"Unknown"))</f>
        <v/>
      </c>
      <c r="K2213" s="37" t="str">
        <f aca="false">IF(D2213="","",IFERROR(INDEX(rt_Billable,MATCH(D2213,rt_Code,0)),"Unknown"))</f>
        <v/>
      </c>
      <c r="L2213" s="38" t="str">
        <f aca="false">IF(K2213&lt;&gt;"Yes","",IFERROR(INDEX(cr_Rate,MATCH(J2213&amp;"|"&amp;D2213,cr_Key,0)),INDEX(rt_Rate,MATCH(D2213,rt_Code,0))))</f>
        <v/>
      </c>
      <c r="M2213" s="25" t="str">
        <f aca="false">IF(L2213="","",ROUND(N(E2213)*L2213,2))</f>
        <v/>
      </c>
      <c r="N2213" s="39" t="str">
        <f aca="false">IF(OR(A2213="",B2213=""),"",SUMIFS(tl_Hours,tl_StaffID,I2213,tl_Date,A2213))</f>
        <v/>
      </c>
      <c r="O2213" s="40" t="str">
        <f aca="false">IF(A2213&amp;B2213&amp;D2213="","",IF(OR(A2213="",B2213="",D2213="",E2213=""),"Incomplete",IF(K2213="Unknown","Unknown code",IF(AND(K2213="Yes",C2213=""),"Billable, needs client",IF(N2213&gt;MaxDayHours,"Over "&amp;MaxDayHours&amp;" hours that day","")))))</f>
        <v/>
      </c>
    </row>
    <row r="2214" customFormat="false" ht="15" hidden="false" customHeight="false" outlineLevel="0" collapsed="false">
      <c r="A2214" s="31"/>
      <c r="B2214" s="32"/>
      <c r="C2214" s="32"/>
      <c r="D2214" s="33"/>
      <c r="E2214" s="34"/>
      <c r="F2214" s="32"/>
      <c r="G2214" s="35" t="str">
        <f aca="false">IF(A2214="","",A2214+7-WEEKDAY(A2214))</f>
        <v/>
      </c>
      <c r="H2214" s="36" t="str">
        <f aca="false">IF(A2214="","",DATE(YEAR(A2214),MONTH(A2214),1))</f>
        <v/>
      </c>
      <c r="I2214" s="37" t="str">
        <f aca="false">IF(B2214="","",IFERROR(INDEX(st_ID,MATCH(B2214,st_Name,0)),"Unknown"))</f>
        <v/>
      </c>
      <c r="J2214" s="37" t="str">
        <f aca="false">IF(C2214="","",IFERROR(INDEX(cl_Code,MATCH(C2214,cl_Name,0)),"Unknown"))</f>
        <v/>
      </c>
      <c r="K2214" s="37" t="str">
        <f aca="false">IF(D2214="","",IFERROR(INDEX(rt_Billable,MATCH(D2214,rt_Code,0)),"Unknown"))</f>
        <v/>
      </c>
      <c r="L2214" s="38" t="str">
        <f aca="false">IF(K2214&lt;&gt;"Yes","",IFERROR(INDEX(cr_Rate,MATCH(J2214&amp;"|"&amp;D2214,cr_Key,0)),INDEX(rt_Rate,MATCH(D2214,rt_Code,0))))</f>
        <v/>
      </c>
      <c r="M2214" s="25" t="str">
        <f aca="false">IF(L2214="","",ROUND(N(E2214)*L2214,2))</f>
        <v/>
      </c>
      <c r="N2214" s="39" t="str">
        <f aca="false">IF(OR(A2214="",B2214=""),"",SUMIFS(tl_Hours,tl_StaffID,I2214,tl_Date,A2214))</f>
        <v/>
      </c>
      <c r="O2214" s="40" t="str">
        <f aca="false">IF(A2214&amp;B2214&amp;D2214="","",IF(OR(A2214="",B2214="",D2214="",E2214=""),"Incomplete",IF(K2214="Unknown","Unknown code",IF(AND(K2214="Yes",C2214=""),"Billable, needs client",IF(N2214&gt;MaxDayHours,"Over "&amp;MaxDayHours&amp;" hours that day","")))))</f>
        <v/>
      </c>
    </row>
    <row r="2215" customFormat="false" ht="15" hidden="false" customHeight="false" outlineLevel="0" collapsed="false">
      <c r="A2215" s="31"/>
      <c r="B2215" s="32"/>
      <c r="C2215" s="32"/>
      <c r="D2215" s="33"/>
      <c r="E2215" s="34"/>
      <c r="F2215" s="32"/>
      <c r="G2215" s="35" t="str">
        <f aca="false">IF(A2215="","",A2215+7-WEEKDAY(A2215))</f>
        <v/>
      </c>
      <c r="H2215" s="36" t="str">
        <f aca="false">IF(A2215="","",DATE(YEAR(A2215),MONTH(A2215),1))</f>
        <v/>
      </c>
      <c r="I2215" s="37" t="str">
        <f aca="false">IF(B2215="","",IFERROR(INDEX(st_ID,MATCH(B2215,st_Name,0)),"Unknown"))</f>
        <v/>
      </c>
      <c r="J2215" s="37" t="str">
        <f aca="false">IF(C2215="","",IFERROR(INDEX(cl_Code,MATCH(C2215,cl_Name,0)),"Unknown"))</f>
        <v/>
      </c>
      <c r="K2215" s="37" t="str">
        <f aca="false">IF(D2215="","",IFERROR(INDEX(rt_Billable,MATCH(D2215,rt_Code,0)),"Unknown"))</f>
        <v/>
      </c>
      <c r="L2215" s="38" t="str">
        <f aca="false">IF(K2215&lt;&gt;"Yes","",IFERROR(INDEX(cr_Rate,MATCH(J2215&amp;"|"&amp;D2215,cr_Key,0)),INDEX(rt_Rate,MATCH(D2215,rt_Code,0))))</f>
        <v/>
      </c>
      <c r="M2215" s="25" t="str">
        <f aca="false">IF(L2215="","",ROUND(N(E2215)*L2215,2))</f>
        <v/>
      </c>
      <c r="N2215" s="39" t="str">
        <f aca="false">IF(OR(A2215="",B2215=""),"",SUMIFS(tl_Hours,tl_StaffID,I2215,tl_Date,A2215))</f>
        <v/>
      </c>
      <c r="O2215" s="40" t="str">
        <f aca="false">IF(A2215&amp;B2215&amp;D2215="","",IF(OR(A2215="",B2215="",D2215="",E2215=""),"Incomplete",IF(K2215="Unknown","Unknown code",IF(AND(K2215="Yes",C2215=""),"Billable, needs client",IF(N2215&gt;MaxDayHours,"Over "&amp;MaxDayHours&amp;" hours that day","")))))</f>
        <v/>
      </c>
    </row>
    <row r="2216" customFormat="false" ht="15" hidden="false" customHeight="false" outlineLevel="0" collapsed="false">
      <c r="A2216" s="31"/>
      <c r="B2216" s="32"/>
      <c r="C2216" s="32"/>
      <c r="D2216" s="33"/>
      <c r="E2216" s="34"/>
      <c r="F2216" s="32"/>
      <c r="G2216" s="35" t="str">
        <f aca="false">IF(A2216="","",A2216+7-WEEKDAY(A2216))</f>
        <v/>
      </c>
      <c r="H2216" s="36" t="str">
        <f aca="false">IF(A2216="","",DATE(YEAR(A2216),MONTH(A2216),1))</f>
        <v/>
      </c>
      <c r="I2216" s="37" t="str">
        <f aca="false">IF(B2216="","",IFERROR(INDEX(st_ID,MATCH(B2216,st_Name,0)),"Unknown"))</f>
        <v/>
      </c>
      <c r="J2216" s="37" t="str">
        <f aca="false">IF(C2216="","",IFERROR(INDEX(cl_Code,MATCH(C2216,cl_Name,0)),"Unknown"))</f>
        <v/>
      </c>
      <c r="K2216" s="37" t="str">
        <f aca="false">IF(D2216="","",IFERROR(INDEX(rt_Billable,MATCH(D2216,rt_Code,0)),"Unknown"))</f>
        <v/>
      </c>
      <c r="L2216" s="38" t="str">
        <f aca="false">IF(K2216&lt;&gt;"Yes","",IFERROR(INDEX(cr_Rate,MATCH(J2216&amp;"|"&amp;D2216,cr_Key,0)),INDEX(rt_Rate,MATCH(D2216,rt_Code,0))))</f>
        <v/>
      </c>
      <c r="M2216" s="25" t="str">
        <f aca="false">IF(L2216="","",ROUND(N(E2216)*L2216,2))</f>
        <v/>
      </c>
      <c r="N2216" s="39" t="str">
        <f aca="false">IF(OR(A2216="",B2216=""),"",SUMIFS(tl_Hours,tl_StaffID,I2216,tl_Date,A2216))</f>
        <v/>
      </c>
      <c r="O2216" s="40" t="str">
        <f aca="false">IF(A2216&amp;B2216&amp;D2216="","",IF(OR(A2216="",B2216="",D2216="",E2216=""),"Incomplete",IF(K2216="Unknown","Unknown code",IF(AND(K2216="Yes",C2216=""),"Billable, needs client",IF(N2216&gt;MaxDayHours,"Over "&amp;MaxDayHours&amp;" hours that day","")))))</f>
        <v/>
      </c>
    </row>
    <row r="2217" customFormat="false" ht="15" hidden="false" customHeight="false" outlineLevel="0" collapsed="false">
      <c r="A2217" s="31"/>
      <c r="B2217" s="32"/>
      <c r="C2217" s="32"/>
      <c r="D2217" s="33"/>
      <c r="E2217" s="34"/>
      <c r="F2217" s="32"/>
      <c r="G2217" s="35" t="str">
        <f aca="false">IF(A2217="","",A2217+7-WEEKDAY(A2217))</f>
        <v/>
      </c>
      <c r="H2217" s="36" t="str">
        <f aca="false">IF(A2217="","",DATE(YEAR(A2217),MONTH(A2217),1))</f>
        <v/>
      </c>
      <c r="I2217" s="37" t="str">
        <f aca="false">IF(B2217="","",IFERROR(INDEX(st_ID,MATCH(B2217,st_Name,0)),"Unknown"))</f>
        <v/>
      </c>
      <c r="J2217" s="37" t="str">
        <f aca="false">IF(C2217="","",IFERROR(INDEX(cl_Code,MATCH(C2217,cl_Name,0)),"Unknown"))</f>
        <v/>
      </c>
      <c r="K2217" s="37" t="str">
        <f aca="false">IF(D2217="","",IFERROR(INDEX(rt_Billable,MATCH(D2217,rt_Code,0)),"Unknown"))</f>
        <v/>
      </c>
      <c r="L2217" s="38" t="str">
        <f aca="false">IF(K2217&lt;&gt;"Yes","",IFERROR(INDEX(cr_Rate,MATCH(J2217&amp;"|"&amp;D2217,cr_Key,0)),INDEX(rt_Rate,MATCH(D2217,rt_Code,0))))</f>
        <v/>
      </c>
      <c r="M2217" s="25" t="str">
        <f aca="false">IF(L2217="","",ROUND(N(E2217)*L2217,2))</f>
        <v/>
      </c>
      <c r="N2217" s="39" t="str">
        <f aca="false">IF(OR(A2217="",B2217=""),"",SUMIFS(tl_Hours,tl_StaffID,I2217,tl_Date,A2217))</f>
        <v/>
      </c>
      <c r="O2217" s="40" t="str">
        <f aca="false">IF(A2217&amp;B2217&amp;D2217="","",IF(OR(A2217="",B2217="",D2217="",E2217=""),"Incomplete",IF(K2217="Unknown","Unknown code",IF(AND(K2217="Yes",C2217=""),"Billable, needs client",IF(N2217&gt;MaxDayHours,"Over "&amp;MaxDayHours&amp;" hours that day","")))))</f>
        <v/>
      </c>
    </row>
    <row r="2218" customFormat="false" ht="15" hidden="false" customHeight="false" outlineLevel="0" collapsed="false">
      <c r="A2218" s="31"/>
      <c r="B2218" s="32"/>
      <c r="C2218" s="32"/>
      <c r="D2218" s="33"/>
      <c r="E2218" s="34"/>
      <c r="F2218" s="32"/>
      <c r="G2218" s="35" t="str">
        <f aca="false">IF(A2218="","",A2218+7-WEEKDAY(A2218))</f>
        <v/>
      </c>
      <c r="H2218" s="36" t="str">
        <f aca="false">IF(A2218="","",DATE(YEAR(A2218),MONTH(A2218),1))</f>
        <v/>
      </c>
      <c r="I2218" s="37" t="str">
        <f aca="false">IF(B2218="","",IFERROR(INDEX(st_ID,MATCH(B2218,st_Name,0)),"Unknown"))</f>
        <v/>
      </c>
      <c r="J2218" s="37" t="str">
        <f aca="false">IF(C2218="","",IFERROR(INDEX(cl_Code,MATCH(C2218,cl_Name,0)),"Unknown"))</f>
        <v/>
      </c>
      <c r="K2218" s="37" t="str">
        <f aca="false">IF(D2218="","",IFERROR(INDEX(rt_Billable,MATCH(D2218,rt_Code,0)),"Unknown"))</f>
        <v/>
      </c>
      <c r="L2218" s="38" t="str">
        <f aca="false">IF(K2218&lt;&gt;"Yes","",IFERROR(INDEX(cr_Rate,MATCH(J2218&amp;"|"&amp;D2218,cr_Key,0)),INDEX(rt_Rate,MATCH(D2218,rt_Code,0))))</f>
        <v/>
      </c>
      <c r="M2218" s="25" t="str">
        <f aca="false">IF(L2218="","",ROUND(N(E2218)*L2218,2))</f>
        <v/>
      </c>
      <c r="N2218" s="39" t="str">
        <f aca="false">IF(OR(A2218="",B2218=""),"",SUMIFS(tl_Hours,tl_StaffID,I2218,tl_Date,A2218))</f>
        <v/>
      </c>
      <c r="O2218" s="40" t="str">
        <f aca="false">IF(A2218&amp;B2218&amp;D2218="","",IF(OR(A2218="",B2218="",D2218="",E2218=""),"Incomplete",IF(K2218="Unknown","Unknown code",IF(AND(K2218="Yes",C2218=""),"Billable, needs client",IF(N2218&gt;MaxDayHours,"Over "&amp;MaxDayHours&amp;" hours that day","")))))</f>
        <v/>
      </c>
    </row>
    <row r="2219" customFormat="false" ht="15" hidden="false" customHeight="false" outlineLevel="0" collapsed="false">
      <c r="A2219" s="31"/>
      <c r="B2219" s="32"/>
      <c r="C2219" s="32"/>
      <c r="D2219" s="33"/>
      <c r="E2219" s="34"/>
      <c r="F2219" s="32"/>
      <c r="G2219" s="35" t="str">
        <f aca="false">IF(A2219="","",A2219+7-WEEKDAY(A2219))</f>
        <v/>
      </c>
      <c r="H2219" s="36" t="str">
        <f aca="false">IF(A2219="","",DATE(YEAR(A2219),MONTH(A2219),1))</f>
        <v/>
      </c>
      <c r="I2219" s="37" t="str">
        <f aca="false">IF(B2219="","",IFERROR(INDEX(st_ID,MATCH(B2219,st_Name,0)),"Unknown"))</f>
        <v/>
      </c>
      <c r="J2219" s="37" t="str">
        <f aca="false">IF(C2219="","",IFERROR(INDEX(cl_Code,MATCH(C2219,cl_Name,0)),"Unknown"))</f>
        <v/>
      </c>
      <c r="K2219" s="37" t="str">
        <f aca="false">IF(D2219="","",IFERROR(INDEX(rt_Billable,MATCH(D2219,rt_Code,0)),"Unknown"))</f>
        <v/>
      </c>
      <c r="L2219" s="38" t="str">
        <f aca="false">IF(K2219&lt;&gt;"Yes","",IFERROR(INDEX(cr_Rate,MATCH(J2219&amp;"|"&amp;D2219,cr_Key,0)),INDEX(rt_Rate,MATCH(D2219,rt_Code,0))))</f>
        <v/>
      </c>
      <c r="M2219" s="25" t="str">
        <f aca="false">IF(L2219="","",ROUND(N(E2219)*L2219,2))</f>
        <v/>
      </c>
      <c r="N2219" s="39" t="str">
        <f aca="false">IF(OR(A2219="",B2219=""),"",SUMIFS(tl_Hours,tl_StaffID,I2219,tl_Date,A2219))</f>
        <v/>
      </c>
      <c r="O2219" s="40" t="str">
        <f aca="false">IF(A2219&amp;B2219&amp;D2219="","",IF(OR(A2219="",B2219="",D2219="",E2219=""),"Incomplete",IF(K2219="Unknown","Unknown code",IF(AND(K2219="Yes",C2219=""),"Billable, needs client",IF(N2219&gt;MaxDayHours,"Over "&amp;MaxDayHours&amp;" hours that day","")))))</f>
        <v/>
      </c>
    </row>
    <row r="2220" customFormat="false" ht="15" hidden="false" customHeight="false" outlineLevel="0" collapsed="false">
      <c r="A2220" s="31"/>
      <c r="B2220" s="32"/>
      <c r="C2220" s="32"/>
      <c r="D2220" s="33"/>
      <c r="E2220" s="34"/>
      <c r="F2220" s="32"/>
      <c r="G2220" s="35" t="str">
        <f aca="false">IF(A2220="","",A2220+7-WEEKDAY(A2220))</f>
        <v/>
      </c>
      <c r="H2220" s="36" t="str">
        <f aca="false">IF(A2220="","",DATE(YEAR(A2220),MONTH(A2220),1))</f>
        <v/>
      </c>
      <c r="I2220" s="37" t="str">
        <f aca="false">IF(B2220="","",IFERROR(INDEX(st_ID,MATCH(B2220,st_Name,0)),"Unknown"))</f>
        <v/>
      </c>
      <c r="J2220" s="37" t="str">
        <f aca="false">IF(C2220="","",IFERROR(INDEX(cl_Code,MATCH(C2220,cl_Name,0)),"Unknown"))</f>
        <v/>
      </c>
      <c r="K2220" s="37" t="str">
        <f aca="false">IF(D2220="","",IFERROR(INDEX(rt_Billable,MATCH(D2220,rt_Code,0)),"Unknown"))</f>
        <v/>
      </c>
      <c r="L2220" s="38" t="str">
        <f aca="false">IF(K2220&lt;&gt;"Yes","",IFERROR(INDEX(cr_Rate,MATCH(J2220&amp;"|"&amp;D2220,cr_Key,0)),INDEX(rt_Rate,MATCH(D2220,rt_Code,0))))</f>
        <v/>
      </c>
      <c r="M2220" s="25" t="str">
        <f aca="false">IF(L2220="","",ROUND(N(E2220)*L2220,2))</f>
        <v/>
      </c>
      <c r="N2220" s="39" t="str">
        <f aca="false">IF(OR(A2220="",B2220=""),"",SUMIFS(tl_Hours,tl_StaffID,I2220,tl_Date,A2220))</f>
        <v/>
      </c>
      <c r="O2220" s="40" t="str">
        <f aca="false">IF(A2220&amp;B2220&amp;D2220="","",IF(OR(A2220="",B2220="",D2220="",E2220=""),"Incomplete",IF(K2220="Unknown","Unknown code",IF(AND(K2220="Yes",C2220=""),"Billable, needs client",IF(N2220&gt;MaxDayHours,"Over "&amp;MaxDayHours&amp;" hours that day","")))))</f>
        <v/>
      </c>
    </row>
    <row r="2221" customFormat="false" ht="15" hidden="false" customHeight="false" outlineLevel="0" collapsed="false">
      <c r="A2221" s="31"/>
      <c r="B2221" s="32"/>
      <c r="C2221" s="32"/>
      <c r="D2221" s="33"/>
      <c r="E2221" s="34"/>
      <c r="F2221" s="32"/>
      <c r="G2221" s="35" t="str">
        <f aca="false">IF(A2221="","",A2221+7-WEEKDAY(A2221))</f>
        <v/>
      </c>
      <c r="H2221" s="36" t="str">
        <f aca="false">IF(A2221="","",DATE(YEAR(A2221),MONTH(A2221),1))</f>
        <v/>
      </c>
      <c r="I2221" s="37" t="str">
        <f aca="false">IF(B2221="","",IFERROR(INDEX(st_ID,MATCH(B2221,st_Name,0)),"Unknown"))</f>
        <v/>
      </c>
      <c r="J2221" s="37" t="str">
        <f aca="false">IF(C2221="","",IFERROR(INDEX(cl_Code,MATCH(C2221,cl_Name,0)),"Unknown"))</f>
        <v/>
      </c>
      <c r="K2221" s="37" t="str">
        <f aca="false">IF(D2221="","",IFERROR(INDEX(rt_Billable,MATCH(D2221,rt_Code,0)),"Unknown"))</f>
        <v/>
      </c>
      <c r="L2221" s="38" t="str">
        <f aca="false">IF(K2221&lt;&gt;"Yes","",IFERROR(INDEX(cr_Rate,MATCH(J2221&amp;"|"&amp;D2221,cr_Key,0)),INDEX(rt_Rate,MATCH(D2221,rt_Code,0))))</f>
        <v/>
      </c>
      <c r="M2221" s="25" t="str">
        <f aca="false">IF(L2221="","",ROUND(N(E2221)*L2221,2))</f>
        <v/>
      </c>
      <c r="N2221" s="39" t="str">
        <f aca="false">IF(OR(A2221="",B2221=""),"",SUMIFS(tl_Hours,tl_StaffID,I2221,tl_Date,A2221))</f>
        <v/>
      </c>
      <c r="O2221" s="40" t="str">
        <f aca="false">IF(A2221&amp;B2221&amp;D2221="","",IF(OR(A2221="",B2221="",D2221="",E2221=""),"Incomplete",IF(K2221="Unknown","Unknown code",IF(AND(K2221="Yes",C2221=""),"Billable, needs client",IF(N2221&gt;MaxDayHours,"Over "&amp;MaxDayHours&amp;" hours that day","")))))</f>
        <v/>
      </c>
    </row>
    <row r="2222" customFormat="false" ht="15" hidden="false" customHeight="false" outlineLevel="0" collapsed="false">
      <c r="A2222" s="31"/>
      <c r="B2222" s="32"/>
      <c r="C2222" s="32"/>
      <c r="D2222" s="33"/>
      <c r="E2222" s="34"/>
      <c r="F2222" s="32"/>
      <c r="G2222" s="35" t="str">
        <f aca="false">IF(A2222="","",A2222+7-WEEKDAY(A2222))</f>
        <v/>
      </c>
      <c r="H2222" s="36" t="str">
        <f aca="false">IF(A2222="","",DATE(YEAR(A2222),MONTH(A2222),1))</f>
        <v/>
      </c>
      <c r="I2222" s="37" t="str">
        <f aca="false">IF(B2222="","",IFERROR(INDEX(st_ID,MATCH(B2222,st_Name,0)),"Unknown"))</f>
        <v/>
      </c>
      <c r="J2222" s="37" t="str">
        <f aca="false">IF(C2222="","",IFERROR(INDEX(cl_Code,MATCH(C2222,cl_Name,0)),"Unknown"))</f>
        <v/>
      </c>
      <c r="K2222" s="37" t="str">
        <f aca="false">IF(D2222="","",IFERROR(INDEX(rt_Billable,MATCH(D2222,rt_Code,0)),"Unknown"))</f>
        <v/>
      </c>
      <c r="L2222" s="38" t="str">
        <f aca="false">IF(K2222&lt;&gt;"Yes","",IFERROR(INDEX(cr_Rate,MATCH(J2222&amp;"|"&amp;D2222,cr_Key,0)),INDEX(rt_Rate,MATCH(D2222,rt_Code,0))))</f>
        <v/>
      </c>
      <c r="M2222" s="25" t="str">
        <f aca="false">IF(L2222="","",ROUND(N(E2222)*L2222,2))</f>
        <v/>
      </c>
      <c r="N2222" s="39" t="str">
        <f aca="false">IF(OR(A2222="",B2222=""),"",SUMIFS(tl_Hours,tl_StaffID,I2222,tl_Date,A2222))</f>
        <v/>
      </c>
      <c r="O2222" s="40" t="str">
        <f aca="false">IF(A2222&amp;B2222&amp;D2222="","",IF(OR(A2222="",B2222="",D2222="",E2222=""),"Incomplete",IF(K2222="Unknown","Unknown code",IF(AND(K2222="Yes",C2222=""),"Billable, needs client",IF(N2222&gt;MaxDayHours,"Over "&amp;MaxDayHours&amp;" hours that day","")))))</f>
        <v/>
      </c>
    </row>
    <row r="2223" customFormat="false" ht="15" hidden="false" customHeight="false" outlineLevel="0" collapsed="false">
      <c r="A2223" s="31"/>
      <c r="B2223" s="32"/>
      <c r="C2223" s="32"/>
      <c r="D2223" s="33"/>
      <c r="E2223" s="34"/>
      <c r="F2223" s="32"/>
      <c r="G2223" s="35" t="str">
        <f aca="false">IF(A2223="","",A2223+7-WEEKDAY(A2223))</f>
        <v/>
      </c>
      <c r="H2223" s="36" t="str">
        <f aca="false">IF(A2223="","",DATE(YEAR(A2223),MONTH(A2223),1))</f>
        <v/>
      </c>
      <c r="I2223" s="37" t="str">
        <f aca="false">IF(B2223="","",IFERROR(INDEX(st_ID,MATCH(B2223,st_Name,0)),"Unknown"))</f>
        <v/>
      </c>
      <c r="J2223" s="37" t="str">
        <f aca="false">IF(C2223="","",IFERROR(INDEX(cl_Code,MATCH(C2223,cl_Name,0)),"Unknown"))</f>
        <v/>
      </c>
      <c r="K2223" s="37" t="str">
        <f aca="false">IF(D2223="","",IFERROR(INDEX(rt_Billable,MATCH(D2223,rt_Code,0)),"Unknown"))</f>
        <v/>
      </c>
      <c r="L2223" s="38" t="str">
        <f aca="false">IF(K2223&lt;&gt;"Yes","",IFERROR(INDEX(cr_Rate,MATCH(J2223&amp;"|"&amp;D2223,cr_Key,0)),INDEX(rt_Rate,MATCH(D2223,rt_Code,0))))</f>
        <v/>
      </c>
      <c r="M2223" s="25" t="str">
        <f aca="false">IF(L2223="","",ROUND(N(E2223)*L2223,2))</f>
        <v/>
      </c>
      <c r="N2223" s="39" t="str">
        <f aca="false">IF(OR(A2223="",B2223=""),"",SUMIFS(tl_Hours,tl_StaffID,I2223,tl_Date,A2223))</f>
        <v/>
      </c>
      <c r="O2223" s="40" t="str">
        <f aca="false">IF(A2223&amp;B2223&amp;D2223="","",IF(OR(A2223="",B2223="",D2223="",E2223=""),"Incomplete",IF(K2223="Unknown","Unknown code",IF(AND(K2223="Yes",C2223=""),"Billable, needs client",IF(N2223&gt;MaxDayHours,"Over "&amp;MaxDayHours&amp;" hours that day","")))))</f>
        <v/>
      </c>
    </row>
    <row r="2224" customFormat="false" ht="15" hidden="false" customHeight="false" outlineLevel="0" collapsed="false">
      <c r="A2224" s="31"/>
      <c r="B2224" s="32"/>
      <c r="C2224" s="32"/>
      <c r="D2224" s="33"/>
      <c r="E2224" s="34"/>
      <c r="F2224" s="32"/>
      <c r="G2224" s="35" t="str">
        <f aca="false">IF(A2224="","",A2224+7-WEEKDAY(A2224))</f>
        <v/>
      </c>
      <c r="H2224" s="36" t="str">
        <f aca="false">IF(A2224="","",DATE(YEAR(A2224),MONTH(A2224),1))</f>
        <v/>
      </c>
      <c r="I2224" s="37" t="str">
        <f aca="false">IF(B2224="","",IFERROR(INDEX(st_ID,MATCH(B2224,st_Name,0)),"Unknown"))</f>
        <v/>
      </c>
      <c r="J2224" s="37" t="str">
        <f aca="false">IF(C2224="","",IFERROR(INDEX(cl_Code,MATCH(C2224,cl_Name,0)),"Unknown"))</f>
        <v/>
      </c>
      <c r="K2224" s="37" t="str">
        <f aca="false">IF(D2224="","",IFERROR(INDEX(rt_Billable,MATCH(D2224,rt_Code,0)),"Unknown"))</f>
        <v/>
      </c>
      <c r="L2224" s="38" t="str">
        <f aca="false">IF(K2224&lt;&gt;"Yes","",IFERROR(INDEX(cr_Rate,MATCH(J2224&amp;"|"&amp;D2224,cr_Key,0)),INDEX(rt_Rate,MATCH(D2224,rt_Code,0))))</f>
        <v/>
      </c>
      <c r="M2224" s="25" t="str">
        <f aca="false">IF(L2224="","",ROUND(N(E2224)*L2224,2))</f>
        <v/>
      </c>
      <c r="N2224" s="39" t="str">
        <f aca="false">IF(OR(A2224="",B2224=""),"",SUMIFS(tl_Hours,tl_StaffID,I2224,tl_Date,A2224))</f>
        <v/>
      </c>
      <c r="O2224" s="40" t="str">
        <f aca="false">IF(A2224&amp;B2224&amp;D2224="","",IF(OR(A2224="",B2224="",D2224="",E2224=""),"Incomplete",IF(K2224="Unknown","Unknown code",IF(AND(K2224="Yes",C2224=""),"Billable, needs client",IF(N2224&gt;MaxDayHours,"Over "&amp;MaxDayHours&amp;" hours that day","")))))</f>
        <v/>
      </c>
    </row>
    <row r="2225" customFormat="false" ht="15" hidden="false" customHeight="false" outlineLevel="0" collapsed="false">
      <c r="A2225" s="31"/>
      <c r="B2225" s="32"/>
      <c r="C2225" s="32"/>
      <c r="D2225" s="33"/>
      <c r="E2225" s="34"/>
      <c r="F2225" s="32"/>
      <c r="G2225" s="35" t="str">
        <f aca="false">IF(A2225="","",A2225+7-WEEKDAY(A2225))</f>
        <v/>
      </c>
      <c r="H2225" s="36" t="str">
        <f aca="false">IF(A2225="","",DATE(YEAR(A2225),MONTH(A2225),1))</f>
        <v/>
      </c>
      <c r="I2225" s="37" t="str">
        <f aca="false">IF(B2225="","",IFERROR(INDEX(st_ID,MATCH(B2225,st_Name,0)),"Unknown"))</f>
        <v/>
      </c>
      <c r="J2225" s="37" t="str">
        <f aca="false">IF(C2225="","",IFERROR(INDEX(cl_Code,MATCH(C2225,cl_Name,0)),"Unknown"))</f>
        <v/>
      </c>
      <c r="K2225" s="37" t="str">
        <f aca="false">IF(D2225="","",IFERROR(INDEX(rt_Billable,MATCH(D2225,rt_Code,0)),"Unknown"))</f>
        <v/>
      </c>
      <c r="L2225" s="38" t="str">
        <f aca="false">IF(K2225&lt;&gt;"Yes","",IFERROR(INDEX(cr_Rate,MATCH(J2225&amp;"|"&amp;D2225,cr_Key,0)),INDEX(rt_Rate,MATCH(D2225,rt_Code,0))))</f>
        <v/>
      </c>
      <c r="M2225" s="25" t="str">
        <f aca="false">IF(L2225="","",ROUND(N(E2225)*L2225,2))</f>
        <v/>
      </c>
      <c r="N2225" s="39" t="str">
        <f aca="false">IF(OR(A2225="",B2225=""),"",SUMIFS(tl_Hours,tl_StaffID,I2225,tl_Date,A2225))</f>
        <v/>
      </c>
      <c r="O2225" s="40" t="str">
        <f aca="false">IF(A2225&amp;B2225&amp;D2225="","",IF(OR(A2225="",B2225="",D2225="",E2225=""),"Incomplete",IF(K2225="Unknown","Unknown code",IF(AND(K2225="Yes",C2225=""),"Billable, needs client",IF(N2225&gt;MaxDayHours,"Over "&amp;MaxDayHours&amp;" hours that day","")))))</f>
        <v/>
      </c>
    </row>
    <row r="2226" customFormat="false" ht="15" hidden="false" customHeight="false" outlineLevel="0" collapsed="false">
      <c r="A2226" s="31"/>
      <c r="B2226" s="32"/>
      <c r="C2226" s="32"/>
      <c r="D2226" s="33"/>
      <c r="E2226" s="34"/>
      <c r="F2226" s="32"/>
      <c r="G2226" s="35" t="str">
        <f aca="false">IF(A2226="","",A2226+7-WEEKDAY(A2226))</f>
        <v/>
      </c>
      <c r="H2226" s="36" t="str">
        <f aca="false">IF(A2226="","",DATE(YEAR(A2226),MONTH(A2226),1))</f>
        <v/>
      </c>
      <c r="I2226" s="37" t="str">
        <f aca="false">IF(B2226="","",IFERROR(INDEX(st_ID,MATCH(B2226,st_Name,0)),"Unknown"))</f>
        <v/>
      </c>
      <c r="J2226" s="37" t="str">
        <f aca="false">IF(C2226="","",IFERROR(INDEX(cl_Code,MATCH(C2226,cl_Name,0)),"Unknown"))</f>
        <v/>
      </c>
      <c r="K2226" s="37" t="str">
        <f aca="false">IF(D2226="","",IFERROR(INDEX(rt_Billable,MATCH(D2226,rt_Code,0)),"Unknown"))</f>
        <v/>
      </c>
      <c r="L2226" s="38" t="str">
        <f aca="false">IF(K2226&lt;&gt;"Yes","",IFERROR(INDEX(cr_Rate,MATCH(J2226&amp;"|"&amp;D2226,cr_Key,0)),INDEX(rt_Rate,MATCH(D2226,rt_Code,0))))</f>
        <v/>
      </c>
      <c r="M2226" s="25" t="str">
        <f aca="false">IF(L2226="","",ROUND(N(E2226)*L2226,2))</f>
        <v/>
      </c>
      <c r="N2226" s="39" t="str">
        <f aca="false">IF(OR(A2226="",B2226=""),"",SUMIFS(tl_Hours,tl_StaffID,I2226,tl_Date,A2226))</f>
        <v/>
      </c>
      <c r="O2226" s="40" t="str">
        <f aca="false">IF(A2226&amp;B2226&amp;D2226="","",IF(OR(A2226="",B2226="",D2226="",E2226=""),"Incomplete",IF(K2226="Unknown","Unknown code",IF(AND(K2226="Yes",C2226=""),"Billable, needs client",IF(N2226&gt;MaxDayHours,"Over "&amp;MaxDayHours&amp;" hours that day","")))))</f>
        <v/>
      </c>
    </row>
    <row r="2227" customFormat="false" ht="15" hidden="false" customHeight="false" outlineLevel="0" collapsed="false">
      <c r="A2227" s="31"/>
      <c r="B2227" s="32"/>
      <c r="C2227" s="32"/>
      <c r="D2227" s="33"/>
      <c r="E2227" s="34"/>
      <c r="F2227" s="32"/>
      <c r="G2227" s="35" t="str">
        <f aca="false">IF(A2227="","",A2227+7-WEEKDAY(A2227))</f>
        <v/>
      </c>
      <c r="H2227" s="36" t="str">
        <f aca="false">IF(A2227="","",DATE(YEAR(A2227),MONTH(A2227),1))</f>
        <v/>
      </c>
      <c r="I2227" s="37" t="str">
        <f aca="false">IF(B2227="","",IFERROR(INDEX(st_ID,MATCH(B2227,st_Name,0)),"Unknown"))</f>
        <v/>
      </c>
      <c r="J2227" s="37" t="str">
        <f aca="false">IF(C2227="","",IFERROR(INDEX(cl_Code,MATCH(C2227,cl_Name,0)),"Unknown"))</f>
        <v/>
      </c>
      <c r="K2227" s="37" t="str">
        <f aca="false">IF(D2227="","",IFERROR(INDEX(rt_Billable,MATCH(D2227,rt_Code,0)),"Unknown"))</f>
        <v/>
      </c>
      <c r="L2227" s="38" t="str">
        <f aca="false">IF(K2227&lt;&gt;"Yes","",IFERROR(INDEX(cr_Rate,MATCH(J2227&amp;"|"&amp;D2227,cr_Key,0)),INDEX(rt_Rate,MATCH(D2227,rt_Code,0))))</f>
        <v/>
      </c>
      <c r="M2227" s="25" t="str">
        <f aca="false">IF(L2227="","",ROUND(N(E2227)*L2227,2))</f>
        <v/>
      </c>
      <c r="N2227" s="39" t="str">
        <f aca="false">IF(OR(A2227="",B2227=""),"",SUMIFS(tl_Hours,tl_StaffID,I2227,tl_Date,A2227))</f>
        <v/>
      </c>
      <c r="O2227" s="40" t="str">
        <f aca="false">IF(A2227&amp;B2227&amp;D2227="","",IF(OR(A2227="",B2227="",D2227="",E2227=""),"Incomplete",IF(K2227="Unknown","Unknown code",IF(AND(K2227="Yes",C2227=""),"Billable, needs client",IF(N2227&gt;MaxDayHours,"Over "&amp;MaxDayHours&amp;" hours that day","")))))</f>
        <v/>
      </c>
    </row>
    <row r="2228" customFormat="false" ht="15" hidden="false" customHeight="false" outlineLevel="0" collapsed="false">
      <c r="A2228" s="31"/>
      <c r="B2228" s="32"/>
      <c r="C2228" s="32"/>
      <c r="D2228" s="33"/>
      <c r="E2228" s="34"/>
      <c r="F2228" s="32"/>
      <c r="G2228" s="35" t="str">
        <f aca="false">IF(A2228="","",A2228+7-WEEKDAY(A2228))</f>
        <v/>
      </c>
      <c r="H2228" s="36" t="str">
        <f aca="false">IF(A2228="","",DATE(YEAR(A2228),MONTH(A2228),1))</f>
        <v/>
      </c>
      <c r="I2228" s="37" t="str">
        <f aca="false">IF(B2228="","",IFERROR(INDEX(st_ID,MATCH(B2228,st_Name,0)),"Unknown"))</f>
        <v/>
      </c>
      <c r="J2228" s="37" t="str">
        <f aca="false">IF(C2228="","",IFERROR(INDEX(cl_Code,MATCH(C2228,cl_Name,0)),"Unknown"))</f>
        <v/>
      </c>
      <c r="K2228" s="37" t="str">
        <f aca="false">IF(D2228="","",IFERROR(INDEX(rt_Billable,MATCH(D2228,rt_Code,0)),"Unknown"))</f>
        <v/>
      </c>
      <c r="L2228" s="38" t="str">
        <f aca="false">IF(K2228&lt;&gt;"Yes","",IFERROR(INDEX(cr_Rate,MATCH(J2228&amp;"|"&amp;D2228,cr_Key,0)),INDEX(rt_Rate,MATCH(D2228,rt_Code,0))))</f>
        <v/>
      </c>
      <c r="M2228" s="25" t="str">
        <f aca="false">IF(L2228="","",ROUND(N(E2228)*L2228,2))</f>
        <v/>
      </c>
      <c r="N2228" s="39" t="str">
        <f aca="false">IF(OR(A2228="",B2228=""),"",SUMIFS(tl_Hours,tl_StaffID,I2228,tl_Date,A2228))</f>
        <v/>
      </c>
      <c r="O2228" s="40" t="str">
        <f aca="false">IF(A2228&amp;B2228&amp;D2228="","",IF(OR(A2228="",B2228="",D2228="",E2228=""),"Incomplete",IF(K2228="Unknown","Unknown code",IF(AND(K2228="Yes",C2228=""),"Billable, needs client",IF(N2228&gt;MaxDayHours,"Over "&amp;MaxDayHours&amp;" hours that day","")))))</f>
        <v/>
      </c>
    </row>
    <row r="2229" customFormat="false" ht="15" hidden="false" customHeight="false" outlineLevel="0" collapsed="false">
      <c r="A2229" s="31"/>
      <c r="B2229" s="32"/>
      <c r="C2229" s="32"/>
      <c r="D2229" s="33"/>
      <c r="E2229" s="34"/>
      <c r="F2229" s="32"/>
      <c r="G2229" s="35" t="str">
        <f aca="false">IF(A2229="","",A2229+7-WEEKDAY(A2229))</f>
        <v/>
      </c>
      <c r="H2229" s="36" t="str">
        <f aca="false">IF(A2229="","",DATE(YEAR(A2229),MONTH(A2229),1))</f>
        <v/>
      </c>
      <c r="I2229" s="37" t="str">
        <f aca="false">IF(B2229="","",IFERROR(INDEX(st_ID,MATCH(B2229,st_Name,0)),"Unknown"))</f>
        <v/>
      </c>
      <c r="J2229" s="37" t="str">
        <f aca="false">IF(C2229="","",IFERROR(INDEX(cl_Code,MATCH(C2229,cl_Name,0)),"Unknown"))</f>
        <v/>
      </c>
      <c r="K2229" s="37" t="str">
        <f aca="false">IF(D2229="","",IFERROR(INDEX(rt_Billable,MATCH(D2229,rt_Code,0)),"Unknown"))</f>
        <v/>
      </c>
      <c r="L2229" s="38" t="str">
        <f aca="false">IF(K2229&lt;&gt;"Yes","",IFERROR(INDEX(cr_Rate,MATCH(J2229&amp;"|"&amp;D2229,cr_Key,0)),INDEX(rt_Rate,MATCH(D2229,rt_Code,0))))</f>
        <v/>
      </c>
      <c r="M2229" s="25" t="str">
        <f aca="false">IF(L2229="","",ROUND(N(E2229)*L2229,2))</f>
        <v/>
      </c>
      <c r="N2229" s="39" t="str">
        <f aca="false">IF(OR(A2229="",B2229=""),"",SUMIFS(tl_Hours,tl_StaffID,I2229,tl_Date,A2229))</f>
        <v/>
      </c>
      <c r="O2229" s="40" t="str">
        <f aca="false">IF(A2229&amp;B2229&amp;D2229="","",IF(OR(A2229="",B2229="",D2229="",E2229=""),"Incomplete",IF(K2229="Unknown","Unknown code",IF(AND(K2229="Yes",C2229=""),"Billable, needs client",IF(N2229&gt;MaxDayHours,"Over "&amp;MaxDayHours&amp;" hours that day","")))))</f>
        <v/>
      </c>
    </row>
    <row r="2230" customFormat="false" ht="15" hidden="false" customHeight="false" outlineLevel="0" collapsed="false">
      <c r="A2230" s="31"/>
      <c r="B2230" s="32"/>
      <c r="C2230" s="32"/>
      <c r="D2230" s="33"/>
      <c r="E2230" s="34"/>
      <c r="F2230" s="32"/>
      <c r="G2230" s="35" t="str">
        <f aca="false">IF(A2230="","",A2230+7-WEEKDAY(A2230))</f>
        <v/>
      </c>
      <c r="H2230" s="36" t="str">
        <f aca="false">IF(A2230="","",DATE(YEAR(A2230),MONTH(A2230),1))</f>
        <v/>
      </c>
      <c r="I2230" s="37" t="str">
        <f aca="false">IF(B2230="","",IFERROR(INDEX(st_ID,MATCH(B2230,st_Name,0)),"Unknown"))</f>
        <v/>
      </c>
      <c r="J2230" s="37" t="str">
        <f aca="false">IF(C2230="","",IFERROR(INDEX(cl_Code,MATCH(C2230,cl_Name,0)),"Unknown"))</f>
        <v/>
      </c>
      <c r="K2230" s="37" t="str">
        <f aca="false">IF(D2230="","",IFERROR(INDEX(rt_Billable,MATCH(D2230,rt_Code,0)),"Unknown"))</f>
        <v/>
      </c>
      <c r="L2230" s="38" t="str">
        <f aca="false">IF(K2230&lt;&gt;"Yes","",IFERROR(INDEX(cr_Rate,MATCH(J2230&amp;"|"&amp;D2230,cr_Key,0)),INDEX(rt_Rate,MATCH(D2230,rt_Code,0))))</f>
        <v/>
      </c>
      <c r="M2230" s="25" t="str">
        <f aca="false">IF(L2230="","",ROUND(N(E2230)*L2230,2))</f>
        <v/>
      </c>
      <c r="N2230" s="39" t="str">
        <f aca="false">IF(OR(A2230="",B2230=""),"",SUMIFS(tl_Hours,tl_StaffID,I2230,tl_Date,A2230))</f>
        <v/>
      </c>
      <c r="O2230" s="40" t="str">
        <f aca="false">IF(A2230&amp;B2230&amp;D2230="","",IF(OR(A2230="",B2230="",D2230="",E2230=""),"Incomplete",IF(K2230="Unknown","Unknown code",IF(AND(K2230="Yes",C2230=""),"Billable, needs client",IF(N2230&gt;MaxDayHours,"Over "&amp;MaxDayHours&amp;" hours that day","")))))</f>
        <v/>
      </c>
    </row>
    <row r="2231" customFormat="false" ht="15" hidden="false" customHeight="false" outlineLevel="0" collapsed="false">
      <c r="A2231" s="31"/>
      <c r="B2231" s="32"/>
      <c r="C2231" s="32"/>
      <c r="D2231" s="33"/>
      <c r="E2231" s="34"/>
      <c r="F2231" s="32"/>
      <c r="G2231" s="35" t="str">
        <f aca="false">IF(A2231="","",A2231+7-WEEKDAY(A2231))</f>
        <v/>
      </c>
      <c r="H2231" s="36" t="str">
        <f aca="false">IF(A2231="","",DATE(YEAR(A2231),MONTH(A2231),1))</f>
        <v/>
      </c>
      <c r="I2231" s="37" t="str">
        <f aca="false">IF(B2231="","",IFERROR(INDEX(st_ID,MATCH(B2231,st_Name,0)),"Unknown"))</f>
        <v/>
      </c>
      <c r="J2231" s="37" t="str">
        <f aca="false">IF(C2231="","",IFERROR(INDEX(cl_Code,MATCH(C2231,cl_Name,0)),"Unknown"))</f>
        <v/>
      </c>
      <c r="K2231" s="37" t="str">
        <f aca="false">IF(D2231="","",IFERROR(INDEX(rt_Billable,MATCH(D2231,rt_Code,0)),"Unknown"))</f>
        <v/>
      </c>
      <c r="L2231" s="38" t="str">
        <f aca="false">IF(K2231&lt;&gt;"Yes","",IFERROR(INDEX(cr_Rate,MATCH(J2231&amp;"|"&amp;D2231,cr_Key,0)),INDEX(rt_Rate,MATCH(D2231,rt_Code,0))))</f>
        <v/>
      </c>
      <c r="M2231" s="25" t="str">
        <f aca="false">IF(L2231="","",ROUND(N(E2231)*L2231,2))</f>
        <v/>
      </c>
      <c r="N2231" s="39" t="str">
        <f aca="false">IF(OR(A2231="",B2231=""),"",SUMIFS(tl_Hours,tl_StaffID,I2231,tl_Date,A2231))</f>
        <v/>
      </c>
      <c r="O2231" s="40" t="str">
        <f aca="false">IF(A2231&amp;B2231&amp;D2231="","",IF(OR(A2231="",B2231="",D2231="",E2231=""),"Incomplete",IF(K2231="Unknown","Unknown code",IF(AND(K2231="Yes",C2231=""),"Billable, needs client",IF(N2231&gt;MaxDayHours,"Over "&amp;MaxDayHours&amp;" hours that day","")))))</f>
        <v/>
      </c>
    </row>
    <row r="2232" customFormat="false" ht="15" hidden="false" customHeight="false" outlineLevel="0" collapsed="false">
      <c r="A2232" s="31"/>
      <c r="B2232" s="32"/>
      <c r="C2232" s="32"/>
      <c r="D2232" s="33"/>
      <c r="E2232" s="34"/>
      <c r="F2232" s="32"/>
      <c r="G2232" s="35" t="str">
        <f aca="false">IF(A2232="","",A2232+7-WEEKDAY(A2232))</f>
        <v/>
      </c>
      <c r="H2232" s="36" t="str">
        <f aca="false">IF(A2232="","",DATE(YEAR(A2232),MONTH(A2232),1))</f>
        <v/>
      </c>
      <c r="I2232" s="37" t="str">
        <f aca="false">IF(B2232="","",IFERROR(INDEX(st_ID,MATCH(B2232,st_Name,0)),"Unknown"))</f>
        <v/>
      </c>
      <c r="J2232" s="37" t="str">
        <f aca="false">IF(C2232="","",IFERROR(INDEX(cl_Code,MATCH(C2232,cl_Name,0)),"Unknown"))</f>
        <v/>
      </c>
      <c r="K2232" s="37" t="str">
        <f aca="false">IF(D2232="","",IFERROR(INDEX(rt_Billable,MATCH(D2232,rt_Code,0)),"Unknown"))</f>
        <v/>
      </c>
      <c r="L2232" s="38" t="str">
        <f aca="false">IF(K2232&lt;&gt;"Yes","",IFERROR(INDEX(cr_Rate,MATCH(J2232&amp;"|"&amp;D2232,cr_Key,0)),INDEX(rt_Rate,MATCH(D2232,rt_Code,0))))</f>
        <v/>
      </c>
      <c r="M2232" s="25" t="str">
        <f aca="false">IF(L2232="","",ROUND(N(E2232)*L2232,2))</f>
        <v/>
      </c>
      <c r="N2232" s="39" t="str">
        <f aca="false">IF(OR(A2232="",B2232=""),"",SUMIFS(tl_Hours,tl_StaffID,I2232,tl_Date,A2232))</f>
        <v/>
      </c>
      <c r="O2232" s="40" t="str">
        <f aca="false">IF(A2232&amp;B2232&amp;D2232="","",IF(OR(A2232="",B2232="",D2232="",E2232=""),"Incomplete",IF(K2232="Unknown","Unknown code",IF(AND(K2232="Yes",C2232=""),"Billable, needs client",IF(N2232&gt;MaxDayHours,"Over "&amp;MaxDayHours&amp;" hours that day","")))))</f>
        <v/>
      </c>
    </row>
    <row r="2233" customFormat="false" ht="15" hidden="false" customHeight="false" outlineLevel="0" collapsed="false">
      <c r="A2233" s="31"/>
      <c r="B2233" s="32"/>
      <c r="C2233" s="32"/>
      <c r="D2233" s="33"/>
      <c r="E2233" s="34"/>
      <c r="F2233" s="32"/>
      <c r="G2233" s="35" t="str">
        <f aca="false">IF(A2233="","",A2233+7-WEEKDAY(A2233))</f>
        <v/>
      </c>
      <c r="H2233" s="36" t="str">
        <f aca="false">IF(A2233="","",DATE(YEAR(A2233),MONTH(A2233),1))</f>
        <v/>
      </c>
      <c r="I2233" s="37" t="str">
        <f aca="false">IF(B2233="","",IFERROR(INDEX(st_ID,MATCH(B2233,st_Name,0)),"Unknown"))</f>
        <v/>
      </c>
      <c r="J2233" s="37" t="str">
        <f aca="false">IF(C2233="","",IFERROR(INDEX(cl_Code,MATCH(C2233,cl_Name,0)),"Unknown"))</f>
        <v/>
      </c>
      <c r="K2233" s="37" t="str">
        <f aca="false">IF(D2233="","",IFERROR(INDEX(rt_Billable,MATCH(D2233,rt_Code,0)),"Unknown"))</f>
        <v/>
      </c>
      <c r="L2233" s="38" t="str">
        <f aca="false">IF(K2233&lt;&gt;"Yes","",IFERROR(INDEX(cr_Rate,MATCH(J2233&amp;"|"&amp;D2233,cr_Key,0)),INDEX(rt_Rate,MATCH(D2233,rt_Code,0))))</f>
        <v/>
      </c>
      <c r="M2233" s="25" t="str">
        <f aca="false">IF(L2233="","",ROUND(N(E2233)*L2233,2))</f>
        <v/>
      </c>
      <c r="N2233" s="39" t="str">
        <f aca="false">IF(OR(A2233="",B2233=""),"",SUMIFS(tl_Hours,tl_StaffID,I2233,tl_Date,A2233))</f>
        <v/>
      </c>
      <c r="O2233" s="40" t="str">
        <f aca="false">IF(A2233&amp;B2233&amp;D2233="","",IF(OR(A2233="",B2233="",D2233="",E2233=""),"Incomplete",IF(K2233="Unknown","Unknown code",IF(AND(K2233="Yes",C2233=""),"Billable, needs client",IF(N2233&gt;MaxDayHours,"Over "&amp;MaxDayHours&amp;" hours that day","")))))</f>
        <v/>
      </c>
    </row>
    <row r="2234" customFormat="false" ht="15" hidden="false" customHeight="false" outlineLevel="0" collapsed="false">
      <c r="A2234" s="31"/>
      <c r="B2234" s="32"/>
      <c r="C2234" s="32"/>
      <c r="D2234" s="33"/>
      <c r="E2234" s="34"/>
      <c r="F2234" s="32"/>
      <c r="G2234" s="35" t="str">
        <f aca="false">IF(A2234="","",A2234+7-WEEKDAY(A2234))</f>
        <v/>
      </c>
      <c r="H2234" s="36" t="str">
        <f aca="false">IF(A2234="","",DATE(YEAR(A2234),MONTH(A2234),1))</f>
        <v/>
      </c>
      <c r="I2234" s="37" t="str">
        <f aca="false">IF(B2234="","",IFERROR(INDEX(st_ID,MATCH(B2234,st_Name,0)),"Unknown"))</f>
        <v/>
      </c>
      <c r="J2234" s="37" t="str">
        <f aca="false">IF(C2234="","",IFERROR(INDEX(cl_Code,MATCH(C2234,cl_Name,0)),"Unknown"))</f>
        <v/>
      </c>
      <c r="K2234" s="37" t="str">
        <f aca="false">IF(D2234="","",IFERROR(INDEX(rt_Billable,MATCH(D2234,rt_Code,0)),"Unknown"))</f>
        <v/>
      </c>
      <c r="L2234" s="38" t="str">
        <f aca="false">IF(K2234&lt;&gt;"Yes","",IFERROR(INDEX(cr_Rate,MATCH(J2234&amp;"|"&amp;D2234,cr_Key,0)),INDEX(rt_Rate,MATCH(D2234,rt_Code,0))))</f>
        <v/>
      </c>
      <c r="M2234" s="25" t="str">
        <f aca="false">IF(L2234="","",ROUND(N(E2234)*L2234,2))</f>
        <v/>
      </c>
      <c r="N2234" s="39" t="str">
        <f aca="false">IF(OR(A2234="",B2234=""),"",SUMIFS(tl_Hours,tl_StaffID,I2234,tl_Date,A2234))</f>
        <v/>
      </c>
      <c r="O2234" s="40" t="str">
        <f aca="false">IF(A2234&amp;B2234&amp;D2234="","",IF(OR(A2234="",B2234="",D2234="",E2234=""),"Incomplete",IF(K2234="Unknown","Unknown code",IF(AND(K2234="Yes",C2234=""),"Billable, needs client",IF(N2234&gt;MaxDayHours,"Over "&amp;MaxDayHours&amp;" hours that day","")))))</f>
        <v/>
      </c>
    </row>
    <row r="2235" customFormat="false" ht="15" hidden="false" customHeight="false" outlineLevel="0" collapsed="false">
      <c r="A2235" s="31"/>
      <c r="B2235" s="32"/>
      <c r="C2235" s="32"/>
      <c r="D2235" s="33"/>
      <c r="E2235" s="34"/>
      <c r="F2235" s="32"/>
      <c r="G2235" s="35" t="str">
        <f aca="false">IF(A2235="","",A2235+7-WEEKDAY(A2235))</f>
        <v/>
      </c>
      <c r="H2235" s="36" t="str">
        <f aca="false">IF(A2235="","",DATE(YEAR(A2235),MONTH(A2235),1))</f>
        <v/>
      </c>
      <c r="I2235" s="37" t="str">
        <f aca="false">IF(B2235="","",IFERROR(INDEX(st_ID,MATCH(B2235,st_Name,0)),"Unknown"))</f>
        <v/>
      </c>
      <c r="J2235" s="37" t="str">
        <f aca="false">IF(C2235="","",IFERROR(INDEX(cl_Code,MATCH(C2235,cl_Name,0)),"Unknown"))</f>
        <v/>
      </c>
      <c r="K2235" s="37" t="str">
        <f aca="false">IF(D2235="","",IFERROR(INDEX(rt_Billable,MATCH(D2235,rt_Code,0)),"Unknown"))</f>
        <v/>
      </c>
      <c r="L2235" s="38" t="str">
        <f aca="false">IF(K2235&lt;&gt;"Yes","",IFERROR(INDEX(cr_Rate,MATCH(J2235&amp;"|"&amp;D2235,cr_Key,0)),INDEX(rt_Rate,MATCH(D2235,rt_Code,0))))</f>
        <v/>
      </c>
      <c r="M2235" s="25" t="str">
        <f aca="false">IF(L2235="","",ROUND(N(E2235)*L2235,2))</f>
        <v/>
      </c>
      <c r="N2235" s="39" t="str">
        <f aca="false">IF(OR(A2235="",B2235=""),"",SUMIFS(tl_Hours,tl_StaffID,I2235,tl_Date,A2235))</f>
        <v/>
      </c>
      <c r="O2235" s="40" t="str">
        <f aca="false">IF(A2235&amp;B2235&amp;D2235="","",IF(OR(A2235="",B2235="",D2235="",E2235=""),"Incomplete",IF(K2235="Unknown","Unknown code",IF(AND(K2235="Yes",C2235=""),"Billable, needs client",IF(N2235&gt;MaxDayHours,"Over "&amp;MaxDayHours&amp;" hours that day","")))))</f>
        <v/>
      </c>
    </row>
    <row r="2236" customFormat="false" ht="15" hidden="false" customHeight="false" outlineLevel="0" collapsed="false">
      <c r="A2236" s="31"/>
      <c r="B2236" s="32"/>
      <c r="C2236" s="32"/>
      <c r="D2236" s="33"/>
      <c r="E2236" s="34"/>
      <c r="F2236" s="32"/>
      <c r="G2236" s="35" t="str">
        <f aca="false">IF(A2236="","",A2236+7-WEEKDAY(A2236))</f>
        <v/>
      </c>
      <c r="H2236" s="36" t="str">
        <f aca="false">IF(A2236="","",DATE(YEAR(A2236),MONTH(A2236),1))</f>
        <v/>
      </c>
      <c r="I2236" s="37" t="str">
        <f aca="false">IF(B2236="","",IFERROR(INDEX(st_ID,MATCH(B2236,st_Name,0)),"Unknown"))</f>
        <v/>
      </c>
      <c r="J2236" s="37" t="str">
        <f aca="false">IF(C2236="","",IFERROR(INDEX(cl_Code,MATCH(C2236,cl_Name,0)),"Unknown"))</f>
        <v/>
      </c>
      <c r="K2236" s="37" t="str">
        <f aca="false">IF(D2236="","",IFERROR(INDEX(rt_Billable,MATCH(D2236,rt_Code,0)),"Unknown"))</f>
        <v/>
      </c>
      <c r="L2236" s="38" t="str">
        <f aca="false">IF(K2236&lt;&gt;"Yes","",IFERROR(INDEX(cr_Rate,MATCH(J2236&amp;"|"&amp;D2236,cr_Key,0)),INDEX(rt_Rate,MATCH(D2236,rt_Code,0))))</f>
        <v/>
      </c>
      <c r="M2236" s="25" t="str">
        <f aca="false">IF(L2236="","",ROUND(N(E2236)*L2236,2))</f>
        <v/>
      </c>
      <c r="N2236" s="39" t="str">
        <f aca="false">IF(OR(A2236="",B2236=""),"",SUMIFS(tl_Hours,tl_StaffID,I2236,tl_Date,A2236))</f>
        <v/>
      </c>
      <c r="O2236" s="40" t="str">
        <f aca="false">IF(A2236&amp;B2236&amp;D2236="","",IF(OR(A2236="",B2236="",D2236="",E2236=""),"Incomplete",IF(K2236="Unknown","Unknown code",IF(AND(K2236="Yes",C2236=""),"Billable, needs client",IF(N2236&gt;MaxDayHours,"Over "&amp;MaxDayHours&amp;" hours that day","")))))</f>
        <v/>
      </c>
    </row>
    <row r="2237" customFormat="false" ht="15" hidden="false" customHeight="false" outlineLevel="0" collapsed="false">
      <c r="A2237" s="31"/>
      <c r="B2237" s="32"/>
      <c r="C2237" s="32"/>
      <c r="D2237" s="33"/>
      <c r="E2237" s="34"/>
      <c r="F2237" s="32"/>
      <c r="G2237" s="35" t="str">
        <f aca="false">IF(A2237="","",A2237+7-WEEKDAY(A2237))</f>
        <v/>
      </c>
      <c r="H2237" s="36" t="str">
        <f aca="false">IF(A2237="","",DATE(YEAR(A2237),MONTH(A2237),1))</f>
        <v/>
      </c>
      <c r="I2237" s="37" t="str">
        <f aca="false">IF(B2237="","",IFERROR(INDEX(st_ID,MATCH(B2237,st_Name,0)),"Unknown"))</f>
        <v/>
      </c>
      <c r="J2237" s="37" t="str">
        <f aca="false">IF(C2237="","",IFERROR(INDEX(cl_Code,MATCH(C2237,cl_Name,0)),"Unknown"))</f>
        <v/>
      </c>
      <c r="K2237" s="37" t="str">
        <f aca="false">IF(D2237="","",IFERROR(INDEX(rt_Billable,MATCH(D2237,rt_Code,0)),"Unknown"))</f>
        <v/>
      </c>
      <c r="L2237" s="38" t="str">
        <f aca="false">IF(K2237&lt;&gt;"Yes","",IFERROR(INDEX(cr_Rate,MATCH(J2237&amp;"|"&amp;D2237,cr_Key,0)),INDEX(rt_Rate,MATCH(D2237,rt_Code,0))))</f>
        <v/>
      </c>
      <c r="M2237" s="25" t="str">
        <f aca="false">IF(L2237="","",ROUND(N(E2237)*L2237,2))</f>
        <v/>
      </c>
      <c r="N2237" s="39" t="str">
        <f aca="false">IF(OR(A2237="",B2237=""),"",SUMIFS(tl_Hours,tl_StaffID,I2237,tl_Date,A2237))</f>
        <v/>
      </c>
      <c r="O2237" s="40" t="str">
        <f aca="false">IF(A2237&amp;B2237&amp;D2237="","",IF(OR(A2237="",B2237="",D2237="",E2237=""),"Incomplete",IF(K2237="Unknown","Unknown code",IF(AND(K2237="Yes",C2237=""),"Billable, needs client",IF(N2237&gt;MaxDayHours,"Over "&amp;MaxDayHours&amp;" hours that day","")))))</f>
        <v/>
      </c>
    </row>
    <row r="2238" customFormat="false" ht="15" hidden="false" customHeight="false" outlineLevel="0" collapsed="false">
      <c r="A2238" s="31"/>
      <c r="B2238" s="32"/>
      <c r="C2238" s="32"/>
      <c r="D2238" s="33"/>
      <c r="E2238" s="34"/>
      <c r="F2238" s="32"/>
      <c r="G2238" s="35" t="str">
        <f aca="false">IF(A2238="","",A2238+7-WEEKDAY(A2238))</f>
        <v/>
      </c>
      <c r="H2238" s="36" t="str">
        <f aca="false">IF(A2238="","",DATE(YEAR(A2238),MONTH(A2238),1))</f>
        <v/>
      </c>
      <c r="I2238" s="37" t="str">
        <f aca="false">IF(B2238="","",IFERROR(INDEX(st_ID,MATCH(B2238,st_Name,0)),"Unknown"))</f>
        <v/>
      </c>
      <c r="J2238" s="37" t="str">
        <f aca="false">IF(C2238="","",IFERROR(INDEX(cl_Code,MATCH(C2238,cl_Name,0)),"Unknown"))</f>
        <v/>
      </c>
      <c r="K2238" s="37" t="str">
        <f aca="false">IF(D2238="","",IFERROR(INDEX(rt_Billable,MATCH(D2238,rt_Code,0)),"Unknown"))</f>
        <v/>
      </c>
      <c r="L2238" s="38" t="str">
        <f aca="false">IF(K2238&lt;&gt;"Yes","",IFERROR(INDEX(cr_Rate,MATCH(J2238&amp;"|"&amp;D2238,cr_Key,0)),INDEX(rt_Rate,MATCH(D2238,rt_Code,0))))</f>
        <v/>
      </c>
      <c r="M2238" s="25" t="str">
        <f aca="false">IF(L2238="","",ROUND(N(E2238)*L2238,2))</f>
        <v/>
      </c>
      <c r="N2238" s="39" t="str">
        <f aca="false">IF(OR(A2238="",B2238=""),"",SUMIFS(tl_Hours,tl_StaffID,I2238,tl_Date,A2238))</f>
        <v/>
      </c>
      <c r="O2238" s="40" t="str">
        <f aca="false">IF(A2238&amp;B2238&amp;D2238="","",IF(OR(A2238="",B2238="",D2238="",E2238=""),"Incomplete",IF(K2238="Unknown","Unknown code",IF(AND(K2238="Yes",C2238=""),"Billable, needs client",IF(N2238&gt;MaxDayHours,"Over "&amp;MaxDayHours&amp;" hours that day","")))))</f>
        <v/>
      </c>
    </row>
    <row r="2239" customFormat="false" ht="15" hidden="false" customHeight="false" outlineLevel="0" collapsed="false">
      <c r="A2239" s="31"/>
      <c r="B2239" s="32"/>
      <c r="C2239" s="32"/>
      <c r="D2239" s="33"/>
      <c r="E2239" s="34"/>
      <c r="F2239" s="32"/>
      <c r="G2239" s="35" t="str">
        <f aca="false">IF(A2239="","",A2239+7-WEEKDAY(A2239))</f>
        <v/>
      </c>
      <c r="H2239" s="36" t="str">
        <f aca="false">IF(A2239="","",DATE(YEAR(A2239),MONTH(A2239),1))</f>
        <v/>
      </c>
      <c r="I2239" s="37" t="str">
        <f aca="false">IF(B2239="","",IFERROR(INDEX(st_ID,MATCH(B2239,st_Name,0)),"Unknown"))</f>
        <v/>
      </c>
      <c r="J2239" s="37" t="str">
        <f aca="false">IF(C2239="","",IFERROR(INDEX(cl_Code,MATCH(C2239,cl_Name,0)),"Unknown"))</f>
        <v/>
      </c>
      <c r="K2239" s="37" t="str">
        <f aca="false">IF(D2239="","",IFERROR(INDEX(rt_Billable,MATCH(D2239,rt_Code,0)),"Unknown"))</f>
        <v/>
      </c>
      <c r="L2239" s="38" t="str">
        <f aca="false">IF(K2239&lt;&gt;"Yes","",IFERROR(INDEX(cr_Rate,MATCH(J2239&amp;"|"&amp;D2239,cr_Key,0)),INDEX(rt_Rate,MATCH(D2239,rt_Code,0))))</f>
        <v/>
      </c>
      <c r="M2239" s="25" t="str">
        <f aca="false">IF(L2239="","",ROUND(N(E2239)*L2239,2))</f>
        <v/>
      </c>
      <c r="N2239" s="39" t="str">
        <f aca="false">IF(OR(A2239="",B2239=""),"",SUMIFS(tl_Hours,tl_StaffID,I2239,tl_Date,A2239))</f>
        <v/>
      </c>
      <c r="O2239" s="40" t="str">
        <f aca="false">IF(A2239&amp;B2239&amp;D2239="","",IF(OR(A2239="",B2239="",D2239="",E2239=""),"Incomplete",IF(K2239="Unknown","Unknown code",IF(AND(K2239="Yes",C2239=""),"Billable, needs client",IF(N2239&gt;MaxDayHours,"Over "&amp;MaxDayHours&amp;" hours that day","")))))</f>
        <v/>
      </c>
    </row>
    <row r="2240" customFormat="false" ht="15" hidden="false" customHeight="false" outlineLevel="0" collapsed="false">
      <c r="A2240" s="31"/>
      <c r="B2240" s="32"/>
      <c r="C2240" s="32"/>
      <c r="D2240" s="33"/>
      <c r="E2240" s="34"/>
      <c r="F2240" s="32"/>
      <c r="G2240" s="35" t="str">
        <f aca="false">IF(A2240="","",A2240+7-WEEKDAY(A2240))</f>
        <v/>
      </c>
      <c r="H2240" s="36" t="str">
        <f aca="false">IF(A2240="","",DATE(YEAR(A2240),MONTH(A2240),1))</f>
        <v/>
      </c>
      <c r="I2240" s="37" t="str">
        <f aca="false">IF(B2240="","",IFERROR(INDEX(st_ID,MATCH(B2240,st_Name,0)),"Unknown"))</f>
        <v/>
      </c>
      <c r="J2240" s="37" t="str">
        <f aca="false">IF(C2240="","",IFERROR(INDEX(cl_Code,MATCH(C2240,cl_Name,0)),"Unknown"))</f>
        <v/>
      </c>
      <c r="K2240" s="37" t="str">
        <f aca="false">IF(D2240="","",IFERROR(INDEX(rt_Billable,MATCH(D2240,rt_Code,0)),"Unknown"))</f>
        <v/>
      </c>
      <c r="L2240" s="38" t="str">
        <f aca="false">IF(K2240&lt;&gt;"Yes","",IFERROR(INDEX(cr_Rate,MATCH(J2240&amp;"|"&amp;D2240,cr_Key,0)),INDEX(rt_Rate,MATCH(D2240,rt_Code,0))))</f>
        <v/>
      </c>
      <c r="M2240" s="25" t="str">
        <f aca="false">IF(L2240="","",ROUND(N(E2240)*L2240,2))</f>
        <v/>
      </c>
      <c r="N2240" s="39" t="str">
        <f aca="false">IF(OR(A2240="",B2240=""),"",SUMIFS(tl_Hours,tl_StaffID,I2240,tl_Date,A2240))</f>
        <v/>
      </c>
      <c r="O2240" s="40" t="str">
        <f aca="false">IF(A2240&amp;B2240&amp;D2240="","",IF(OR(A2240="",B2240="",D2240="",E2240=""),"Incomplete",IF(K2240="Unknown","Unknown code",IF(AND(K2240="Yes",C2240=""),"Billable, needs client",IF(N2240&gt;MaxDayHours,"Over "&amp;MaxDayHours&amp;" hours that day","")))))</f>
        <v/>
      </c>
    </row>
    <row r="2241" customFormat="false" ht="15" hidden="false" customHeight="false" outlineLevel="0" collapsed="false">
      <c r="A2241" s="31"/>
      <c r="B2241" s="32"/>
      <c r="C2241" s="32"/>
      <c r="D2241" s="33"/>
      <c r="E2241" s="34"/>
      <c r="F2241" s="32"/>
      <c r="G2241" s="35" t="str">
        <f aca="false">IF(A2241="","",A2241+7-WEEKDAY(A2241))</f>
        <v/>
      </c>
      <c r="H2241" s="36" t="str">
        <f aca="false">IF(A2241="","",DATE(YEAR(A2241),MONTH(A2241),1))</f>
        <v/>
      </c>
      <c r="I2241" s="37" t="str">
        <f aca="false">IF(B2241="","",IFERROR(INDEX(st_ID,MATCH(B2241,st_Name,0)),"Unknown"))</f>
        <v/>
      </c>
      <c r="J2241" s="37" t="str">
        <f aca="false">IF(C2241="","",IFERROR(INDEX(cl_Code,MATCH(C2241,cl_Name,0)),"Unknown"))</f>
        <v/>
      </c>
      <c r="K2241" s="37" t="str">
        <f aca="false">IF(D2241="","",IFERROR(INDEX(rt_Billable,MATCH(D2241,rt_Code,0)),"Unknown"))</f>
        <v/>
      </c>
      <c r="L2241" s="38" t="str">
        <f aca="false">IF(K2241&lt;&gt;"Yes","",IFERROR(INDEX(cr_Rate,MATCH(J2241&amp;"|"&amp;D2241,cr_Key,0)),INDEX(rt_Rate,MATCH(D2241,rt_Code,0))))</f>
        <v/>
      </c>
      <c r="M2241" s="25" t="str">
        <f aca="false">IF(L2241="","",ROUND(N(E2241)*L2241,2))</f>
        <v/>
      </c>
      <c r="N2241" s="39" t="str">
        <f aca="false">IF(OR(A2241="",B2241=""),"",SUMIFS(tl_Hours,tl_StaffID,I2241,tl_Date,A2241))</f>
        <v/>
      </c>
      <c r="O2241" s="40" t="str">
        <f aca="false">IF(A2241&amp;B2241&amp;D2241="","",IF(OR(A2241="",B2241="",D2241="",E2241=""),"Incomplete",IF(K2241="Unknown","Unknown code",IF(AND(K2241="Yes",C2241=""),"Billable, needs client",IF(N2241&gt;MaxDayHours,"Over "&amp;MaxDayHours&amp;" hours that day","")))))</f>
        <v/>
      </c>
    </row>
    <row r="2242" customFormat="false" ht="15" hidden="false" customHeight="false" outlineLevel="0" collapsed="false">
      <c r="A2242" s="31"/>
      <c r="B2242" s="32"/>
      <c r="C2242" s="32"/>
      <c r="D2242" s="33"/>
      <c r="E2242" s="34"/>
      <c r="F2242" s="32"/>
      <c r="G2242" s="35" t="str">
        <f aca="false">IF(A2242="","",A2242+7-WEEKDAY(A2242))</f>
        <v/>
      </c>
      <c r="H2242" s="36" t="str">
        <f aca="false">IF(A2242="","",DATE(YEAR(A2242),MONTH(A2242),1))</f>
        <v/>
      </c>
      <c r="I2242" s="37" t="str">
        <f aca="false">IF(B2242="","",IFERROR(INDEX(st_ID,MATCH(B2242,st_Name,0)),"Unknown"))</f>
        <v/>
      </c>
      <c r="J2242" s="37" t="str">
        <f aca="false">IF(C2242="","",IFERROR(INDEX(cl_Code,MATCH(C2242,cl_Name,0)),"Unknown"))</f>
        <v/>
      </c>
      <c r="K2242" s="37" t="str">
        <f aca="false">IF(D2242="","",IFERROR(INDEX(rt_Billable,MATCH(D2242,rt_Code,0)),"Unknown"))</f>
        <v/>
      </c>
      <c r="L2242" s="38" t="str">
        <f aca="false">IF(K2242&lt;&gt;"Yes","",IFERROR(INDEX(cr_Rate,MATCH(J2242&amp;"|"&amp;D2242,cr_Key,0)),INDEX(rt_Rate,MATCH(D2242,rt_Code,0))))</f>
        <v/>
      </c>
      <c r="M2242" s="25" t="str">
        <f aca="false">IF(L2242="","",ROUND(N(E2242)*L2242,2))</f>
        <v/>
      </c>
      <c r="N2242" s="39" t="str">
        <f aca="false">IF(OR(A2242="",B2242=""),"",SUMIFS(tl_Hours,tl_StaffID,I2242,tl_Date,A2242))</f>
        <v/>
      </c>
      <c r="O2242" s="40" t="str">
        <f aca="false">IF(A2242&amp;B2242&amp;D2242="","",IF(OR(A2242="",B2242="",D2242="",E2242=""),"Incomplete",IF(K2242="Unknown","Unknown code",IF(AND(K2242="Yes",C2242=""),"Billable, needs client",IF(N2242&gt;MaxDayHours,"Over "&amp;MaxDayHours&amp;" hours that day","")))))</f>
        <v/>
      </c>
    </row>
    <row r="2243" customFormat="false" ht="15" hidden="false" customHeight="false" outlineLevel="0" collapsed="false">
      <c r="A2243" s="31"/>
      <c r="B2243" s="32"/>
      <c r="C2243" s="32"/>
      <c r="D2243" s="33"/>
      <c r="E2243" s="34"/>
      <c r="F2243" s="32"/>
      <c r="G2243" s="35" t="str">
        <f aca="false">IF(A2243="","",A2243+7-WEEKDAY(A2243))</f>
        <v/>
      </c>
      <c r="H2243" s="36" t="str">
        <f aca="false">IF(A2243="","",DATE(YEAR(A2243),MONTH(A2243),1))</f>
        <v/>
      </c>
      <c r="I2243" s="37" t="str">
        <f aca="false">IF(B2243="","",IFERROR(INDEX(st_ID,MATCH(B2243,st_Name,0)),"Unknown"))</f>
        <v/>
      </c>
      <c r="J2243" s="37" t="str">
        <f aca="false">IF(C2243="","",IFERROR(INDEX(cl_Code,MATCH(C2243,cl_Name,0)),"Unknown"))</f>
        <v/>
      </c>
      <c r="K2243" s="37" t="str">
        <f aca="false">IF(D2243="","",IFERROR(INDEX(rt_Billable,MATCH(D2243,rt_Code,0)),"Unknown"))</f>
        <v/>
      </c>
      <c r="L2243" s="38" t="str">
        <f aca="false">IF(K2243&lt;&gt;"Yes","",IFERROR(INDEX(cr_Rate,MATCH(J2243&amp;"|"&amp;D2243,cr_Key,0)),INDEX(rt_Rate,MATCH(D2243,rt_Code,0))))</f>
        <v/>
      </c>
      <c r="M2243" s="25" t="str">
        <f aca="false">IF(L2243="","",ROUND(N(E2243)*L2243,2))</f>
        <v/>
      </c>
      <c r="N2243" s="39" t="str">
        <f aca="false">IF(OR(A2243="",B2243=""),"",SUMIFS(tl_Hours,tl_StaffID,I2243,tl_Date,A2243))</f>
        <v/>
      </c>
      <c r="O2243" s="40" t="str">
        <f aca="false">IF(A2243&amp;B2243&amp;D2243="","",IF(OR(A2243="",B2243="",D2243="",E2243=""),"Incomplete",IF(K2243="Unknown","Unknown code",IF(AND(K2243="Yes",C2243=""),"Billable, needs client",IF(N2243&gt;MaxDayHours,"Over "&amp;MaxDayHours&amp;" hours that day","")))))</f>
        <v/>
      </c>
    </row>
    <row r="2244" customFormat="false" ht="15" hidden="false" customHeight="false" outlineLevel="0" collapsed="false">
      <c r="A2244" s="31"/>
      <c r="B2244" s="32"/>
      <c r="C2244" s="32"/>
      <c r="D2244" s="33"/>
      <c r="E2244" s="34"/>
      <c r="F2244" s="32"/>
      <c r="G2244" s="35" t="str">
        <f aca="false">IF(A2244="","",A2244+7-WEEKDAY(A2244))</f>
        <v/>
      </c>
      <c r="H2244" s="36" t="str">
        <f aca="false">IF(A2244="","",DATE(YEAR(A2244),MONTH(A2244),1))</f>
        <v/>
      </c>
      <c r="I2244" s="37" t="str">
        <f aca="false">IF(B2244="","",IFERROR(INDEX(st_ID,MATCH(B2244,st_Name,0)),"Unknown"))</f>
        <v/>
      </c>
      <c r="J2244" s="37" t="str">
        <f aca="false">IF(C2244="","",IFERROR(INDEX(cl_Code,MATCH(C2244,cl_Name,0)),"Unknown"))</f>
        <v/>
      </c>
      <c r="K2244" s="37" t="str">
        <f aca="false">IF(D2244="","",IFERROR(INDEX(rt_Billable,MATCH(D2244,rt_Code,0)),"Unknown"))</f>
        <v/>
      </c>
      <c r="L2244" s="38" t="str">
        <f aca="false">IF(K2244&lt;&gt;"Yes","",IFERROR(INDEX(cr_Rate,MATCH(J2244&amp;"|"&amp;D2244,cr_Key,0)),INDEX(rt_Rate,MATCH(D2244,rt_Code,0))))</f>
        <v/>
      </c>
      <c r="M2244" s="25" t="str">
        <f aca="false">IF(L2244="","",ROUND(N(E2244)*L2244,2))</f>
        <v/>
      </c>
      <c r="N2244" s="39" t="str">
        <f aca="false">IF(OR(A2244="",B2244=""),"",SUMIFS(tl_Hours,tl_StaffID,I2244,tl_Date,A2244))</f>
        <v/>
      </c>
      <c r="O2244" s="40" t="str">
        <f aca="false">IF(A2244&amp;B2244&amp;D2244="","",IF(OR(A2244="",B2244="",D2244="",E2244=""),"Incomplete",IF(K2244="Unknown","Unknown code",IF(AND(K2244="Yes",C2244=""),"Billable, needs client",IF(N2244&gt;MaxDayHours,"Over "&amp;MaxDayHours&amp;" hours that day","")))))</f>
        <v/>
      </c>
    </row>
    <row r="2245" customFormat="false" ht="15" hidden="false" customHeight="false" outlineLevel="0" collapsed="false">
      <c r="A2245" s="31"/>
      <c r="B2245" s="32"/>
      <c r="C2245" s="32"/>
      <c r="D2245" s="33"/>
      <c r="E2245" s="34"/>
      <c r="F2245" s="32"/>
      <c r="G2245" s="35" t="str">
        <f aca="false">IF(A2245="","",A2245+7-WEEKDAY(A2245))</f>
        <v/>
      </c>
      <c r="H2245" s="36" t="str">
        <f aca="false">IF(A2245="","",DATE(YEAR(A2245),MONTH(A2245),1))</f>
        <v/>
      </c>
      <c r="I2245" s="37" t="str">
        <f aca="false">IF(B2245="","",IFERROR(INDEX(st_ID,MATCH(B2245,st_Name,0)),"Unknown"))</f>
        <v/>
      </c>
      <c r="J2245" s="37" t="str">
        <f aca="false">IF(C2245="","",IFERROR(INDEX(cl_Code,MATCH(C2245,cl_Name,0)),"Unknown"))</f>
        <v/>
      </c>
      <c r="K2245" s="37" t="str">
        <f aca="false">IF(D2245="","",IFERROR(INDEX(rt_Billable,MATCH(D2245,rt_Code,0)),"Unknown"))</f>
        <v/>
      </c>
      <c r="L2245" s="38" t="str">
        <f aca="false">IF(K2245&lt;&gt;"Yes","",IFERROR(INDEX(cr_Rate,MATCH(J2245&amp;"|"&amp;D2245,cr_Key,0)),INDEX(rt_Rate,MATCH(D2245,rt_Code,0))))</f>
        <v/>
      </c>
      <c r="M2245" s="25" t="str">
        <f aca="false">IF(L2245="","",ROUND(N(E2245)*L2245,2))</f>
        <v/>
      </c>
      <c r="N2245" s="39" t="str">
        <f aca="false">IF(OR(A2245="",B2245=""),"",SUMIFS(tl_Hours,tl_StaffID,I2245,tl_Date,A2245))</f>
        <v/>
      </c>
      <c r="O2245" s="40" t="str">
        <f aca="false">IF(A2245&amp;B2245&amp;D2245="","",IF(OR(A2245="",B2245="",D2245="",E2245=""),"Incomplete",IF(K2245="Unknown","Unknown code",IF(AND(K2245="Yes",C2245=""),"Billable, needs client",IF(N2245&gt;MaxDayHours,"Over "&amp;MaxDayHours&amp;" hours that day","")))))</f>
        <v/>
      </c>
    </row>
    <row r="2246" customFormat="false" ht="15" hidden="false" customHeight="false" outlineLevel="0" collapsed="false">
      <c r="A2246" s="31"/>
      <c r="B2246" s="32"/>
      <c r="C2246" s="32"/>
      <c r="D2246" s="33"/>
      <c r="E2246" s="34"/>
      <c r="F2246" s="32"/>
      <c r="G2246" s="35" t="str">
        <f aca="false">IF(A2246="","",A2246+7-WEEKDAY(A2246))</f>
        <v/>
      </c>
      <c r="H2246" s="36" t="str">
        <f aca="false">IF(A2246="","",DATE(YEAR(A2246),MONTH(A2246),1))</f>
        <v/>
      </c>
      <c r="I2246" s="37" t="str">
        <f aca="false">IF(B2246="","",IFERROR(INDEX(st_ID,MATCH(B2246,st_Name,0)),"Unknown"))</f>
        <v/>
      </c>
      <c r="J2246" s="37" t="str">
        <f aca="false">IF(C2246="","",IFERROR(INDEX(cl_Code,MATCH(C2246,cl_Name,0)),"Unknown"))</f>
        <v/>
      </c>
      <c r="K2246" s="37" t="str">
        <f aca="false">IF(D2246="","",IFERROR(INDEX(rt_Billable,MATCH(D2246,rt_Code,0)),"Unknown"))</f>
        <v/>
      </c>
      <c r="L2246" s="38" t="str">
        <f aca="false">IF(K2246&lt;&gt;"Yes","",IFERROR(INDEX(cr_Rate,MATCH(J2246&amp;"|"&amp;D2246,cr_Key,0)),INDEX(rt_Rate,MATCH(D2246,rt_Code,0))))</f>
        <v/>
      </c>
      <c r="M2246" s="25" t="str">
        <f aca="false">IF(L2246="","",ROUND(N(E2246)*L2246,2))</f>
        <v/>
      </c>
      <c r="N2246" s="39" t="str">
        <f aca="false">IF(OR(A2246="",B2246=""),"",SUMIFS(tl_Hours,tl_StaffID,I2246,tl_Date,A2246))</f>
        <v/>
      </c>
      <c r="O2246" s="40" t="str">
        <f aca="false">IF(A2246&amp;B2246&amp;D2246="","",IF(OR(A2246="",B2246="",D2246="",E2246=""),"Incomplete",IF(K2246="Unknown","Unknown code",IF(AND(K2246="Yes",C2246=""),"Billable, needs client",IF(N2246&gt;MaxDayHours,"Over "&amp;MaxDayHours&amp;" hours that day","")))))</f>
        <v/>
      </c>
    </row>
    <row r="2247" customFormat="false" ht="15" hidden="false" customHeight="false" outlineLevel="0" collapsed="false">
      <c r="A2247" s="31"/>
      <c r="B2247" s="32"/>
      <c r="C2247" s="32"/>
      <c r="D2247" s="33"/>
      <c r="E2247" s="34"/>
      <c r="F2247" s="32"/>
      <c r="G2247" s="35" t="str">
        <f aca="false">IF(A2247="","",A2247+7-WEEKDAY(A2247))</f>
        <v/>
      </c>
      <c r="H2247" s="36" t="str">
        <f aca="false">IF(A2247="","",DATE(YEAR(A2247),MONTH(A2247),1))</f>
        <v/>
      </c>
      <c r="I2247" s="37" t="str">
        <f aca="false">IF(B2247="","",IFERROR(INDEX(st_ID,MATCH(B2247,st_Name,0)),"Unknown"))</f>
        <v/>
      </c>
      <c r="J2247" s="37" t="str">
        <f aca="false">IF(C2247="","",IFERROR(INDEX(cl_Code,MATCH(C2247,cl_Name,0)),"Unknown"))</f>
        <v/>
      </c>
      <c r="K2247" s="37" t="str">
        <f aca="false">IF(D2247="","",IFERROR(INDEX(rt_Billable,MATCH(D2247,rt_Code,0)),"Unknown"))</f>
        <v/>
      </c>
      <c r="L2247" s="38" t="str">
        <f aca="false">IF(K2247&lt;&gt;"Yes","",IFERROR(INDEX(cr_Rate,MATCH(J2247&amp;"|"&amp;D2247,cr_Key,0)),INDEX(rt_Rate,MATCH(D2247,rt_Code,0))))</f>
        <v/>
      </c>
      <c r="M2247" s="25" t="str">
        <f aca="false">IF(L2247="","",ROUND(N(E2247)*L2247,2))</f>
        <v/>
      </c>
      <c r="N2247" s="39" t="str">
        <f aca="false">IF(OR(A2247="",B2247=""),"",SUMIFS(tl_Hours,tl_StaffID,I2247,tl_Date,A2247))</f>
        <v/>
      </c>
      <c r="O2247" s="40" t="str">
        <f aca="false">IF(A2247&amp;B2247&amp;D2247="","",IF(OR(A2247="",B2247="",D2247="",E2247=""),"Incomplete",IF(K2247="Unknown","Unknown code",IF(AND(K2247="Yes",C2247=""),"Billable, needs client",IF(N2247&gt;MaxDayHours,"Over "&amp;MaxDayHours&amp;" hours that day","")))))</f>
        <v/>
      </c>
    </row>
    <row r="2248" customFormat="false" ht="15" hidden="false" customHeight="false" outlineLevel="0" collapsed="false">
      <c r="A2248" s="31"/>
      <c r="B2248" s="32"/>
      <c r="C2248" s="32"/>
      <c r="D2248" s="33"/>
      <c r="E2248" s="34"/>
      <c r="F2248" s="32"/>
      <c r="G2248" s="35" t="str">
        <f aca="false">IF(A2248="","",A2248+7-WEEKDAY(A2248))</f>
        <v/>
      </c>
      <c r="H2248" s="36" t="str">
        <f aca="false">IF(A2248="","",DATE(YEAR(A2248),MONTH(A2248),1))</f>
        <v/>
      </c>
      <c r="I2248" s="37" t="str">
        <f aca="false">IF(B2248="","",IFERROR(INDEX(st_ID,MATCH(B2248,st_Name,0)),"Unknown"))</f>
        <v/>
      </c>
      <c r="J2248" s="37" t="str">
        <f aca="false">IF(C2248="","",IFERROR(INDEX(cl_Code,MATCH(C2248,cl_Name,0)),"Unknown"))</f>
        <v/>
      </c>
      <c r="K2248" s="37" t="str">
        <f aca="false">IF(D2248="","",IFERROR(INDEX(rt_Billable,MATCH(D2248,rt_Code,0)),"Unknown"))</f>
        <v/>
      </c>
      <c r="L2248" s="38" t="str">
        <f aca="false">IF(K2248&lt;&gt;"Yes","",IFERROR(INDEX(cr_Rate,MATCH(J2248&amp;"|"&amp;D2248,cr_Key,0)),INDEX(rt_Rate,MATCH(D2248,rt_Code,0))))</f>
        <v/>
      </c>
      <c r="M2248" s="25" t="str">
        <f aca="false">IF(L2248="","",ROUND(N(E2248)*L2248,2))</f>
        <v/>
      </c>
      <c r="N2248" s="39" t="str">
        <f aca="false">IF(OR(A2248="",B2248=""),"",SUMIFS(tl_Hours,tl_StaffID,I2248,tl_Date,A2248))</f>
        <v/>
      </c>
      <c r="O2248" s="40" t="str">
        <f aca="false">IF(A2248&amp;B2248&amp;D2248="","",IF(OR(A2248="",B2248="",D2248="",E2248=""),"Incomplete",IF(K2248="Unknown","Unknown code",IF(AND(K2248="Yes",C2248=""),"Billable, needs client",IF(N2248&gt;MaxDayHours,"Over "&amp;MaxDayHours&amp;" hours that day","")))))</f>
        <v/>
      </c>
    </row>
    <row r="2249" customFormat="false" ht="15" hidden="false" customHeight="false" outlineLevel="0" collapsed="false">
      <c r="A2249" s="31"/>
      <c r="B2249" s="32"/>
      <c r="C2249" s="32"/>
      <c r="D2249" s="33"/>
      <c r="E2249" s="34"/>
      <c r="F2249" s="32"/>
      <c r="G2249" s="35" t="str">
        <f aca="false">IF(A2249="","",A2249+7-WEEKDAY(A2249))</f>
        <v/>
      </c>
      <c r="H2249" s="36" t="str">
        <f aca="false">IF(A2249="","",DATE(YEAR(A2249),MONTH(A2249),1))</f>
        <v/>
      </c>
      <c r="I2249" s="37" t="str">
        <f aca="false">IF(B2249="","",IFERROR(INDEX(st_ID,MATCH(B2249,st_Name,0)),"Unknown"))</f>
        <v/>
      </c>
      <c r="J2249" s="37" t="str">
        <f aca="false">IF(C2249="","",IFERROR(INDEX(cl_Code,MATCH(C2249,cl_Name,0)),"Unknown"))</f>
        <v/>
      </c>
      <c r="K2249" s="37" t="str">
        <f aca="false">IF(D2249="","",IFERROR(INDEX(rt_Billable,MATCH(D2249,rt_Code,0)),"Unknown"))</f>
        <v/>
      </c>
      <c r="L2249" s="38" t="str">
        <f aca="false">IF(K2249&lt;&gt;"Yes","",IFERROR(INDEX(cr_Rate,MATCH(J2249&amp;"|"&amp;D2249,cr_Key,0)),INDEX(rt_Rate,MATCH(D2249,rt_Code,0))))</f>
        <v/>
      </c>
      <c r="M2249" s="25" t="str">
        <f aca="false">IF(L2249="","",ROUND(N(E2249)*L2249,2))</f>
        <v/>
      </c>
      <c r="N2249" s="39" t="str">
        <f aca="false">IF(OR(A2249="",B2249=""),"",SUMIFS(tl_Hours,tl_StaffID,I2249,tl_Date,A2249))</f>
        <v/>
      </c>
      <c r="O2249" s="40" t="str">
        <f aca="false">IF(A2249&amp;B2249&amp;D2249="","",IF(OR(A2249="",B2249="",D2249="",E2249=""),"Incomplete",IF(K2249="Unknown","Unknown code",IF(AND(K2249="Yes",C2249=""),"Billable, needs client",IF(N2249&gt;MaxDayHours,"Over "&amp;MaxDayHours&amp;" hours that day","")))))</f>
        <v/>
      </c>
    </row>
    <row r="2250" customFormat="false" ht="15" hidden="false" customHeight="false" outlineLevel="0" collapsed="false">
      <c r="A2250" s="31"/>
      <c r="B2250" s="32"/>
      <c r="C2250" s="32"/>
      <c r="D2250" s="33"/>
      <c r="E2250" s="34"/>
      <c r="F2250" s="32"/>
      <c r="G2250" s="35" t="str">
        <f aca="false">IF(A2250="","",A2250+7-WEEKDAY(A2250))</f>
        <v/>
      </c>
      <c r="H2250" s="36" t="str">
        <f aca="false">IF(A2250="","",DATE(YEAR(A2250),MONTH(A2250),1))</f>
        <v/>
      </c>
      <c r="I2250" s="37" t="str">
        <f aca="false">IF(B2250="","",IFERROR(INDEX(st_ID,MATCH(B2250,st_Name,0)),"Unknown"))</f>
        <v/>
      </c>
      <c r="J2250" s="37" t="str">
        <f aca="false">IF(C2250="","",IFERROR(INDEX(cl_Code,MATCH(C2250,cl_Name,0)),"Unknown"))</f>
        <v/>
      </c>
      <c r="K2250" s="37" t="str">
        <f aca="false">IF(D2250="","",IFERROR(INDEX(rt_Billable,MATCH(D2250,rt_Code,0)),"Unknown"))</f>
        <v/>
      </c>
      <c r="L2250" s="38" t="str">
        <f aca="false">IF(K2250&lt;&gt;"Yes","",IFERROR(INDEX(cr_Rate,MATCH(J2250&amp;"|"&amp;D2250,cr_Key,0)),INDEX(rt_Rate,MATCH(D2250,rt_Code,0))))</f>
        <v/>
      </c>
      <c r="M2250" s="25" t="str">
        <f aca="false">IF(L2250="","",ROUND(N(E2250)*L2250,2))</f>
        <v/>
      </c>
      <c r="N2250" s="39" t="str">
        <f aca="false">IF(OR(A2250="",B2250=""),"",SUMIFS(tl_Hours,tl_StaffID,I2250,tl_Date,A2250))</f>
        <v/>
      </c>
      <c r="O2250" s="40" t="str">
        <f aca="false">IF(A2250&amp;B2250&amp;D2250="","",IF(OR(A2250="",B2250="",D2250="",E2250=""),"Incomplete",IF(K2250="Unknown","Unknown code",IF(AND(K2250="Yes",C2250=""),"Billable, needs client",IF(N2250&gt;MaxDayHours,"Over "&amp;MaxDayHours&amp;" hours that day","")))))</f>
        <v/>
      </c>
    </row>
    <row r="2251" customFormat="false" ht="15" hidden="false" customHeight="false" outlineLevel="0" collapsed="false">
      <c r="A2251" s="31"/>
      <c r="B2251" s="32"/>
      <c r="C2251" s="32"/>
      <c r="D2251" s="33"/>
      <c r="E2251" s="34"/>
      <c r="F2251" s="32"/>
      <c r="G2251" s="35" t="str">
        <f aca="false">IF(A2251="","",A2251+7-WEEKDAY(A2251))</f>
        <v/>
      </c>
      <c r="H2251" s="36" t="str">
        <f aca="false">IF(A2251="","",DATE(YEAR(A2251),MONTH(A2251),1))</f>
        <v/>
      </c>
      <c r="I2251" s="37" t="str">
        <f aca="false">IF(B2251="","",IFERROR(INDEX(st_ID,MATCH(B2251,st_Name,0)),"Unknown"))</f>
        <v/>
      </c>
      <c r="J2251" s="37" t="str">
        <f aca="false">IF(C2251="","",IFERROR(INDEX(cl_Code,MATCH(C2251,cl_Name,0)),"Unknown"))</f>
        <v/>
      </c>
      <c r="K2251" s="37" t="str">
        <f aca="false">IF(D2251="","",IFERROR(INDEX(rt_Billable,MATCH(D2251,rt_Code,0)),"Unknown"))</f>
        <v/>
      </c>
      <c r="L2251" s="38" t="str">
        <f aca="false">IF(K2251&lt;&gt;"Yes","",IFERROR(INDEX(cr_Rate,MATCH(J2251&amp;"|"&amp;D2251,cr_Key,0)),INDEX(rt_Rate,MATCH(D2251,rt_Code,0))))</f>
        <v/>
      </c>
      <c r="M2251" s="25" t="str">
        <f aca="false">IF(L2251="","",ROUND(N(E2251)*L2251,2))</f>
        <v/>
      </c>
      <c r="N2251" s="39" t="str">
        <f aca="false">IF(OR(A2251="",B2251=""),"",SUMIFS(tl_Hours,tl_StaffID,I2251,tl_Date,A2251))</f>
        <v/>
      </c>
      <c r="O2251" s="40" t="str">
        <f aca="false">IF(A2251&amp;B2251&amp;D2251="","",IF(OR(A2251="",B2251="",D2251="",E2251=""),"Incomplete",IF(K2251="Unknown","Unknown code",IF(AND(K2251="Yes",C2251=""),"Billable, needs client",IF(N2251&gt;MaxDayHours,"Over "&amp;MaxDayHours&amp;" hours that day","")))))</f>
        <v/>
      </c>
    </row>
    <row r="2252" customFormat="false" ht="15" hidden="false" customHeight="false" outlineLevel="0" collapsed="false">
      <c r="A2252" s="31"/>
      <c r="B2252" s="32"/>
      <c r="C2252" s="32"/>
      <c r="D2252" s="33"/>
      <c r="E2252" s="34"/>
      <c r="F2252" s="32"/>
      <c r="G2252" s="35" t="str">
        <f aca="false">IF(A2252="","",A2252+7-WEEKDAY(A2252))</f>
        <v/>
      </c>
      <c r="H2252" s="36" t="str">
        <f aca="false">IF(A2252="","",DATE(YEAR(A2252),MONTH(A2252),1))</f>
        <v/>
      </c>
      <c r="I2252" s="37" t="str">
        <f aca="false">IF(B2252="","",IFERROR(INDEX(st_ID,MATCH(B2252,st_Name,0)),"Unknown"))</f>
        <v/>
      </c>
      <c r="J2252" s="37" t="str">
        <f aca="false">IF(C2252="","",IFERROR(INDEX(cl_Code,MATCH(C2252,cl_Name,0)),"Unknown"))</f>
        <v/>
      </c>
      <c r="K2252" s="37" t="str">
        <f aca="false">IF(D2252="","",IFERROR(INDEX(rt_Billable,MATCH(D2252,rt_Code,0)),"Unknown"))</f>
        <v/>
      </c>
      <c r="L2252" s="38" t="str">
        <f aca="false">IF(K2252&lt;&gt;"Yes","",IFERROR(INDEX(cr_Rate,MATCH(J2252&amp;"|"&amp;D2252,cr_Key,0)),INDEX(rt_Rate,MATCH(D2252,rt_Code,0))))</f>
        <v/>
      </c>
      <c r="M2252" s="25" t="str">
        <f aca="false">IF(L2252="","",ROUND(N(E2252)*L2252,2))</f>
        <v/>
      </c>
      <c r="N2252" s="39" t="str">
        <f aca="false">IF(OR(A2252="",B2252=""),"",SUMIFS(tl_Hours,tl_StaffID,I2252,tl_Date,A2252))</f>
        <v/>
      </c>
      <c r="O2252" s="40" t="str">
        <f aca="false">IF(A2252&amp;B2252&amp;D2252="","",IF(OR(A2252="",B2252="",D2252="",E2252=""),"Incomplete",IF(K2252="Unknown","Unknown code",IF(AND(K2252="Yes",C2252=""),"Billable, needs client",IF(N2252&gt;MaxDayHours,"Over "&amp;MaxDayHours&amp;" hours that day","")))))</f>
        <v/>
      </c>
    </row>
    <row r="2253" customFormat="false" ht="15" hidden="false" customHeight="false" outlineLevel="0" collapsed="false">
      <c r="A2253" s="31"/>
      <c r="B2253" s="32"/>
      <c r="C2253" s="32"/>
      <c r="D2253" s="33"/>
      <c r="E2253" s="34"/>
      <c r="F2253" s="32"/>
      <c r="G2253" s="35" t="str">
        <f aca="false">IF(A2253="","",A2253+7-WEEKDAY(A2253))</f>
        <v/>
      </c>
      <c r="H2253" s="36" t="str">
        <f aca="false">IF(A2253="","",DATE(YEAR(A2253),MONTH(A2253),1))</f>
        <v/>
      </c>
      <c r="I2253" s="37" t="str">
        <f aca="false">IF(B2253="","",IFERROR(INDEX(st_ID,MATCH(B2253,st_Name,0)),"Unknown"))</f>
        <v/>
      </c>
      <c r="J2253" s="37" t="str">
        <f aca="false">IF(C2253="","",IFERROR(INDEX(cl_Code,MATCH(C2253,cl_Name,0)),"Unknown"))</f>
        <v/>
      </c>
      <c r="K2253" s="37" t="str">
        <f aca="false">IF(D2253="","",IFERROR(INDEX(rt_Billable,MATCH(D2253,rt_Code,0)),"Unknown"))</f>
        <v/>
      </c>
      <c r="L2253" s="38" t="str">
        <f aca="false">IF(K2253&lt;&gt;"Yes","",IFERROR(INDEX(cr_Rate,MATCH(J2253&amp;"|"&amp;D2253,cr_Key,0)),INDEX(rt_Rate,MATCH(D2253,rt_Code,0))))</f>
        <v/>
      </c>
      <c r="M2253" s="25" t="str">
        <f aca="false">IF(L2253="","",ROUND(N(E2253)*L2253,2))</f>
        <v/>
      </c>
      <c r="N2253" s="39" t="str">
        <f aca="false">IF(OR(A2253="",B2253=""),"",SUMIFS(tl_Hours,tl_StaffID,I2253,tl_Date,A2253))</f>
        <v/>
      </c>
      <c r="O2253" s="40" t="str">
        <f aca="false">IF(A2253&amp;B2253&amp;D2253="","",IF(OR(A2253="",B2253="",D2253="",E2253=""),"Incomplete",IF(K2253="Unknown","Unknown code",IF(AND(K2253="Yes",C2253=""),"Billable, needs client",IF(N2253&gt;MaxDayHours,"Over "&amp;MaxDayHours&amp;" hours that day","")))))</f>
        <v/>
      </c>
    </row>
    <row r="2254" customFormat="false" ht="15" hidden="false" customHeight="false" outlineLevel="0" collapsed="false">
      <c r="A2254" s="31"/>
      <c r="B2254" s="32"/>
      <c r="C2254" s="32"/>
      <c r="D2254" s="33"/>
      <c r="E2254" s="34"/>
      <c r="F2254" s="32"/>
      <c r="G2254" s="35" t="str">
        <f aca="false">IF(A2254="","",A2254+7-WEEKDAY(A2254))</f>
        <v/>
      </c>
      <c r="H2254" s="36" t="str">
        <f aca="false">IF(A2254="","",DATE(YEAR(A2254),MONTH(A2254),1))</f>
        <v/>
      </c>
      <c r="I2254" s="37" t="str">
        <f aca="false">IF(B2254="","",IFERROR(INDEX(st_ID,MATCH(B2254,st_Name,0)),"Unknown"))</f>
        <v/>
      </c>
      <c r="J2254" s="37" t="str">
        <f aca="false">IF(C2254="","",IFERROR(INDEX(cl_Code,MATCH(C2254,cl_Name,0)),"Unknown"))</f>
        <v/>
      </c>
      <c r="K2254" s="37" t="str">
        <f aca="false">IF(D2254="","",IFERROR(INDEX(rt_Billable,MATCH(D2254,rt_Code,0)),"Unknown"))</f>
        <v/>
      </c>
      <c r="L2254" s="38" t="str">
        <f aca="false">IF(K2254&lt;&gt;"Yes","",IFERROR(INDEX(cr_Rate,MATCH(J2254&amp;"|"&amp;D2254,cr_Key,0)),INDEX(rt_Rate,MATCH(D2254,rt_Code,0))))</f>
        <v/>
      </c>
      <c r="M2254" s="25" t="str">
        <f aca="false">IF(L2254="","",ROUND(N(E2254)*L2254,2))</f>
        <v/>
      </c>
      <c r="N2254" s="39" t="str">
        <f aca="false">IF(OR(A2254="",B2254=""),"",SUMIFS(tl_Hours,tl_StaffID,I2254,tl_Date,A2254))</f>
        <v/>
      </c>
      <c r="O2254" s="40" t="str">
        <f aca="false">IF(A2254&amp;B2254&amp;D2254="","",IF(OR(A2254="",B2254="",D2254="",E2254=""),"Incomplete",IF(K2254="Unknown","Unknown code",IF(AND(K2254="Yes",C2254=""),"Billable, needs client",IF(N2254&gt;MaxDayHours,"Over "&amp;MaxDayHours&amp;" hours that day","")))))</f>
        <v/>
      </c>
    </row>
    <row r="2255" customFormat="false" ht="15" hidden="false" customHeight="false" outlineLevel="0" collapsed="false">
      <c r="A2255" s="31"/>
      <c r="B2255" s="32"/>
      <c r="C2255" s="32"/>
      <c r="D2255" s="33"/>
      <c r="E2255" s="34"/>
      <c r="F2255" s="32"/>
      <c r="G2255" s="35" t="str">
        <f aca="false">IF(A2255="","",A2255+7-WEEKDAY(A2255))</f>
        <v/>
      </c>
      <c r="H2255" s="36" t="str">
        <f aca="false">IF(A2255="","",DATE(YEAR(A2255),MONTH(A2255),1))</f>
        <v/>
      </c>
      <c r="I2255" s="37" t="str">
        <f aca="false">IF(B2255="","",IFERROR(INDEX(st_ID,MATCH(B2255,st_Name,0)),"Unknown"))</f>
        <v/>
      </c>
      <c r="J2255" s="37" t="str">
        <f aca="false">IF(C2255="","",IFERROR(INDEX(cl_Code,MATCH(C2255,cl_Name,0)),"Unknown"))</f>
        <v/>
      </c>
      <c r="K2255" s="37" t="str">
        <f aca="false">IF(D2255="","",IFERROR(INDEX(rt_Billable,MATCH(D2255,rt_Code,0)),"Unknown"))</f>
        <v/>
      </c>
      <c r="L2255" s="38" t="str">
        <f aca="false">IF(K2255&lt;&gt;"Yes","",IFERROR(INDEX(cr_Rate,MATCH(J2255&amp;"|"&amp;D2255,cr_Key,0)),INDEX(rt_Rate,MATCH(D2255,rt_Code,0))))</f>
        <v/>
      </c>
      <c r="M2255" s="25" t="str">
        <f aca="false">IF(L2255="","",ROUND(N(E2255)*L2255,2))</f>
        <v/>
      </c>
      <c r="N2255" s="39" t="str">
        <f aca="false">IF(OR(A2255="",B2255=""),"",SUMIFS(tl_Hours,tl_StaffID,I2255,tl_Date,A2255))</f>
        <v/>
      </c>
      <c r="O2255" s="40" t="str">
        <f aca="false">IF(A2255&amp;B2255&amp;D2255="","",IF(OR(A2255="",B2255="",D2255="",E2255=""),"Incomplete",IF(K2255="Unknown","Unknown code",IF(AND(K2255="Yes",C2255=""),"Billable, needs client",IF(N2255&gt;MaxDayHours,"Over "&amp;MaxDayHours&amp;" hours that day","")))))</f>
        <v/>
      </c>
    </row>
    <row r="2256" customFormat="false" ht="15" hidden="false" customHeight="false" outlineLevel="0" collapsed="false">
      <c r="A2256" s="31"/>
      <c r="B2256" s="32"/>
      <c r="C2256" s="32"/>
      <c r="D2256" s="33"/>
      <c r="E2256" s="34"/>
      <c r="F2256" s="32"/>
      <c r="G2256" s="35" t="str">
        <f aca="false">IF(A2256="","",A2256+7-WEEKDAY(A2256))</f>
        <v/>
      </c>
      <c r="H2256" s="36" t="str">
        <f aca="false">IF(A2256="","",DATE(YEAR(A2256),MONTH(A2256),1))</f>
        <v/>
      </c>
      <c r="I2256" s="37" t="str">
        <f aca="false">IF(B2256="","",IFERROR(INDEX(st_ID,MATCH(B2256,st_Name,0)),"Unknown"))</f>
        <v/>
      </c>
      <c r="J2256" s="37" t="str">
        <f aca="false">IF(C2256="","",IFERROR(INDEX(cl_Code,MATCH(C2256,cl_Name,0)),"Unknown"))</f>
        <v/>
      </c>
      <c r="K2256" s="37" t="str">
        <f aca="false">IF(D2256="","",IFERROR(INDEX(rt_Billable,MATCH(D2256,rt_Code,0)),"Unknown"))</f>
        <v/>
      </c>
      <c r="L2256" s="38" t="str">
        <f aca="false">IF(K2256&lt;&gt;"Yes","",IFERROR(INDEX(cr_Rate,MATCH(J2256&amp;"|"&amp;D2256,cr_Key,0)),INDEX(rt_Rate,MATCH(D2256,rt_Code,0))))</f>
        <v/>
      </c>
      <c r="M2256" s="25" t="str">
        <f aca="false">IF(L2256="","",ROUND(N(E2256)*L2256,2))</f>
        <v/>
      </c>
      <c r="N2256" s="39" t="str">
        <f aca="false">IF(OR(A2256="",B2256=""),"",SUMIFS(tl_Hours,tl_StaffID,I2256,tl_Date,A2256))</f>
        <v/>
      </c>
      <c r="O2256" s="40" t="str">
        <f aca="false">IF(A2256&amp;B2256&amp;D2256="","",IF(OR(A2256="",B2256="",D2256="",E2256=""),"Incomplete",IF(K2256="Unknown","Unknown code",IF(AND(K2256="Yes",C2256=""),"Billable, needs client",IF(N2256&gt;MaxDayHours,"Over "&amp;MaxDayHours&amp;" hours that day","")))))</f>
        <v/>
      </c>
    </row>
    <row r="2257" customFormat="false" ht="15" hidden="false" customHeight="false" outlineLevel="0" collapsed="false">
      <c r="A2257" s="31"/>
      <c r="B2257" s="32"/>
      <c r="C2257" s="32"/>
      <c r="D2257" s="33"/>
      <c r="E2257" s="34"/>
      <c r="F2257" s="32"/>
      <c r="G2257" s="35" t="str">
        <f aca="false">IF(A2257="","",A2257+7-WEEKDAY(A2257))</f>
        <v/>
      </c>
      <c r="H2257" s="36" t="str">
        <f aca="false">IF(A2257="","",DATE(YEAR(A2257),MONTH(A2257),1))</f>
        <v/>
      </c>
      <c r="I2257" s="37" t="str">
        <f aca="false">IF(B2257="","",IFERROR(INDEX(st_ID,MATCH(B2257,st_Name,0)),"Unknown"))</f>
        <v/>
      </c>
      <c r="J2257" s="37" t="str">
        <f aca="false">IF(C2257="","",IFERROR(INDEX(cl_Code,MATCH(C2257,cl_Name,0)),"Unknown"))</f>
        <v/>
      </c>
      <c r="K2257" s="37" t="str">
        <f aca="false">IF(D2257="","",IFERROR(INDEX(rt_Billable,MATCH(D2257,rt_Code,0)),"Unknown"))</f>
        <v/>
      </c>
      <c r="L2257" s="38" t="str">
        <f aca="false">IF(K2257&lt;&gt;"Yes","",IFERROR(INDEX(cr_Rate,MATCH(J2257&amp;"|"&amp;D2257,cr_Key,0)),INDEX(rt_Rate,MATCH(D2257,rt_Code,0))))</f>
        <v/>
      </c>
      <c r="M2257" s="25" t="str">
        <f aca="false">IF(L2257="","",ROUND(N(E2257)*L2257,2))</f>
        <v/>
      </c>
      <c r="N2257" s="39" t="str">
        <f aca="false">IF(OR(A2257="",B2257=""),"",SUMIFS(tl_Hours,tl_StaffID,I2257,tl_Date,A2257))</f>
        <v/>
      </c>
      <c r="O2257" s="40" t="str">
        <f aca="false">IF(A2257&amp;B2257&amp;D2257="","",IF(OR(A2257="",B2257="",D2257="",E2257=""),"Incomplete",IF(K2257="Unknown","Unknown code",IF(AND(K2257="Yes",C2257=""),"Billable, needs client",IF(N2257&gt;MaxDayHours,"Over "&amp;MaxDayHours&amp;" hours that day","")))))</f>
        <v/>
      </c>
    </row>
    <row r="2258" customFormat="false" ht="15" hidden="false" customHeight="false" outlineLevel="0" collapsed="false">
      <c r="A2258" s="31"/>
      <c r="B2258" s="32"/>
      <c r="C2258" s="32"/>
      <c r="D2258" s="33"/>
      <c r="E2258" s="34"/>
      <c r="F2258" s="32"/>
      <c r="G2258" s="35" t="str">
        <f aca="false">IF(A2258="","",A2258+7-WEEKDAY(A2258))</f>
        <v/>
      </c>
      <c r="H2258" s="36" t="str">
        <f aca="false">IF(A2258="","",DATE(YEAR(A2258),MONTH(A2258),1))</f>
        <v/>
      </c>
      <c r="I2258" s="37" t="str">
        <f aca="false">IF(B2258="","",IFERROR(INDEX(st_ID,MATCH(B2258,st_Name,0)),"Unknown"))</f>
        <v/>
      </c>
      <c r="J2258" s="37" t="str">
        <f aca="false">IF(C2258="","",IFERROR(INDEX(cl_Code,MATCH(C2258,cl_Name,0)),"Unknown"))</f>
        <v/>
      </c>
      <c r="K2258" s="37" t="str">
        <f aca="false">IF(D2258="","",IFERROR(INDEX(rt_Billable,MATCH(D2258,rt_Code,0)),"Unknown"))</f>
        <v/>
      </c>
      <c r="L2258" s="38" t="str">
        <f aca="false">IF(K2258&lt;&gt;"Yes","",IFERROR(INDEX(cr_Rate,MATCH(J2258&amp;"|"&amp;D2258,cr_Key,0)),INDEX(rt_Rate,MATCH(D2258,rt_Code,0))))</f>
        <v/>
      </c>
      <c r="M2258" s="25" t="str">
        <f aca="false">IF(L2258="","",ROUND(N(E2258)*L2258,2))</f>
        <v/>
      </c>
      <c r="N2258" s="39" t="str">
        <f aca="false">IF(OR(A2258="",B2258=""),"",SUMIFS(tl_Hours,tl_StaffID,I2258,tl_Date,A2258))</f>
        <v/>
      </c>
      <c r="O2258" s="40" t="str">
        <f aca="false">IF(A2258&amp;B2258&amp;D2258="","",IF(OR(A2258="",B2258="",D2258="",E2258=""),"Incomplete",IF(K2258="Unknown","Unknown code",IF(AND(K2258="Yes",C2258=""),"Billable, needs client",IF(N2258&gt;MaxDayHours,"Over "&amp;MaxDayHours&amp;" hours that day","")))))</f>
        <v/>
      </c>
    </row>
    <row r="2259" customFormat="false" ht="15" hidden="false" customHeight="false" outlineLevel="0" collapsed="false">
      <c r="A2259" s="31"/>
      <c r="B2259" s="32"/>
      <c r="C2259" s="32"/>
      <c r="D2259" s="33"/>
      <c r="E2259" s="34"/>
      <c r="F2259" s="32"/>
      <c r="G2259" s="35" t="str">
        <f aca="false">IF(A2259="","",A2259+7-WEEKDAY(A2259))</f>
        <v/>
      </c>
      <c r="H2259" s="36" t="str">
        <f aca="false">IF(A2259="","",DATE(YEAR(A2259),MONTH(A2259),1))</f>
        <v/>
      </c>
      <c r="I2259" s="37" t="str">
        <f aca="false">IF(B2259="","",IFERROR(INDEX(st_ID,MATCH(B2259,st_Name,0)),"Unknown"))</f>
        <v/>
      </c>
      <c r="J2259" s="37" t="str">
        <f aca="false">IF(C2259="","",IFERROR(INDEX(cl_Code,MATCH(C2259,cl_Name,0)),"Unknown"))</f>
        <v/>
      </c>
      <c r="K2259" s="37" t="str">
        <f aca="false">IF(D2259="","",IFERROR(INDEX(rt_Billable,MATCH(D2259,rt_Code,0)),"Unknown"))</f>
        <v/>
      </c>
      <c r="L2259" s="38" t="str">
        <f aca="false">IF(K2259&lt;&gt;"Yes","",IFERROR(INDEX(cr_Rate,MATCH(J2259&amp;"|"&amp;D2259,cr_Key,0)),INDEX(rt_Rate,MATCH(D2259,rt_Code,0))))</f>
        <v/>
      </c>
      <c r="M2259" s="25" t="str">
        <f aca="false">IF(L2259="","",ROUND(N(E2259)*L2259,2))</f>
        <v/>
      </c>
      <c r="N2259" s="39" t="str">
        <f aca="false">IF(OR(A2259="",B2259=""),"",SUMIFS(tl_Hours,tl_StaffID,I2259,tl_Date,A2259))</f>
        <v/>
      </c>
      <c r="O2259" s="40" t="str">
        <f aca="false">IF(A2259&amp;B2259&amp;D2259="","",IF(OR(A2259="",B2259="",D2259="",E2259=""),"Incomplete",IF(K2259="Unknown","Unknown code",IF(AND(K2259="Yes",C2259=""),"Billable, needs client",IF(N2259&gt;MaxDayHours,"Over "&amp;MaxDayHours&amp;" hours that day","")))))</f>
        <v/>
      </c>
    </row>
    <row r="2260" customFormat="false" ht="15" hidden="false" customHeight="false" outlineLevel="0" collapsed="false">
      <c r="A2260" s="31"/>
      <c r="B2260" s="32"/>
      <c r="C2260" s="32"/>
      <c r="D2260" s="33"/>
      <c r="E2260" s="34"/>
      <c r="F2260" s="32"/>
      <c r="G2260" s="35" t="str">
        <f aca="false">IF(A2260="","",A2260+7-WEEKDAY(A2260))</f>
        <v/>
      </c>
      <c r="H2260" s="36" t="str">
        <f aca="false">IF(A2260="","",DATE(YEAR(A2260),MONTH(A2260),1))</f>
        <v/>
      </c>
      <c r="I2260" s="37" t="str">
        <f aca="false">IF(B2260="","",IFERROR(INDEX(st_ID,MATCH(B2260,st_Name,0)),"Unknown"))</f>
        <v/>
      </c>
      <c r="J2260" s="37" t="str">
        <f aca="false">IF(C2260="","",IFERROR(INDEX(cl_Code,MATCH(C2260,cl_Name,0)),"Unknown"))</f>
        <v/>
      </c>
      <c r="K2260" s="37" t="str">
        <f aca="false">IF(D2260="","",IFERROR(INDEX(rt_Billable,MATCH(D2260,rt_Code,0)),"Unknown"))</f>
        <v/>
      </c>
      <c r="L2260" s="38" t="str">
        <f aca="false">IF(K2260&lt;&gt;"Yes","",IFERROR(INDEX(cr_Rate,MATCH(J2260&amp;"|"&amp;D2260,cr_Key,0)),INDEX(rt_Rate,MATCH(D2260,rt_Code,0))))</f>
        <v/>
      </c>
      <c r="M2260" s="25" t="str">
        <f aca="false">IF(L2260="","",ROUND(N(E2260)*L2260,2))</f>
        <v/>
      </c>
      <c r="N2260" s="39" t="str">
        <f aca="false">IF(OR(A2260="",B2260=""),"",SUMIFS(tl_Hours,tl_StaffID,I2260,tl_Date,A2260))</f>
        <v/>
      </c>
      <c r="O2260" s="40" t="str">
        <f aca="false">IF(A2260&amp;B2260&amp;D2260="","",IF(OR(A2260="",B2260="",D2260="",E2260=""),"Incomplete",IF(K2260="Unknown","Unknown code",IF(AND(K2260="Yes",C2260=""),"Billable, needs client",IF(N2260&gt;MaxDayHours,"Over "&amp;MaxDayHours&amp;" hours that day","")))))</f>
        <v/>
      </c>
    </row>
    <row r="2261" customFormat="false" ht="15" hidden="false" customHeight="false" outlineLevel="0" collapsed="false">
      <c r="A2261" s="31"/>
      <c r="B2261" s="32"/>
      <c r="C2261" s="32"/>
      <c r="D2261" s="33"/>
      <c r="E2261" s="34"/>
      <c r="F2261" s="32"/>
      <c r="G2261" s="35" t="str">
        <f aca="false">IF(A2261="","",A2261+7-WEEKDAY(A2261))</f>
        <v/>
      </c>
      <c r="H2261" s="36" t="str">
        <f aca="false">IF(A2261="","",DATE(YEAR(A2261),MONTH(A2261),1))</f>
        <v/>
      </c>
      <c r="I2261" s="37" t="str">
        <f aca="false">IF(B2261="","",IFERROR(INDEX(st_ID,MATCH(B2261,st_Name,0)),"Unknown"))</f>
        <v/>
      </c>
      <c r="J2261" s="37" t="str">
        <f aca="false">IF(C2261="","",IFERROR(INDEX(cl_Code,MATCH(C2261,cl_Name,0)),"Unknown"))</f>
        <v/>
      </c>
      <c r="K2261" s="37" t="str">
        <f aca="false">IF(D2261="","",IFERROR(INDEX(rt_Billable,MATCH(D2261,rt_Code,0)),"Unknown"))</f>
        <v/>
      </c>
      <c r="L2261" s="38" t="str">
        <f aca="false">IF(K2261&lt;&gt;"Yes","",IFERROR(INDEX(cr_Rate,MATCH(J2261&amp;"|"&amp;D2261,cr_Key,0)),INDEX(rt_Rate,MATCH(D2261,rt_Code,0))))</f>
        <v/>
      </c>
      <c r="M2261" s="25" t="str">
        <f aca="false">IF(L2261="","",ROUND(N(E2261)*L2261,2))</f>
        <v/>
      </c>
      <c r="N2261" s="39" t="str">
        <f aca="false">IF(OR(A2261="",B2261=""),"",SUMIFS(tl_Hours,tl_StaffID,I2261,tl_Date,A2261))</f>
        <v/>
      </c>
      <c r="O2261" s="40" t="str">
        <f aca="false">IF(A2261&amp;B2261&amp;D2261="","",IF(OR(A2261="",B2261="",D2261="",E2261=""),"Incomplete",IF(K2261="Unknown","Unknown code",IF(AND(K2261="Yes",C2261=""),"Billable, needs client",IF(N2261&gt;MaxDayHours,"Over "&amp;MaxDayHours&amp;" hours that day","")))))</f>
        <v/>
      </c>
    </row>
    <row r="2262" customFormat="false" ht="15" hidden="false" customHeight="false" outlineLevel="0" collapsed="false">
      <c r="A2262" s="31"/>
      <c r="B2262" s="32"/>
      <c r="C2262" s="32"/>
      <c r="D2262" s="33"/>
      <c r="E2262" s="34"/>
      <c r="F2262" s="32"/>
      <c r="G2262" s="35" t="str">
        <f aca="false">IF(A2262="","",A2262+7-WEEKDAY(A2262))</f>
        <v/>
      </c>
      <c r="H2262" s="36" t="str">
        <f aca="false">IF(A2262="","",DATE(YEAR(A2262),MONTH(A2262),1))</f>
        <v/>
      </c>
      <c r="I2262" s="37" t="str">
        <f aca="false">IF(B2262="","",IFERROR(INDEX(st_ID,MATCH(B2262,st_Name,0)),"Unknown"))</f>
        <v/>
      </c>
      <c r="J2262" s="37" t="str">
        <f aca="false">IF(C2262="","",IFERROR(INDEX(cl_Code,MATCH(C2262,cl_Name,0)),"Unknown"))</f>
        <v/>
      </c>
      <c r="K2262" s="37" t="str">
        <f aca="false">IF(D2262="","",IFERROR(INDEX(rt_Billable,MATCH(D2262,rt_Code,0)),"Unknown"))</f>
        <v/>
      </c>
      <c r="L2262" s="38" t="str">
        <f aca="false">IF(K2262&lt;&gt;"Yes","",IFERROR(INDEX(cr_Rate,MATCH(J2262&amp;"|"&amp;D2262,cr_Key,0)),INDEX(rt_Rate,MATCH(D2262,rt_Code,0))))</f>
        <v/>
      </c>
      <c r="M2262" s="25" t="str">
        <f aca="false">IF(L2262="","",ROUND(N(E2262)*L2262,2))</f>
        <v/>
      </c>
      <c r="N2262" s="39" t="str">
        <f aca="false">IF(OR(A2262="",B2262=""),"",SUMIFS(tl_Hours,tl_StaffID,I2262,tl_Date,A2262))</f>
        <v/>
      </c>
      <c r="O2262" s="40" t="str">
        <f aca="false">IF(A2262&amp;B2262&amp;D2262="","",IF(OR(A2262="",B2262="",D2262="",E2262=""),"Incomplete",IF(K2262="Unknown","Unknown code",IF(AND(K2262="Yes",C2262=""),"Billable, needs client",IF(N2262&gt;MaxDayHours,"Over "&amp;MaxDayHours&amp;" hours that day","")))))</f>
        <v/>
      </c>
    </row>
    <row r="2263" customFormat="false" ht="15" hidden="false" customHeight="false" outlineLevel="0" collapsed="false">
      <c r="A2263" s="31"/>
      <c r="B2263" s="32"/>
      <c r="C2263" s="32"/>
      <c r="D2263" s="33"/>
      <c r="E2263" s="34"/>
      <c r="F2263" s="32"/>
      <c r="G2263" s="35" t="str">
        <f aca="false">IF(A2263="","",A2263+7-WEEKDAY(A2263))</f>
        <v/>
      </c>
      <c r="H2263" s="36" t="str">
        <f aca="false">IF(A2263="","",DATE(YEAR(A2263),MONTH(A2263),1))</f>
        <v/>
      </c>
      <c r="I2263" s="37" t="str">
        <f aca="false">IF(B2263="","",IFERROR(INDEX(st_ID,MATCH(B2263,st_Name,0)),"Unknown"))</f>
        <v/>
      </c>
      <c r="J2263" s="37" t="str">
        <f aca="false">IF(C2263="","",IFERROR(INDEX(cl_Code,MATCH(C2263,cl_Name,0)),"Unknown"))</f>
        <v/>
      </c>
      <c r="K2263" s="37" t="str">
        <f aca="false">IF(D2263="","",IFERROR(INDEX(rt_Billable,MATCH(D2263,rt_Code,0)),"Unknown"))</f>
        <v/>
      </c>
      <c r="L2263" s="38" t="str">
        <f aca="false">IF(K2263&lt;&gt;"Yes","",IFERROR(INDEX(cr_Rate,MATCH(J2263&amp;"|"&amp;D2263,cr_Key,0)),INDEX(rt_Rate,MATCH(D2263,rt_Code,0))))</f>
        <v/>
      </c>
      <c r="M2263" s="25" t="str">
        <f aca="false">IF(L2263="","",ROUND(N(E2263)*L2263,2))</f>
        <v/>
      </c>
      <c r="N2263" s="39" t="str">
        <f aca="false">IF(OR(A2263="",B2263=""),"",SUMIFS(tl_Hours,tl_StaffID,I2263,tl_Date,A2263))</f>
        <v/>
      </c>
      <c r="O2263" s="40" t="str">
        <f aca="false">IF(A2263&amp;B2263&amp;D2263="","",IF(OR(A2263="",B2263="",D2263="",E2263=""),"Incomplete",IF(K2263="Unknown","Unknown code",IF(AND(K2263="Yes",C2263=""),"Billable, needs client",IF(N2263&gt;MaxDayHours,"Over "&amp;MaxDayHours&amp;" hours that day","")))))</f>
        <v/>
      </c>
    </row>
    <row r="2264" customFormat="false" ht="15" hidden="false" customHeight="false" outlineLevel="0" collapsed="false">
      <c r="A2264" s="31"/>
      <c r="B2264" s="32"/>
      <c r="C2264" s="32"/>
      <c r="D2264" s="33"/>
      <c r="E2264" s="34"/>
      <c r="F2264" s="32"/>
      <c r="G2264" s="35" t="str">
        <f aca="false">IF(A2264="","",A2264+7-WEEKDAY(A2264))</f>
        <v/>
      </c>
      <c r="H2264" s="36" t="str">
        <f aca="false">IF(A2264="","",DATE(YEAR(A2264),MONTH(A2264),1))</f>
        <v/>
      </c>
      <c r="I2264" s="37" t="str">
        <f aca="false">IF(B2264="","",IFERROR(INDEX(st_ID,MATCH(B2264,st_Name,0)),"Unknown"))</f>
        <v/>
      </c>
      <c r="J2264" s="37" t="str">
        <f aca="false">IF(C2264="","",IFERROR(INDEX(cl_Code,MATCH(C2264,cl_Name,0)),"Unknown"))</f>
        <v/>
      </c>
      <c r="K2264" s="37" t="str">
        <f aca="false">IF(D2264="","",IFERROR(INDEX(rt_Billable,MATCH(D2264,rt_Code,0)),"Unknown"))</f>
        <v/>
      </c>
      <c r="L2264" s="38" t="str">
        <f aca="false">IF(K2264&lt;&gt;"Yes","",IFERROR(INDEX(cr_Rate,MATCH(J2264&amp;"|"&amp;D2264,cr_Key,0)),INDEX(rt_Rate,MATCH(D2264,rt_Code,0))))</f>
        <v/>
      </c>
      <c r="M2264" s="25" t="str">
        <f aca="false">IF(L2264="","",ROUND(N(E2264)*L2264,2))</f>
        <v/>
      </c>
      <c r="N2264" s="39" t="str">
        <f aca="false">IF(OR(A2264="",B2264=""),"",SUMIFS(tl_Hours,tl_StaffID,I2264,tl_Date,A2264))</f>
        <v/>
      </c>
      <c r="O2264" s="40" t="str">
        <f aca="false">IF(A2264&amp;B2264&amp;D2264="","",IF(OR(A2264="",B2264="",D2264="",E2264=""),"Incomplete",IF(K2264="Unknown","Unknown code",IF(AND(K2264="Yes",C2264=""),"Billable, needs client",IF(N2264&gt;MaxDayHours,"Over "&amp;MaxDayHours&amp;" hours that day","")))))</f>
        <v/>
      </c>
    </row>
    <row r="2265" customFormat="false" ht="15" hidden="false" customHeight="false" outlineLevel="0" collapsed="false">
      <c r="A2265" s="31"/>
      <c r="B2265" s="32"/>
      <c r="C2265" s="32"/>
      <c r="D2265" s="33"/>
      <c r="E2265" s="34"/>
      <c r="F2265" s="32"/>
      <c r="G2265" s="35" t="str">
        <f aca="false">IF(A2265="","",A2265+7-WEEKDAY(A2265))</f>
        <v/>
      </c>
      <c r="H2265" s="36" t="str">
        <f aca="false">IF(A2265="","",DATE(YEAR(A2265),MONTH(A2265),1))</f>
        <v/>
      </c>
      <c r="I2265" s="37" t="str">
        <f aca="false">IF(B2265="","",IFERROR(INDEX(st_ID,MATCH(B2265,st_Name,0)),"Unknown"))</f>
        <v/>
      </c>
      <c r="J2265" s="37" t="str">
        <f aca="false">IF(C2265="","",IFERROR(INDEX(cl_Code,MATCH(C2265,cl_Name,0)),"Unknown"))</f>
        <v/>
      </c>
      <c r="K2265" s="37" t="str">
        <f aca="false">IF(D2265="","",IFERROR(INDEX(rt_Billable,MATCH(D2265,rt_Code,0)),"Unknown"))</f>
        <v/>
      </c>
      <c r="L2265" s="38" t="str">
        <f aca="false">IF(K2265&lt;&gt;"Yes","",IFERROR(INDEX(cr_Rate,MATCH(J2265&amp;"|"&amp;D2265,cr_Key,0)),INDEX(rt_Rate,MATCH(D2265,rt_Code,0))))</f>
        <v/>
      </c>
      <c r="M2265" s="25" t="str">
        <f aca="false">IF(L2265="","",ROUND(N(E2265)*L2265,2))</f>
        <v/>
      </c>
      <c r="N2265" s="39" t="str">
        <f aca="false">IF(OR(A2265="",B2265=""),"",SUMIFS(tl_Hours,tl_StaffID,I2265,tl_Date,A2265))</f>
        <v/>
      </c>
      <c r="O2265" s="40" t="str">
        <f aca="false">IF(A2265&amp;B2265&amp;D2265="","",IF(OR(A2265="",B2265="",D2265="",E2265=""),"Incomplete",IF(K2265="Unknown","Unknown code",IF(AND(K2265="Yes",C2265=""),"Billable, needs client",IF(N2265&gt;MaxDayHours,"Over "&amp;MaxDayHours&amp;" hours that day","")))))</f>
        <v/>
      </c>
    </row>
    <row r="2266" customFormat="false" ht="15" hidden="false" customHeight="false" outlineLevel="0" collapsed="false">
      <c r="A2266" s="31"/>
      <c r="B2266" s="32"/>
      <c r="C2266" s="32"/>
      <c r="D2266" s="33"/>
      <c r="E2266" s="34"/>
      <c r="F2266" s="32"/>
      <c r="G2266" s="35" t="str">
        <f aca="false">IF(A2266="","",A2266+7-WEEKDAY(A2266))</f>
        <v/>
      </c>
      <c r="H2266" s="36" t="str">
        <f aca="false">IF(A2266="","",DATE(YEAR(A2266),MONTH(A2266),1))</f>
        <v/>
      </c>
      <c r="I2266" s="37" t="str">
        <f aca="false">IF(B2266="","",IFERROR(INDEX(st_ID,MATCH(B2266,st_Name,0)),"Unknown"))</f>
        <v/>
      </c>
      <c r="J2266" s="37" t="str">
        <f aca="false">IF(C2266="","",IFERROR(INDEX(cl_Code,MATCH(C2266,cl_Name,0)),"Unknown"))</f>
        <v/>
      </c>
      <c r="K2266" s="37" t="str">
        <f aca="false">IF(D2266="","",IFERROR(INDEX(rt_Billable,MATCH(D2266,rt_Code,0)),"Unknown"))</f>
        <v/>
      </c>
      <c r="L2266" s="38" t="str">
        <f aca="false">IF(K2266&lt;&gt;"Yes","",IFERROR(INDEX(cr_Rate,MATCH(J2266&amp;"|"&amp;D2266,cr_Key,0)),INDEX(rt_Rate,MATCH(D2266,rt_Code,0))))</f>
        <v/>
      </c>
      <c r="M2266" s="25" t="str">
        <f aca="false">IF(L2266="","",ROUND(N(E2266)*L2266,2))</f>
        <v/>
      </c>
      <c r="N2266" s="39" t="str">
        <f aca="false">IF(OR(A2266="",B2266=""),"",SUMIFS(tl_Hours,tl_StaffID,I2266,tl_Date,A2266))</f>
        <v/>
      </c>
      <c r="O2266" s="40" t="str">
        <f aca="false">IF(A2266&amp;B2266&amp;D2266="","",IF(OR(A2266="",B2266="",D2266="",E2266=""),"Incomplete",IF(K2266="Unknown","Unknown code",IF(AND(K2266="Yes",C2266=""),"Billable, needs client",IF(N2266&gt;MaxDayHours,"Over "&amp;MaxDayHours&amp;" hours that day","")))))</f>
        <v/>
      </c>
    </row>
    <row r="2267" customFormat="false" ht="15" hidden="false" customHeight="false" outlineLevel="0" collapsed="false">
      <c r="A2267" s="31"/>
      <c r="B2267" s="32"/>
      <c r="C2267" s="32"/>
      <c r="D2267" s="33"/>
      <c r="E2267" s="34"/>
      <c r="F2267" s="32"/>
      <c r="G2267" s="35" t="str">
        <f aca="false">IF(A2267="","",A2267+7-WEEKDAY(A2267))</f>
        <v/>
      </c>
      <c r="H2267" s="36" t="str">
        <f aca="false">IF(A2267="","",DATE(YEAR(A2267),MONTH(A2267),1))</f>
        <v/>
      </c>
      <c r="I2267" s="37" t="str">
        <f aca="false">IF(B2267="","",IFERROR(INDEX(st_ID,MATCH(B2267,st_Name,0)),"Unknown"))</f>
        <v/>
      </c>
      <c r="J2267" s="37" t="str">
        <f aca="false">IF(C2267="","",IFERROR(INDEX(cl_Code,MATCH(C2267,cl_Name,0)),"Unknown"))</f>
        <v/>
      </c>
      <c r="K2267" s="37" t="str">
        <f aca="false">IF(D2267="","",IFERROR(INDEX(rt_Billable,MATCH(D2267,rt_Code,0)),"Unknown"))</f>
        <v/>
      </c>
      <c r="L2267" s="38" t="str">
        <f aca="false">IF(K2267&lt;&gt;"Yes","",IFERROR(INDEX(cr_Rate,MATCH(J2267&amp;"|"&amp;D2267,cr_Key,0)),INDEX(rt_Rate,MATCH(D2267,rt_Code,0))))</f>
        <v/>
      </c>
      <c r="M2267" s="25" t="str">
        <f aca="false">IF(L2267="","",ROUND(N(E2267)*L2267,2))</f>
        <v/>
      </c>
      <c r="N2267" s="39" t="str">
        <f aca="false">IF(OR(A2267="",B2267=""),"",SUMIFS(tl_Hours,tl_StaffID,I2267,tl_Date,A2267))</f>
        <v/>
      </c>
      <c r="O2267" s="40" t="str">
        <f aca="false">IF(A2267&amp;B2267&amp;D2267="","",IF(OR(A2267="",B2267="",D2267="",E2267=""),"Incomplete",IF(K2267="Unknown","Unknown code",IF(AND(K2267="Yes",C2267=""),"Billable, needs client",IF(N2267&gt;MaxDayHours,"Over "&amp;MaxDayHours&amp;" hours that day","")))))</f>
        <v/>
      </c>
    </row>
    <row r="2268" customFormat="false" ht="15" hidden="false" customHeight="false" outlineLevel="0" collapsed="false">
      <c r="A2268" s="31"/>
      <c r="B2268" s="32"/>
      <c r="C2268" s="32"/>
      <c r="D2268" s="33"/>
      <c r="E2268" s="34"/>
      <c r="F2268" s="32"/>
      <c r="G2268" s="35" t="str">
        <f aca="false">IF(A2268="","",A2268+7-WEEKDAY(A2268))</f>
        <v/>
      </c>
      <c r="H2268" s="36" t="str">
        <f aca="false">IF(A2268="","",DATE(YEAR(A2268),MONTH(A2268),1))</f>
        <v/>
      </c>
      <c r="I2268" s="37" t="str">
        <f aca="false">IF(B2268="","",IFERROR(INDEX(st_ID,MATCH(B2268,st_Name,0)),"Unknown"))</f>
        <v/>
      </c>
      <c r="J2268" s="37" t="str">
        <f aca="false">IF(C2268="","",IFERROR(INDEX(cl_Code,MATCH(C2268,cl_Name,0)),"Unknown"))</f>
        <v/>
      </c>
      <c r="K2268" s="37" t="str">
        <f aca="false">IF(D2268="","",IFERROR(INDEX(rt_Billable,MATCH(D2268,rt_Code,0)),"Unknown"))</f>
        <v/>
      </c>
      <c r="L2268" s="38" t="str">
        <f aca="false">IF(K2268&lt;&gt;"Yes","",IFERROR(INDEX(cr_Rate,MATCH(J2268&amp;"|"&amp;D2268,cr_Key,0)),INDEX(rt_Rate,MATCH(D2268,rt_Code,0))))</f>
        <v/>
      </c>
      <c r="M2268" s="25" t="str">
        <f aca="false">IF(L2268="","",ROUND(N(E2268)*L2268,2))</f>
        <v/>
      </c>
      <c r="N2268" s="39" t="str">
        <f aca="false">IF(OR(A2268="",B2268=""),"",SUMIFS(tl_Hours,tl_StaffID,I2268,tl_Date,A2268))</f>
        <v/>
      </c>
      <c r="O2268" s="40" t="str">
        <f aca="false">IF(A2268&amp;B2268&amp;D2268="","",IF(OR(A2268="",B2268="",D2268="",E2268=""),"Incomplete",IF(K2268="Unknown","Unknown code",IF(AND(K2268="Yes",C2268=""),"Billable, needs client",IF(N2268&gt;MaxDayHours,"Over "&amp;MaxDayHours&amp;" hours that day","")))))</f>
        <v/>
      </c>
    </row>
    <row r="2269" customFormat="false" ht="15" hidden="false" customHeight="false" outlineLevel="0" collapsed="false">
      <c r="A2269" s="31"/>
      <c r="B2269" s="32"/>
      <c r="C2269" s="32"/>
      <c r="D2269" s="33"/>
      <c r="E2269" s="34"/>
      <c r="F2269" s="32"/>
      <c r="G2269" s="35" t="str">
        <f aca="false">IF(A2269="","",A2269+7-WEEKDAY(A2269))</f>
        <v/>
      </c>
      <c r="H2269" s="36" t="str">
        <f aca="false">IF(A2269="","",DATE(YEAR(A2269),MONTH(A2269),1))</f>
        <v/>
      </c>
      <c r="I2269" s="37" t="str">
        <f aca="false">IF(B2269="","",IFERROR(INDEX(st_ID,MATCH(B2269,st_Name,0)),"Unknown"))</f>
        <v/>
      </c>
      <c r="J2269" s="37" t="str">
        <f aca="false">IF(C2269="","",IFERROR(INDEX(cl_Code,MATCH(C2269,cl_Name,0)),"Unknown"))</f>
        <v/>
      </c>
      <c r="K2269" s="37" t="str">
        <f aca="false">IF(D2269="","",IFERROR(INDEX(rt_Billable,MATCH(D2269,rt_Code,0)),"Unknown"))</f>
        <v/>
      </c>
      <c r="L2269" s="38" t="str">
        <f aca="false">IF(K2269&lt;&gt;"Yes","",IFERROR(INDEX(cr_Rate,MATCH(J2269&amp;"|"&amp;D2269,cr_Key,0)),INDEX(rt_Rate,MATCH(D2269,rt_Code,0))))</f>
        <v/>
      </c>
      <c r="M2269" s="25" t="str">
        <f aca="false">IF(L2269="","",ROUND(N(E2269)*L2269,2))</f>
        <v/>
      </c>
      <c r="N2269" s="39" t="str">
        <f aca="false">IF(OR(A2269="",B2269=""),"",SUMIFS(tl_Hours,tl_StaffID,I2269,tl_Date,A2269))</f>
        <v/>
      </c>
      <c r="O2269" s="40" t="str">
        <f aca="false">IF(A2269&amp;B2269&amp;D2269="","",IF(OR(A2269="",B2269="",D2269="",E2269=""),"Incomplete",IF(K2269="Unknown","Unknown code",IF(AND(K2269="Yes",C2269=""),"Billable, needs client",IF(N2269&gt;MaxDayHours,"Over "&amp;MaxDayHours&amp;" hours that day","")))))</f>
        <v/>
      </c>
    </row>
    <row r="2270" customFormat="false" ht="15" hidden="false" customHeight="false" outlineLevel="0" collapsed="false">
      <c r="A2270" s="31"/>
      <c r="B2270" s="32"/>
      <c r="C2270" s="32"/>
      <c r="D2270" s="33"/>
      <c r="E2270" s="34"/>
      <c r="F2270" s="32"/>
      <c r="G2270" s="35" t="str">
        <f aca="false">IF(A2270="","",A2270+7-WEEKDAY(A2270))</f>
        <v/>
      </c>
      <c r="H2270" s="36" t="str">
        <f aca="false">IF(A2270="","",DATE(YEAR(A2270),MONTH(A2270),1))</f>
        <v/>
      </c>
      <c r="I2270" s="37" t="str">
        <f aca="false">IF(B2270="","",IFERROR(INDEX(st_ID,MATCH(B2270,st_Name,0)),"Unknown"))</f>
        <v/>
      </c>
      <c r="J2270" s="37" t="str">
        <f aca="false">IF(C2270="","",IFERROR(INDEX(cl_Code,MATCH(C2270,cl_Name,0)),"Unknown"))</f>
        <v/>
      </c>
      <c r="K2270" s="37" t="str">
        <f aca="false">IF(D2270="","",IFERROR(INDEX(rt_Billable,MATCH(D2270,rt_Code,0)),"Unknown"))</f>
        <v/>
      </c>
      <c r="L2270" s="38" t="str">
        <f aca="false">IF(K2270&lt;&gt;"Yes","",IFERROR(INDEX(cr_Rate,MATCH(J2270&amp;"|"&amp;D2270,cr_Key,0)),INDEX(rt_Rate,MATCH(D2270,rt_Code,0))))</f>
        <v/>
      </c>
      <c r="M2270" s="25" t="str">
        <f aca="false">IF(L2270="","",ROUND(N(E2270)*L2270,2))</f>
        <v/>
      </c>
      <c r="N2270" s="39" t="str">
        <f aca="false">IF(OR(A2270="",B2270=""),"",SUMIFS(tl_Hours,tl_StaffID,I2270,tl_Date,A2270))</f>
        <v/>
      </c>
      <c r="O2270" s="40" t="str">
        <f aca="false">IF(A2270&amp;B2270&amp;D2270="","",IF(OR(A2270="",B2270="",D2270="",E2270=""),"Incomplete",IF(K2270="Unknown","Unknown code",IF(AND(K2270="Yes",C2270=""),"Billable, needs client",IF(N2270&gt;MaxDayHours,"Over "&amp;MaxDayHours&amp;" hours that day","")))))</f>
        <v/>
      </c>
    </row>
    <row r="2271" customFormat="false" ht="15" hidden="false" customHeight="false" outlineLevel="0" collapsed="false">
      <c r="A2271" s="31"/>
      <c r="B2271" s="32"/>
      <c r="C2271" s="32"/>
      <c r="D2271" s="33"/>
      <c r="E2271" s="34"/>
      <c r="F2271" s="32"/>
      <c r="G2271" s="35" t="str">
        <f aca="false">IF(A2271="","",A2271+7-WEEKDAY(A2271))</f>
        <v/>
      </c>
      <c r="H2271" s="36" t="str">
        <f aca="false">IF(A2271="","",DATE(YEAR(A2271),MONTH(A2271),1))</f>
        <v/>
      </c>
      <c r="I2271" s="37" t="str">
        <f aca="false">IF(B2271="","",IFERROR(INDEX(st_ID,MATCH(B2271,st_Name,0)),"Unknown"))</f>
        <v/>
      </c>
      <c r="J2271" s="37" t="str">
        <f aca="false">IF(C2271="","",IFERROR(INDEX(cl_Code,MATCH(C2271,cl_Name,0)),"Unknown"))</f>
        <v/>
      </c>
      <c r="K2271" s="37" t="str">
        <f aca="false">IF(D2271="","",IFERROR(INDEX(rt_Billable,MATCH(D2271,rt_Code,0)),"Unknown"))</f>
        <v/>
      </c>
      <c r="L2271" s="38" t="str">
        <f aca="false">IF(K2271&lt;&gt;"Yes","",IFERROR(INDEX(cr_Rate,MATCH(J2271&amp;"|"&amp;D2271,cr_Key,0)),INDEX(rt_Rate,MATCH(D2271,rt_Code,0))))</f>
        <v/>
      </c>
      <c r="M2271" s="25" t="str">
        <f aca="false">IF(L2271="","",ROUND(N(E2271)*L2271,2))</f>
        <v/>
      </c>
      <c r="N2271" s="39" t="str">
        <f aca="false">IF(OR(A2271="",B2271=""),"",SUMIFS(tl_Hours,tl_StaffID,I2271,tl_Date,A2271))</f>
        <v/>
      </c>
      <c r="O2271" s="40" t="str">
        <f aca="false">IF(A2271&amp;B2271&amp;D2271="","",IF(OR(A2271="",B2271="",D2271="",E2271=""),"Incomplete",IF(K2271="Unknown","Unknown code",IF(AND(K2271="Yes",C2271=""),"Billable, needs client",IF(N2271&gt;MaxDayHours,"Over "&amp;MaxDayHours&amp;" hours that day","")))))</f>
        <v/>
      </c>
    </row>
    <row r="2272" customFormat="false" ht="15" hidden="false" customHeight="false" outlineLevel="0" collapsed="false">
      <c r="A2272" s="31"/>
      <c r="B2272" s="32"/>
      <c r="C2272" s="32"/>
      <c r="D2272" s="33"/>
      <c r="E2272" s="34"/>
      <c r="F2272" s="32"/>
      <c r="G2272" s="35" t="str">
        <f aca="false">IF(A2272="","",A2272+7-WEEKDAY(A2272))</f>
        <v/>
      </c>
      <c r="H2272" s="36" t="str">
        <f aca="false">IF(A2272="","",DATE(YEAR(A2272),MONTH(A2272),1))</f>
        <v/>
      </c>
      <c r="I2272" s="37" t="str">
        <f aca="false">IF(B2272="","",IFERROR(INDEX(st_ID,MATCH(B2272,st_Name,0)),"Unknown"))</f>
        <v/>
      </c>
      <c r="J2272" s="37" t="str">
        <f aca="false">IF(C2272="","",IFERROR(INDEX(cl_Code,MATCH(C2272,cl_Name,0)),"Unknown"))</f>
        <v/>
      </c>
      <c r="K2272" s="37" t="str">
        <f aca="false">IF(D2272="","",IFERROR(INDEX(rt_Billable,MATCH(D2272,rt_Code,0)),"Unknown"))</f>
        <v/>
      </c>
      <c r="L2272" s="38" t="str">
        <f aca="false">IF(K2272&lt;&gt;"Yes","",IFERROR(INDEX(cr_Rate,MATCH(J2272&amp;"|"&amp;D2272,cr_Key,0)),INDEX(rt_Rate,MATCH(D2272,rt_Code,0))))</f>
        <v/>
      </c>
      <c r="M2272" s="25" t="str">
        <f aca="false">IF(L2272="","",ROUND(N(E2272)*L2272,2))</f>
        <v/>
      </c>
      <c r="N2272" s="39" t="str">
        <f aca="false">IF(OR(A2272="",B2272=""),"",SUMIFS(tl_Hours,tl_StaffID,I2272,tl_Date,A2272))</f>
        <v/>
      </c>
      <c r="O2272" s="40" t="str">
        <f aca="false">IF(A2272&amp;B2272&amp;D2272="","",IF(OR(A2272="",B2272="",D2272="",E2272=""),"Incomplete",IF(K2272="Unknown","Unknown code",IF(AND(K2272="Yes",C2272=""),"Billable, needs client",IF(N2272&gt;MaxDayHours,"Over "&amp;MaxDayHours&amp;" hours that day","")))))</f>
        <v/>
      </c>
    </row>
    <row r="2273" customFormat="false" ht="15" hidden="false" customHeight="false" outlineLevel="0" collapsed="false">
      <c r="A2273" s="31"/>
      <c r="B2273" s="32"/>
      <c r="C2273" s="32"/>
      <c r="D2273" s="33"/>
      <c r="E2273" s="34"/>
      <c r="F2273" s="32"/>
      <c r="G2273" s="35" t="str">
        <f aca="false">IF(A2273="","",A2273+7-WEEKDAY(A2273))</f>
        <v/>
      </c>
      <c r="H2273" s="36" t="str">
        <f aca="false">IF(A2273="","",DATE(YEAR(A2273),MONTH(A2273),1))</f>
        <v/>
      </c>
      <c r="I2273" s="37" t="str">
        <f aca="false">IF(B2273="","",IFERROR(INDEX(st_ID,MATCH(B2273,st_Name,0)),"Unknown"))</f>
        <v/>
      </c>
      <c r="J2273" s="37" t="str">
        <f aca="false">IF(C2273="","",IFERROR(INDEX(cl_Code,MATCH(C2273,cl_Name,0)),"Unknown"))</f>
        <v/>
      </c>
      <c r="K2273" s="37" t="str">
        <f aca="false">IF(D2273="","",IFERROR(INDEX(rt_Billable,MATCH(D2273,rt_Code,0)),"Unknown"))</f>
        <v/>
      </c>
      <c r="L2273" s="38" t="str">
        <f aca="false">IF(K2273&lt;&gt;"Yes","",IFERROR(INDEX(cr_Rate,MATCH(J2273&amp;"|"&amp;D2273,cr_Key,0)),INDEX(rt_Rate,MATCH(D2273,rt_Code,0))))</f>
        <v/>
      </c>
      <c r="M2273" s="25" t="str">
        <f aca="false">IF(L2273="","",ROUND(N(E2273)*L2273,2))</f>
        <v/>
      </c>
      <c r="N2273" s="39" t="str">
        <f aca="false">IF(OR(A2273="",B2273=""),"",SUMIFS(tl_Hours,tl_StaffID,I2273,tl_Date,A2273))</f>
        <v/>
      </c>
      <c r="O2273" s="40" t="str">
        <f aca="false">IF(A2273&amp;B2273&amp;D2273="","",IF(OR(A2273="",B2273="",D2273="",E2273=""),"Incomplete",IF(K2273="Unknown","Unknown code",IF(AND(K2273="Yes",C2273=""),"Billable, needs client",IF(N2273&gt;MaxDayHours,"Over "&amp;MaxDayHours&amp;" hours that day","")))))</f>
        <v/>
      </c>
    </row>
    <row r="2274" customFormat="false" ht="15" hidden="false" customHeight="false" outlineLevel="0" collapsed="false">
      <c r="A2274" s="31"/>
      <c r="B2274" s="32"/>
      <c r="C2274" s="32"/>
      <c r="D2274" s="33"/>
      <c r="E2274" s="34"/>
      <c r="F2274" s="32"/>
      <c r="G2274" s="35" t="str">
        <f aca="false">IF(A2274="","",A2274+7-WEEKDAY(A2274))</f>
        <v/>
      </c>
      <c r="H2274" s="36" t="str">
        <f aca="false">IF(A2274="","",DATE(YEAR(A2274),MONTH(A2274),1))</f>
        <v/>
      </c>
      <c r="I2274" s="37" t="str">
        <f aca="false">IF(B2274="","",IFERROR(INDEX(st_ID,MATCH(B2274,st_Name,0)),"Unknown"))</f>
        <v/>
      </c>
      <c r="J2274" s="37" t="str">
        <f aca="false">IF(C2274="","",IFERROR(INDEX(cl_Code,MATCH(C2274,cl_Name,0)),"Unknown"))</f>
        <v/>
      </c>
      <c r="K2274" s="37" t="str">
        <f aca="false">IF(D2274="","",IFERROR(INDEX(rt_Billable,MATCH(D2274,rt_Code,0)),"Unknown"))</f>
        <v/>
      </c>
      <c r="L2274" s="38" t="str">
        <f aca="false">IF(K2274&lt;&gt;"Yes","",IFERROR(INDEX(cr_Rate,MATCH(J2274&amp;"|"&amp;D2274,cr_Key,0)),INDEX(rt_Rate,MATCH(D2274,rt_Code,0))))</f>
        <v/>
      </c>
      <c r="M2274" s="25" t="str">
        <f aca="false">IF(L2274="","",ROUND(N(E2274)*L2274,2))</f>
        <v/>
      </c>
      <c r="N2274" s="39" t="str">
        <f aca="false">IF(OR(A2274="",B2274=""),"",SUMIFS(tl_Hours,tl_StaffID,I2274,tl_Date,A2274))</f>
        <v/>
      </c>
      <c r="O2274" s="40" t="str">
        <f aca="false">IF(A2274&amp;B2274&amp;D2274="","",IF(OR(A2274="",B2274="",D2274="",E2274=""),"Incomplete",IF(K2274="Unknown","Unknown code",IF(AND(K2274="Yes",C2274=""),"Billable, needs client",IF(N2274&gt;MaxDayHours,"Over "&amp;MaxDayHours&amp;" hours that day","")))))</f>
        <v/>
      </c>
    </row>
    <row r="2275" customFormat="false" ht="15" hidden="false" customHeight="false" outlineLevel="0" collapsed="false">
      <c r="A2275" s="31"/>
      <c r="B2275" s="32"/>
      <c r="C2275" s="32"/>
      <c r="D2275" s="33"/>
      <c r="E2275" s="34"/>
      <c r="F2275" s="32"/>
      <c r="G2275" s="35" t="str">
        <f aca="false">IF(A2275="","",A2275+7-WEEKDAY(A2275))</f>
        <v/>
      </c>
      <c r="H2275" s="36" t="str">
        <f aca="false">IF(A2275="","",DATE(YEAR(A2275),MONTH(A2275),1))</f>
        <v/>
      </c>
      <c r="I2275" s="37" t="str">
        <f aca="false">IF(B2275="","",IFERROR(INDEX(st_ID,MATCH(B2275,st_Name,0)),"Unknown"))</f>
        <v/>
      </c>
      <c r="J2275" s="37" t="str">
        <f aca="false">IF(C2275="","",IFERROR(INDEX(cl_Code,MATCH(C2275,cl_Name,0)),"Unknown"))</f>
        <v/>
      </c>
      <c r="K2275" s="37" t="str">
        <f aca="false">IF(D2275="","",IFERROR(INDEX(rt_Billable,MATCH(D2275,rt_Code,0)),"Unknown"))</f>
        <v/>
      </c>
      <c r="L2275" s="38" t="str">
        <f aca="false">IF(K2275&lt;&gt;"Yes","",IFERROR(INDEX(cr_Rate,MATCH(J2275&amp;"|"&amp;D2275,cr_Key,0)),INDEX(rt_Rate,MATCH(D2275,rt_Code,0))))</f>
        <v/>
      </c>
      <c r="M2275" s="25" t="str">
        <f aca="false">IF(L2275="","",ROUND(N(E2275)*L2275,2))</f>
        <v/>
      </c>
      <c r="N2275" s="39" t="str">
        <f aca="false">IF(OR(A2275="",B2275=""),"",SUMIFS(tl_Hours,tl_StaffID,I2275,tl_Date,A2275))</f>
        <v/>
      </c>
      <c r="O2275" s="40" t="str">
        <f aca="false">IF(A2275&amp;B2275&amp;D2275="","",IF(OR(A2275="",B2275="",D2275="",E2275=""),"Incomplete",IF(K2275="Unknown","Unknown code",IF(AND(K2275="Yes",C2275=""),"Billable, needs client",IF(N2275&gt;MaxDayHours,"Over "&amp;MaxDayHours&amp;" hours that day","")))))</f>
        <v/>
      </c>
    </row>
    <row r="2276" customFormat="false" ht="15" hidden="false" customHeight="false" outlineLevel="0" collapsed="false">
      <c r="A2276" s="31"/>
      <c r="B2276" s="32"/>
      <c r="C2276" s="32"/>
      <c r="D2276" s="33"/>
      <c r="E2276" s="34"/>
      <c r="F2276" s="32"/>
      <c r="G2276" s="35" t="str">
        <f aca="false">IF(A2276="","",A2276+7-WEEKDAY(A2276))</f>
        <v/>
      </c>
      <c r="H2276" s="36" t="str">
        <f aca="false">IF(A2276="","",DATE(YEAR(A2276),MONTH(A2276),1))</f>
        <v/>
      </c>
      <c r="I2276" s="37" t="str">
        <f aca="false">IF(B2276="","",IFERROR(INDEX(st_ID,MATCH(B2276,st_Name,0)),"Unknown"))</f>
        <v/>
      </c>
      <c r="J2276" s="37" t="str">
        <f aca="false">IF(C2276="","",IFERROR(INDEX(cl_Code,MATCH(C2276,cl_Name,0)),"Unknown"))</f>
        <v/>
      </c>
      <c r="K2276" s="37" t="str">
        <f aca="false">IF(D2276="","",IFERROR(INDEX(rt_Billable,MATCH(D2276,rt_Code,0)),"Unknown"))</f>
        <v/>
      </c>
      <c r="L2276" s="38" t="str">
        <f aca="false">IF(K2276&lt;&gt;"Yes","",IFERROR(INDEX(cr_Rate,MATCH(J2276&amp;"|"&amp;D2276,cr_Key,0)),INDEX(rt_Rate,MATCH(D2276,rt_Code,0))))</f>
        <v/>
      </c>
      <c r="M2276" s="25" t="str">
        <f aca="false">IF(L2276="","",ROUND(N(E2276)*L2276,2))</f>
        <v/>
      </c>
      <c r="N2276" s="39" t="str">
        <f aca="false">IF(OR(A2276="",B2276=""),"",SUMIFS(tl_Hours,tl_StaffID,I2276,tl_Date,A2276))</f>
        <v/>
      </c>
      <c r="O2276" s="40" t="str">
        <f aca="false">IF(A2276&amp;B2276&amp;D2276="","",IF(OR(A2276="",B2276="",D2276="",E2276=""),"Incomplete",IF(K2276="Unknown","Unknown code",IF(AND(K2276="Yes",C2276=""),"Billable, needs client",IF(N2276&gt;MaxDayHours,"Over "&amp;MaxDayHours&amp;" hours that day","")))))</f>
        <v/>
      </c>
    </row>
    <row r="2277" customFormat="false" ht="15" hidden="false" customHeight="false" outlineLevel="0" collapsed="false">
      <c r="A2277" s="31"/>
      <c r="B2277" s="32"/>
      <c r="C2277" s="32"/>
      <c r="D2277" s="33"/>
      <c r="E2277" s="34"/>
      <c r="F2277" s="32"/>
      <c r="G2277" s="35" t="str">
        <f aca="false">IF(A2277="","",A2277+7-WEEKDAY(A2277))</f>
        <v/>
      </c>
      <c r="H2277" s="36" t="str">
        <f aca="false">IF(A2277="","",DATE(YEAR(A2277),MONTH(A2277),1))</f>
        <v/>
      </c>
      <c r="I2277" s="37" t="str">
        <f aca="false">IF(B2277="","",IFERROR(INDEX(st_ID,MATCH(B2277,st_Name,0)),"Unknown"))</f>
        <v/>
      </c>
      <c r="J2277" s="37" t="str">
        <f aca="false">IF(C2277="","",IFERROR(INDEX(cl_Code,MATCH(C2277,cl_Name,0)),"Unknown"))</f>
        <v/>
      </c>
      <c r="K2277" s="37" t="str">
        <f aca="false">IF(D2277="","",IFERROR(INDEX(rt_Billable,MATCH(D2277,rt_Code,0)),"Unknown"))</f>
        <v/>
      </c>
      <c r="L2277" s="38" t="str">
        <f aca="false">IF(K2277&lt;&gt;"Yes","",IFERROR(INDEX(cr_Rate,MATCH(J2277&amp;"|"&amp;D2277,cr_Key,0)),INDEX(rt_Rate,MATCH(D2277,rt_Code,0))))</f>
        <v/>
      </c>
      <c r="M2277" s="25" t="str">
        <f aca="false">IF(L2277="","",ROUND(N(E2277)*L2277,2))</f>
        <v/>
      </c>
      <c r="N2277" s="39" t="str">
        <f aca="false">IF(OR(A2277="",B2277=""),"",SUMIFS(tl_Hours,tl_StaffID,I2277,tl_Date,A2277))</f>
        <v/>
      </c>
      <c r="O2277" s="40" t="str">
        <f aca="false">IF(A2277&amp;B2277&amp;D2277="","",IF(OR(A2277="",B2277="",D2277="",E2277=""),"Incomplete",IF(K2277="Unknown","Unknown code",IF(AND(K2277="Yes",C2277=""),"Billable, needs client",IF(N2277&gt;MaxDayHours,"Over "&amp;MaxDayHours&amp;" hours that day","")))))</f>
        <v/>
      </c>
    </row>
    <row r="2278" customFormat="false" ht="15" hidden="false" customHeight="false" outlineLevel="0" collapsed="false">
      <c r="A2278" s="31"/>
      <c r="B2278" s="32"/>
      <c r="C2278" s="32"/>
      <c r="D2278" s="33"/>
      <c r="E2278" s="34"/>
      <c r="F2278" s="32"/>
      <c r="G2278" s="35" t="str">
        <f aca="false">IF(A2278="","",A2278+7-WEEKDAY(A2278))</f>
        <v/>
      </c>
      <c r="H2278" s="36" t="str">
        <f aca="false">IF(A2278="","",DATE(YEAR(A2278),MONTH(A2278),1))</f>
        <v/>
      </c>
      <c r="I2278" s="37" t="str">
        <f aca="false">IF(B2278="","",IFERROR(INDEX(st_ID,MATCH(B2278,st_Name,0)),"Unknown"))</f>
        <v/>
      </c>
      <c r="J2278" s="37" t="str">
        <f aca="false">IF(C2278="","",IFERROR(INDEX(cl_Code,MATCH(C2278,cl_Name,0)),"Unknown"))</f>
        <v/>
      </c>
      <c r="K2278" s="37" t="str">
        <f aca="false">IF(D2278="","",IFERROR(INDEX(rt_Billable,MATCH(D2278,rt_Code,0)),"Unknown"))</f>
        <v/>
      </c>
      <c r="L2278" s="38" t="str">
        <f aca="false">IF(K2278&lt;&gt;"Yes","",IFERROR(INDEX(cr_Rate,MATCH(J2278&amp;"|"&amp;D2278,cr_Key,0)),INDEX(rt_Rate,MATCH(D2278,rt_Code,0))))</f>
        <v/>
      </c>
      <c r="M2278" s="25" t="str">
        <f aca="false">IF(L2278="","",ROUND(N(E2278)*L2278,2))</f>
        <v/>
      </c>
      <c r="N2278" s="39" t="str">
        <f aca="false">IF(OR(A2278="",B2278=""),"",SUMIFS(tl_Hours,tl_StaffID,I2278,tl_Date,A2278))</f>
        <v/>
      </c>
      <c r="O2278" s="40" t="str">
        <f aca="false">IF(A2278&amp;B2278&amp;D2278="","",IF(OR(A2278="",B2278="",D2278="",E2278=""),"Incomplete",IF(K2278="Unknown","Unknown code",IF(AND(K2278="Yes",C2278=""),"Billable, needs client",IF(N2278&gt;MaxDayHours,"Over "&amp;MaxDayHours&amp;" hours that day","")))))</f>
        <v/>
      </c>
    </row>
    <row r="2279" customFormat="false" ht="15" hidden="false" customHeight="false" outlineLevel="0" collapsed="false">
      <c r="A2279" s="31"/>
      <c r="B2279" s="32"/>
      <c r="C2279" s="32"/>
      <c r="D2279" s="33"/>
      <c r="E2279" s="34"/>
      <c r="F2279" s="32"/>
      <c r="G2279" s="35" t="str">
        <f aca="false">IF(A2279="","",A2279+7-WEEKDAY(A2279))</f>
        <v/>
      </c>
      <c r="H2279" s="36" t="str">
        <f aca="false">IF(A2279="","",DATE(YEAR(A2279),MONTH(A2279),1))</f>
        <v/>
      </c>
      <c r="I2279" s="37" t="str">
        <f aca="false">IF(B2279="","",IFERROR(INDEX(st_ID,MATCH(B2279,st_Name,0)),"Unknown"))</f>
        <v/>
      </c>
      <c r="J2279" s="37" t="str">
        <f aca="false">IF(C2279="","",IFERROR(INDEX(cl_Code,MATCH(C2279,cl_Name,0)),"Unknown"))</f>
        <v/>
      </c>
      <c r="K2279" s="37" t="str">
        <f aca="false">IF(D2279="","",IFERROR(INDEX(rt_Billable,MATCH(D2279,rt_Code,0)),"Unknown"))</f>
        <v/>
      </c>
      <c r="L2279" s="38" t="str">
        <f aca="false">IF(K2279&lt;&gt;"Yes","",IFERROR(INDEX(cr_Rate,MATCH(J2279&amp;"|"&amp;D2279,cr_Key,0)),INDEX(rt_Rate,MATCH(D2279,rt_Code,0))))</f>
        <v/>
      </c>
      <c r="M2279" s="25" t="str">
        <f aca="false">IF(L2279="","",ROUND(N(E2279)*L2279,2))</f>
        <v/>
      </c>
      <c r="N2279" s="39" t="str">
        <f aca="false">IF(OR(A2279="",B2279=""),"",SUMIFS(tl_Hours,tl_StaffID,I2279,tl_Date,A2279))</f>
        <v/>
      </c>
      <c r="O2279" s="40" t="str">
        <f aca="false">IF(A2279&amp;B2279&amp;D2279="","",IF(OR(A2279="",B2279="",D2279="",E2279=""),"Incomplete",IF(K2279="Unknown","Unknown code",IF(AND(K2279="Yes",C2279=""),"Billable, needs client",IF(N2279&gt;MaxDayHours,"Over "&amp;MaxDayHours&amp;" hours that day","")))))</f>
        <v/>
      </c>
    </row>
    <row r="2280" customFormat="false" ht="15" hidden="false" customHeight="false" outlineLevel="0" collapsed="false">
      <c r="A2280" s="31"/>
      <c r="B2280" s="32"/>
      <c r="C2280" s="32"/>
      <c r="D2280" s="33"/>
      <c r="E2280" s="34"/>
      <c r="F2280" s="32"/>
      <c r="G2280" s="35" t="str">
        <f aca="false">IF(A2280="","",A2280+7-WEEKDAY(A2280))</f>
        <v/>
      </c>
      <c r="H2280" s="36" t="str">
        <f aca="false">IF(A2280="","",DATE(YEAR(A2280),MONTH(A2280),1))</f>
        <v/>
      </c>
      <c r="I2280" s="37" t="str">
        <f aca="false">IF(B2280="","",IFERROR(INDEX(st_ID,MATCH(B2280,st_Name,0)),"Unknown"))</f>
        <v/>
      </c>
      <c r="J2280" s="37" t="str">
        <f aca="false">IF(C2280="","",IFERROR(INDEX(cl_Code,MATCH(C2280,cl_Name,0)),"Unknown"))</f>
        <v/>
      </c>
      <c r="K2280" s="37" t="str">
        <f aca="false">IF(D2280="","",IFERROR(INDEX(rt_Billable,MATCH(D2280,rt_Code,0)),"Unknown"))</f>
        <v/>
      </c>
      <c r="L2280" s="38" t="str">
        <f aca="false">IF(K2280&lt;&gt;"Yes","",IFERROR(INDEX(cr_Rate,MATCH(J2280&amp;"|"&amp;D2280,cr_Key,0)),INDEX(rt_Rate,MATCH(D2280,rt_Code,0))))</f>
        <v/>
      </c>
      <c r="M2280" s="25" t="str">
        <f aca="false">IF(L2280="","",ROUND(N(E2280)*L2280,2))</f>
        <v/>
      </c>
      <c r="N2280" s="39" t="str">
        <f aca="false">IF(OR(A2280="",B2280=""),"",SUMIFS(tl_Hours,tl_StaffID,I2280,tl_Date,A2280))</f>
        <v/>
      </c>
      <c r="O2280" s="40" t="str">
        <f aca="false">IF(A2280&amp;B2280&amp;D2280="","",IF(OR(A2280="",B2280="",D2280="",E2280=""),"Incomplete",IF(K2280="Unknown","Unknown code",IF(AND(K2280="Yes",C2280=""),"Billable, needs client",IF(N2280&gt;MaxDayHours,"Over "&amp;MaxDayHours&amp;" hours that day","")))))</f>
        <v/>
      </c>
    </row>
    <row r="2281" customFormat="false" ht="15" hidden="false" customHeight="false" outlineLevel="0" collapsed="false">
      <c r="A2281" s="31"/>
      <c r="B2281" s="32"/>
      <c r="C2281" s="32"/>
      <c r="D2281" s="33"/>
      <c r="E2281" s="34"/>
      <c r="F2281" s="32"/>
      <c r="G2281" s="35" t="str">
        <f aca="false">IF(A2281="","",A2281+7-WEEKDAY(A2281))</f>
        <v/>
      </c>
      <c r="H2281" s="36" t="str">
        <f aca="false">IF(A2281="","",DATE(YEAR(A2281),MONTH(A2281),1))</f>
        <v/>
      </c>
      <c r="I2281" s="37" t="str">
        <f aca="false">IF(B2281="","",IFERROR(INDEX(st_ID,MATCH(B2281,st_Name,0)),"Unknown"))</f>
        <v/>
      </c>
      <c r="J2281" s="37" t="str">
        <f aca="false">IF(C2281="","",IFERROR(INDEX(cl_Code,MATCH(C2281,cl_Name,0)),"Unknown"))</f>
        <v/>
      </c>
      <c r="K2281" s="37" t="str">
        <f aca="false">IF(D2281="","",IFERROR(INDEX(rt_Billable,MATCH(D2281,rt_Code,0)),"Unknown"))</f>
        <v/>
      </c>
      <c r="L2281" s="38" t="str">
        <f aca="false">IF(K2281&lt;&gt;"Yes","",IFERROR(INDEX(cr_Rate,MATCH(J2281&amp;"|"&amp;D2281,cr_Key,0)),INDEX(rt_Rate,MATCH(D2281,rt_Code,0))))</f>
        <v/>
      </c>
      <c r="M2281" s="25" t="str">
        <f aca="false">IF(L2281="","",ROUND(N(E2281)*L2281,2))</f>
        <v/>
      </c>
      <c r="N2281" s="39" t="str">
        <f aca="false">IF(OR(A2281="",B2281=""),"",SUMIFS(tl_Hours,tl_StaffID,I2281,tl_Date,A2281))</f>
        <v/>
      </c>
      <c r="O2281" s="40" t="str">
        <f aca="false">IF(A2281&amp;B2281&amp;D2281="","",IF(OR(A2281="",B2281="",D2281="",E2281=""),"Incomplete",IF(K2281="Unknown","Unknown code",IF(AND(K2281="Yes",C2281=""),"Billable, needs client",IF(N2281&gt;MaxDayHours,"Over "&amp;MaxDayHours&amp;" hours that day","")))))</f>
        <v/>
      </c>
    </row>
    <row r="2282" customFormat="false" ht="15" hidden="false" customHeight="false" outlineLevel="0" collapsed="false">
      <c r="A2282" s="31"/>
      <c r="B2282" s="32"/>
      <c r="C2282" s="32"/>
      <c r="D2282" s="33"/>
      <c r="E2282" s="34"/>
      <c r="F2282" s="32"/>
      <c r="G2282" s="35" t="str">
        <f aca="false">IF(A2282="","",A2282+7-WEEKDAY(A2282))</f>
        <v/>
      </c>
      <c r="H2282" s="36" t="str">
        <f aca="false">IF(A2282="","",DATE(YEAR(A2282),MONTH(A2282),1))</f>
        <v/>
      </c>
      <c r="I2282" s="37" t="str">
        <f aca="false">IF(B2282="","",IFERROR(INDEX(st_ID,MATCH(B2282,st_Name,0)),"Unknown"))</f>
        <v/>
      </c>
      <c r="J2282" s="37" t="str">
        <f aca="false">IF(C2282="","",IFERROR(INDEX(cl_Code,MATCH(C2282,cl_Name,0)),"Unknown"))</f>
        <v/>
      </c>
      <c r="K2282" s="37" t="str">
        <f aca="false">IF(D2282="","",IFERROR(INDEX(rt_Billable,MATCH(D2282,rt_Code,0)),"Unknown"))</f>
        <v/>
      </c>
      <c r="L2282" s="38" t="str">
        <f aca="false">IF(K2282&lt;&gt;"Yes","",IFERROR(INDEX(cr_Rate,MATCH(J2282&amp;"|"&amp;D2282,cr_Key,0)),INDEX(rt_Rate,MATCH(D2282,rt_Code,0))))</f>
        <v/>
      </c>
      <c r="M2282" s="25" t="str">
        <f aca="false">IF(L2282="","",ROUND(N(E2282)*L2282,2))</f>
        <v/>
      </c>
      <c r="N2282" s="39" t="str">
        <f aca="false">IF(OR(A2282="",B2282=""),"",SUMIFS(tl_Hours,tl_StaffID,I2282,tl_Date,A2282))</f>
        <v/>
      </c>
      <c r="O2282" s="40" t="str">
        <f aca="false">IF(A2282&amp;B2282&amp;D2282="","",IF(OR(A2282="",B2282="",D2282="",E2282=""),"Incomplete",IF(K2282="Unknown","Unknown code",IF(AND(K2282="Yes",C2282=""),"Billable, needs client",IF(N2282&gt;MaxDayHours,"Over "&amp;MaxDayHours&amp;" hours that day","")))))</f>
        <v/>
      </c>
    </row>
    <row r="2283" customFormat="false" ht="15" hidden="false" customHeight="false" outlineLevel="0" collapsed="false">
      <c r="A2283" s="31"/>
      <c r="B2283" s="32"/>
      <c r="C2283" s="32"/>
      <c r="D2283" s="33"/>
      <c r="E2283" s="34"/>
      <c r="F2283" s="32"/>
      <c r="G2283" s="35" t="str">
        <f aca="false">IF(A2283="","",A2283+7-WEEKDAY(A2283))</f>
        <v/>
      </c>
      <c r="H2283" s="36" t="str">
        <f aca="false">IF(A2283="","",DATE(YEAR(A2283),MONTH(A2283),1))</f>
        <v/>
      </c>
      <c r="I2283" s="37" t="str">
        <f aca="false">IF(B2283="","",IFERROR(INDEX(st_ID,MATCH(B2283,st_Name,0)),"Unknown"))</f>
        <v/>
      </c>
      <c r="J2283" s="37" t="str">
        <f aca="false">IF(C2283="","",IFERROR(INDEX(cl_Code,MATCH(C2283,cl_Name,0)),"Unknown"))</f>
        <v/>
      </c>
      <c r="K2283" s="37" t="str">
        <f aca="false">IF(D2283="","",IFERROR(INDEX(rt_Billable,MATCH(D2283,rt_Code,0)),"Unknown"))</f>
        <v/>
      </c>
      <c r="L2283" s="38" t="str">
        <f aca="false">IF(K2283&lt;&gt;"Yes","",IFERROR(INDEX(cr_Rate,MATCH(J2283&amp;"|"&amp;D2283,cr_Key,0)),INDEX(rt_Rate,MATCH(D2283,rt_Code,0))))</f>
        <v/>
      </c>
      <c r="M2283" s="25" t="str">
        <f aca="false">IF(L2283="","",ROUND(N(E2283)*L2283,2))</f>
        <v/>
      </c>
      <c r="N2283" s="39" t="str">
        <f aca="false">IF(OR(A2283="",B2283=""),"",SUMIFS(tl_Hours,tl_StaffID,I2283,tl_Date,A2283))</f>
        <v/>
      </c>
      <c r="O2283" s="40" t="str">
        <f aca="false">IF(A2283&amp;B2283&amp;D2283="","",IF(OR(A2283="",B2283="",D2283="",E2283=""),"Incomplete",IF(K2283="Unknown","Unknown code",IF(AND(K2283="Yes",C2283=""),"Billable, needs client",IF(N2283&gt;MaxDayHours,"Over "&amp;MaxDayHours&amp;" hours that day","")))))</f>
        <v/>
      </c>
    </row>
    <row r="2284" customFormat="false" ht="15" hidden="false" customHeight="false" outlineLevel="0" collapsed="false">
      <c r="A2284" s="31"/>
      <c r="B2284" s="32"/>
      <c r="C2284" s="32"/>
      <c r="D2284" s="33"/>
      <c r="E2284" s="34"/>
      <c r="F2284" s="32"/>
      <c r="G2284" s="35" t="str">
        <f aca="false">IF(A2284="","",A2284+7-WEEKDAY(A2284))</f>
        <v/>
      </c>
      <c r="H2284" s="36" t="str">
        <f aca="false">IF(A2284="","",DATE(YEAR(A2284),MONTH(A2284),1))</f>
        <v/>
      </c>
      <c r="I2284" s="37" t="str">
        <f aca="false">IF(B2284="","",IFERROR(INDEX(st_ID,MATCH(B2284,st_Name,0)),"Unknown"))</f>
        <v/>
      </c>
      <c r="J2284" s="37" t="str">
        <f aca="false">IF(C2284="","",IFERROR(INDEX(cl_Code,MATCH(C2284,cl_Name,0)),"Unknown"))</f>
        <v/>
      </c>
      <c r="K2284" s="37" t="str">
        <f aca="false">IF(D2284="","",IFERROR(INDEX(rt_Billable,MATCH(D2284,rt_Code,0)),"Unknown"))</f>
        <v/>
      </c>
      <c r="L2284" s="38" t="str">
        <f aca="false">IF(K2284&lt;&gt;"Yes","",IFERROR(INDEX(cr_Rate,MATCH(J2284&amp;"|"&amp;D2284,cr_Key,0)),INDEX(rt_Rate,MATCH(D2284,rt_Code,0))))</f>
        <v/>
      </c>
      <c r="M2284" s="25" t="str">
        <f aca="false">IF(L2284="","",ROUND(N(E2284)*L2284,2))</f>
        <v/>
      </c>
      <c r="N2284" s="39" t="str">
        <f aca="false">IF(OR(A2284="",B2284=""),"",SUMIFS(tl_Hours,tl_StaffID,I2284,tl_Date,A2284))</f>
        <v/>
      </c>
      <c r="O2284" s="40" t="str">
        <f aca="false">IF(A2284&amp;B2284&amp;D2284="","",IF(OR(A2284="",B2284="",D2284="",E2284=""),"Incomplete",IF(K2284="Unknown","Unknown code",IF(AND(K2284="Yes",C2284=""),"Billable, needs client",IF(N2284&gt;MaxDayHours,"Over "&amp;MaxDayHours&amp;" hours that day","")))))</f>
        <v/>
      </c>
    </row>
    <row r="2285" customFormat="false" ht="15" hidden="false" customHeight="false" outlineLevel="0" collapsed="false">
      <c r="A2285" s="31"/>
      <c r="B2285" s="32"/>
      <c r="C2285" s="32"/>
      <c r="D2285" s="33"/>
      <c r="E2285" s="34"/>
      <c r="F2285" s="32"/>
      <c r="G2285" s="35" t="str">
        <f aca="false">IF(A2285="","",A2285+7-WEEKDAY(A2285))</f>
        <v/>
      </c>
      <c r="H2285" s="36" t="str">
        <f aca="false">IF(A2285="","",DATE(YEAR(A2285),MONTH(A2285),1))</f>
        <v/>
      </c>
      <c r="I2285" s="37" t="str">
        <f aca="false">IF(B2285="","",IFERROR(INDEX(st_ID,MATCH(B2285,st_Name,0)),"Unknown"))</f>
        <v/>
      </c>
      <c r="J2285" s="37" t="str">
        <f aca="false">IF(C2285="","",IFERROR(INDEX(cl_Code,MATCH(C2285,cl_Name,0)),"Unknown"))</f>
        <v/>
      </c>
      <c r="K2285" s="37" t="str">
        <f aca="false">IF(D2285="","",IFERROR(INDEX(rt_Billable,MATCH(D2285,rt_Code,0)),"Unknown"))</f>
        <v/>
      </c>
      <c r="L2285" s="38" t="str">
        <f aca="false">IF(K2285&lt;&gt;"Yes","",IFERROR(INDEX(cr_Rate,MATCH(J2285&amp;"|"&amp;D2285,cr_Key,0)),INDEX(rt_Rate,MATCH(D2285,rt_Code,0))))</f>
        <v/>
      </c>
      <c r="M2285" s="25" t="str">
        <f aca="false">IF(L2285="","",ROUND(N(E2285)*L2285,2))</f>
        <v/>
      </c>
      <c r="N2285" s="39" t="str">
        <f aca="false">IF(OR(A2285="",B2285=""),"",SUMIFS(tl_Hours,tl_StaffID,I2285,tl_Date,A2285))</f>
        <v/>
      </c>
      <c r="O2285" s="40" t="str">
        <f aca="false">IF(A2285&amp;B2285&amp;D2285="","",IF(OR(A2285="",B2285="",D2285="",E2285=""),"Incomplete",IF(K2285="Unknown","Unknown code",IF(AND(K2285="Yes",C2285=""),"Billable, needs client",IF(N2285&gt;MaxDayHours,"Over "&amp;MaxDayHours&amp;" hours that day","")))))</f>
        <v/>
      </c>
    </row>
    <row r="2286" customFormat="false" ht="15" hidden="false" customHeight="false" outlineLevel="0" collapsed="false">
      <c r="A2286" s="31"/>
      <c r="B2286" s="32"/>
      <c r="C2286" s="32"/>
      <c r="D2286" s="33"/>
      <c r="E2286" s="34"/>
      <c r="F2286" s="32"/>
      <c r="G2286" s="35" t="str">
        <f aca="false">IF(A2286="","",A2286+7-WEEKDAY(A2286))</f>
        <v/>
      </c>
      <c r="H2286" s="36" t="str">
        <f aca="false">IF(A2286="","",DATE(YEAR(A2286),MONTH(A2286),1))</f>
        <v/>
      </c>
      <c r="I2286" s="37" t="str">
        <f aca="false">IF(B2286="","",IFERROR(INDEX(st_ID,MATCH(B2286,st_Name,0)),"Unknown"))</f>
        <v/>
      </c>
      <c r="J2286" s="37" t="str">
        <f aca="false">IF(C2286="","",IFERROR(INDEX(cl_Code,MATCH(C2286,cl_Name,0)),"Unknown"))</f>
        <v/>
      </c>
      <c r="K2286" s="37" t="str">
        <f aca="false">IF(D2286="","",IFERROR(INDEX(rt_Billable,MATCH(D2286,rt_Code,0)),"Unknown"))</f>
        <v/>
      </c>
      <c r="L2286" s="38" t="str">
        <f aca="false">IF(K2286&lt;&gt;"Yes","",IFERROR(INDEX(cr_Rate,MATCH(J2286&amp;"|"&amp;D2286,cr_Key,0)),INDEX(rt_Rate,MATCH(D2286,rt_Code,0))))</f>
        <v/>
      </c>
      <c r="M2286" s="25" t="str">
        <f aca="false">IF(L2286="","",ROUND(N(E2286)*L2286,2))</f>
        <v/>
      </c>
      <c r="N2286" s="39" t="str">
        <f aca="false">IF(OR(A2286="",B2286=""),"",SUMIFS(tl_Hours,tl_StaffID,I2286,tl_Date,A2286))</f>
        <v/>
      </c>
      <c r="O2286" s="40" t="str">
        <f aca="false">IF(A2286&amp;B2286&amp;D2286="","",IF(OR(A2286="",B2286="",D2286="",E2286=""),"Incomplete",IF(K2286="Unknown","Unknown code",IF(AND(K2286="Yes",C2286=""),"Billable, needs client",IF(N2286&gt;MaxDayHours,"Over "&amp;MaxDayHours&amp;" hours that day","")))))</f>
        <v/>
      </c>
    </row>
    <row r="2287" customFormat="false" ht="15" hidden="false" customHeight="false" outlineLevel="0" collapsed="false">
      <c r="A2287" s="31"/>
      <c r="B2287" s="32"/>
      <c r="C2287" s="32"/>
      <c r="D2287" s="33"/>
      <c r="E2287" s="34"/>
      <c r="F2287" s="32"/>
      <c r="G2287" s="35" t="str">
        <f aca="false">IF(A2287="","",A2287+7-WEEKDAY(A2287))</f>
        <v/>
      </c>
      <c r="H2287" s="36" t="str">
        <f aca="false">IF(A2287="","",DATE(YEAR(A2287),MONTH(A2287),1))</f>
        <v/>
      </c>
      <c r="I2287" s="37" t="str">
        <f aca="false">IF(B2287="","",IFERROR(INDEX(st_ID,MATCH(B2287,st_Name,0)),"Unknown"))</f>
        <v/>
      </c>
      <c r="J2287" s="37" t="str">
        <f aca="false">IF(C2287="","",IFERROR(INDEX(cl_Code,MATCH(C2287,cl_Name,0)),"Unknown"))</f>
        <v/>
      </c>
      <c r="K2287" s="37" t="str">
        <f aca="false">IF(D2287="","",IFERROR(INDEX(rt_Billable,MATCH(D2287,rt_Code,0)),"Unknown"))</f>
        <v/>
      </c>
      <c r="L2287" s="38" t="str">
        <f aca="false">IF(K2287&lt;&gt;"Yes","",IFERROR(INDEX(cr_Rate,MATCH(J2287&amp;"|"&amp;D2287,cr_Key,0)),INDEX(rt_Rate,MATCH(D2287,rt_Code,0))))</f>
        <v/>
      </c>
      <c r="M2287" s="25" t="str">
        <f aca="false">IF(L2287="","",ROUND(N(E2287)*L2287,2))</f>
        <v/>
      </c>
      <c r="N2287" s="39" t="str">
        <f aca="false">IF(OR(A2287="",B2287=""),"",SUMIFS(tl_Hours,tl_StaffID,I2287,tl_Date,A2287))</f>
        <v/>
      </c>
      <c r="O2287" s="40" t="str">
        <f aca="false">IF(A2287&amp;B2287&amp;D2287="","",IF(OR(A2287="",B2287="",D2287="",E2287=""),"Incomplete",IF(K2287="Unknown","Unknown code",IF(AND(K2287="Yes",C2287=""),"Billable, needs client",IF(N2287&gt;MaxDayHours,"Over "&amp;MaxDayHours&amp;" hours that day","")))))</f>
        <v/>
      </c>
    </row>
    <row r="2288" customFormat="false" ht="15" hidden="false" customHeight="false" outlineLevel="0" collapsed="false">
      <c r="A2288" s="31"/>
      <c r="B2288" s="32"/>
      <c r="C2288" s="32"/>
      <c r="D2288" s="33"/>
      <c r="E2288" s="34"/>
      <c r="F2288" s="32"/>
      <c r="G2288" s="35" t="str">
        <f aca="false">IF(A2288="","",A2288+7-WEEKDAY(A2288))</f>
        <v/>
      </c>
      <c r="H2288" s="36" t="str">
        <f aca="false">IF(A2288="","",DATE(YEAR(A2288),MONTH(A2288),1))</f>
        <v/>
      </c>
      <c r="I2288" s="37" t="str">
        <f aca="false">IF(B2288="","",IFERROR(INDEX(st_ID,MATCH(B2288,st_Name,0)),"Unknown"))</f>
        <v/>
      </c>
      <c r="J2288" s="37" t="str">
        <f aca="false">IF(C2288="","",IFERROR(INDEX(cl_Code,MATCH(C2288,cl_Name,0)),"Unknown"))</f>
        <v/>
      </c>
      <c r="K2288" s="37" t="str">
        <f aca="false">IF(D2288="","",IFERROR(INDEX(rt_Billable,MATCH(D2288,rt_Code,0)),"Unknown"))</f>
        <v/>
      </c>
      <c r="L2288" s="38" t="str">
        <f aca="false">IF(K2288&lt;&gt;"Yes","",IFERROR(INDEX(cr_Rate,MATCH(J2288&amp;"|"&amp;D2288,cr_Key,0)),INDEX(rt_Rate,MATCH(D2288,rt_Code,0))))</f>
        <v/>
      </c>
      <c r="M2288" s="25" t="str">
        <f aca="false">IF(L2288="","",ROUND(N(E2288)*L2288,2))</f>
        <v/>
      </c>
      <c r="N2288" s="39" t="str">
        <f aca="false">IF(OR(A2288="",B2288=""),"",SUMIFS(tl_Hours,tl_StaffID,I2288,tl_Date,A2288))</f>
        <v/>
      </c>
      <c r="O2288" s="40" t="str">
        <f aca="false">IF(A2288&amp;B2288&amp;D2288="","",IF(OR(A2288="",B2288="",D2288="",E2288=""),"Incomplete",IF(K2288="Unknown","Unknown code",IF(AND(K2288="Yes",C2288=""),"Billable, needs client",IF(N2288&gt;MaxDayHours,"Over "&amp;MaxDayHours&amp;" hours that day","")))))</f>
        <v/>
      </c>
    </row>
    <row r="2289" customFormat="false" ht="15" hidden="false" customHeight="false" outlineLevel="0" collapsed="false">
      <c r="A2289" s="31"/>
      <c r="B2289" s="32"/>
      <c r="C2289" s="32"/>
      <c r="D2289" s="33"/>
      <c r="E2289" s="34"/>
      <c r="F2289" s="32"/>
      <c r="G2289" s="35" t="str">
        <f aca="false">IF(A2289="","",A2289+7-WEEKDAY(A2289))</f>
        <v/>
      </c>
      <c r="H2289" s="36" t="str">
        <f aca="false">IF(A2289="","",DATE(YEAR(A2289),MONTH(A2289),1))</f>
        <v/>
      </c>
      <c r="I2289" s="37" t="str">
        <f aca="false">IF(B2289="","",IFERROR(INDEX(st_ID,MATCH(B2289,st_Name,0)),"Unknown"))</f>
        <v/>
      </c>
      <c r="J2289" s="37" t="str">
        <f aca="false">IF(C2289="","",IFERROR(INDEX(cl_Code,MATCH(C2289,cl_Name,0)),"Unknown"))</f>
        <v/>
      </c>
      <c r="K2289" s="37" t="str">
        <f aca="false">IF(D2289="","",IFERROR(INDEX(rt_Billable,MATCH(D2289,rt_Code,0)),"Unknown"))</f>
        <v/>
      </c>
      <c r="L2289" s="38" t="str">
        <f aca="false">IF(K2289&lt;&gt;"Yes","",IFERROR(INDEX(cr_Rate,MATCH(J2289&amp;"|"&amp;D2289,cr_Key,0)),INDEX(rt_Rate,MATCH(D2289,rt_Code,0))))</f>
        <v/>
      </c>
      <c r="M2289" s="25" t="str">
        <f aca="false">IF(L2289="","",ROUND(N(E2289)*L2289,2))</f>
        <v/>
      </c>
      <c r="N2289" s="39" t="str">
        <f aca="false">IF(OR(A2289="",B2289=""),"",SUMIFS(tl_Hours,tl_StaffID,I2289,tl_Date,A2289))</f>
        <v/>
      </c>
      <c r="O2289" s="40" t="str">
        <f aca="false">IF(A2289&amp;B2289&amp;D2289="","",IF(OR(A2289="",B2289="",D2289="",E2289=""),"Incomplete",IF(K2289="Unknown","Unknown code",IF(AND(K2289="Yes",C2289=""),"Billable, needs client",IF(N2289&gt;MaxDayHours,"Over "&amp;MaxDayHours&amp;" hours that day","")))))</f>
        <v/>
      </c>
    </row>
    <row r="2290" customFormat="false" ht="15" hidden="false" customHeight="false" outlineLevel="0" collapsed="false">
      <c r="A2290" s="31"/>
      <c r="B2290" s="32"/>
      <c r="C2290" s="32"/>
      <c r="D2290" s="33"/>
      <c r="E2290" s="34"/>
      <c r="F2290" s="32"/>
      <c r="G2290" s="35" t="str">
        <f aca="false">IF(A2290="","",A2290+7-WEEKDAY(A2290))</f>
        <v/>
      </c>
      <c r="H2290" s="36" t="str">
        <f aca="false">IF(A2290="","",DATE(YEAR(A2290),MONTH(A2290),1))</f>
        <v/>
      </c>
      <c r="I2290" s="37" t="str">
        <f aca="false">IF(B2290="","",IFERROR(INDEX(st_ID,MATCH(B2290,st_Name,0)),"Unknown"))</f>
        <v/>
      </c>
      <c r="J2290" s="37" t="str">
        <f aca="false">IF(C2290="","",IFERROR(INDEX(cl_Code,MATCH(C2290,cl_Name,0)),"Unknown"))</f>
        <v/>
      </c>
      <c r="K2290" s="37" t="str">
        <f aca="false">IF(D2290="","",IFERROR(INDEX(rt_Billable,MATCH(D2290,rt_Code,0)),"Unknown"))</f>
        <v/>
      </c>
      <c r="L2290" s="38" t="str">
        <f aca="false">IF(K2290&lt;&gt;"Yes","",IFERROR(INDEX(cr_Rate,MATCH(J2290&amp;"|"&amp;D2290,cr_Key,0)),INDEX(rt_Rate,MATCH(D2290,rt_Code,0))))</f>
        <v/>
      </c>
      <c r="M2290" s="25" t="str">
        <f aca="false">IF(L2290="","",ROUND(N(E2290)*L2290,2))</f>
        <v/>
      </c>
      <c r="N2290" s="39" t="str">
        <f aca="false">IF(OR(A2290="",B2290=""),"",SUMIFS(tl_Hours,tl_StaffID,I2290,tl_Date,A2290))</f>
        <v/>
      </c>
      <c r="O2290" s="40" t="str">
        <f aca="false">IF(A2290&amp;B2290&amp;D2290="","",IF(OR(A2290="",B2290="",D2290="",E2290=""),"Incomplete",IF(K2290="Unknown","Unknown code",IF(AND(K2290="Yes",C2290=""),"Billable, needs client",IF(N2290&gt;MaxDayHours,"Over "&amp;MaxDayHours&amp;" hours that day","")))))</f>
        <v/>
      </c>
    </row>
    <row r="2291" customFormat="false" ht="15" hidden="false" customHeight="false" outlineLevel="0" collapsed="false">
      <c r="A2291" s="31"/>
      <c r="B2291" s="32"/>
      <c r="C2291" s="32"/>
      <c r="D2291" s="33"/>
      <c r="E2291" s="34"/>
      <c r="F2291" s="32"/>
      <c r="G2291" s="35" t="str">
        <f aca="false">IF(A2291="","",A2291+7-WEEKDAY(A2291))</f>
        <v/>
      </c>
      <c r="H2291" s="36" t="str">
        <f aca="false">IF(A2291="","",DATE(YEAR(A2291),MONTH(A2291),1))</f>
        <v/>
      </c>
      <c r="I2291" s="37" t="str">
        <f aca="false">IF(B2291="","",IFERROR(INDEX(st_ID,MATCH(B2291,st_Name,0)),"Unknown"))</f>
        <v/>
      </c>
      <c r="J2291" s="37" t="str">
        <f aca="false">IF(C2291="","",IFERROR(INDEX(cl_Code,MATCH(C2291,cl_Name,0)),"Unknown"))</f>
        <v/>
      </c>
      <c r="K2291" s="37" t="str">
        <f aca="false">IF(D2291="","",IFERROR(INDEX(rt_Billable,MATCH(D2291,rt_Code,0)),"Unknown"))</f>
        <v/>
      </c>
      <c r="L2291" s="38" t="str">
        <f aca="false">IF(K2291&lt;&gt;"Yes","",IFERROR(INDEX(cr_Rate,MATCH(J2291&amp;"|"&amp;D2291,cr_Key,0)),INDEX(rt_Rate,MATCH(D2291,rt_Code,0))))</f>
        <v/>
      </c>
      <c r="M2291" s="25" t="str">
        <f aca="false">IF(L2291="","",ROUND(N(E2291)*L2291,2))</f>
        <v/>
      </c>
      <c r="N2291" s="39" t="str">
        <f aca="false">IF(OR(A2291="",B2291=""),"",SUMIFS(tl_Hours,tl_StaffID,I2291,tl_Date,A2291))</f>
        <v/>
      </c>
      <c r="O2291" s="40" t="str">
        <f aca="false">IF(A2291&amp;B2291&amp;D2291="","",IF(OR(A2291="",B2291="",D2291="",E2291=""),"Incomplete",IF(K2291="Unknown","Unknown code",IF(AND(K2291="Yes",C2291=""),"Billable, needs client",IF(N2291&gt;MaxDayHours,"Over "&amp;MaxDayHours&amp;" hours that day","")))))</f>
        <v/>
      </c>
    </row>
    <row r="2292" customFormat="false" ht="15" hidden="false" customHeight="false" outlineLevel="0" collapsed="false">
      <c r="A2292" s="31"/>
      <c r="B2292" s="32"/>
      <c r="C2292" s="32"/>
      <c r="D2292" s="33"/>
      <c r="E2292" s="34"/>
      <c r="F2292" s="32"/>
      <c r="G2292" s="35" t="str">
        <f aca="false">IF(A2292="","",A2292+7-WEEKDAY(A2292))</f>
        <v/>
      </c>
      <c r="H2292" s="36" t="str">
        <f aca="false">IF(A2292="","",DATE(YEAR(A2292),MONTH(A2292),1))</f>
        <v/>
      </c>
      <c r="I2292" s="37" t="str">
        <f aca="false">IF(B2292="","",IFERROR(INDEX(st_ID,MATCH(B2292,st_Name,0)),"Unknown"))</f>
        <v/>
      </c>
      <c r="J2292" s="37" t="str">
        <f aca="false">IF(C2292="","",IFERROR(INDEX(cl_Code,MATCH(C2292,cl_Name,0)),"Unknown"))</f>
        <v/>
      </c>
      <c r="K2292" s="37" t="str">
        <f aca="false">IF(D2292="","",IFERROR(INDEX(rt_Billable,MATCH(D2292,rt_Code,0)),"Unknown"))</f>
        <v/>
      </c>
      <c r="L2292" s="38" t="str">
        <f aca="false">IF(K2292&lt;&gt;"Yes","",IFERROR(INDEX(cr_Rate,MATCH(J2292&amp;"|"&amp;D2292,cr_Key,0)),INDEX(rt_Rate,MATCH(D2292,rt_Code,0))))</f>
        <v/>
      </c>
      <c r="M2292" s="25" t="str">
        <f aca="false">IF(L2292="","",ROUND(N(E2292)*L2292,2))</f>
        <v/>
      </c>
      <c r="N2292" s="39" t="str">
        <f aca="false">IF(OR(A2292="",B2292=""),"",SUMIFS(tl_Hours,tl_StaffID,I2292,tl_Date,A2292))</f>
        <v/>
      </c>
      <c r="O2292" s="40" t="str">
        <f aca="false">IF(A2292&amp;B2292&amp;D2292="","",IF(OR(A2292="",B2292="",D2292="",E2292=""),"Incomplete",IF(K2292="Unknown","Unknown code",IF(AND(K2292="Yes",C2292=""),"Billable, needs client",IF(N2292&gt;MaxDayHours,"Over "&amp;MaxDayHours&amp;" hours that day","")))))</f>
        <v/>
      </c>
    </row>
    <row r="2293" customFormat="false" ht="15" hidden="false" customHeight="false" outlineLevel="0" collapsed="false">
      <c r="A2293" s="31"/>
      <c r="B2293" s="32"/>
      <c r="C2293" s="32"/>
      <c r="D2293" s="33"/>
      <c r="E2293" s="34"/>
      <c r="F2293" s="32"/>
      <c r="G2293" s="35" t="str">
        <f aca="false">IF(A2293="","",A2293+7-WEEKDAY(A2293))</f>
        <v/>
      </c>
      <c r="H2293" s="36" t="str">
        <f aca="false">IF(A2293="","",DATE(YEAR(A2293),MONTH(A2293),1))</f>
        <v/>
      </c>
      <c r="I2293" s="37" t="str">
        <f aca="false">IF(B2293="","",IFERROR(INDEX(st_ID,MATCH(B2293,st_Name,0)),"Unknown"))</f>
        <v/>
      </c>
      <c r="J2293" s="37" t="str">
        <f aca="false">IF(C2293="","",IFERROR(INDEX(cl_Code,MATCH(C2293,cl_Name,0)),"Unknown"))</f>
        <v/>
      </c>
      <c r="K2293" s="37" t="str">
        <f aca="false">IF(D2293="","",IFERROR(INDEX(rt_Billable,MATCH(D2293,rt_Code,0)),"Unknown"))</f>
        <v/>
      </c>
      <c r="L2293" s="38" t="str">
        <f aca="false">IF(K2293&lt;&gt;"Yes","",IFERROR(INDEX(cr_Rate,MATCH(J2293&amp;"|"&amp;D2293,cr_Key,0)),INDEX(rt_Rate,MATCH(D2293,rt_Code,0))))</f>
        <v/>
      </c>
      <c r="M2293" s="25" t="str">
        <f aca="false">IF(L2293="","",ROUND(N(E2293)*L2293,2))</f>
        <v/>
      </c>
      <c r="N2293" s="39" t="str">
        <f aca="false">IF(OR(A2293="",B2293=""),"",SUMIFS(tl_Hours,tl_StaffID,I2293,tl_Date,A2293))</f>
        <v/>
      </c>
      <c r="O2293" s="40" t="str">
        <f aca="false">IF(A2293&amp;B2293&amp;D2293="","",IF(OR(A2293="",B2293="",D2293="",E2293=""),"Incomplete",IF(K2293="Unknown","Unknown code",IF(AND(K2293="Yes",C2293=""),"Billable, needs client",IF(N2293&gt;MaxDayHours,"Over "&amp;MaxDayHours&amp;" hours that day","")))))</f>
        <v/>
      </c>
    </row>
    <row r="2294" customFormat="false" ht="15" hidden="false" customHeight="false" outlineLevel="0" collapsed="false">
      <c r="A2294" s="31"/>
      <c r="B2294" s="32"/>
      <c r="C2294" s="32"/>
      <c r="D2294" s="33"/>
      <c r="E2294" s="34"/>
      <c r="F2294" s="32"/>
      <c r="G2294" s="35" t="str">
        <f aca="false">IF(A2294="","",A2294+7-WEEKDAY(A2294))</f>
        <v/>
      </c>
      <c r="H2294" s="36" t="str">
        <f aca="false">IF(A2294="","",DATE(YEAR(A2294),MONTH(A2294),1))</f>
        <v/>
      </c>
      <c r="I2294" s="37" t="str">
        <f aca="false">IF(B2294="","",IFERROR(INDEX(st_ID,MATCH(B2294,st_Name,0)),"Unknown"))</f>
        <v/>
      </c>
      <c r="J2294" s="37" t="str">
        <f aca="false">IF(C2294="","",IFERROR(INDEX(cl_Code,MATCH(C2294,cl_Name,0)),"Unknown"))</f>
        <v/>
      </c>
      <c r="K2294" s="37" t="str">
        <f aca="false">IF(D2294="","",IFERROR(INDEX(rt_Billable,MATCH(D2294,rt_Code,0)),"Unknown"))</f>
        <v/>
      </c>
      <c r="L2294" s="38" t="str">
        <f aca="false">IF(K2294&lt;&gt;"Yes","",IFERROR(INDEX(cr_Rate,MATCH(J2294&amp;"|"&amp;D2294,cr_Key,0)),INDEX(rt_Rate,MATCH(D2294,rt_Code,0))))</f>
        <v/>
      </c>
      <c r="M2294" s="25" t="str">
        <f aca="false">IF(L2294="","",ROUND(N(E2294)*L2294,2))</f>
        <v/>
      </c>
      <c r="N2294" s="39" t="str">
        <f aca="false">IF(OR(A2294="",B2294=""),"",SUMIFS(tl_Hours,tl_StaffID,I2294,tl_Date,A2294))</f>
        <v/>
      </c>
      <c r="O2294" s="40" t="str">
        <f aca="false">IF(A2294&amp;B2294&amp;D2294="","",IF(OR(A2294="",B2294="",D2294="",E2294=""),"Incomplete",IF(K2294="Unknown","Unknown code",IF(AND(K2294="Yes",C2294=""),"Billable, needs client",IF(N2294&gt;MaxDayHours,"Over "&amp;MaxDayHours&amp;" hours that day","")))))</f>
        <v/>
      </c>
    </row>
    <row r="2295" customFormat="false" ht="15" hidden="false" customHeight="false" outlineLevel="0" collapsed="false">
      <c r="A2295" s="31"/>
      <c r="B2295" s="32"/>
      <c r="C2295" s="32"/>
      <c r="D2295" s="33"/>
      <c r="E2295" s="34"/>
      <c r="F2295" s="32"/>
      <c r="G2295" s="35" t="str">
        <f aca="false">IF(A2295="","",A2295+7-WEEKDAY(A2295))</f>
        <v/>
      </c>
      <c r="H2295" s="36" t="str">
        <f aca="false">IF(A2295="","",DATE(YEAR(A2295),MONTH(A2295),1))</f>
        <v/>
      </c>
      <c r="I2295" s="37" t="str">
        <f aca="false">IF(B2295="","",IFERROR(INDEX(st_ID,MATCH(B2295,st_Name,0)),"Unknown"))</f>
        <v/>
      </c>
      <c r="J2295" s="37" t="str">
        <f aca="false">IF(C2295="","",IFERROR(INDEX(cl_Code,MATCH(C2295,cl_Name,0)),"Unknown"))</f>
        <v/>
      </c>
      <c r="K2295" s="37" t="str">
        <f aca="false">IF(D2295="","",IFERROR(INDEX(rt_Billable,MATCH(D2295,rt_Code,0)),"Unknown"))</f>
        <v/>
      </c>
      <c r="L2295" s="38" t="str">
        <f aca="false">IF(K2295&lt;&gt;"Yes","",IFERROR(INDEX(cr_Rate,MATCH(J2295&amp;"|"&amp;D2295,cr_Key,0)),INDEX(rt_Rate,MATCH(D2295,rt_Code,0))))</f>
        <v/>
      </c>
      <c r="M2295" s="25" t="str">
        <f aca="false">IF(L2295="","",ROUND(N(E2295)*L2295,2))</f>
        <v/>
      </c>
      <c r="N2295" s="39" t="str">
        <f aca="false">IF(OR(A2295="",B2295=""),"",SUMIFS(tl_Hours,tl_StaffID,I2295,tl_Date,A2295))</f>
        <v/>
      </c>
      <c r="O2295" s="40" t="str">
        <f aca="false">IF(A2295&amp;B2295&amp;D2295="","",IF(OR(A2295="",B2295="",D2295="",E2295=""),"Incomplete",IF(K2295="Unknown","Unknown code",IF(AND(K2295="Yes",C2295=""),"Billable, needs client",IF(N2295&gt;MaxDayHours,"Over "&amp;MaxDayHours&amp;" hours that day","")))))</f>
        <v/>
      </c>
    </row>
    <row r="2296" customFormat="false" ht="15" hidden="false" customHeight="false" outlineLevel="0" collapsed="false">
      <c r="A2296" s="31"/>
      <c r="B2296" s="32"/>
      <c r="C2296" s="32"/>
      <c r="D2296" s="33"/>
      <c r="E2296" s="34"/>
      <c r="F2296" s="32"/>
      <c r="G2296" s="35" t="str">
        <f aca="false">IF(A2296="","",A2296+7-WEEKDAY(A2296))</f>
        <v/>
      </c>
      <c r="H2296" s="36" t="str">
        <f aca="false">IF(A2296="","",DATE(YEAR(A2296),MONTH(A2296),1))</f>
        <v/>
      </c>
      <c r="I2296" s="37" t="str">
        <f aca="false">IF(B2296="","",IFERROR(INDEX(st_ID,MATCH(B2296,st_Name,0)),"Unknown"))</f>
        <v/>
      </c>
      <c r="J2296" s="37" t="str">
        <f aca="false">IF(C2296="","",IFERROR(INDEX(cl_Code,MATCH(C2296,cl_Name,0)),"Unknown"))</f>
        <v/>
      </c>
      <c r="K2296" s="37" t="str">
        <f aca="false">IF(D2296="","",IFERROR(INDEX(rt_Billable,MATCH(D2296,rt_Code,0)),"Unknown"))</f>
        <v/>
      </c>
      <c r="L2296" s="38" t="str">
        <f aca="false">IF(K2296&lt;&gt;"Yes","",IFERROR(INDEX(cr_Rate,MATCH(J2296&amp;"|"&amp;D2296,cr_Key,0)),INDEX(rt_Rate,MATCH(D2296,rt_Code,0))))</f>
        <v/>
      </c>
      <c r="M2296" s="25" t="str">
        <f aca="false">IF(L2296="","",ROUND(N(E2296)*L2296,2))</f>
        <v/>
      </c>
      <c r="N2296" s="39" t="str">
        <f aca="false">IF(OR(A2296="",B2296=""),"",SUMIFS(tl_Hours,tl_StaffID,I2296,tl_Date,A2296))</f>
        <v/>
      </c>
      <c r="O2296" s="40" t="str">
        <f aca="false">IF(A2296&amp;B2296&amp;D2296="","",IF(OR(A2296="",B2296="",D2296="",E2296=""),"Incomplete",IF(K2296="Unknown","Unknown code",IF(AND(K2296="Yes",C2296=""),"Billable, needs client",IF(N2296&gt;MaxDayHours,"Over "&amp;MaxDayHours&amp;" hours that day","")))))</f>
        <v/>
      </c>
    </row>
    <row r="2297" customFormat="false" ht="15" hidden="false" customHeight="false" outlineLevel="0" collapsed="false">
      <c r="A2297" s="31"/>
      <c r="B2297" s="32"/>
      <c r="C2297" s="32"/>
      <c r="D2297" s="33"/>
      <c r="E2297" s="34"/>
      <c r="F2297" s="32"/>
      <c r="G2297" s="35" t="str">
        <f aca="false">IF(A2297="","",A2297+7-WEEKDAY(A2297))</f>
        <v/>
      </c>
      <c r="H2297" s="36" t="str">
        <f aca="false">IF(A2297="","",DATE(YEAR(A2297),MONTH(A2297),1))</f>
        <v/>
      </c>
      <c r="I2297" s="37" t="str">
        <f aca="false">IF(B2297="","",IFERROR(INDEX(st_ID,MATCH(B2297,st_Name,0)),"Unknown"))</f>
        <v/>
      </c>
      <c r="J2297" s="37" t="str">
        <f aca="false">IF(C2297="","",IFERROR(INDEX(cl_Code,MATCH(C2297,cl_Name,0)),"Unknown"))</f>
        <v/>
      </c>
      <c r="K2297" s="37" t="str">
        <f aca="false">IF(D2297="","",IFERROR(INDEX(rt_Billable,MATCH(D2297,rt_Code,0)),"Unknown"))</f>
        <v/>
      </c>
      <c r="L2297" s="38" t="str">
        <f aca="false">IF(K2297&lt;&gt;"Yes","",IFERROR(INDEX(cr_Rate,MATCH(J2297&amp;"|"&amp;D2297,cr_Key,0)),INDEX(rt_Rate,MATCH(D2297,rt_Code,0))))</f>
        <v/>
      </c>
      <c r="M2297" s="25" t="str">
        <f aca="false">IF(L2297="","",ROUND(N(E2297)*L2297,2))</f>
        <v/>
      </c>
      <c r="N2297" s="39" t="str">
        <f aca="false">IF(OR(A2297="",B2297=""),"",SUMIFS(tl_Hours,tl_StaffID,I2297,tl_Date,A2297))</f>
        <v/>
      </c>
      <c r="O2297" s="40" t="str">
        <f aca="false">IF(A2297&amp;B2297&amp;D2297="","",IF(OR(A2297="",B2297="",D2297="",E2297=""),"Incomplete",IF(K2297="Unknown","Unknown code",IF(AND(K2297="Yes",C2297=""),"Billable, needs client",IF(N2297&gt;MaxDayHours,"Over "&amp;MaxDayHours&amp;" hours that day","")))))</f>
        <v/>
      </c>
    </row>
    <row r="2298" customFormat="false" ht="15" hidden="false" customHeight="false" outlineLevel="0" collapsed="false">
      <c r="A2298" s="31"/>
      <c r="B2298" s="32"/>
      <c r="C2298" s="32"/>
      <c r="D2298" s="33"/>
      <c r="E2298" s="34"/>
      <c r="F2298" s="32"/>
      <c r="G2298" s="35" t="str">
        <f aca="false">IF(A2298="","",A2298+7-WEEKDAY(A2298))</f>
        <v/>
      </c>
      <c r="H2298" s="36" t="str">
        <f aca="false">IF(A2298="","",DATE(YEAR(A2298),MONTH(A2298),1))</f>
        <v/>
      </c>
      <c r="I2298" s="37" t="str">
        <f aca="false">IF(B2298="","",IFERROR(INDEX(st_ID,MATCH(B2298,st_Name,0)),"Unknown"))</f>
        <v/>
      </c>
      <c r="J2298" s="37" t="str">
        <f aca="false">IF(C2298="","",IFERROR(INDEX(cl_Code,MATCH(C2298,cl_Name,0)),"Unknown"))</f>
        <v/>
      </c>
      <c r="K2298" s="37" t="str">
        <f aca="false">IF(D2298="","",IFERROR(INDEX(rt_Billable,MATCH(D2298,rt_Code,0)),"Unknown"))</f>
        <v/>
      </c>
      <c r="L2298" s="38" t="str">
        <f aca="false">IF(K2298&lt;&gt;"Yes","",IFERROR(INDEX(cr_Rate,MATCH(J2298&amp;"|"&amp;D2298,cr_Key,0)),INDEX(rt_Rate,MATCH(D2298,rt_Code,0))))</f>
        <v/>
      </c>
      <c r="M2298" s="25" t="str">
        <f aca="false">IF(L2298="","",ROUND(N(E2298)*L2298,2))</f>
        <v/>
      </c>
      <c r="N2298" s="39" t="str">
        <f aca="false">IF(OR(A2298="",B2298=""),"",SUMIFS(tl_Hours,tl_StaffID,I2298,tl_Date,A2298))</f>
        <v/>
      </c>
      <c r="O2298" s="40" t="str">
        <f aca="false">IF(A2298&amp;B2298&amp;D2298="","",IF(OR(A2298="",B2298="",D2298="",E2298=""),"Incomplete",IF(K2298="Unknown","Unknown code",IF(AND(K2298="Yes",C2298=""),"Billable, needs client",IF(N2298&gt;MaxDayHours,"Over "&amp;MaxDayHours&amp;" hours that day","")))))</f>
        <v/>
      </c>
    </row>
    <row r="2299" customFormat="false" ht="15" hidden="false" customHeight="false" outlineLevel="0" collapsed="false">
      <c r="A2299" s="31"/>
      <c r="B2299" s="32"/>
      <c r="C2299" s="32"/>
      <c r="D2299" s="33"/>
      <c r="E2299" s="34"/>
      <c r="F2299" s="32"/>
      <c r="G2299" s="35" t="str">
        <f aca="false">IF(A2299="","",A2299+7-WEEKDAY(A2299))</f>
        <v/>
      </c>
      <c r="H2299" s="36" t="str">
        <f aca="false">IF(A2299="","",DATE(YEAR(A2299),MONTH(A2299),1))</f>
        <v/>
      </c>
      <c r="I2299" s="37" t="str">
        <f aca="false">IF(B2299="","",IFERROR(INDEX(st_ID,MATCH(B2299,st_Name,0)),"Unknown"))</f>
        <v/>
      </c>
      <c r="J2299" s="37" t="str">
        <f aca="false">IF(C2299="","",IFERROR(INDEX(cl_Code,MATCH(C2299,cl_Name,0)),"Unknown"))</f>
        <v/>
      </c>
      <c r="K2299" s="37" t="str">
        <f aca="false">IF(D2299="","",IFERROR(INDEX(rt_Billable,MATCH(D2299,rt_Code,0)),"Unknown"))</f>
        <v/>
      </c>
      <c r="L2299" s="38" t="str">
        <f aca="false">IF(K2299&lt;&gt;"Yes","",IFERROR(INDEX(cr_Rate,MATCH(J2299&amp;"|"&amp;D2299,cr_Key,0)),INDEX(rt_Rate,MATCH(D2299,rt_Code,0))))</f>
        <v/>
      </c>
      <c r="M2299" s="25" t="str">
        <f aca="false">IF(L2299="","",ROUND(N(E2299)*L2299,2))</f>
        <v/>
      </c>
      <c r="N2299" s="39" t="str">
        <f aca="false">IF(OR(A2299="",B2299=""),"",SUMIFS(tl_Hours,tl_StaffID,I2299,tl_Date,A2299))</f>
        <v/>
      </c>
      <c r="O2299" s="40" t="str">
        <f aca="false">IF(A2299&amp;B2299&amp;D2299="","",IF(OR(A2299="",B2299="",D2299="",E2299=""),"Incomplete",IF(K2299="Unknown","Unknown code",IF(AND(K2299="Yes",C2299=""),"Billable, needs client",IF(N2299&gt;MaxDayHours,"Over "&amp;MaxDayHours&amp;" hours that day","")))))</f>
        <v/>
      </c>
    </row>
    <row r="2300" customFormat="false" ht="15" hidden="false" customHeight="false" outlineLevel="0" collapsed="false">
      <c r="A2300" s="31"/>
      <c r="B2300" s="32"/>
      <c r="C2300" s="32"/>
      <c r="D2300" s="33"/>
      <c r="E2300" s="34"/>
      <c r="F2300" s="32"/>
      <c r="G2300" s="35" t="str">
        <f aca="false">IF(A2300="","",A2300+7-WEEKDAY(A2300))</f>
        <v/>
      </c>
      <c r="H2300" s="36" t="str">
        <f aca="false">IF(A2300="","",DATE(YEAR(A2300),MONTH(A2300),1))</f>
        <v/>
      </c>
      <c r="I2300" s="37" t="str">
        <f aca="false">IF(B2300="","",IFERROR(INDEX(st_ID,MATCH(B2300,st_Name,0)),"Unknown"))</f>
        <v/>
      </c>
      <c r="J2300" s="37" t="str">
        <f aca="false">IF(C2300="","",IFERROR(INDEX(cl_Code,MATCH(C2300,cl_Name,0)),"Unknown"))</f>
        <v/>
      </c>
      <c r="K2300" s="37" t="str">
        <f aca="false">IF(D2300="","",IFERROR(INDEX(rt_Billable,MATCH(D2300,rt_Code,0)),"Unknown"))</f>
        <v/>
      </c>
      <c r="L2300" s="38" t="str">
        <f aca="false">IF(K2300&lt;&gt;"Yes","",IFERROR(INDEX(cr_Rate,MATCH(J2300&amp;"|"&amp;D2300,cr_Key,0)),INDEX(rt_Rate,MATCH(D2300,rt_Code,0))))</f>
        <v/>
      </c>
      <c r="M2300" s="25" t="str">
        <f aca="false">IF(L2300="","",ROUND(N(E2300)*L2300,2))</f>
        <v/>
      </c>
      <c r="N2300" s="39" t="str">
        <f aca="false">IF(OR(A2300="",B2300=""),"",SUMIFS(tl_Hours,tl_StaffID,I2300,tl_Date,A2300))</f>
        <v/>
      </c>
      <c r="O2300" s="40" t="str">
        <f aca="false">IF(A2300&amp;B2300&amp;D2300="","",IF(OR(A2300="",B2300="",D2300="",E2300=""),"Incomplete",IF(K2300="Unknown","Unknown code",IF(AND(K2300="Yes",C2300=""),"Billable, needs client",IF(N2300&gt;MaxDayHours,"Over "&amp;MaxDayHours&amp;" hours that day","")))))</f>
        <v/>
      </c>
    </row>
    <row r="2301" customFormat="false" ht="15" hidden="false" customHeight="false" outlineLevel="0" collapsed="false">
      <c r="A2301" s="31"/>
      <c r="B2301" s="32"/>
      <c r="C2301" s="32"/>
      <c r="D2301" s="33"/>
      <c r="E2301" s="34"/>
      <c r="F2301" s="32"/>
      <c r="G2301" s="35" t="str">
        <f aca="false">IF(A2301="","",A2301+7-WEEKDAY(A2301))</f>
        <v/>
      </c>
      <c r="H2301" s="36" t="str">
        <f aca="false">IF(A2301="","",DATE(YEAR(A2301),MONTH(A2301),1))</f>
        <v/>
      </c>
      <c r="I2301" s="37" t="str">
        <f aca="false">IF(B2301="","",IFERROR(INDEX(st_ID,MATCH(B2301,st_Name,0)),"Unknown"))</f>
        <v/>
      </c>
      <c r="J2301" s="37" t="str">
        <f aca="false">IF(C2301="","",IFERROR(INDEX(cl_Code,MATCH(C2301,cl_Name,0)),"Unknown"))</f>
        <v/>
      </c>
      <c r="K2301" s="37" t="str">
        <f aca="false">IF(D2301="","",IFERROR(INDEX(rt_Billable,MATCH(D2301,rt_Code,0)),"Unknown"))</f>
        <v/>
      </c>
      <c r="L2301" s="38" t="str">
        <f aca="false">IF(K2301&lt;&gt;"Yes","",IFERROR(INDEX(cr_Rate,MATCH(J2301&amp;"|"&amp;D2301,cr_Key,0)),INDEX(rt_Rate,MATCH(D2301,rt_Code,0))))</f>
        <v/>
      </c>
      <c r="M2301" s="25" t="str">
        <f aca="false">IF(L2301="","",ROUND(N(E2301)*L2301,2))</f>
        <v/>
      </c>
      <c r="N2301" s="39" t="str">
        <f aca="false">IF(OR(A2301="",B2301=""),"",SUMIFS(tl_Hours,tl_StaffID,I2301,tl_Date,A2301))</f>
        <v/>
      </c>
      <c r="O2301" s="40" t="str">
        <f aca="false">IF(A2301&amp;B2301&amp;D2301="","",IF(OR(A2301="",B2301="",D2301="",E2301=""),"Incomplete",IF(K2301="Unknown","Unknown code",IF(AND(K2301="Yes",C2301=""),"Billable, needs client",IF(N2301&gt;MaxDayHours,"Over "&amp;MaxDayHours&amp;" hours that day","")))))</f>
        <v/>
      </c>
    </row>
    <row r="2302" customFormat="false" ht="15" hidden="false" customHeight="false" outlineLevel="0" collapsed="false">
      <c r="A2302" s="31"/>
      <c r="B2302" s="32"/>
      <c r="C2302" s="32"/>
      <c r="D2302" s="33"/>
      <c r="E2302" s="34"/>
      <c r="F2302" s="32"/>
      <c r="G2302" s="35" t="str">
        <f aca="false">IF(A2302="","",A2302+7-WEEKDAY(A2302))</f>
        <v/>
      </c>
      <c r="H2302" s="36" t="str">
        <f aca="false">IF(A2302="","",DATE(YEAR(A2302),MONTH(A2302),1))</f>
        <v/>
      </c>
      <c r="I2302" s="37" t="str">
        <f aca="false">IF(B2302="","",IFERROR(INDEX(st_ID,MATCH(B2302,st_Name,0)),"Unknown"))</f>
        <v/>
      </c>
      <c r="J2302" s="37" t="str">
        <f aca="false">IF(C2302="","",IFERROR(INDEX(cl_Code,MATCH(C2302,cl_Name,0)),"Unknown"))</f>
        <v/>
      </c>
      <c r="K2302" s="37" t="str">
        <f aca="false">IF(D2302="","",IFERROR(INDEX(rt_Billable,MATCH(D2302,rt_Code,0)),"Unknown"))</f>
        <v/>
      </c>
      <c r="L2302" s="38" t="str">
        <f aca="false">IF(K2302&lt;&gt;"Yes","",IFERROR(INDEX(cr_Rate,MATCH(J2302&amp;"|"&amp;D2302,cr_Key,0)),INDEX(rt_Rate,MATCH(D2302,rt_Code,0))))</f>
        <v/>
      </c>
      <c r="M2302" s="25" t="str">
        <f aca="false">IF(L2302="","",ROUND(N(E2302)*L2302,2))</f>
        <v/>
      </c>
      <c r="N2302" s="39" t="str">
        <f aca="false">IF(OR(A2302="",B2302=""),"",SUMIFS(tl_Hours,tl_StaffID,I2302,tl_Date,A2302))</f>
        <v/>
      </c>
      <c r="O2302" s="40" t="str">
        <f aca="false">IF(A2302&amp;B2302&amp;D2302="","",IF(OR(A2302="",B2302="",D2302="",E2302=""),"Incomplete",IF(K2302="Unknown","Unknown code",IF(AND(K2302="Yes",C2302=""),"Billable, needs client",IF(N2302&gt;MaxDayHours,"Over "&amp;MaxDayHours&amp;" hours that day","")))))</f>
        <v/>
      </c>
    </row>
    <row r="2303" customFormat="false" ht="15" hidden="false" customHeight="false" outlineLevel="0" collapsed="false">
      <c r="A2303" s="31"/>
      <c r="B2303" s="32"/>
      <c r="C2303" s="32"/>
      <c r="D2303" s="33"/>
      <c r="E2303" s="34"/>
      <c r="F2303" s="32"/>
      <c r="G2303" s="35" t="str">
        <f aca="false">IF(A2303="","",A2303+7-WEEKDAY(A2303))</f>
        <v/>
      </c>
      <c r="H2303" s="36" t="str">
        <f aca="false">IF(A2303="","",DATE(YEAR(A2303),MONTH(A2303),1))</f>
        <v/>
      </c>
      <c r="I2303" s="37" t="str">
        <f aca="false">IF(B2303="","",IFERROR(INDEX(st_ID,MATCH(B2303,st_Name,0)),"Unknown"))</f>
        <v/>
      </c>
      <c r="J2303" s="37" t="str">
        <f aca="false">IF(C2303="","",IFERROR(INDEX(cl_Code,MATCH(C2303,cl_Name,0)),"Unknown"))</f>
        <v/>
      </c>
      <c r="K2303" s="37" t="str">
        <f aca="false">IF(D2303="","",IFERROR(INDEX(rt_Billable,MATCH(D2303,rt_Code,0)),"Unknown"))</f>
        <v/>
      </c>
      <c r="L2303" s="38" t="str">
        <f aca="false">IF(K2303&lt;&gt;"Yes","",IFERROR(INDEX(cr_Rate,MATCH(J2303&amp;"|"&amp;D2303,cr_Key,0)),INDEX(rt_Rate,MATCH(D2303,rt_Code,0))))</f>
        <v/>
      </c>
      <c r="M2303" s="25" t="str">
        <f aca="false">IF(L2303="","",ROUND(N(E2303)*L2303,2))</f>
        <v/>
      </c>
      <c r="N2303" s="39" t="str">
        <f aca="false">IF(OR(A2303="",B2303=""),"",SUMIFS(tl_Hours,tl_StaffID,I2303,tl_Date,A2303))</f>
        <v/>
      </c>
      <c r="O2303" s="40" t="str">
        <f aca="false">IF(A2303&amp;B2303&amp;D2303="","",IF(OR(A2303="",B2303="",D2303="",E2303=""),"Incomplete",IF(K2303="Unknown","Unknown code",IF(AND(K2303="Yes",C2303=""),"Billable, needs client",IF(N2303&gt;MaxDayHours,"Over "&amp;MaxDayHours&amp;" hours that day","")))))</f>
        <v/>
      </c>
    </row>
    <row r="2304" customFormat="false" ht="15" hidden="false" customHeight="false" outlineLevel="0" collapsed="false">
      <c r="A2304" s="31"/>
      <c r="B2304" s="32"/>
      <c r="C2304" s="32"/>
      <c r="D2304" s="33"/>
      <c r="E2304" s="34"/>
      <c r="F2304" s="32"/>
      <c r="G2304" s="35" t="str">
        <f aca="false">IF(A2304="","",A2304+7-WEEKDAY(A2304))</f>
        <v/>
      </c>
      <c r="H2304" s="36" t="str">
        <f aca="false">IF(A2304="","",DATE(YEAR(A2304),MONTH(A2304),1))</f>
        <v/>
      </c>
      <c r="I2304" s="37" t="str">
        <f aca="false">IF(B2304="","",IFERROR(INDEX(st_ID,MATCH(B2304,st_Name,0)),"Unknown"))</f>
        <v/>
      </c>
      <c r="J2304" s="37" t="str">
        <f aca="false">IF(C2304="","",IFERROR(INDEX(cl_Code,MATCH(C2304,cl_Name,0)),"Unknown"))</f>
        <v/>
      </c>
      <c r="K2304" s="37" t="str">
        <f aca="false">IF(D2304="","",IFERROR(INDEX(rt_Billable,MATCH(D2304,rt_Code,0)),"Unknown"))</f>
        <v/>
      </c>
      <c r="L2304" s="38" t="str">
        <f aca="false">IF(K2304&lt;&gt;"Yes","",IFERROR(INDEX(cr_Rate,MATCH(J2304&amp;"|"&amp;D2304,cr_Key,0)),INDEX(rt_Rate,MATCH(D2304,rt_Code,0))))</f>
        <v/>
      </c>
      <c r="M2304" s="25" t="str">
        <f aca="false">IF(L2304="","",ROUND(N(E2304)*L2304,2))</f>
        <v/>
      </c>
      <c r="N2304" s="39" t="str">
        <f aca="false">IF(OR(A2304="",B2304=""),"",SUMIFS(tl_Hours,tl_StaffID,I2304,tl_Date,A2304))</f>
        <v/>
      </c>
      <c r="O2304" s="40" t="str">
        <f aca="false">IF(A2304&amp;B2304&amp;D2304="","",IF(OR(A2304="",B2304="",D2304="",E2304=""),"Incomplete",IF(K2304="Unknown","Unknown code",IF(AND(K2304="Yes",C2304=""),"Billable, needs client",IF(N2304&gt;MaxDayHours,"Over "&amp;MaxDayHours&amp;" hours that day","")))))</f>
        <v/>
      </c>
    </row>
    <row r="2305" customFormat="false" ht="15" hidden="false" customHeight="false" outlineLevel="0" collapsed="false">
      <c r="A2305" s="31"/>
      <c r="B2305" s="32"/>
      <c r="C2305" s="32"/>
      <c r="D2305" s="33"/>
      <c r="E2305" s="34"/>
      <c r="F2305" s="32"/>
      <c r="G2305" s="35" t="str">
        <f aca="false">IF(A2305="","",A2305+7-WEEKDAY(A2305))</f>
        <v/>
      </c>
      <c r="H2305" s="36" t="str">
        <f aca="false">IF(A2305="","",DATE(YEAR(A2305),MONTH(A2305),1))</f>
        <v/>
      </c>
      <c r="I2305" s="37" t="str">
        <f aca="false">IF(B2305="","",IFERROR(INDEX(st_ID,MATCH(B2305,st_Name,0)),"Unknown"))</f>
        <v/>
      </c>
      <c r="J2305" s="37" t="str">
        <f aca="false">IF(C2305="","",IFERROR(INDEX(cl_Code,MATCH(C2305,cl_Name,0)),"Unknown"))</f>
        <v/>
      </c>
      <c r="K2305" s="37" t="str">
        <f aca="false">IF(D2305="","",IFERROR(INDEX(rt_Billable,MATCH(D2305,rt_Code,0)),"Unknown"))</f>
        <v/>
      </c>
      <c r="L2305" s="38" t="str">
        <f aca="false">IF(K2305&lt;&gt;"Yes","",IFERROR(INDEX(cr_Rate,MATCH(J2305&amp;"|"&amp;D2305,cr_Key,0)),INDEX(rt_Rate,MATCH(D2305,rt_Code,0))))</f>
        <v/>
      </c>
      <c r="M2305" s="25" t="str">
        <f aca="false">IF(L2305="","",ROUND(N(E2305)*L2305,2))</f>
        <v/>
      </c>
      <c r="N2305" s="39" t="str">
        <f aca="false">IF(OR(A2305="",B2305=""),"",SUMIFS(tl_Hours,tl_StaffID,I2305,tl_Date,A2305))</f>
        <v/>
      </c>
      <c r="O2305" s="40" t="str">
        <f aca="false">IF(A2305&amp;B2305&amp;D2305="","",IF(OR(A2305="",B2305="",D2305="",E2305=""),"Incomplete",IF(K2305="Unknown","Unknown code",IF(AND(K2305="Yes",C2305=""),"Billable, needs client",IF(N2305&gt;MaxDayHours,"Over "&amp;MaxDayHours&amp;" hours that day","")))))</f>
        <v/>
      </c>
    </row>
    <row r="2306" customFormat="false" ht="15" hidden="false" customHeight="false" outlineLevel="0" collapsed="false">
      <c r="A2306" s="31"/>
      <c r="B2306" s="32"/>
      <c r="C2306" s="32"/>
      <c r="D2306" s="33"/>
      <c r="E2306" s="34"/>
      <c r="F2306" s="32"/>
      <c r="G2306" s="35" t="str">
        <f aca="false">IF(A2306="","",A2306+7-WEEKDAY(A2306))</f>
        <v/>
      </c>
      <c r="H2306" s="36" t="str">
        <f aca="false">IF(A2306="","",DATE(YEAR(A2306),MONTH(A2306),1))</f>
        <v/>
      </c>
      <c r="I2306" s="37" t="str">
        <f aca="false">IF(B2306="","",IFERROR(INDEX(st_ID,MATCH(B2306,st_Name,0)),"Unknown"))</f>
        <v/>
      </c>
      <c r="J2306" s="37" t="str">
        <f aca="false">IF(C2306="","",IFERROR(INDEX(cl_Code,MATCH(C2306,cl_Name,0)),"Unknown"))</f>
        <v/>
      </c>
      <c r="K2306" s="37" t="str">
        <f aca="false">IF(D2306="","",IFERROR(INDEX(rt_Billable,MATCH(D2306,rt_Code,0)),"Unknown"))</f>
        <v/>
      </c>
      <c r="L2306" s="38" t="str">
        <f aca="false">IF(K2306&lt;&gt;"Yes","",IFERROR(INDEX(cr_Rate,MATCH(J2306&amp;"|"&amp;D2306,cr_Key,0)),INDEX(rt_Rate,MATCH(D2306,rt_Code,0))))</f>
        <v/>
      </c>
      <c r="M2306" s="25" t="str">
        <f aca="false">IF(L2306="","",ROUND(N(E2306)*L2306,2))</f>
        <v/>
      </c>
      <c r="N2306" s="39" t="str">
        <f aca="false">IF(OR(A2306="",B2306=""),"",SUMIFS(tl_Hours,tl_StaffID,I2306,tl_Date,A2306))</f>
        <v/>
      </c>
      <c r="O2306" s="40" t="str">
        <f aca="false">IF(A2306&amp;B2306&amp;D2306="","",IF(OR(A2306="",B2306="",D2306="",E2306=""),"Incomplete",IF(K2306="Unknown","Unknown code",IF(AND(K2306="Yes",C2306=""),"Billable, needs client",IF(N2306&gt;MaxDayHours,"Over "&amp;MaxDayHours&amp;" hours that day","")))))</f>
        <v/>
      </c>
    </row>
    <row r="2307" customFormat="false" ht="15" hidden="false" customHeight="false" outlineLevel="0" collapsed="false">
      <c r="A2307" s="31"/>
      <c r="B2307" s="32"/>
      <c r="C2307" s="32"/>
      <c r="D2307" s="33"/>
      <c r="E2307" s="34"/>
      <c r="F2307" s="32"/>
      <c r="G2307" s="35" t="str">
        <f aca="false">IF(A2307="","",A2307+7-WEEKDAY(A2307))</f>
        <v/>
      </c>
      <c r="H2307" s="36" t="str">
        <f aca="false">IF(A2307="","",DATE(YEAR(A2307),MONTH(A2307),1))</f>
        <v/>
      </c>
      <c r="I2307" s="37" t="str">
        <f aca="false">IF(B2307="","",IFERROR(INDEX(st_ID,MATCH(B2307,st_Name,0)),"Unknown"))</f>
        <v/>
      </c>
      <c r="J2307" s="37" t="str">
        <f aca="false">IF(C2307="","",IFERROR(INDEX(cl_Code,MATCH(C2307,cl_Name,0)),"Unknown"))</f>
        <v/>
      </c>
      <c r="K2307" s="37" t="str">
        <f aca="false">IF(D2307="","",IFERROR(INDEX(rt_Billable,MATCH(D2307,rt_Code,0)),"Unknown"))</f>
        <v/>
      </c>
      <c r="L2307" s="38" t="str">
        <f aca="false">IF(K2307&lt;&gt;"Yes","",IFERROR(INDEX(cr_Rate,MATCH(J2307&amp;"|"&amp;D2307,cr_Key,0)),INDEX(rt_Rate,MATCH(D2307,rt_Code,0))))</f>
        <v/>
      </c>
      <c r="M2307" s="25" t="str">
        <f aca="false">IF(L2307="","",ROUND(N(E2307)*L2307,2))</f>
        <v/>
      </c>
      <c r="N2307" s="39" t="str">
        <f aca="false">IF(OR(A2307="",B2307=""),"",SUMIFS(tl_Hours,tl_StaffID,I2307,tl_Date,A2307))</f>
        <v/>
      </c>
      <c r="O2307" s="40" t="str">
        <f aca="false">IF(A2307&amp;B2307&amp;D2307="","",IF(OR(A2307="",B2307="",D2307="",E2307=""),"Incomplete",IF(K2307="Unknown","Unknown code",IF(AND(K2307="Yes",C2307=""),"Billable, needs client",IF(N2307&gt;MaxDayHours,"Over "&amp;MaxDayHours&amp;" hours that day","")))))</f>
        <v/>
      </c>
    </row>
    <row r="2308" customFormat="false" ht="15" hidden="false" customHeight="false" outlineLevel="0" collapsed="false">
      <c r="A2308" s="31"/>
      <c r="B2308" s="32"/>
      <c r="C2308" s="32"/>
      <c r="D2308" s="33"/>
      <c r="E2308" s="34"/>
      <c r="F2308" s="32"/>
      <c r="G2308" s="35" t="str">
        <f aca="false">IF(A2308="","",A2308+7-WEEKDAY(A2308))</f>
        <v/>
      </c>
      <c r="H2308" s="36" t="str">
        <f aca="false">IF(A2308="","",DATE(YEAR(A2308),MONTH(A2308),1))</f>
        <v/>
      </c>
      <c r="I2308" s="37" t="str">
        <f aca="false">IF(B2308="","",IFERROR(INDEX(st_ID,MATCH(B2308,st_Name,0)),"Unknown"))</f>
        <v/>
      </c>
      <c r="J2308" s="37" t="str">
        <f aca="false">IF(C2308="","",IFERROR(INDEX(cl_Code,MATCH(C2308,cl_Name,0)),"Unknown"))</f>
        <v/>
      </c>
      <c r="K2308" s="37" t="str">
        <f aca="false">IF(D2308="","",IFERROR(INDEX(rt_Billable,MATCH(D2308,rt_Code,0)),"Unknown"))</f>
        <v/>
      </c>
      <c r="L2308" s="38" t="str">
        <f aca="false">IF(K2308&lt;&gt;"Yes","",IFERROR(INDEX(cr_Rate,MATCH(J2308&amp;"|"&amp;D2308,cr_Key,0)),INDEX(rt_Rate,MATCH(D2308,rt_Code,0))))</f>
        <v/>
      </c>
      <c r="M2308" s="25" t="str">
        <f aca="false">IF(L2308="","",ROUND(N(E2308)*L2308,2))</f>
        <v/>
      </c>
      <c r="N2308" s="39" t="str">
        <f aca="false">IF(OR(A2308="",B2308=""),"",SUMIFS(tl_Hours,tl_StaffID,I2308,tl_Date,A2308))</f>
        <v/>
      </c>
      <c r="O2308" s="40" t="str">
        <f aca="false">IF(A2308&amp;B2308&amp;D2308="","",IF(OR(A2308="",B2308="",D2308="",E2308=""),"Incomplete",IF(K2308="Unknown","Unknown code",IF(AND(K2308="Yes",C2308=""),"Billable, needs client",IF(N2308&gt;MaxDayHours,"Over "&amp;MaxDayHours&amp;" hours that day","")))))</f>
        <v/>
      </c>
    </row>
    <row r="2309" customFormat="false" ht="15" hidden="false" customHeight="false" outlineLevel="0" collapsed="false">
      <c r="A2309" s="31"/>
      <c r="B2309" s="32"/>
      <c r="C2309" s="32"/>
      <c r="D2309" s="33"/>
      <c r="E2309" s="34"/>
      <c r="F2309" s="32"/>
      <c r="G2309" s="35" t="str">
        <f aca="false">IF(A2309="","",A2309+7-WEEKDAY(A2309))</f>
        <v/>
      </c>
      <c r="H2309" s="36" t="str">
        <f aca="false">IF(A2309="","",DATE(YEAR(A2309),MONTH(A2309),1))</f>
        <v/>
      </c>
      <c r="I2309" s="37" t="str">
        <f aca="false">IF(B2309="","",IFERROR(INDEX(st_ID,MATCH(B2309,st_Name,0)),"Unknown"))</f>
        <v/>
      </c>
      <c r="J2309" s="37" t="str">
        <f aca="false">IF(C2309="","",IFERROR(INDEX(cl_Code,MATCH(C2309,cl_Name,0)),"Unknown"))</f>
        <v/>
      </c>
      <c r="K2309" s="37" t="str">
        <f aca="false">IF(D2309="","",IFERROR(INDEX(rt_Billable,MATCH(D2309,rt_Code,0)),"Unknown"))</f>
        <v/>
      </c>
      <c r="L2309" s="38" t="str">
        <f aca="false">IF(K2309&lt;&gt;"Yes","",IFERROR(INDEX(cr_Rate,MATCH(J2309&amp;"|"&amp;D2309,cr_Key,0)),INDEX(rt_Rate,MATCH(D2309,rt_Code,0))))</f>
        <v/>
      </c>
      <c r="M2309" s="25" t="str">
        <f aca="false">IF(L2309="","",ROUND(N(E2309)*L2309,2))</f>
        <v/>
      </c>
      <c r="N2309" s="39" t="str">
        <f aca="false">IF(OR(A2309="",B2309=""),"",SUMIFS(tl_Hours,tl_StaffID,I2309,tl_Date,A2309))</f>
        <v/>
      </c>
      <c r="O2309" s="40" t="str">
        <f aca="false">IF(A2309&amp;B2309&amp;D2309="","",IF(OR(A2309="",B2309="",D2309="",E2309=""),"Incomplete",IF(K2309="Unknown","Unknown code",IF(AND(K2309="Yes",C2309=""),"Billable, needs client",IF(N2309&gt;MaxDayHours,"Over "&amp;MaxDayHours&amp;" hours that day","")))))</f>
        <v/>
      </c>
    </row>
    <row r="2310" customFormat="false" ht="15" hidden="false" customHeight="false" outlineLevel="0" collapsed="false">
      <c r="A2310" s="31"/>
      <c r="B2310" s="32"/>
      <c r="C2310" s="32"/>
      <c r="D2310" s="33"/>
      <c r="E2310" s="34"/>
      <c r="F2310" s="32"/>
      <c r="G2310" s="35" t="str">
        <f aca="false">IF(A2310="","",A2310+7-WEEKDAY(A2310))</f>
        <v/>
      </c>
      <c r="H2310" s="36" t="str">
        <f aca="false">IF(A2310="","",DATE(YEAR(A2310),MONTH(A2310),1))</f>
        <v/>
      </c>
      <c r="I2310" s="37" t="str">
        <f aca="false">IF(B2310="","",IFERROR(INDEX(st_ID,MATCH(B2310,st_Name,0)),"Unknown"))</f>
        <v/>
      </c>
      <c r="J2310" s="37" t="str">
        <f aca="false">IF(C2310="","",IFERROR(INDEX(cl_Code,MATCH(C2310,cl_Name,0)),"Unknown"))</f>
        <v/>
      </c>
      <c r="K2310" s="37" t="str">
        <f aca="false">IF(D2310="","",IFERROR(INDEX(rt_Billable,MATCH(D2310,rt_Code,0)),"Unknown"))</f>
        <v/>
      </c>
      <c r="L2310" s="38" t="str">
        <f aca="false">IF(K2310&lt;&gt;"Yes","",IFERROR(INDEX(cr_Rate,MATCH(J2310&amp;"|"&amp;D2310,cr_Key,0)),INDEX(rt_Rate,MATCH(D2310,rt_Code,0))))</f>
        <v/>
      </c>
      <c r="M2310" s="25" t="str">
        <f aca="false">IF(L2310="","",ROUND(N(E2310)*L2310,2))</f>
        <v/>
      </c>
      <c r="N2310" s="39" t="str">
        <f aca="false">IF(OR(A2310="",B2310=""),"",SUMIFS(tl_Hours,tl_StaffID,I2310,tl_Date,A2310))</f>
        <v/>
      </c>
      <c r="O2310" s="40" t="str">
        <f aca="false">IF(A2310&amp;B2310&amp;D2310="","",IF(OR(A2310="",B2310="",D2310="",E2310=""),"Incomplete",IF(K2310="Unknown","Unknown code",IF(AND(K2310="Yes",C2310=""),"Billable, needs client",IF(N2310&gt;MaxDayHours,"Over "&amp;MaxDayHours&amp;" hours that day","")))))</f>
        <v/>
      </c>
    </row>
    <row r="2311" customFormat="false" ht="15" hidden="false" customHeight="false" outlineLevel="0" collapsed="false">
      <c r="A2311" s="31"/>
      <c r="B2311" s="32"/>
      <c r="C2311" s="32"/>
      <c r="D2311" s="33"/>
      <c r="E2311" s="34"/>
      <c r="F2311" s="32"/>
      <c r="G2311" s="35" t="str">
        <f aca="false">IF(A2311="","",A2311+7-WEEKDAY(A2311))</f>
        <v/>
      </c>
      <c r="H2311" s="36" t="str">
        <f aca="false">IF(A2311="","",DATE(YEAR(A2311),MONTH(A2311),1))</f>
        <v/>
      </c>
      <c r="I2311" s="37" t="str">
        <f aca="false">IF(B2311="","",IFERROR(INDEX(st_ID,MATCH(B2311,st_Name,0)),"Unknown"))</f>
        <v/>
      </c>
      <c r="J2311" s="37" t="str">
        <f aca="false">IF(C2311="","",IFERROR(INDEX(cl_Code,MATCH(C2311,cl_Name,0)),"Unknown"))</f>
        <v/>
      </c>
      <c r="K2311" s="37" t="str">
        <f aca="false">IF(D2311="","",IFERROR(INDEX(rt_Billable,MATCH(D2311,rt_Code,0)),"Unknown"))</f>
        <v/>
      </c>
      <c r="L2311" s="38" t="str">
        <f aca="false">IF(K2311&lt;&gt;"Yes","",IFERROR(INDEX(cr_Rate,MATCH(J2311&amp;"|"&amp;D2311,cr_Key,0)),INDEX(rt_Rate,MATCH(D2311,rt_Code,0))))</f>
        <v/>
      </c>
      <c r="M2311" s="25" t="str">
        <f aca="false">IF(L2311="","",ROUND(N(E2311)*L2311,2))</f>
        <v/>
      </c>
      <c r="N2311" s="39" t="str">
        <f aca="false">IF(OR(A2311="",B2311=""),"",SUMIFS(tl_Hours,tl_StaffID,I2311,tl_Date,A2311))</f>
        <v/>
      </c>
      <c r="O2311" s="40" t="str">
        <f aca="false">IF(A2311&amp;B2311&amp;D2311="","",IF(OR(A2311="",B2311="",D2311="",E2311=""),"Incomplete",IF(K2311="Unknown","Unknown code",IF(AND(K2311="Yes",C2311=""),"Billable, needs client",IF(N2311&gt;MaxDayHours,"Over "&amp;MaxDayHours&amp;" hours that day","")))))</f>
        <v/>
      </c>
    </row>
    <row r="2312" customFormat="false" ht="15" hidden="false" customHeight="false" outlineLevel="0" collapsed="false">
      <c r="A2312" s="31"/>
      <c r="B2312" s="32"/>
      <c r="C2312" s="32"/>
      <c r="D2312" s="33"/>
      <c r="E2312" s="34"/>
      <c r="F2312" s="32"/>
      <c r="G2312" s="35" t="str">
        <f aca="false">IF(A2312="","",A2312+7-WEEKDAY(A2312))</f>
        <v/>
      </c>
      <c r="H2312" s="36" t="str">
        <f aca="false">IF(A2312="","",DATE(YEAR(A2312),MONTH(A2312),1))</f>
        <v/>
      </c>
      <c r="I2312" s="37" t="str">
        <f aca="false">IF(B2312="","",IFERROR(INDEX(st_ID,MATCH(B2312,st_Name,0)),"Unknown"))</f>
        <v/>
      </c>
      <c r="J2312" s="37" t="str">
        <f aca="false">IF(C2312="","",IFERROR(INDEX(cl_Code,MATCH(C2312,cl_Name,0)),"Unknown"))</f>
        <v/>
      </c>
      <c r="K2312" s="37" t="str">
        <f aca="false">IF(D2312="","",IFERROR(INDEX(rt_Billable,MATCH(D2312,rt_Code,0)),"Unknown"))</f>
        <v/>
      </c>
      <c r="L2312" s="38" t="str">
        <f aca="false">IF(K2312&lt;&gt;"Yes","",IFERROR(INDEX(cr_Rate,MATCH(J2312&amp;"|"&amp;D2312,cr_Key,0)),INDEX(rt_Rate,MATCH(D2312,rt_Code,0))))</f>
        <v/>
      </c>
      <c r="M2312" s="25" t="str">
        <f aca="false">IF(L2312="","",ROUND(N(E2312)*L2312,2))</f>
        <v/>
      </c>
      <c r="N2312" s="39" t="str">
        <f aca="false">IF(OR(A2312="",B2312=""),"",SUMIFS(tl_Hours,tl_StaffID,I2312,tl_Date,A2312))</f>
        <v/>
      </c>
      <c r="O2312" s="40" t="str">
        <f aca="false">IF(A2312&amp;B2312&amp;D2312="","",IF(OR(A2312="",B2312="",D2312="",E2312=""),"Incomplete",IF(K2312="Unknown","Unknown code",IF(AND(K2312="Yes",C2312=""),"Billable, needs client",IF(N2312&gt;MaxDayHours,"Over "&amp;MaxDayHours&amp;" hours that day","")))))</f>
        <v/>
      </c>
    </row>
    <row r="2313" customFormat="false" ht="15" hidden="false" customHeight="false" outlineLevel="0" collapsed="false">
      <c r="A2313" s="31"/>
      <c r="B2313" s="32"/>
      <c r="C2313" s="32"/>
      <c r="D2313" s="33"/>
      <c r="E2313" s="34"/>
      <c r="F2313" s="32"/>
      <c r="G2313" s="35" t="str">
        <f aca="false">IF(A2313="","",A2313+7-WEEKDAY(A2313))</f>
        <v/>
      </c>
      <c r="H2313" s="36" t="str">
        <f aca="false">IF(A2313="","",DATE(YEAR(A2313),MONTH(A2313),1))</f>
        <v/>
      </c>
      <c r="I2313" s="37" t="str">
        <f aca="false">IF(B2313="","",IFERROR(INDEX(st_ID,MATCH(B2313,st_Name,0)),"Unknown"))</f>
        <v/>
      </c>
      <c r="J2313" s="37" t="str">
        <f aca="false">IF(C2313="","",IFERROR(INDEX(cl_Code,MATCH(C2313,cl_Name,0)),"Unknown"))</f>
        <v/>
      </c>
      <c r="K2313" s="37" t="str">
        <f aca="false">IF(D2313="","",IFERROR(INDEX(rt_Billable,MATCH(D2313,rt_Code,0)),"Unknown"))</f>
        <v/>
      </c>
      <c r="L2313" s="38" t="str">
        <f aca="false">IF(K2313&lt;&gt;"Yes","",IFERROR(INDEX(cr_Rate,MATCH(J2313&amp;"|"&amp;D2313,cr_Key,0)),INDEX(rt_Rate,MATCH(D2313,rt_Code,0))))</f>
        <v/>
      </c>
      <c r="M2313" s="25" t="str">
        <f aca="false">IF(L2313="","",ROUND(N(E2313)*L2313,2))</f>
        <v/>
      </c>
      <c r="N2313" s="39" t="str">
        <f aca="false">IF(OR(A2313="",B2313=""),"",SUMIFS(tl_Hours,tl_StaffID,I2313,tl_Date,A2313))</f>
        <v/>
      </c>
      <c r="O2313" s="40" t="str">
        <f aca="false">IF(A2313&amp;B2313&amp;D2313="","",IF(OR(A2313="",B2313="",D2313="",E2313=""),"Incomplete",IF(K2313="Unknown","Unknown code",IF(AND(K2313="Yes",C2313=""),"Billable, needs client",IF(N2313&gt;MaxDayHours,"Over "&amp;MaxDayHours&amp;" hours that day","")))))</f>
        <v/>
      </c>
    </row>
    <row r="2314" customFormat="false" ht="15" hidden="false" customHeight="false" outlineLevel="0" collapsed="false">
      <c r="A2314" s="31"/>
      <c r="B2314" s="32"/>
      <c r="C2314" s="32"/>
      <c r="D2314" s="33"/>
      <c r="E2314" s="34"/>
      <c r="F2314" s="32"/>
      <c r="G2314" s="35" t="str">
        <f aca="false">IF(A2314="","",A2314+7-WEEKDAY(A2314))</f>
        <v/>
      </c>
      <c r="H2314" s="36" t="str">
        <f aca="false">IF(A2314="","",DATE(YEAR(A2314),MONTH(A2314),1))</f>
        <v/>
      </c>
      <c r="I2314" s="37" t="str">
        <f aca="false">IF(B2314="","",IFERROR(INDEX(st_ID,MATCH(B2314,st_Name,0)),"Unknown"))</f>
        <v/>
      </c>
      <c r="J2314" s="37" t="str">
        <f aca="false">IF(C2314="","",IFERROR(INDEX(cl_Code,MATCH(C2314,cl_Name,0)),"Unknown"))</f>
        <v/>
      </c>
      <c r="K2314" s="37" t="str">
        <f aca="false">IF(D2314="","",IFERROR(INDEX(rt_Billable,MATCH(D2314,rt_Code,0)),"Unknown"))</f>
        <v/>
      </c>
      <c r="L2314" s="38" t="str">
        <f aca="false">IF(K2314&lt;&gt;"Yes","",IFERROR(INDEX(cr_Rate,MATCH(J2314&amp;"|"&amp;D2314,cr_Key,0)),INDEX(rt_Rate,MATCH(D2314,rt_Code,0))))</f>
        <v/>
      </c>
      <c r="M2314" s="25" t="str">
        <f aca="false">IF(L2314="","",ROUND(N(E2314)*L2314,2))</f>
        <v/>
      </c>
      <c r="N2314" s="39" t="str">
        <f aca="false">IF(OR(A2314="",B2314=""),"",SUMIFS(tl_Hours,tl_StaffID,I2314,tl_Date,A2314))</f>
        <v/>
      </c>
      <c r="O2314" s="40" t="str">
        <f aca="false">IF(A2314&amp;B2314&amp;D2314="","",IF(OR(A2314="",B2314="",D2314="",E2314=""),"Incomplete",IF(K2314="Unknown","Unknown code",IF(AND(K2314="Yes",C2314=""),"Billable, needs client",IF(N2314&gt;MaxDayHours,"Over "&amp;MaxDayHours&amp;" hours that day","")))))</f>
        <v/>
      </c>
    </row>
    <row r="2315" customFormat="false" ht="15" hidden="false" customHeight="false" outlineLevel="0" collapsed="false">
      <c r="A2315" s="31"/>
      <c r="B2315" s="32"/>
      <c r="C2315" s="32"/>
      <c r="D2315" s="33"/>
      <c r="E2315" s="34"/>
      <c r="F2315" s="32"/>
      <c r="G2315" s="35" t="str">
        <f aca="false">IF(A2315="","",A2315+7-WEEKDAY(A2315))</f>
        <v/>
      </c>
      <c r="H2315" s="36" t="str">
        <f aca="false">IF(A2315="","",DATE(YEAR(A2315),MONTH(A2315),1))</f>
        <v/>
      </c>
      <c r="I2315" s="37" t="str">
        <f aca="false">IF(B2315="","",IFERROR(INDEX(st_ID,MATCH(B2315,st_Name,0)),"Unknown"))</f>
        <v/>
      </c>
      <c r="J2315" s="37" t="str">
        <f aca="false">IF(C2315="","",IFERROR(INDEX(cl_Code,MATCH(C2315,cl_Name,0)),"Unknown"))</f>
        <v/>
      </c>
      <c r="K2315" s="37" t="str">
        <f aca="false">IF(D2315="","",IFERROR(INDEX(rt_Billable,MATCH(D2315,rt_Code,0)),"Unknown"))</f>
        <v/>
      </c>
      <c r="L2315" s="38" t="str">
        <f aca="false">IF(K2315&lt;&gt;"Yes","",IFERROR(INDEX(cr_Rate,MATCH(J2315&amp;"|"&amp;D2315,cr_Key,0)),INDEX(rt_Rate,MATCH(D2315,rt_Code,0))))</f>
        <v/>
      </c>
      <c r="M2315" s="25" t="str">
        <f aca="false">IF(L2315="","",ROUND(N(E2315)*L2315,2))</f>
        <v/>
      </c>
      <c r="N2315" s="39" t="str">
        <f aca="false">IF(OR(A2315="",B2315=""),"",SUMIFS(tl_Hours,tl_StaffID,I2315,tl_Date,A2315))</f>
        <v/>
      </c>
      <c r="O2315" s="40" t="str">
        <f aca="false">IF(A2315&amp;B2315&amp;D2315="","",IF(OR(A2315="",B2315="",D2315="",E2315=""),"Incomplete",IF(K2315="Unknown","Unknown code",IF(AND(K2315="Yes",C2315=""),"Billable, needs client",IF(N2315&gt;MaxDayHours,"Over "&amp;MaxDayHours&amp;" hours that day","")))))</f>
        <v/>
      </c>
    </row>
    <row r="2316" customFormat="false" ht="15" hidden="false" customHeight="false" outlineLevel="0" collapsed="false">
      <c r="A2316" s="31"/>
      <c r="B2316" s="32"/>
      <c r="C2316" s="32"/>
      <c r="D2316" s="33"/>
      <c r="E2316" s="34"/>
      <c r="F2316" s="32"/>
      <c r="G2316" s="35" t="str">
        <f aca="false">IF(A2316="","",A2316+7-WEEKDAY(A2316))</f>
        <v/>
      </c>
      <c r="H2316" s="36" t="str">
        <f aca="false">IF(A2316="","",DATE(YEAR(A2316),MONTH(A2316),1))</f>
        <v/>
      </c>
      <c r="I2316" s="37" t="str">
        <f aca="false">IF(B2316="","",IFERROR(INDEX(st_ID,MATCH(B2316,st_Name,0)),"Unknown"))</f>
        <v/>
      </c>
      <c r="J2316" s="37" t="str">
        <f aca="false">IF(C2316="","",IFERROR(INDEX(cl_Code,MATCH(C2316,cl_Name,0)),"Unknown"))</f>
        <v/>
      </c>
      <c r="K2316" s="37" t="str">
        <f aca="false">IF(D2316="","",IFERROR(INDEX(rt_Billable,MATCH(D2316,rt_Code,0)),"Unknown"))</f>
        <v/>
      </c>
      <c r="L2316" s="38" t="str">
        <f aca="false">IF(K2316&lt;&gt;"Yes","",IFERROR(INDEX(cr_Rate,MATCH(J2316&amp;"|"&amp;D2316,cr_Key,0)),INDEX(rt_Rate,MATCH(D2316,rt_Code,0))))</f>
        <v/>
      </c>
      <c r="M2316" s="25" t="str">
        <f aca="false">IF(L2316="","",ROUND(N(E2316)*L2316,2))</f>
        <v/>
      </c>
      <c r="N2316" s="39" t="str">
        <f aca="false">IF(OR(A2316="",B2316=""),"",SUMIFS(tl_Hours,tl_StaffID,I2316,tl_Date,A2316))</f>
        <v/>
      </c>
      <c r="O2316" s="40" t="str">
        <f aca="false">IF(A2316&amp;B2316&amp;D2316="","",IF(OR(A2316="",B2316="",D2316="",E2316=""),"Incomplete",IF(K2316="Unknown","Unknown code",IF(AND(K2316="Yes",C2316=""),"Billable, needs client",IF(N2316&gt;MaxDayHours,"Over "&amp;MaxDayHours&amp;" hours that day","")))))</f>
        <v/>
      </c>
    </row>
    <row r="2317" customFormat="false" ht="15" hidden="false" customHeight="false" outlineLevel="0" collapsed="false">
      <c r="A2317" s="31"/>
      <c r="B2317" s="32"/>
      <c r="C2317" s="32"/>
      <c r="D2317" s="33"/>
      <c r="E2317" s="34"/>
      <c r="F2317" s="32"/>
      <c r="G2317" s="35" t="str">
        <f aca="false">IF(A2317="","",A2317+7-WEEKDAY(A2317))</f>
        <v/>
      </c>
      <c r="H2317" s="36" t="str">
        <f aca="false">IF(A2317="","",DATE(YEAR(A2317),MONTH(A2317),1))</f>
        <v/>
      </c>
      <c r="I2317" s="37" t="str">
        <f aca="false">IF(B2317="","",IFERROR(INDEX(st_ID,MATCH(B2317,st_Name,0)),"Unknown"))</f>
        <v/>
      </c>
      <c r="J2317" s="37" t="str">
        <f aca="false">IF(C2317="","",IFERROR(INDEX(cl_Code,MATCH(C2317,cl_Name,0)),"Unknown"))</f>
        <v/>
      </c>
      <c r="K2317" s="37" t="str">
        <f aca="false">IF(D2317="","",IFERROR(INDEX(rt_Billable,MATCH(D2317,rt_Code,0)),"Unknown"))</f>
        <v/>
      </c>
      <c r="L2317" s="38" t="str">
        <f aca="false">IF(K2317&lt;&gt;"Yes","",IFERROR(INDEX(cr_Rate,MATCH(J2317&amp;"|"&amp;D2317,cr_Key,0)),INDEX(rt_Rate,MATCH(D2317,rt_Code,0))))</f>
        <v/>
      </c>
      <c r="M2317" s="25" t="str">
        <f aca="false">IF(L2317="","",ROUND(N(E2317)*L2317,2))</f>
        <v/>
      </c>
      <c r="N2317" s="39" t="str">
        <f aca="false">IF(OR(A2317="",B2317=""),"",SUMIFS(tl_Hours,tl_StaffID,I2317,tl_Date,A2317))</f>
        <v/>
      </c>
      <c r="O2317" s="40" t="str">
        <f aca="false">IF(A2317&amp;B2317&amp;D2317="","",IF(OR(A2317="",B2317="",D2317="",E2317=""),"Incomplete",IF(K2317="Unknown","Unknown code",IF(AND(K2317="Yes",C2317=""),"Billable, needs client",IF(N2317&gt;MaxDayHours,"Over "&amp;MaxDayHours&amp;" hours that day","")))))</f>
        <v/>
      </c>
    </row>
    <row r="2318" customFormat="false" ht="15" hidden="false" customHeight="false" outlineLevel="0" collapsed="false">
      <c r="A2318" s="31"/>
      <c r="B2318" s="32"/>
      <c r="C2318" s="32"/>
      <c r="D2318" s="33"/>
      <c r="E2318" s="34"/>
      <c r="F2318" s="32"/>
      <c r="G2318" s="35" t="str">
        <f aca="false">IF(A2318="","",A2318+7-WEEKDAY(A2318))</f>
        <v/>
      </c>
      <c r="H2318" s="36" t="str">
        <f aca="false">IF(A2318="","",DATE(YEAR(A2318),MONTH(A2318),1))</f>
        <v/>
      </c>
      <c r="I2318" s="37" t="str">
        <f aca="false">IF(B2318="","",IFERROR(INDEX(st_ID,MATCH(B2318,st_Name,0)),"Unknown"))</f>
        <v/>
      </c>
      <c r="J2318" s="37" t="str">
        <f aca="false">IF(C2318="","",IFERROR(INDEX(cl_Code,MATCH(C2318,cl_Name,0)),"Unknown"))</f>
        <v/>
      </c>
      <c r="K2318" s="37" t="str">
        <f aca="false">IF(D2318="","",IFERROR(INDEX(rt_Billable,MATCH(D2318,rt_Code,0)),"Unknown"))</f>
        <v/>
      </c>
      <c r="L2318" s="38" t="str">
        <f aca="false">IF(K2318&lt;&gt;"Yes","",IFERROR(INDEX(cr_Rate,MATCH(J2318&amp;"|"&amp;D2318,cr_Key,0)),INDEX(rt_Rate,MATCH(D2318,rt_Code,0))))</f>
        <v/>
      </c>
      <c r="M2318" s="25" t="str">
        <f aca="false">IF(L2318="","",ROUND(N(E2318)*L2318,2))</f>
        <v/>
      </c>
      <c r="N2318" s="39" t="str">
        <f aca="false">IF(OR(A2318="",B2318=""),"",SUMIFS(tl_Hours,tl_StaffID,I2318,tl_Date,A2318))</f>
        <v/>
      </c>
      <c r="O2318" s="40" t="str">
        <f aca="false">IF(A2318&amp;B2318&amp;D2318="","",IF(OR(A2318="",B2318="",D2318="",E2318=""),"Incomplete",IF(K2318="Unknown","Unknown code",IF(AND(K2318="Yes",C2318=""),"Billable, needs client",IF(N2318&gt;MaxDayHours,"Over "&amp;MaxDayHours&amp;" hours that day","")))))</f>
        <v/>
      </c>
    </row>
    <row r="2319" customFormat="false" ht="15" hidden="false" customHeight="false" outlineLevel="0" collapsed="false">
      <c r="A2319" s="31"/>
      <c r="B2319" s="32"/>
      <c r="C2319" s="32"/>
      <c r="D2319" s="33"/>
      <c r="E2319" s="34"/>
      <c r="F2319" s="32"/>
      <c r="G2319" s="35" t="str">
        <f aca="false">IF(A2319="","",A2319+7-WEEKDAY(A2319))</f>
        <v/>
      </c>
      <c r="H2319" s="36" t="str">
        <f aca="false">IF(A2319="","",DATE(YEAR(A2319),MONTH(A2319),1))</f>
        <v/>
      </c>
      <c r="I2319" s="37" t="str">
        <f aca="false">IF(B2319="","",IFERROR(INDEX(st_ID,MATCH(B2319,st_Name,0)),"Unknown"))</f>
        <v/>
      </c>
      <c r="J2319" s="37" t="str">
        <f aca="false">IF(C2319="","",IFERROR(INDEX(cl_Code,MATCH(C2319,cl_Name,0)),"Unknown"))</f>
        <v/>
      </c>
      <c r="K2319" s="37" t="str">
        <f aca="false">IF(D2319="","",IFERROR(INDEX(rt_Billable,MATCH(D2319,rt_Code,0)),"Unknown"))</f>
        <v/>
      </c>
      <c r="L2319" s="38" t="str">
        <f aca="false">IF(K2319&lt;&gt;"Yes","",IFERROR(INDEX(cr_Rate,MATCH(J2319&amp;"|"&amp;D2319,cr_Key,0)),INDEX(rt_Rate,MATCH(D2319,rt_Code,0))))</f>
        <v/>
      </c>
      <c r="M2319" s="25" t="str">
        <f aca="false">IF(L2319="","",ROUND(N(E2319)*L2319,2))</f>
        <v/>
      </c>
      <c r="N2319" s="39" t="str">
        <f aca="false">IF(OR(A2319="",B2319=""),"",SUMIFS(tl_Hours,tl_StaffID,I2319,tl_Date,A2319))</f>
        <v/>
      </c>
      <c r="O2319" s="40" t="str">
        <f aca="false">IF(A2319&amp;B2319&amp;D2319="","",IF(OR(A2319="",B2319="",D2319="",E2319=""),"Incomplete",IF(K2319="Unknown","Unknown code",IF(AND(K2319="Yes",C2319=""),"Billable, needs client",IF(N2319&gt;MaxDayHours,"Over "&amp;MaxDayHours&amp;" hours that day","")))))</f>
        <v/>
      </c>
    </row>
    <row r="2320" customFormat="false" ht="15" hidden="false" customHeight="false" outlineLevel="0" collapsed="false">
      <c r="A2320" s="31"/>
      <c r="B2320" s="32"/>
      <c r="C2320" s="32"/>
      <c r="D2320" s="33"/>
      <c r="E2320" s="34"/>
      <c r="F2320" s="32"/>
      <c r="G2320" s="35" t="str">
        <f aca="false">IF(A2320="","",A2320+7-WEEKDAY(A2320))</f>
        <v/>
      </c>
      <c r="H2320" s="36" t="str">
        <f aca="false">IF(A2320="","",DATE(YEAR(A2320),MONTH(A2320),1))</f>
        <v/>
      </c>
      <c r="I2320" s="37" t="str">
        <f aca="false">IF(B2320="","",IFERROR(INDEX(st_ID,MATCH(B2320,st_Name,0)),"Unknown"))</f>
        <v/>
      </c>
      <c r="J2320" s="37" t="str">
        <f aca="false">IF(C2320="","",IFERROR(INDEX(cl_Code,MATCH(C2320,cl_Name,0)),"Unknown"))</f>
        <v/>
      </c>
      <c r="K2320" s="37" t="str">
        <f aca="false">IF(D2320="","",IFERROR(INDEX(rt_Billable,MATCH(D2320,rt_Code,0)),"Unknown"))</f>
        <v/>
      </c>
      <c r="L2320" s="38" t="str">
        <f aca="false">IF(K2320&lt;&gt;"Yes","",IFERROR(INDEX(cr_Rate,MATCH(J2320&amp;"|"&amp;D2320,cr_Key,0)),INDEX(rt_Rate,MATCH(D2320,rt_Code,0))))</f>
        <v/>
      </c>
      <c r="M2320" s="25" t="str">
        <f aca="false">IF(L2320="","",ROUND(N(E2320)*L2320,2))</f>
        <v/>
      </c>
      <c r="N2320" s="39" t="str">
        <f aca="false">IF(OR(A2320="",B2320=""),"",SUMIFS(tl_Hours,tl_StaffID,I2320,tl_Date,A2320))</f>
        <v/>
      </c>
      <c r="O2320" s="40" t="str">
        <f aca="false">IF(A2320&amp;B2320&amp;D2320="","",IF(OR(A2320="",B2320="",D2320="",E2320=""),"Incomplete",IF(K2320="Unknown","Unknown code",IF(AND(K2320="Yes",C2320=""),"Billable, needs client",IF(N2320&gt;MaxDayHours,"Over "&amp;MaxDayHours&amp;" hours that day","")))))</f>
        <v/>
      </c>
    </row>
    <row r="2321" customFormat="false" ht="15" hidden="false" customHeight="false" outlineLevel="0" collapsed="false">
      <c r="A2321" s="31"/>
      <c r="B2321" s="32"/>
      <c r="C2321" s="32"/>
      <c r="D2321" s="33"/>
      <c r="E2321" s="34"/>
      <c r="F2321" s="32"/>
      <c r="G2321" s="35" t="str">
        <f aca="false">IF(A2321="","",A2321+7-WEEKDAY(A2321))</f>
        <v/>
      </c>
      <c r="H2321" s="36" t="str">
        <f aca="false">IF(A2321="","",DATE(YEAR(A2321),MONTH(A2321),1))</f>
        <v/>
      </c>
      <c r="I2321" s="37" t="str">
        <f aca="false">IF(B2321="","",IFERROR(INDEX(st_ID,MATCH(B2321,st_Name,0)),"Unknown"))</f>
        <v/>
      </c>
      <c r="J2321" s="37" t="str">
        <f aca="false">IF(C2321="","",IFERROR(INDEX(cl_Code,MATCH(C2321,cl_Name,0)),"Unknown"))</f>
        <v/>
      </c>
      <c r="K2321" s="37" t="str">
        <f aca="false">IF(D2321="","",IFERROR(INDEX(rt_Billable,MATCH(D2321,rt_Code,0)),"Unknown"))</f>
        <v/>
      </c>
      <c r="L2321" s="38" t="str">
        <f aca="false">IF(K2321&lt;&gt;"Yes","",IFERROR(INDEX(cr_Rate,MATCH(J2321&amp;"|"&amp;D2321,cr_Key,0)),INDEX(rt_Rate,MATCH(D2321,rt_Code,0))))</f>
        <v/>
      </c>
      <c r="M2321" s="25" t="str">
        <f aca="false">IF(L2321="","",ROUND(N(E2321)*L2321,2))</f>
        <v/>
      </c>
      <c r="N2321" s="39" t="str">
        <f aca="false">IF(OR(A2321="",B2321=""),"",SUMIFS(tl_Hours,tl_StaffID,I2321,tl_Date,A2321))</f>
        <v/>
      </c>
      <c r="O2321" s="40" t="str">
        <f aca="false">IF(A2321&amp;B2321&amp;D2321="","",IF(OR(A2321="",B2321="",D2321="",E2321=""),"Incomplete",IF(K2321="Unknown","Unknown code",IF(AND(K2321="Yes",C2321=""),"Billable, needs client",IF(N2321&gt;MaxDayHours,"Over "&amp;MaxDayHours&amp;" hours that day","")))))</f>
        <v/>
      </c>
    </row>
    <row r="2322" customFormat="false" ht="15" hidden="false" customHeight="false" outlineLevel="0" collapsed="false">
      <c r="A2322" s="31"/>
      <c r="B2322" s="32"/>
      <c r="C2322" s="32"/>
      <c r="D2322" s="33"/>
      <c r="E2322" s="34"/>
      <c r="F2322" s="32"/>
      <c r="G2322" s="35" t="str">
        <f aca="false">IF(A2322="","",A2322+7-WEEKDAY(A2322))</f>
        <v/>
      </c>
      <c r="H2322" s="36" t="str">
        <f aca="false">IF(A2322="","",DATE(YEAR(A2322),MONTH(A2322),1))</f>
        <v/>
      </c>
      <c r="I2322" s="37" t="str">
        <f aca="false">IF(B2322="","",IFERROR(INDEX(st_ID,MATCH(B2322,st_Name,0)),"Unknown"))</f>
        <v/>
      </c>
      <c r="J2322" s="37" t="str">
        <f aca="false">IF(C2322="","",IFERROR(INDEX(cl_Code,MATCH(C2322,cl_Name,0)),"Unknown"))</f>
        <v/>
      </c>
      <c r="K2322" s="37" t="str">
        <f aca="false">IF(D2322="","",IFERROR(INDEX(rt_Billable,MATCH(D2322,rt_Code,0)),"Unknown"))</f>
        <v/>
      </c>
      <c r="L2322" s="38" t="str">
        <f aca="false">IF(K2322&lt;&gt;"Yes","",IFERROR(INDEX(cr_Rate,MATCH(J2322&amp;"|"&amp;D2322,cr_Key,0)),INDEX(rt_Rate,MATCH(D2322,rt_Code,0))))</f>
        <v/>
      </c>
      <c r="M2322" s="25" t="str">
        <f aca="false">IF(L2322="","",ROUND(N(E2322)*L2322,2))</f>
        <v/>
      </c>
      <c r="N2322" s="39" t="str">
        <f aca="false">IF(OR(A2322="",B2322=""),"",SUMIFS(tl_Hours,tl_StaffID,I2322,tl_Date,A2322))</f>
        <v/>
      </c>
      <c r="O2322" s="40" t="str">
        <f aca="false">IF(A2322&amp;B2322&amp;D2322="","",IF(OR(A2322="",B2322="",D2322="",E2322=""),"Incomplete",IF(K2322="Unknown","Unknown code",IF(AND(K2322="Yes",C2322=""),"Billable, needs client",IF(N2322&gt;MaxDayHours,"Over "&amp;MaxDayHours&amp;" hours that day","")))))</f>
        <v/>
      </c>
    </row>
    <row r="2323" customFormat="false" ht="15" hidden="false" customHeight="false" outlineLevel="0" collapsed="false">
      <c r="A2323" s="31"/>
      <c r="B2323" s="32"/>
      <c r="C2323" s="32"/>
      <c r="D2323" s="33"/>
      <c r="E2323" s="34"/>
      <c r="F2323" s="32"/>
      <c r="G2323" s="35" t="str">
        <f aca="false">IF(A2323="","",A2323+7-WEEKDAY(A2323))</f>
        <v/>
      </c>
      <c r="H2323" s="36" t="str">
        <f aca="false">IF(A2323="","",DATE(YEAR(A2323),MONTH(A2323),1))</f>
        <v/>
      </c>
      <c r="I2323" s="37" t="str">
        <f aca="false">IF(B2323="","",IFERROR(INDEX(st_ID,MATCH(B2323,st_Name,0)),"Unknown"))</f>
        <v/>
      </c>
      <c r="J2323" s="37" t="str">
        <f aca="false">IF(C2323="","",IFERROR(INDEX(cl_Code,MATCH(C2323,cl_Name,0)),"Unknown"))</f>
        <v/>
      </c>
      <c r="K2323" s="37" t="str">
        <f aca="false">IF(D2323="","",IFERROR(INDEX(rt_Billable,MATCH(D2323,rt_Code,0)),"Unknown"))</f>
        <v/>
      </c>
      <c r="L2323" s="38" t="str">
        <f aca="false">IF(K2323&lt;&gt;"Yes","",IFERROR(INDEX(cr_Rate,MATCH(J2323&amp;"|"&amp;D2323,cr_Key,0)),INDEX(rt_Rate,MATCH(D2323,rt_Code,0))))</f>
        <v/>
      </c>
      <c r="M2323" s="25" t="str">
        <f aca="false">IF(L2323="","",ROUND(N(E2323)*L2323,2))</f>
        <v/>
      </c>
      <c r="N2323" s="39" t="str">
        <f aca="false">IF(OR(A2323="",B2323=""),"",SUMIFS(tl_Hours,tl_StaffID,I2323,tl_Date,A2323))</f>
        <v/>
      </c>
      <c r="O2323" s="40" t="str">
        <f aca="false">IF(A2323&amp;B2323&amp;D2323="","",IF(OR(A2323="",B2323="",D2323="",E2323=""),"Incomplete",IF(K2323="Unknown","Unknown code",IF(AND(K2323="Yes",C2323=""),"Billable, needs client",IF(N2323&gt;MaxDayHours,"Over "&amp;MaxDayHours&amp;" hours that day","")))))</f>
        <v/>
      </c>
    </row>
    <row r="2324" customFormat="false" ht="15" hidden="false" customHeight="false" outlineLevel="0" collapsed="false">
      <c r="A2324" s="31"/>
      <c r="B2324" s="32"/>
      <c r="C2324" s="32"/>
      <c r="D2324" s="33"/>
      <c r="E2324" s="34"/>
      <c r="F2324" s="32"/>
      <c r="G2324" s="35" t="str">
        <f aca="false">IF(A2324="","",A2324+7-WEEKDAY(A2324))</f>
        <v/>
      </c>
      <c r="H2324" s="36" t="str">
        <f aca="false">IF(A2324="","",DATE(YEAR(A2324),MONTH(A2324),1))</f>
        <v/>
      </c>
      <c r="I2324" s="37" t="str">
        <f aca="false">IF(B2324="","",IFERROR(INDEX(st_ID,MATCH(B2324,st_Name,0)),"Unknown"))</f>
        <v/>
      </c>
      <c r="J2324" s="37" t="str">
        <f aca="false">IF(C2324="","",IFERROR(INDEX(cl_Code,MATCH(C2324,cl_Name,0)),"Unknown"))</f>
        <v/>
      </c>
      <c r="K2324" s="37" t="str">
        <f aca="false">IF(D2324="","",IFERROR(INDEX(rt_Billable,MATCH(D2324,rt_Code,0)),"Unknown"))</f>
        <v/>
      </c>
      <c r="L2324" s="38" t="str">
        <f aca="false">IF(K2324&lt;&gt;"Yes","",IFERROR(INDEX(cr_Rate,MATCH(J2324&amp;"|"&amp;D2324,cr_Key,0)),INDEX(rt_Rate,MATCH(D2324,rt_Code,0))))</f>
        <v/>
      </c>
      <c r="M2324" s="25" t="str">
        <f aca="false">IF(L2324="","",ROUND(N(E2324)*L2324,2))</f>
        <v/>
      </c>
      <c r="N2324" s="39" t="str">
        <f aca="false">IF(OR(A2324="",B2324=""),"",SUMIFS(tl_Hours,tl_StaffID,I2324,tl_Date,A2324))</f>
        <v/>
      </c>
      <c r="O2324" s="40" t="str">
        <f aca="false">IF(A2324&amp;B2324&amp;D2324="","",IF(OR(A2324="",B2324="",D2324="",E2324=""),"Incomplete",IF(K2324="Unknown","Unknown code",IF(AND(K2324="Yes",C2324=""),"Billable, needs client",IF(N2324&gt;MaxDayHours,"Over "&amp;MaxDayHours&amp;" hours that day","")))))</f>
        <v/>
      </c>
    </row>
    <row r="2325" customFormat="false" ht="15" hidden="false" customHeight="false" outlineLevel="0" collapsed="false">
      <c r="A2325" s="31"/>
      <c r="B2325" s="32"/>
      <c r="C2325" s="32"/>
      <c r="D2325" s="33"/>
      <c r="E2325" s="34"/>
      <c r="F2325" s="32"/>
      <c r="G2325" s="35" t="str">
        <f aca="false">IF(A2325="","",A2325+7-WEEKDAY(A2325))</f>
        <v/>
      </c>
      <c r="H2325" s="36" t="str">
        <f aca="false">IF(A2325="","",DATE(YEAR(A2325),MONTH(A2325),1))</f>
        <v/>
      </c>
      <c r="I2325" s="37" t="str">
        <f aca="false">IF(B2325="","",IFERROR(INDEX(st_ID,MATCH(B2325,st_Name,0)),"Unknown"))</f>
        <v/>
      </c>
      <c r="J2325" s="37" t="str">
        <f aca="false">IF(C2325="","",IFERROR(INDEX(cl_Code,MATCH(C2325,cl_Name,0)),"Unknown"))</f>
        <v/>
      </c>
      <c r="K2325" s="37" t="str">
        <f aca="false">IF(D2325="","",IFERROR(INDEX(rt_Billable,MATCH(D2325,rt_Code,0)),"Unknown"))</f>
        <v/>
      </c>
      <c r="L2325" s="38" t="str">
        <f aca="false">IF(K2325&lt;&gt;"Yes","",IFERROR(INDEX(cr_Rate,MATCH(J2325&amp;"|"&amp;D2325,cr_Key,0)),INDEX(rt_Rate,MATCH(D2325,rt_Code,0))))</f>
        <v/>
      </c>
      <c r="M2325" s="25" t="str">
        <f aca="false">IF(L2325="","",ROUND(N(E2325)*L2325,2))</f>
        <v/>
      </c>
      <c r="N2325" s="39" t="str">
        <f aca="false">IF(OR(A2325="",B2325=""),"",SUMIFS(tl_Hours,tl_StaffID,I2325,tl_Date,A2325))</f>
        <v/>
      </c>
      <c r="O2325" s="40" t="str">
        <f aca="false">IF(A2325&amp;B2325&amp;D2325="","",IF(OR(A2325="",B2325="",D2325="",E2325=""),"Incomplete",IF(K2325="Unknown","Unknown code",IF(AND(K2325="Yes",C2325=""),"Billable, needs client",IF(N2325&gt;MaxDayHours,"Over "&amp;MaxDayHours&amp;" hours that day","")))))</f>
        <v/>
      </c>
    </row>
    <row r="2326" customFormat="false" ht="15" hidden="false" customHeight="false" outlineLevel="0" collapsed="false">
      <c r="A2326" s="31"/>
      <c r="B2326" s="32"/>
      <c r="C2326" s="32"/>
      <c r="D2326" s="33"/>
      <c r="E2326" s="34"/>
      <c r="F2326" s="32"/>
      <c r="G2326" s="35" t="str">
        <f aca="false">IF(A2326="","",A2326+7-WEEKDAY(A2326))</f>
        <v/>
      </c>
      <c r="H2326" s="36" t="str">
        <f aca="false">IF(A2326="","",DATE(YEAR(A2326),MONTH(A2326),1))</f>
        <v/>
      </c>
      <c r="I2326" s="37" t="str">
        <f aca="false">IF(B2326="","",IFERROR(INDEX(st_ID,MATCH(B2326,st_Name,0)),"Unknown"))</f>
        <v/>
      </c>
      <c r="J2326" s="37" t="str">
        <f aca="false">IF(C2326="","",IFERROR(INDEX(cl_Code,MATCH(C2326,cl_Name,0)),"Unknown"))</f>
        <v/>
      </c>
      <c r="K2326" s="37" t="str">
        <f aca="false">IF(D2326="","",IFERROR(INDEX(rt_Billable,MATCH(D2326,rt_Code,0)),"Unknown"))</f>
        <v/>
      </c>
      <c r="L2326" s="38" t="str">
        <f aca="false">IF(K2326&lt;&gt;"Yes","",IFERROR(INDEX(cr_Rate,MATCH(J2326&amp;"|"&amp;D2326,cr_Key,0)),INDEX(rt_Rate,MATCH(D2326,rt_Code,0))))</f>
        <v/>
      </c>
      <c r="M2326" s="25" t="str">
        <f aca="false">IF(L2326="","",ROUND(N(E2326)*L2326,2))</f>
        <v/>
      </c>
      <c r="N2326" s="39" t="str">
        <f aca="false">IF(OR(A2326="",B2326=""),"",SUMIFS(tl_Hours,tl_StaffID,I2326,tl_Date,A2326))</f>
        <v/>
      </c>
      <c r="O2326" s="40" t="str">
        <f aca="false">IF(A2326&amp;B2326&amp;D2326="","",IF(OR(A2326="",B2326="",D2326="",E2326=""),"Incomplete",IF(K2326="Unknown","Unknown code",IF(AND(K2326="Yes",C2326=""),"Billable, needs client",IF(N2326&gt;MaxDayHours,"Over "&amp;MaxDayHours&amp;" hours that day","")))))</f>
        <v/>
      </c>
    </row>
    <row r="2327" customFormat="false" ht="15" hidden="false" customHeight="false" outlineLevel="0" collapsed="false">
      <c r="A2327" s="31"/>
      <c r="B2327" s="32"/>
      <c r="C2327" s="32"/>
      <c r="D2327" s="33"/>
      <c r="E2327" s="34"/>
      <c r="F2327" s="32"/>
      <c r="G2327" s="35" t="str">
        <f aca="false">IF(A2327="","",A2327+7-WEEKDAY(A2327))</f>
        <v/>
      </c>
      <c r="H2327" s="36" t="str">
        <f aca="false">IF(A2327="","",DATE(YEAR(A2327),MONTH(A2327),1))</f>
        <v/>
      </c>
      <c r="I2327" s="37" t="str">
        <f aca="false">IF(B2327="","",IFERROR(INDEX(st_ID,MATCH(B2327,st_Name,0)),"Unknown"))</f>
        <v/>
      </c>
      <c r="J2327" s="37" t="str">
        <f aca="false">IF(C2327="","",IFERROR(INDEX(cl_Code,MATCH(C2327,cl_Name,0)),"Unknown"))</f>
        <v/>
      </c>
      <c r="K2327" s="37" t="str">
        <f aca="false">IF(D2327="","",IFERROR(INDEX(rt_Billable,MATCH(D2327,rt_Code,0)),"Unknown"))</f>
        <v/>
      </c>
      <c r="L2327" s="38" t="str">
        <f aca="false">IF(K2327&lt;&gt;"Yes","",IFERROR(INDEX(cr_Rate,MATCH(J2327&amp;"|"&amp;D2327,cr_Key,0)),INDEX(rt_Rate,MATCH(D2327,rt_Code,0))))</f>
        <v/>
      </c>
      <c r="M2327" s="25" t="str">
        <f aca="false">IF(L2327="","",ROUND(N(E2327)*L2327,2))</f>
        <v/>
      </c>
      <c r="N2327" s="39" t="str">
        <f aca="false">IF(OR(A2327="",B2327=""),"",SUMIFS(tl_Hours,tl_StaffID,I2327,tl_Date,A2327))</f>
        <v/>
      </c>
      <c r="O2327" s="40" t="str">
        <f aca="false">IF(A2327&amp;B2327&amp;D2327="","",IF(OR(A2327="",B2327="",D2327="",E2327=""),"Incomplete",IF(K2327="Unknown","Unknown code",IF(AND(K2327="Yes",C2327=""),"Billable, needs client",IF(N2327&gt;MaxDayHours,"Over "&amp;MaxDayHours&amp;" hours that day","")))))</f>
        <v/>
      </c>
    </row>
    <row r="2328" customFormat="false" ht="15" hidden="false" customHeight="false" outlineLevel="0" collapsed="false">
      <c r="A2328" s="31"/>
      <c r="B2328" s="32"/>
      <c r="C2328" s="32"/>
      <c r="D2328" s="33"/>
      <c r="E2328" s="34"/>
      <c r="F2328" s="32"/>
      <c r="G2328" s="35" t="str">
        <f aca="false">IF(A2328="","",A2328+7-WEEKDAY(A2328))</f>
        <v/>
      </c>
      <c r="H2328" s="36" t="str">
        <f aca="false">IF(A2328="","",DATE(YEAR(A2328),MONTH(A2328),1))</f>
        <v/>
      </c>
      <c r="I2328" s="37" t="str">
        <f aca="false">IF(B2328="","",IFERROR(INDEX(st_ID,MATCH(B2328,st_Name,0)),"Unknown"))</f>
        <v/>
      </c>
      <c r="J2328" s="37" t="str">
        <f aca="false">IF(C2328="","",IFERROR(INDEX(cl_Code,MATCH(C2328,cl_Name,0)),"Unknown"))</f>
        <v/>
      </c>
      <c r="K2328" s="37" t="str">
        <f aca="false">IF(D2328="","",IFERROR(INDEX(rt_Billable,MATCH(D2328,rt_Code,0)),"Unknown"))</f>
        <v/>
      </c>
      <c r="L2328" s="38" t="str">
        <f aca="false">IF(K2328&lt;&gt;"Yes","",IFERROR(INDEX(cr_Rate,MATCH(J2328&amp;"|"&amp;D2328,cr_Key,0)),INDEX(rt_Rate,MATCH(D2328,rt_Code,0))))</f>
        <v/>
      </c>
      <c r="M2328" s="25" t="str">
        <f aca="false">IF(L2328="","",ROUND(N(E2328)*L2328,2))</f>
        <v/>
      </c>
      <c r="N2328" s="39" t="str">
        <f aca="false">IF(OR(A2328="",B2328=""),"",SUMIFS(tl_Hours,tl_StaffID,I2328,tl_Date,A2328))</f>
        <v/>
      </c>
      <c r="O2328" s="40" t="str">
        <f aca="false">IF(A2328&amp;B2328&amp;D2328="","",IF(OR(A2328="",B2328="",D2328="",E2328=""),"Incomplete",IF(K2328="Unknown","Unknown code",IF(AND(K2328="Yes",C2328=""),"Billable, needs client",IF(N2328&gt;MaxDayHours,"Over "&amp;MaxDayHours&amp;" hours that day","")))))</f>
        <v/>
      </c>
    </row>
    <row r="2329" customFormat="false" ht="15" hidden="false" customHeight="false" outlineLevel="0" collapsed="false">
      <c r="A2329" s="31"/>
      <c r="B2329" s="32"/>
      <c r="C2329" s="32"/>
      <c r="D2329" s="33"/>
      <c r="E2329" s="34"/>
      <c r="F2329" s="32"/>
      <c r="G2329" s="35" t="str">
        <f aca="false">IF(A2329="","",A2329+7-WEEKDAY(A2329))</f>
        <v/>
      </c>
      <c r="H2329" s="36" t="str">
        <f aca="false">IF(A2329="","",DATE(YEAR(A2329),MONTH(A2329),1))</f>
        <v/>
      </c>
      <c r="I2329" s="37" t="str">
        <f aca="false">IF(B2329="","",IFERROR(INDEX(st_ID,MATCH(B2329,st_Name,0)),"Unknown"))</f>
        <v/>
      </c>
      <c r="J2329" s="37" t="str">
        <f aca="false">IF(C2329="","",IFERROR(INDEX(cl_Code,MATCH(C2329,cl_Name,0)),"Unknown"))</f>
        <v/>
      </c>
      <c r="K2329" s="37" t="str">
        <f aca="false">IF(D2329="","",IFERROR(INDEX(rt_Billable,MATCH(D2329,rt_Code,0)),"Unknown"))</f>
        <v/>
      </c>
      <c r="L2329" s="38" t="str">
        <f aca="false">IF(K2329&lt;&gt;"Yes","",IFERROR(INDEX(cr_Rate,MATCH(J2329&amp;"|"&amp;D2329,cr_Key,0)),INDEX(rt_Rate,MATCH(D2329,rt_Code,0))))</f>
        <v/>
      </c>
      <c r="M2329" s="25" t="str">
        <f aca="false">IF(L2329="","",ROUND(N(E2329)*L2329,2))</f>
        <v/>
      </c>
      <c r="N2329" s="39" t="str">
        <f aca="false">IF(OR(A2329="",B2329=""),"",SUMIFS(tl_Hours,tl_StaffID,I2329,tl_Date,A2329))</f>
        <v/>
      </c>
      <c r="O2329" s="40" t="str">
        <f aca="false">IF(A2329&amp;B2329&amp;D2329="","",IF(OR(A2329="",B2329="",D2329="",E2329=""),"Incomplete",IF(K2329="Unknown","Unknown code",IF(AND(K2329="Yes",C2329=""),"Billable, needs client",IF(N2329&gt;MaxDayHours,"Over "&amp;MaxDayHours&amp;" hours that day","")))))</f>
        <v/>
      </c>
    </row>
    <row r="2330" customFormat="false" ht="15" hidden="false" customHeight="false" outlineLevel="0" collapsed="false">
      <c r="A2330" s="31"/>
      <c r="B2330" s="32"/>
      <c r="C2330" s="32"/>
      <c r="D2330" s="33"/>
      <c r="E2330" s="34"/>
      <c r="F2330" s="32"/>
      <c r="G2330" s="35" t="str">
        <f aca="false">IF(A2330="","",A2330+7-WEEKDAY(A2330))</f>
        <v/>
      </c>
      <c r="H2330" s="36" t="str">
        <f aca="false">IF(A2330="","",DATE(YEAR(A2330),MONTH(A2330),1))</f>
        <v/>
      </c>
      <c r="I2330" s="37" t="str">
        <f aca="false">IF(B2330="","",IFERROR(INDEX(st_ID,MATCH(B2330,st_Name,0)),"Unknown"))</f>
        <v/>
      </c>
      <c r="J2330" s="37" t="str">
        <f aca="false">IF(C2330="","",IFERROR(INDEX(cl_Code,MATCH(C2330,cl_Name,0)),"Unknown"))</f>
        <v/>
      </c>
      <c r="K2330" s="37" t="str">
        <f aca="false">IF(D2330="","",IFERROR(INDEX(rt_Billable,MATCH(D2330,rt_Code,0)),"Unknown"))</f>
        <v/>
      </c>
      <c r="L2330" s="38" t="str">
        <f aca="false">IF(K2330&lt;&gt;"Yes","",IFERROR(INDEX(cr_Rate,MATCH(J2330&amp;"|"&amp;D2330,cr_Key,0)),INDEX(rt_Rate,MATCH(D2330,rt_Code,0))))</f>
        <v/>
      </c>
      <c r="M2330" s="25" t="str">
        <f aca="false">IF(L2330="","",ROUND(N(E2330)*L2330,2))</f>
        <v/>
      </c>
      <c r="N2330" s="39" t="str">
        <f aca="false">IF(OR(A2330="",B2330=""),"",SUMIFS(tl_Hours,tl_StaffID,I2330,tl_Date,A2330))</f>
        <v/>
      </c>
      <c r="O2330" s="40" t="str">
        <f aca="false">IF(A2330&amp;B2330&amp;D2330="","",IF(OR(A2330="",B2330="",D2330="",E2330=""),"Incomplete",IF(K2330="Unknown","Unknown code",IF(AND(K2330="Yes",C2330=""),"Billable, needs client",IF(N2330&gt;MaxDayHours,"Over "&amp;MaxDayHours&amp;" hours that day","")))))</f>
        <v/>
      </c>
    </row>
    <row r="2331" customFormat="false" ht="15" hidden="false" customHeight="false" outlineLevel="0" collapsed="false">
      <c r="A2331" s="31"/>
      <c r="B2331" s="32"/>
      <c r="C2331" s="32"/>
      <c r="D2331" s="33"/>
      <c r="E2331" s="34"/>
      <c r="F2331" s="32"/>
      <c r="G2331" s="35" t="str">
        <f aca="false">IF(A2331="","",A2331+7-WEEKDAY(A2331))</f>
        <v/>
      </c>
      <c r="H2331" s="36" t="str">
        <f aca="false">IF(A2331="","",DATE(YEAR(A2331),MONTH(A2331),1))</f>
        <v/>
      </c>
      <c r="I2331" s="37" t="str">
        <f aca="false">IF(B2331="","",IFERROR(INDEX(st_ID,MATCH(B2331,st_Name,0)),"Unknown"))</f>
        <v/>
      </c>
      <c r="J2331" s="37" t="str">
        <f aca="false">IF(C2331="","",IFERROR(INDEX(cl_Code,MATCH(C2331,cl_Name,0)),"Unknown"))</f>
        <v/>
      </c>
      <c r="K2331" s="37" t="str">
        <f aca="false">IF(D2331="","",IFERROR(INDEX(rt_Billable,MATCH(D2331,rt_Code,0)),"Unknown"))</f>
        <v/>
      </c>
      <c r="L2331" s="38" t="str">
        <f aca="false">IF(K2331&lt;&gt;"Yes","",IFERROR(INDEX(cr_Rate,MATCH(J2331&amp;"|"&amp;D2331,cr_Key,0)),INDEX(rt_Rate,MATCH(D2331,rt_Code,0))))</f>
        <v/>
      </c>
      <c r="M2331" s="25" t="str">
        <f aca="false">IF(L2331="","",ROUND(N(E2331)*L2331,2))</f>
        <v/>
      </c>
      <c r="N2331" s="39" t="str">
        <f aca="false">IF(OR(A2331="",B2331=""),"",SUMIFS(tl_Hours,tl_StaffID,I2331,tl_Date,A2331))</f>
        <v/>
      </c>
      <c r="O2331" s="40" t="str">
        <f aca="false">IF(A2331&amp;B2331&amp;D2331="","",IF(OR(A2331="",B2331="",D2331="",E2331=""),"Incomplete",IF(K2331="Unknown","Unknown code",IF(AND(K2331="Yes",C2331=""),"Billable, needs client",IF(N2331&gt;MaxDayHours,"Over "&amp;MaxDayHours&amp;" hours that day","")))))</f>
        <v/>
      </c>
    </row>
    <row r="2332" customFormat="false" ht="15" hidden="false" customHeight="false" outlineLevel="0" collapsed="false">
      <c r="A2332" s="31"/>
      <c r="B2332" s="32"/>
      <c r="C2332" s="32"/>
      <c r="D2332" s="33"/>
      <c r="E2332" s="34"/>
      <c r="F2332" s="32"/>
      <c r="G2332" s="35" t="str">
        <f aca="false">IF(A2332="","",A2332+7-WEEKDAY(A2332))</f>
        <v/>
      </c>
      <c r="H2332" s="36" t="str">
        <f aca="false">IF(A2332="","",DATE(YEAR(A2332),MONTH(A2332),1))</f>
        <v/>
      </c>
      <c r="I2332" s="37" t="str">
        <f aca="false">IF(B2332="","",IFERROR(INDEX(st_ID,MATCH(B2332,st_Name,0)),"Unknown"))</f>
        <v/>
      </c>
      <c r="J2332" s="37" t="str">
        <f aca="false">IF(C2332="","",IFERROR(INDEX(cl_Code,MATCH(C2332,cl_Name,0)),"Unknown"))</f>
        <v/>
      </c>
      <c r="K2332" s="37" t="str">
        <f aca="false">IF(D2332="","",IFERROR(INDEX(rt_Billable,MATCH(D2332,rt_Code,0)),"Unknown"))</f>
        <v/>
      </c>
      <c r="L2332" s="38" t="str">
        <f aca="false">IF(K2332&lt;&gt;"Yes","",IFERROR(INDEX(cr_Rate,MATCH(J2332&amp;"|"&amp;D2332,cr_Key,0)),INDEX(rt_Rate,MATCH(D2332,rt_Code,0))))</f>
        <v/>
      </c>
      <c r="M2332" s="25" t="str">
        <f aca="false">IF(L2332="","",ROUND(N(E2332)*L2332,2))</f>
        <v/>
      </c>
      <c r="N2332" s="39" t="str">
        <f aca="false">IF(OR(A2332="",B2332=""),"",SUMIFS(tl_Hours,tl_StaffID,I2332,tl_Date,A2332))</f>
        <v/>
      </c>
      <c r="O2332" s="40" t="str">
        <f aca="false">IF(A2332&amp;B2332&amp;D2332="","",IF(OR(A2332="",B2332="",D2332="",E2332=""),"Incomplete",IF(K2332="Unknown","Unknown code",IF(AND(K2332="Yes",C2332=""),"Billable, needs client",IF(N2332&gt;MaxDayHours,"Over "&amp;MaxDayHours&amp;" hours that day","")))))</f>
        <v/>
      </c>
    </row>
    <row r="2333" customFormat="false" ht="15" hidden="false" customHeight="false" outlineLevel="0" collapsed="false">
      <c r="A2333" s="31"/>
      <c r="B2333" s="32"/>
      <c r="C2333" s="32"/>
      <c r="D2333" s="33"/>
      <c r="E2333" s="34"/>
      <c r="F2333" s="32"/>
      <c r="G2333" s="35" t="str">
        <f aca="false">IF(A2333="","",A2333+7-WEEKDAY(A2333))</f>
        <v/>
      </c>
      <c r="H2333" s="36" t="str">
        <f aca="false">IF(A2333="","",DATE(YEAR(A2333),MONTH(A2333),1))</f>
        <v/>
      </c>
      <c r="I2333" s="37" t="str">
        <f aca="false">IF(B2333="","",IFERROR(INDEX(st_ID,MATCH(B2333,st_Name,0)),"Unknown"))</f>
        <v/>
      </c>
      <c r="J2333" s="37" t="str">
        <f aca="false">IF(C2333="","",IFERROR(INDEX(cl_Code,MATCH(C2333,cl_Name,0)),"Unknown"))</f>
        <v/>
      </c>
      <c r="K2333" s="37" t="str">
        <f aca="false">IF(D2333="","",IFERROR(INDEX(rt_Billable,MATCH(D2333,rt_Code,0)),"Unknown"))</f>
        <v/>
      </c>
      <c r="L2333" s="38" t="str">
        <f aca="false">IF(K2333&lt;&gt;"Yes","",IFERROR(INDEX(cr_Rate,MATCH(J2333&amp;"|"&amp;D2333,cr_Key,0)),INDEX(rt_Rate,MATCH(D2333,rt_Code,0))))</f>
        <v/>
      </c>
      <c r="M2333" s="25" t="str">
        <f aca="false">IF(L2333="","",ROUND(N(E2333)*L2333,2))</f>
        <v/>
      </c>
      <c r="N2333" s="39" t="str">
        <f aca="false">IF(OR(A2333="",B2333=""),"",SUMIFS(tl_Hours,tl_StaffID,I2333,tl_Date,A2333))</f>
        <v/>
      </c>
      <c r="O2333" s="40" t="str">
        <f aca="false">IF(A2333&amp;B2333&amp;D2333="","",IF(OR(A2333="",B2333="",D2333="",E2333=""),"Incomplete",IF(K2333="Unknown","Unknown code",IF(AND(K2333="Yes",C2333=""),"Billable, needs client",IF(N2333&gt;MaxDayHours,"Over "&amp;MaxDayHours&amp;" hours that day","")))))</f>
        <v/>
      </c>
    </row>
    <row r="2334" customFormat="false" ht="15" hidden="false" customHeight="false" outlineLevel="0" collapsed="false">
      <c r="A2334" s="31"/>
      <c r="B2334" s="32"/>
      <c r="C2334" s="32"/>
      <c r="D2334" s="33"/>
      <c r="E2334" s="34"/>
      <c r="F2334" s="32"/>
      <c r="G2334" s="35" t="str">
        <f aca="false">IF(A2334="","",A2334+7-WEEKDAY(A2334))</f>
        <v/>
      </c>
      <c r="H2334" s="36" t="str">
        <f aca="false">IF(A2334="","",DATE(YEAR(A2334),MONTH(A2334),1))</f>
        <v/>
      </c>
      <c r="I2334" s="37" t="str">
        <f aca="false">IF(B2334="","",IFERROR(INDEX(st_ID,MATCH(B2334,st_Name,0)),"Unknown"))</f>
        <v/>
      </c>
      <c r="J2334" s="37" t="str">
        <f aca="false">IF(C2334="","",IFERROR(INDEX(cl_Code,MATCH(C2334,cl_Name,0)),"Unknown"))</f>
        <v/>
      </c>
      <c r="K2334" s="37" t="str">
        <f aca="false">IF(D2334="","",IFERROR(INDEX(rt_Billable,MATCH(D2334,rt_Code,0)),"Unknown"))</f>
        <v/>
      </c>
      <c r="L2334" s="38" t="str">
        <f aca="false">IF(K2334&lt;&gt;"Yes","",IFERROR(INDEX(cr_Rate,MATCH(J2334&amp;"|"&amp;D2334,cr_Key,0)),INDEX(rt_Rate,MATCH(D2334,rt_Code,0))))</f>
        <v/>
      </c>
      <c r="M2334" s="25" t="str">
        <f aca="false">IF(L2334="","",ROUND(N(E2334)*L2334,2))</f>
        <v/>
      </c>
      <c r="N2334" s="39" t="str">
        <f aca="false">IF(OR(A2334="",B2334=""),"",SUMIFS(tl_Hours,tl_StaffID,I2334,tl_Date,A2334))</f>
        <v/>
      </c>
      <c r="O2334" s="40" t="str">
        <f aca="false">IF(A2334&amp;B2334&amp;D2334="","",IF(OR(A2334="",B2334="",D2334="",E2334=""),"Incomplete",IF(K2334="Unknown","Unknown code",IF(AND(K2334="Yes",C2334=""),"Billable, needs client",IF(N2334&gt;MaxDayHours,"Over "&amp;MaxDayHours&amp;" hours that day","")))))</f>
        <v/>
      </c>
    </row>
    <row r="2335" customFormat="false" ht="15" hidden="false" customHeight="false" outlineLevel="0" collapsed="false">
      <c r="A2335" s="31"/>
      <c r="B2335" s="32"/>
      <c r="C2335" s="32"/>
      <c r="D2335" s="33"/>
      <c r="E2335" s="34"/>
      <c r="F2335" s="32"/>
      <c r="G2335" s="35" t="str">
        <f aca="false">IF(A2335="","",A2335+7-WEEKDAY(A2335))</f>
        <v/>
      </c>
      <c r="H2335" s="36" t="str">
        <f aca="false">IF(A2335="","",DATE(YEAR(A2335),MONTH(A2335),1))</f>
        <v/>
      </c>
      <c r="I2335" s="37" t="str">
        <f aca="false">IF(B2335="","",IFERROR(INDEX(st_ID,MATCH(B2335,st_Name,0)),"Unknown"))</f>
        <v/>
      </c>
      <c r="J2335" s="37" t="str">
        <f aca="false">IF(C2335="","",IFERROR(INDEX(cl_Code,MATCH(C2335,cl_Name,0)),"Unknown"))</f>
        <v/>
      </c>
      <c r="K2335" s="37" t="str">
        <f aca="false">IF(D2335="","",IFERROR(INDEX(rt_Billable,MATCH(D2335,rt_Code,0)),"Unknown"))</f>
        <v/>
      </c>
      <c r="L2335" s="38" t="str">
        <f aca="false">IF(K2335&lt;&gt;"Yes","",IFERROR(INDEX(cr_Rate,MATCH(J2335&amp;"|"&amp;D2335,cr_Key,0)),INDEX(rt_Rate,MATCH(D2335,rt_Code,0))))</f>
        <v/>
      </c>
      <c r="M2335" s="25" t="str">
        <f aca="false">IF(L2335="","",ROUND(N(E2335)*L2335,2))</f>
        <v/>
      </c>
      <c r="N2335" s="39" t="str">
        <f aca="false">IF(OR(A2335="",B2335=""),"",SUMIFS(tl_Hours,tl_StaffID,I2335,tl_Date,A2335))</f>
        <v/>
      </c>
      <c r="O2335" s="40" t="str">
        <f aca="false">IF(A2335&amp;B2335&amp;D2335="","",IF(OR(A2335="",B2335="",D2335="",E2335=""),"Incomplete",IF(K2335="Unknown","Unknown code",IF(AND(K2335="Yes",C2335=""),"Billable, needs client",IF(N2335&gt;MaxDayHours,"Over "&amp;MaxDayHours&amp;" hours that day","")))))</f>
        <v/>
      </c>
    </row>
    <row r="2336" customFormat="false" ht="15" hidden="false" customHeight="false" outlineLevel="0" collapsed="false">
      <c r="A2336" s="31"/>
      <c r="B2336" s="32"/>
      <c r="C2336" s="32"/>
      <c r="D2336" s="33"/>
      <c r="E2336" s="34"/>
      <c r="F2336" s="32"/>
      <c r="G2336" s="35" t="str">
        <f aca="false">IF(A2336="","",A2336+7-WEEKDAY(A2336))</f>
        <v/>
      </c>
      <c r="H2336" s="36" t="str">
        <f aca="false">IF(A2336="","",DATE(YEAR(A2336),MONTH(A2336),1))</f>
        <v/>
      </c>
      <c r="I2336" s="37" t="str">
        <f aca="false">IF(B2336="","",IFERROR(INDEX(st_ID,MATCH(B2336,st_Name,0)),"Unknown"))</f>
        <v/>
      </c>
      <c r="J2336" s="37" t="str">
        <f aca="false">IF(C2336="","",IFERROR(INDEX(cl_Code,MATCH(C2336,cl_Name,0)),"Unknown"))</f>
        <v/>
      </c>
      <c r="K2336" s="37" t="str">
        <f aca="false">IF(D2336="","",IFERROR(INDEX(rt_Billable,MATCH(D2336,rt_Code,0)),"Unknown"))</f>
        <v/>
      </c>
      <c r="L2336" s="38" t="str">
        <f aca="false">IF(K2336&lt;&gt;"Yes","",IFERROR(INDEX(cr_Rate,MATCH(J2336&amp;"|"&amp;D2336,cr_Key,0)),INDEX(rt_Rate,MATCH(D2336,rt_Code,0))))</f>
        <v/>
      </c>
      <c r="M2336" s="25" t="str">
        <f aca="false">IF(L2336="","",ROUND(N(E2336)*L2336,2))</f>
        <v/>
      </c>
      <c r="N2336" s="39" t="str">
        <f aca="false">IF(OR(A2336="",B2336=""),"",SUMIFS(tl_Hours,tl_StaffID,I2336,tl_Date,A2336))</f>
        <v/>
      </c>
      <c r="O2336" s="40" t="str">
        <f aca="false">IF(A2336&amp;B2336&amp;D2336="","",IF(OR(A2336="",B2336="",D2336="",E2336=""),"Incomplete",IF(K2336="Unknown","Unknown code",IF(AND(K2336="Yes",C2336=""),"Billable, needs client",IF(N2336&gt;MaxDayHours,"Over "&amp;MaxDayHours&amp;" hours that day","")))))</f>
        <v/>
      </c>
    </row>
    <row r="2337" customFormat="false" ht="15" hidden="false" customHeight="false" outlineLevel="0" collapsed="false">
      <c r="A2337" s="31"/>
      <c r="B2337" s="32"/>
      <c r="C2337" s="32"/>
      <c r="D2337" s="33"/>
      <c r="E2337" s="34"/>
      <c r="F2337" s="32"/>
      <c r="G2337" s="35" t="str">
        <f aca="false">IF(A2337="","",A2337+7-WEEKDAY(A2337))</f>
        <v/>
      </c>
      <c r="H2337" s="36" t="str">
        <f aca="false">IF(A2337="","",DATE(YEAR(A2337),MONTH(A2337),1))</f>
        <v/>
      </c>
      <c r="I2337" s="37" t="str">
        <f aca="false">IF(B2337="","",IFERROR(INDEX(st_ID,MATCH(B2337,st_Name,0)),"Unknown"))</f>
        <v/>
      </c>
      <c r="J2337" s="37" t="str">
        <f aca="false">IF(C2337="","",IFERROR(INDEX(cl_Code,MATCH(C2337,cl_Name,0)),"Unknown"))</f>
        <v/>
      </c>
      <c r="K2337" s="37" t="str">
        <f aca="false">IF(D2337="","",IFERROR(INDEX(rt_Billable,MATCH(D2337,rt_Code,0)),"Unknown"))</f>
        <v/>
      </c>
      <c r="L2337" s="38" t="str">
        <f aca="false">IF(K2337&lt;&gt;"Yes","",IFERROR(INDEX(cr_Rate,MATCH(J2337&amp;"|"&amp;D2337,cr_Key,0)),INDEX(rt_Rate,MATCH(D2337,rt_Code,0))))</f>
        <v/>
      </c>
      <c r="M2337" s="25" t="str">
        <f aca="false">IF(L2337="","",ROUND(N(E2337)*L2337,2))</f>
        <v/>
      </c>
      <c r="N2337" s="39" t="str">
        <f aca="false">IF(OR(A2337="",B2337=""),"",SUMIFS(tl_Hours,tl_StaffID,I2337,tl_Date,A2337))</f>
        <v/>
      </c>
      <c r="O2337" s="40" t="str">
        <f aca="false">IF(A2337&amp;B2337&amp;D2337="","",IF(OR(A2337="",B2337="",D2337="",E2337=""),"Incomplete",IF(K2337="Unknown","Unknown code",IF(AND(K2337="Yes",C2337=""),"Billable, needs client",IF(N2337&gt;MaxDayHours,"Over "&amp;MaxDayHours&amp;" hours that day","")))))</f>
        <v/>
      </c>
    </row>
    <row r="2338" customFormat="false" ht="15" hidden="false" customHeight="false" outlineLevel="0" collapsed="false">
      <c r="A2338" s="31"/>
      <c r="B2338" s="32"/>
      <c r="C2338" s="32"/>
      <c r="D2338" s="33"/>
      <c r="E2338" s="34"/>
      <c r="F2338" s="32"/>
      <c r="G2338" s="35" t="str">
        <f aca="false">IF(A2338="","",A2338+7-WEEKDAY(A2338))</f>
        <v/>
      </c>
      <c r="H2338" s="36" t="str">
        <f aca="false">IF(A2338="","",DATE(YEAR(A2338),MONTH(A2338),1))</f>
        <v/>
      </c>
      <c r="I2338" s="37" t="str">
        <f aca="false">IF(B2338="","",IFERROR(INDEX(st_ID,MATCH(B2338,st_Name,0)),"Unknown"))</f>
        <v/>
      </c>
      <c r="J2338" s="37" t="str">
        <f aca="false">IF(C2338="","",IFERROR(INDEX(cl_Code,MATCH(C2338,cl_Name,0)),"Unknown"))</f>
        <v/>
      </c>
      <c r="K2338" s="37" t="str">
        <f aca="false">IF(D2338="","",IFERROR(INDEX(rt_Billable,MATCH(D2338,rt_Code,0)),"Unknown"))</f>
        <v/>
      </c>
      <c r="L2338" s="38" t="str">
        <f aca="false">IF(K2338&lt;&gt;"Yes","",IFERROR(INDEX(cr_Rate,MATCH(J2338&amp;"|"&amp;D2338,cr_Key,0)),INDEX(rt_Rate,MATCH(D2338,rt_Code,0))))</f>
        <v/>
      </c>
      <c r="M2338" s="25" t="str">
        <f aca="false">IF(L2338="","",ROUND(N(E2338)*L2338,2))</f>
        <v/>
      </c>
      <c r="N2338" s="39" t="str">
        <f aca="false">IF(OR(A2338="",B2338=""),"",SUMIFS(tl_Hours,tl_StaffID,I2338,tl_Date,A2338))</f>
        <v/>
      </c>
      <c r="O2338" s="40" t="str">
        <f aca="false">IF(A2338&amp;B2338&amp;D2338="","",IF(OR(A2338="",B2338="",D2338="",E2338=""),"Incomplete",IF(K2338="Unknown","Unknown code",IF(AND(K2338="Yes",C2338=""),"Billable, needs client",IF(N2338&gt;MaxDayHours,"Over "&amp;MaxDayHours&amp;" hours that day","")))))</f>
        <v/>
      </c>
    </row>
    <row r="2339" customFormat="false" ht="15" hidden="false" customHeight="false" outlineLevel="0" collapsed="false">
      <c r="A2339" s="31"/>
      <c r="B2339" s="32"/>
      <c r="C2339" s="32"/>
      <c r="D2339" s="33"/>
      <c r="E2339" s="34"/>
      <c r="F2339" s="32"/>
      <c r="G2339" s="35" t="str">
        <f aca="false">IF(A2339="","",A2339+7-WEEKDAY(A2339))</f>
        <v/>
      </c>
      <c r="H2339" s="36" t="str">
        <f aca="false">IF(A2339="","",DATE(YEAR(A2339),MONTH(A2339),1))</f>
        <v/>
      </c>
      <c r="I2339" s="37" t="str">
        <f aca="false">IF(B2339="","",IFERROR(INDEX(st_ID,MATCH(B2339,st_Name,0)),"Unknown"))</f>
        <v/>
      </c>
      <c r="J2339" s="37" t="str">
        <f aca="false">IF(C2339="","",IFERROR(INDEX(cl_Code,MATCH(C2339,cl_Name,0)),"Unknown"))</f>
        <v/>
      </c>
      <c r="K2339" s="37" t="str">
        <f aca="false">IF(D2339="","",IFERROR(INDEX(rt_Billable,MATCH(D2339,rt_Code,0)),"Unknown"))</f>
        <v/>
      </c>
      <c r="L2339" s="38" t="str">
        <f aca="false">IF(K2339&lt;&gt;"Yes","",IFERROR(INDEX(cr_Rate,MATCH(J2339&amp;"|"&amp;D2339,cr_Key,0)),INDEX(rt_Rate,MATCH(D2339,rt_Code,0))))</f>
        <v/>
      </c>
      <c r="M2339" s="25" t="str">
        <f aca="false">IF(L2339="","",ROUND(N(E2339)*L2339,2))</f>
        <v/>
      </c>
      <c r="N2339" s="39" t="str">
        <f aca="false">IF(OR(A2339="",B2339=""),"",SUMIFS(tl_Hours,tl_StaffID,I2339,tl_Date,A2339))</f>
        <v/>
      </c>
      <c r="O2339" s="40" t="str">
        <f aca="false">IF(A2339&amp;B2339&amp;D2339="","",IF(OR(A2339="",B2339="",D2339="",E2339=""),"Incomplete",IF(K2339="Unknown","Unknown code",IF(AND(K2339="Yes",C2339=""),"Billable, needs client",IF(N2339&gt;MaxDayHours,"Over "&amp;MaxDayHours&amp;" hours that day","")))))</f>
        <v/>
      </c>
    </row>
    <row r="2340" customFormat="false" ht="15" hidden="false" customHeight="false" outlineLevel="0" collapsed="false">
      <c r="A2340" s="31"/>
      <c r="B2340" s="32"/>
      <c r="C2340" s="32"/>
      <c r="D2340" s="33"/>
      <c r="E2340" s="34"/>
      <c r="F2340" s="32"/>
      <c r="G2340" s="35" t="str">
        <f aca="false">IF(A2340="","",A2340+7-WEEKDAY(A2340))</f>
        <v/>
      </c>
      <c r="H2340" s="36" t="str">
        <f aca="false">IF(A2340="","",DATE(YEAR(A2340),MONTH(A2340),1))</f>
        <v/>
      </c>
      <c r="I2340" s="37" t="str">
        <f aca="false">IF(B2340="","",IFERROR(INDEX(st_ID,MATCH(B2340,st_Name,0)),"Unknown"))</f>
        <v/>
      </c>
      <c r="J2340" s="37" t="str">
        <f aca="false">IF(C2340="","",IFERROR(INDEX(cl_Code,MATCH(C2340,cl_Name,0)),"Unknown"))</f>
        <v/>
      </c>
      <c r="K2340" s="37" t="str">
        <f aca="false">IF(D2340="","",IFERROR(INDEX(rt_Billable,MATCH(D2340,rt_Code,0)),"Unknown"))</f>
        <v/>
      </c>
      <c r="L2340" s="38" t="str">
        <f aca="false">IF(K2340&lt;&gt;"Yes","",IFERROR(INDEX(cr_Rate,MATCH(J2340&amp;"|"&amp;D2340,cr_Key,0)),INDEX(rt_Rate,MATCH(D2340,rt_Code,0))))</f>
        <v/>
      </c>
      <c r="M2340" s="25" t="str">
        <f aca="false">IF(L2340="","",ROUND(N(E2340)*L2340,2))</f>
        <v/>
      </c>
      <c r="N2340" s="39" t="str">
        <f aca="false">IF(OR(A2340="",B2340=""),"",SUMIFS(tl_Hours,tl_StaffID,I2340,tl_Date,A2340))</f>
        <v/>
      </c>
      <c r="O2340" s="40" t="str">
        <f aca="false">IF(A2340&amp;B2340&amp;D2340="","",IF(OR(A2340="",B2340="",D2340="",E2340=""),"Incomplete",IF(K2340="Unknown","Unknown code",IF(AND(K2340="Yes",C2340=""),"Billable, needs client",IF(N2340&gt;MaxDayHours,"Over "&amp;MaxDayHours&amp;" hours that day","")))))</f>
        <v/>
      </c>
    </row>
    <row r="2341" customFormat="false" ht="15" hidden="false" customHeight="false" outlineLevel="0" collapsed="false">
      <c r="A2341" s="31"/>
      <c r="B2341" s="32"/>
      <c r="C2341" s="32"/>
      <c r="D2341" s="33"/>
      <c r="E2341" s="34"/>
      <c r="F2341" s="32"/>
      <c r="G2341" s="35" t="str">
        <f aca="false">IF(A2341="","",A2341+7-WEEKDAY(A2341))</f>
        <v/>
      </c>
      <c r="H2341" s="36" t="str">
        <f aca="false">IF(A2341="","",DATE(YEAR(A2341),MONTH(A2341),1))</f>
        <v/>
      </c>
      <c r="I2341" s="37" t="str">
        <f aca="false">IF(B2341="","",IFERROR(INDEX(st_ID,MATCH(B2341,st_Name,0)),"Unknown"))</f>
        <v/>
      </c>
      <c r="J2341" s="37" t="str">
        <f aca="false">IF(C2341="","",IFERROR(INDEX(cl_Code,MATCH(C2341,cl_Name,0)),"Unknown"))</f>
        <v/>
      </c>
      <c r="K2341" s="37" t="str">
        <f aca="false">IF(D2341="","",IFERROR(INDEX(rt_Billable,MATCH(D2341,rt_Code,0)),"Unknown"))</f>
        <v/>
      </c>
      <c r="L2341" s="38" t="str">
        <f aca="false">IF(K2341&lt;&gt;"Yes","",IFERROR(INDEX(cr_Rate,MATCH(J2341&amp;"|"&amp;D2341,cr_Key,0)),INDEX(rt_Rate,MATCH(D2341,rt_Code,0))))</f>
        <v/>
      </c>
      <c r="M2341" s="25" t="str">
        <f aca="false">IF(L2341="","",ROUND(N(E2341)*L2341,2))</f>
        <v/>
      </c>
      <c r="N2341" s="39" t="str">
        <f aca="false">IF(OR(A2341="",B2341=""),"",SUMIFS(tl_Hours,tl_StaffID,I2341,tl_Date,A2341))</f>
        <v/>
      </c>
      <c r="O2341" s="40" t="str">
        <f aca="false">IF(A2341&amp;B2341&amp;D2341="","",IF(OR(A2341="",B2341="",D2341="",E2341=""),"Incomplete",IF(K2341="Unknown","Unknown code",IF(AND(K2341="Yes",C2341=""),"Billable, needs client",IF(N2341&gt;MaxDayHours,"Over "&amp;MaxDayHours&amp;" hours that day","")))))</f>
        <v/>
      </c>
    </row>
    <row r="2342" customFormat="false" ht="15" hidden="false" customHeight="false" outlineLevel="0" collapsed="false">
      <c r="A2342" s="31"/>
      <c r="B2342" s="32"/>
      <c r="C2342" s="32"/>
      <c r="D2342" s="33"/>
      <c r="E2342" s="34"/>
      <c r="F2342" s="32"/>
      <c r="G2342" s="35" t="str">
        <f aca="false">IF(A2342="","",A2342+7-WEEKDAY(A2342))</f>
        <v/>
      </c>
      <c r="H2342" s="36" t="str">
        <f aca="false">IF(A2342="","",DATE(YEAR(A2342),MONTH(A2342),1))</f>
        <v/>
      </c>
      <c r="I2342" s="37" t="str">
        <f aca="false">IF(B2342="","",IFERROR(INDEX(st_ID,MATCH(B2342,st_Name,0)),"Unknown"))</f>
        <v/>
      </c>
      <c r="J2342" s="37" t="str">
        <f aca="false">IF(C2342="","",IFERROR(INDEX(cl_Code,MATCH(C2342,cl_Name,0)),"Unknown"))</f>
        <v/>
      </c>
      <c r="K2342" s="37" t="str">
        <f aca="false">IF(D2342="","",IFERROR(INDEX(rt_Billable,MATCH(D2342,rt_Code,0)),"Unknown"))</f>
        <v/>
      </c>
      <c r="L2342" s="38" t="str">
        <f aca="false">IF(K2342&lt;&gt;"Yes","",IFERROR(INDEX(cr_Rate,MATCH(J2342&amp;"|"&amp;D2342,cr_Key,0)),INDEX(rt_Rate,MATCH(D2342,rt_Code,0))))</f>
        <v/>
      </c>
      <c r="M2342" s="25" t="str">
        <f aca="false">IF(L2342="","",ROUND(N(E2342)*L2342,2))</f>
        <v/>
      </c>
      <c r="N2342" s="39" t="str">
        <f aca="false">IF(OR(A2342="",B2342=""),"",SUMIFS(tl_Hours,tl_StaffID,I2342,tl_Date,A2342))</f>
        <v/>
      </c>
      <c r="O2342" s="40" t="str">
        <f aca="false">IF(A2342&amp;B2342&amp;D2342="","",IF(OR(A2342="",B2342="",D2342="",E2342=""),"Incomplete",IF(K2342="Unknown","Unknown code",IF(AND(K2342="Yes",C2342=""),"Billable, needs client",IF(N2342&gt;MaxDayHours,"Over "&amp;MaxDayHours&amp;" hours that day","")))))</f>
        <v/>
      </c>
    </row>
    <row r="2343" customFormat="false" ht="15" hidden="false" customHeight="false" outlineLevel="0" collapsed="false">
      <c r="A2343" s="31"/>
      <c r="B2343" s="32"/>
      <c r="C2343" s="32"/>
      <c r="D2343" s="33"/>
      <c r="E2343" s="34"/>
      <c r="F2343" s="32"/>
      <c r="G2343" s="35" t="str">
        <f aca="false">IF(A2343="","",A2343+7-WEEKDAY(A2343))</f>
        <v/>
      </c>
      <c r="H2343" s="36" t="str">
        <f aca="false">IF(A2343="","",DATE(YEAR(A2343),MONTH(A2343),1))</f>
        <v/>
      </c>
      <c r="I2343" s="37" t="str">
        <f aca="false">IF(B2343="","",IFERROR(INDEX(st_ID,MATCH(B2343,st_Name,0)),"Unknown"))</f>
        <v/>
      </c>
      <c r="J2343" s="37" t="str">
        <f aca="false">IF(C2343="","",IFERROR(INDEX(cl_Code,MATCH(C2343,cl_Name,0)),"Unknown"))</f>
        <v/>
      </c>
      <c r="K2343" s="37" t="str">
        <f aca="false">IF(D2343="","",IFERROR(INDEX(rt_Billable,MATCH(D2343,rt_Code,0)),"Unknown"))</f>
        <v/>
      </c>
      <c r="L2343" s="38" t="str">
        <f aca="false">IF(K2343&lt;&gt;"Yes","",IFERROR(INDEX(cr_Rate,MATCH(J2343&amp;"|"&amp;D2343,cr_Key,0)),INDEX(rt_Rate,MATCH(D2343,rt_Code,0))))</f>
        <v/>
      </c>
      <c r="M2343" s="25" t="str">
        <f aca="false">IF(L2343="","",ROUND(N(E2343)*L2343,2))</f>
        <v/>
      </c>
      <c r="N2343" s="39" t="str">
        <f aca="false">IF(OR(A2343="",B2343=""),"",SUMIFS(tl_Hours,tl_StaffID,I2343,tl_Date,A2343))</f>
        <v/>
      </c>
      <c r="O2343" s="40" t="str">
        <f aca="false">IF(A2343&amp;B2343&amp;D2343="","",IF(OR(A2343="",B2343="",D2343="",E2343=""),"Incomplete",IF(K2343="Unknown","Unknown code",IF(AND(K2343="Yes",C2343=""),"Billable, needs client",IF(N2343&gt;MaxDayHours,"Over "&amp;MaxDayHours&amp;" hours that day","")))))</f>
        <v/>
      </c>
    </row>
    <row r="2344" customFormat="false" ht="15" hidden="false" customHeight="false" outlineLevel="0" collapsed="false">
      <c r="A2344" s="31"/>
      <c r="B2344" s="32"/>
      <c r="C2344" s="32"/>
      <c r="D2344" s="33"/>
      <c r="E2344" s="34"/>
      <c r="F2344" s="32"/>
      <c r="G2344" s="35" t="str">
        <f aca="false">IF(A2344="","",A2344+7-WEEKDAY(A2344))</f>
        <v/>
      </c>
      <c r="H2344" s="36" t="str">
        <f aca="false">IF(A2344="","",DATE(YEAR(A2344),MONTH(A2344),1))</f>
        <v/>
      </c>
      <c r="I2344" s="37" t="str">
        <f aca="false">IF(B2344="","",IFERROR(INDEX(st_ID,MATCH(B2344,st_Name,0)),"Unknown"))</f>
        <v/>
      </c>
      <c r="J2344" s="37" t="str">
        <f aca="false">IF(C2344="","",IFERROR(INDEX(cl_Code,MATCH(C2344,cl_Name,0)),"Unknown"))</f>
        <v/>
      </c>
      <c r="K2344" s="37" t="str">
        <f aca="false">IF(D2344="","",IFERROR(INDEX(rt_Billable,MATCH(D2344,rt_Code,0)),"Unknown"))</f>
        <v/>
      </c>
      <c r="L2344" s="38" t="str">
        <f aca="false">IF(K2344&lt;&gt;"Yes","",IFERROR(INDEX(cr_Rate,MATCH(J2344&amp;"|"&amp;D2344,cr_Key,0)),INDEX(rt_Rate,MATCH(D2344,rt_Code,0))))</f>
        <v/>
      </c>
      <c r="M2344" s="25" t="str">
        <f aca="false">IF(L2344="","",ROUND(N(E2344)*L2344,2))</f>
        <v/>
      </c>
      <c r="N2344" s="39" t="str">
        <f aca="false">IF(OR(A2344="",B2344=""),"",SUMIFS(tl_Hours,tl_StaffID,I2344,tl_Date,A2344))</f>
        <v/>
      </c>
      <c r="O2344" s="40" t="str">
        <f aca="false">IF(A2344&amp;B2344&amp;D2344="","",IF(OR(A2344="",B2344="",D2344="",E2344=""),"Incomplete",IF(K2344="Unknown","Unknown code",IF(AND(K2344="Yes",C2344=""),"Billable, needs client",IF(N2344&gt;MaxDayHours,"Over "&amp;MaxDayHours&amp;" hours that day","")))))</f>
        <v/>
      </c>
    </row>
    <row r="2345" customFormat="false" ht="15" hidden="false" customHeight="false" outlineLevel="0" collapsed="false">
      <c r="A2345" s="31"/>
      <c r="B2345" s="32"/>
      <c r="C2345" s="32"/>
      <c r="D2345" s="33"/>
      <c r="E2345" s="34"/>
      <c r="F2345" s="32"/>
      <c r="G2345" s="35" t="str">
        <f aca="false">IF(A2345="","",A2345+7-WEEKDAY(A2345))</f>
        <v/>
      </c>
      <c r="H2345" s="36" t="str">
        <f aca="false">IF(A2345="","",DATE(YEAR(A2345),MONTH(A2345),1))</f>
        <v/>
      </c>
      <c r="I2345" s="37" t="str">
        <f aca="false">IF(B2345="","",IFERROR(INDEX(st_ID,MATCH(B2345,st_Name,0)),"Unknown"))</f>
        <v/>
      </c>
      <c r="J2345" s="37" t="str">
        <f aca="false">IF(C2345="","",IFERROR(INDEX(cl_Code,MATCH(C2345,cl_Name,0)),"Unknown"))</f>
        <v/>
      </c>
      <c r="K2345" s="37" t="str">
        <f aca="false">IF(D2345="","",IFERROR(INDEX(rt_Billable,MATCH(D2345,rt_Code,0)),"Unknown"))</f>
        <v/>
      </c>
      <c r="L2345" s="38" t="str">
        <f aca="false">IF(K2345&lt;&gt;"Yes","",IFERROR(INDEX(cr_Rate,MATCH(J2345&amp;"|"&amp;D2345,cr_Key,0)),INDEX(rt_Rate,MATCH(D2345,rt_Code,0))))</f>
        <v/>
      </c>
      <c r="M2345" s="25" t="str">
        <f aca="false">IF(L2345="","",ROUND(N(E2345)*L2345,2))</f>
        <v/>
      </c>
      <c r="N2345" s="39" t="str">
        <f aca="false">IF(OR(A2345="",B2345=""),"",SUMIFS(tl_Hours,tl_StaffID,I2345,tl_Date,A2345))</f>
        <v/>
      </c>
      <c r="O2345" s="40" t="str">
        <f aca="false">IF(A2345&amp;B2345&amp;D2345="","",IF(OR(A2345="",B2345="",D2345="",E2345=""),"Incomplete",IF(K2345="Unknown","Unknown code",IF(AND(K2345="Yes",C2345=""),"Billable, needs client",IF(N2345&gt;MaxDayHours,"Over "&amp;MaxDayHours&amp;" hours that day","")))))</f>
        <v/>
      </c>
    </row>
    <row r="2346" customFormat="false" ht="15" hidden="false" customHeight="false" outlineLevel="0" collapsed="false">
      <c r="A2346" s="31"/>
      <c r="B2346" s="32"/>
      <c r="C2346" s="32"/>
      <c r="D2346" s="33"/>
      <c r="E2346" s="34"/>
      <c r="F2346" s="32"/>
      <c r="G2346" s="35" t="str">
        <f aca="false">IF(A2346="","",A2346+7-WEEKDAY(A2346))</f>
        <v/>
      </c>
      <c r="H2346" s="36" t="str">
        <f aca="false">IF(A2346="","",DATE(YEAR(A2346),MONTH(A2346),1))</f>
        <v/>
      </c>
      <c r="I2346" s="37" t="str">
        <f aca="false">IF(B2346="","",IFERROR(INDEX(st_ID,MATCH(B2346,st_Name,0)),"Unknown"))</f>
        <v/>
      </c>
      <c r="J2346" s="37" t="str">
        <f aca="false">IF(C2346="","",IFERROR(INDEX(cl_Code,MATCH(C2346,cl_Name,0)),"Unknown"))</f>
        <v/>
      </c>
      <c r="K2346" s="37" t="str">
        <f aca="false">IF(D2346="","",IFERROR(INDEX(rt_Billable,MATCH(D2346,rt_Code,0)),"Unknown"))</f>
        <v/>
      </c>
      <c r="L2346" s="38" t="str">
        <f aca="false">IF(K2346&lt;&gt;"Yes","",IFERROR(INDEX(cr_Rate,MATCH(J2346&amp;"|"&amp;D2346,cr_Key,0)),INDEX(rt_Rate,MATCH(D2346,rt_Code,0))))</f>
        <v/>
      </c>
      <c r="M2346" s="25" t="str">
        <f aca="false">IF(L2346="","",ROUND(N(E2346)*L2346,2))</f>
        <v/>
      </c>
      <c r="N2346" s="39" t="str">
        <f aca="false">IF(OR(A2346="",B2346=""),"",SUMIFS(tl_Hours,tl_StaffID,I2346,tl_Date,A2346))</f>
        <v/>
      </c>
      <c r="O2346" s="40" t="str">
        <f aca="false">IF(A2346&amp;B2346&amp;D2346="","",IF(OR(A2346="",B2346="",D2346="",E2346=""),"Incomplete",IF(K2346="Unknown","Unknown code",IF(AND(K2346="Yes",C2346=""),"Billable, needs client",IF(N2346&gt;MaxDayHours,"Over "&amp;MaxDayHours&amp;" hours that day","")))))</f>
        <v/>
      </c>
    </row>
    <row r="2347" customFormat="false" ht="15" hidden="false" customHeight="false" outlineLevel="0" collapsed="false">
      <c r="A2347" s="31"/>
      <c r="B2347" s="32"/>
      <c r="C2347" s="32"/>
      <c r="D2347" s="33"/>
      <c r="E2347" s="34"/>
      <c r="F2347" s="32"/>
      <c r="G2347" s="35" t="str">
        <f aca="false">IF(A2347="","",A2347+7-WEEKDAY(A2347))</f>
        <v/>
      </c>
      <c r="H2347" s="36" t="str">
        <f aca="false">IF(A2347="","",DATE(YEAR(A2347),MONTH(A2347),1))</f>
        <v/>
      </c>
      <c r="I2347" s="37" t="str">
        <f aca="false">IF(B2347="","",IFERROR(INDEX(st_ID,MATCH(B2347,st_Name,0)),"Unknown"))</f>
        <v/>
      </c>
      <c r="J2347" s="37" t="str">
        <f aca="false">IF(C2347="","",IFERROR(INDEX(cl_Code,MATCH(C2347,cl_Name,0)),"Unknown"))</f>
        <v/>
      </c>
      <c r="K2347" s="37" t="str">
        <f aca="false">IF(D2347="","",IFERROR(INDEX(rt_Billable,MATCH(D2347,rt_Code,0)),"Unknown"))</f>
        <v/>
      </c>
      <c r="L2347" s="38" t="str">
        <f aca="false">IF(K2347&lt;&gt;"Yes","",IFERROR(INDEX(cr_Rate,MATCH(J2347&amp;"|"&amp;D2347,cr_Key,0)),INDEX(rt_Rate,MATCH(D2347,rt_Code,0))))</f>
        <v/>
      </c>
      <c r="M2347" s="25" t="str">
        <f aca="false">IF(L2347="","",ROUND(N(E2347)*L2347,2))</f>
        <v/>
      </c>
      <c r="N2347" s="39" t="str">
        <f aca="false">IF(OR(A2347="",B2347=""),"",SUMIFS(tl_Hours,tl_StaffID,I2347,tl_Date,A2347))</f>
        <v/>
      </c>
      <c r="O2347" s="40" t="str">
        <f aca="false">IF(A2347&amp;B2347&amp;D2347="","",IF(OR(A2347="",B2347="",D2347="",E2347=""),"Incomplete",IF(K2347="Unknown","Unknown code",IF(AND(K2347="Yes",C2347=""),"Billable, needs client",IF(N2347&gt;MaxDayHours,"Over "&amp;MaxDayHours&amp;" hours that day","")))))</f>
        <v/>
      </c>
    </row>
    <row r="2348" customFormat="false" ht="15" hidden="false" customHeight="false" outlineLevel="0" collapsed="false">
      <c r="A2348" s="31"/>
      <c r="B2348" s="32"/>
      <c r="C2348" s="32"/>
      <c r="D2348" s="33"/>
      <c r="E2348" s="34"/>
      <c r="F2348" s="32"/>
      <c r="G2348" s="35" t="str">
        <f aca="false">IF(A2348="","",A2348+7-WEEKDAY(A2348))</f>
        <v/>
      </c>
      <c r="H2348" s="36" t="str">
        <f aca="false">IF(A2348="","",DATE(YEAR(A2348),MONTH(A2348),1))</f>
        <v/>
      </c>
      <c r="I2348" s="37" t="str">
        <f aca="false">IF(B2348="","",IFERROR(INDEX(st_ID,MATCH(B2348,st_Name,0)),"Unknown"))</f>
        <v/>
      </c>
      <c r="J2348" s="37" t="str">
        <f aca="false">IF(C2348="","",IFERROR(INDEX(cl_Code,MATCH(C2348,cl_Name,0)),"Unknown"))</f>
        <v/>
      </c>
      <c r="K2348" s="37" t="str">
        <f aca="false">IF(D2348="","",IFERROR(INDEX(rt_Billable,MATCH(D2348,rt_Code,0)),"Unknown"))</f>
        <v/>
      </c>
      <c r="L2348" s="38" t="str">
        <f aca="false">IF(K2348&lt;&gt;"Yes","",IFERROR(INDEX(cr_Rate,MATCH(J2348&amp;"|"&amp;D2348,cr_Key,0)),INDEX(rt_Rate,MATCH(D2348,rt_Code,0))))</f>
        <v/>
      </c>
      <c r="M2348" s="25" t="str">
        <f aca="false">IF(L2348="","",ROUND(N(E2348)*L2348,2))</f>
        <v/>
      </c>
      <c r="N2348" s="39" t="str">
        <f aca="false">IF(OR(A2348="",B2348=""),"",SUMIFS(tl_Hours,tl_StaffID,I2348,tl_Date,A2348))</f>
        <v/>
      </c>
      <c r="O2348" s="40" t="str">
        <f aca="false">IF(A2348&amp;B2348&amp;D2348="","",IF(OR(A2348="",B2348="",D2348="",E2348=""),"Incomplete",IF(K2348="Unknown","Unknown code",IF(AND(K2348="Yes",C2348=""),"Billable, needs client",IF(N2348&gt;MaxDayHours,"Over "&amp;MaxDayHours&amp;" hours that day","")))))</f>
        <v/>
      </c>
    </row>
    <row r="2349" customFormat="false" ht="15" hidden="false" customHeight="false" outlineLevel="0" collapsed="false">
      <c r="A2349" s="31"/>
      <c r="B2349" s="32"/>
      <c r="C2349" s="32"/>
      <c r="D2349" s="33"/>
      <c r="E2349" s="34"/>
      <c r="F2349" s="32"/>
      <c r="G2349" s="35" t="str">
        <f aca="false">IF(A2349="","",A2349+7-WEEKDAY(A2349))</f>
        <v/>
      </c>
      <c r="H2349" s="36" t="str">
        <f aca="false">IF(A2349="","",DATE(YEAR(A2349),MONTH(A2349),1))</f>
        <v/>
      </c>
      <c r="I2349" s="37" t="str">
        <f aca="false">IF(B2349="","",IFERROR(INDEX(st_ID,MATCH(B2349,st_Name,0)),"Unknown"))</f>
        <v/>
      </c>
      <c r="J2349" s="37" t="str">
        <f aca="false">IF(C2349="","",IFERROR(INDEX(cl_Code,MATCH(C2349,cl_Name,0)),"Unknown"))</f>
        <v/>
      </c>
      <c r="K2349" s="37" t="str">
        <f aca="false">IF(D2349="","",IFERROR(INDEX(rt_Billable,MATCH(D2349,rt_Code,0)),"Unknown"))</f>
        <v/>
      </c>
      <c r="L2349" s="38" t="str">
        <f aca="false">IF(K2349&lt;&gt;"Yes","",IFERROR(INDEX(cr_Rate,MATCH(J2349&amp;"|"&amp;D2349,cr_Key,0)),INDEX(rt_Rate,MATCH(D2349,rt_Code,0))))</f>
        <v/>
      </c>
      <c r="M2349" s="25" t="str">
        <f aca="false">IF(L2349="","",ROUND(N(E2349)*L2349,2))</f>
        <v/>
      </c>
      <c r="N2349" s="39" t="str">
        <f aca="false">IF(OR(A2349="",B2349=""),"",SUMIFS(tl_Hours,tl_StaffID,I2349,tl_Date,A2349))</f>
        <v/>
      </c>
      <c r="O2349" s="40" t="str">
        <f aca="false">IF(A2349&amp;B2349&amp;D2349="","",IF(OR(A2349="",B2349="",D2349="",E2349=""),"Incomplete",IF(K2349="Unknown","Unknown code",IF(AND(K2349="Yes",C2349=""),"Billable, needs client",IF(N2349&gt;MaxDayHours,"Over "&amp;MaxDayHours&amp;" hours that day","")))))</f>
        <v/>
      </c>
    </row>
    <row r="2350" customFormat="false" ht="15" hidden="false" customHeight="false" outlineLevel="0" collapsed="false">
      <c r="A2350" s="31"/>
      <c r="B2350" s="32"/>
      <c r="C2350" s="32"/>
      <c r="D2350" s="33"/>
      <c r="E2350" s="34"/>
      <c r="F2350" s="32"/>
      <c r="G2350" s="35" t="str">
        <f aca="false">IF(A2350="","",A2350+7-WEEKDAY(A2350))</f>
        <v/>
      </c>
      <c r="H2350" s="36" t="str">
        <f aca="false">IF(A2350="","",DATE(YEAR(A2350),MONTH(A2350),1))</f>
        <v/>
      </c>
      <c r="I2350" s="37" t="str">
        <f aca="false">IF(B2350="","",IFERROR(INDEX(st_ID,MATCH(B2350,st_Name,0)),"Unknown"))</f>
        <v/>
      </c>
      <c r="J2350" s="37" t="str">
        <f aca="false">IF(C2350="","",IFERROR(INDEX(cl_Code,MATCH(C2350,cl_Name,0)),"Unknown"))</f>
        <v/>
      </c>
      <c r="K2350" s="37" t="str">
        <f aca="false">IF(D2350="","",IFERROR(INDEX(rt_Billable,MATCH(D2350,rt_Code,0)),"Unknown"))</f>
        <v/>
      </c>
      <c r="L2350" s="38" t="str">
        <f aca="false">IF(K2350&lt;&gt;"Yes","",IFERROR(INDEX(cr_Rate,MATCH(J2350&amp;"|"&amp;D2350,cr_Key,0)),INDEX(rt_Rate,MATCH(D2350,rt_Code,0))))</f>
        <v/>
      </c>
      <c r="M2350" s="25" t="str">
        <f aca="false">IF(L2350="","",ROUND(N(E2350)*L2350,2))</f>
        <v/>
      </c>
      <c r="N2350" s="39" t="str">
        <f aca="false">IF(OR(A2350="",B2350=""),"",SUMIFS(tl_Hours,tl_StaffID,I2350,tl_Date,A2350))</f>
        <v/>
      </c>
      <c r="O2350" s="40" t="str">
        <f aca="false">IF(A2350&amp;B2350&amp;D2350="","",IF(OR(A2350="",B2350="",D2350="",E2350=""),"Incomplete",IF(K2350="Unknown","Unknown code",IF(AND(K2350="Yes",C2350=""),"Billable, needs client",IF(N2350&gt;MaxDayHours,"Over "&amp;MaxDayHours&amp;" hours that day","")))))</f>
        <v/>
      </c>
    </row>
    <row r="2351" customFormat="false" ht="15" hidden="false" customHeight="false" outlineLevel="0" collapsed="false">
      <c r="A2351" s="31"/>
      <c r="B2351" s="32"/>
      <c r="C2351" s="32"/>
      <c r="D2351" s="33"/>
      <c r="E2351" s="34"/>
      <c r="F2351" s="32"/>
      <c r="G2351" s="35" t="str">
        <f aca="false">IF(A2351="","",A2351+7-WEEKDAY(A2351))</f>
        <v/>
      </c>
      <c r="H2351" s="36" t="str">
        <f aca="false">IF(A2351="","",DATE(YEAR(A2351),MONTH(A2351),1))</f>
        <v/>
      </c>
      <c r="I2351" s="37" t="str">
        <f aca="false">IF(B2351="","",IFERROR(INDEX(st_ID,MATCH(B2351,st_Name,0)),"Unknown"))</f>
        <v/>
      </c>
      <c r="J2351" s="37" t="str">
        <f aca="false">IF(C2351="","",IFERROR(INDEX(cl_Code,MATCH(C2351,cl_Name,0)),"Unknown"))</f>
        <v/>
      </c>
      <c r="K2351" s="37" t="str">
        <f aca="false">IF(D2351="","",IFERROR(INDEX(rt_Billable,MATCH(D2351,rt_Code,0)),"Unknown"))</f>
        <v/>
      </c>
      <c r="L2351" s="38" t="str">
        <f aca="false">IF(K2351&lt;&gt;"Yes","",IFERROR(INDEX(cr_Rate,MATCH(J2351&amp;"|"&amp;D2351,cr_Key,0)),INDEX(rt_Rate,MATCH(D2351,rt_Code,0))))</f>
        <v/>
      </c>
      <c r="M2351" s="25" t="str">
        <f aca="false">IF(L2351="","",ROUND(N(E2351)*L2351,2))</f>
        <v/>
      </c>
      <c r="N2351" s="39" t="str">
        <f aca="false">IF(OR(A2351="",B2351=""),"",SUMIFS(tl_Hours,tl_StaffID,I2351,tl_Date,A2351))</f>
        <v/>
      </c>
      <c r="O2351" s="40" t="str">
        <f aca="false">IF(A2351&amp;B2351&amp;D2351="","",IF(OR(A2351="",B2351="",D2351="",E2351=""),"Incomplete",IF(K2351="Unknown","Unknown code",IF(AND(K2351="Yes",C2351=""),"Billable, needs client",IF(N2351&gt;MaxDayHours,"Over "&amp;MaxDayHours&amp;" hours that day","")))))</f>
        <v/>
      </c>
    </row>
    <row r="2352" customFormat="false" ht="15" hidden="false" customHeight="false" outlineLevel="0" collapsed="false">
      <c r="A2352" s="31"/>
      <c r="B2352" s="32"/>
      <c r="C2352" s="32"/>
      <c r="D2352" s="33"/>
      <c r="E2352" s="34"/>
      <c r="F2352" s="32"/>
      <c r="G2352" s="35" t="str">
        <f aca="false">IF(A2352="","",A2352+7-WEEKDAY(A2352))</f>
        <v/>
      </c>
      <c r="H2352" s="36" t="str">
        <f aca="false">IF(A2352="","",DATE(YEAR(A2352),MONTH(A2352),1))</f>
        <v/>
      </c>
      <c r="I2352" s="37" t="str">
        <f aca="false">IF(B2352="","",IFERROR(INDEX(st_ID,MATCH(B2352,st_Name,0)),"Unknown"))</f>
        <v/>
      </c>
      <c r="J2352" s="37" t="str">
        <f aca="false">IF(C2352="","",IFERROR(INDEX(cl_Code,MATCH(C2352,cl_Name,0)),"Unknown"))</f>
        <v/>
      </c>
      <c r="K2352" s="37" t="str">
        <f aca="false">IF(D2352="","",IFERROR(INDEX(rt_Billable,MATCH(D2352,rt_Code,0)),"Unknown"))</f>
        <v/>
      </c>
      <c r="L2352" s="38" t="str">
        <f aca="false">IF(K2352&lt;&gt;"Yes","",IFERROR(INDEX(cr_Rate,MATCH(J2352&amp;"|"&amp;D2352,cr_Key,0)),INDEX(rt_Rate,MATCH(D2352,rt_Code,0))))</f>
        <v/>
      </c>
      <c r="M2352" s="25" t="str">
        <f aca="false">IF(L2352="","",ROUND(N(E2352)*L2352,2))</f>
        <v/>
      </c>
      <c r="N2352" s="39" t="str">
        <f aca="false">IF(OR(A2352="",B2352=""),"",SUMIFS(tl_Hours,tl_StaffID,I2352,tl_Date,A2352))</f>
        <v/>
      </c>
      <c r="O2352" s="40" t="str">
        <f aca="false">IF(A2352&amp;B2352&amp;D2352="","",IF(OR(A2352="",B2352="",D2352="",E2352=""),"Incomplete",IF(K2352="Unknown","Unknown code",IF(AND(K2352="Yes",C2352=""),"Billable, needs client",IF(N2352&gt;MaxDayHours,"Over "&amp;MaxDayHours&amp;" hours that day","")))))</f>
        <v/>
      </c>
    </row>
    <row r="2353" customFormat="false" ht="15" hidden="false" customHeight="false" outlineLevel="0" collapsed="false">
      <c r="A2353" s="31"/>
      <c r="B2353" s="32"/>
      <c r="C2353" s="32"/>
      <c r="D2353" s="33"/>
      <c r="E2353" s="34"/>
      <c r="F2353" s="32"/>
      <c r="G2353" s="35" t="str">
        <f aca="false">IF(A2353="","",A2353+7-WEEKDAY(A2353))</f>
        <v/>
      </c>
      <c r="H2353" s="36" t="str">
        <f aca="false">IF(A2353="","",DATE(YEAR(A2353),MONTH(A2353),1))</f>
        <v/>
      </c>
      <c r="I2353" s="37" t="str">
        <f aca="false">IF(B2353="","",IFERROR(INDEX(st_ID,MATCH(B2353,st_Name,0)),"Unknown"))</f>
        <v/>
      </c>
      <c r="J2353" s="37" t="str">
        <f aca="false">IF(C2353="","",IFERROR(INDEX(cl_Code,MATCH(C2353,cl_Name,0)),"Unknown"))</f>
        <v/>
      </c>
      <c r="K2353" s="37" t="str">
        <f aca="false">IF(D2353="","",IFERROR(INDEX(rt_Billable,MATCH(D2353,rt_Code,0)),"Unknown"))</f>
        <v/>
      </c>
      <c r="L2353" s="38" t="str">
        <f aca="false">IF(K2353&lt;&gt;"Yes","",IFERROR(INDEX(cr_Rate,MATCH(J2353&amp;"|"&amp;D2353,cr_Key,0)),INDEX(rt_Rate,MATCH(D2353,rt_Code,0))))</f>
        <v/>
      </c>
      <c r="M2353" s="25" t="str">
        <f aca="false">IF(L2353="","",ROUND(N(E2353)*L2353,2))</f>
        <v/>
      </c>
      <c r="N2353" s="39" t="str">
        <f aca="false">IF(OR(A2353="",B2353=""),"",SUMIFS(tl_Hours,tl_StaffID,I2353,tl_Date,A2353))</f>
        <v/>
      </c>
      <c r="O2353" s="40" t="str">
        <f aca="false">IF(A2353&amp;B2353&amp;D2353="","",IF(OR(A2353="",B2353="",D2353="",E2353=""),"Incomplete",IF(K2353="Unknown","Unknown code",IF(AND(K2353="Yes",C2353=""),"Billable, needs client",IF(N2353&gt;MaxDayHours,"Over "&amp;MaxDayHours&amp;" hours that day","")))))</f>
        <v/>
      </c>
    </row>
    <row r="2354" customFormat="false" ht="15" hidden="false" customHeight="false" outlineLevel="0" collapsed="false">
      <c r="A2354" s="31"/>
      <c r="B2354" s="32"/>
      <c r="C2354" s="32"/>
      <c r="D2354" s="33"/>
      <c r="E2354" s="34"/>
      <c r="F2354" s="32"/>
      <c r="G2354" s="35" t="str">
        <f aca="false">IF(A2354="","",A2354+7-WEEKDAY(A2354))</f>
        <v/>
      </c>
      <c r="H2354" s="36" t="str">
        <f aca="false">IF(A2354="","",DATE(YEAR(A2354),MONTH(A2354),1))</f>
        <v/>
      </c>
      <c r="I2354" s="37" t="str">
        <f aca="false">IF(B2354="","",IFERROR(INDEX(st_ID,MATCH(B2354,st_Name,0)),"Unknown"))</f>
        <v/>
      </c>
      <c r="J2354" s="37" t="str">
        <f aca="false">IF(C2354="","",IFERROR(INDEX(cl_Code,MATCH(C2354,cl_Name,0)),"Unknown"))</f>
        <v/>
      </c>
      <c r="K2354" s="37" t="str">
        <f aca="false">IF(D2354="","",IFERROR(INDEX(rt_Billable,MATCH(D2354,rt_Code,0)),"Unknown"))</f>
        <v/>
      </c>
      <c r="L2354" s="38" t="str">
        <f aca="false">IF(K2354&lt;&gt;"Yes","",IFERROR(INDEX(cr_Rate,MATCH(J2354&amp;"|"&amp;D2354,cr_Key,0)),INDEX(rt_Rate,MATCH(D2354,rt_Code,0))))</f>
        <v/>
      </c>
      <c r="M2354" s="25" t="str">
        <f aca="false">IF(L2354="","",ROUND(N(E2354)*L2354,2))</f>
        <v/>
      </c>
      <c r="N2354" s="39" t="str">
        <f aca="false">IF(OR(A2354="",B2354=""),"",SUMIFS(tl_Hours,tl_StaffID,I2354,tl_Date,A2354))</f>
        <v/>
      </c>
      <c r="O2354" s="40" t="str">
        <f aca="false">IF(A2354&amp;B2354&amp;D2354="","",IF(OR(A2354="",B2354="",D2354="",E2354=""),"Incomplete",IF(K2354="Unknown","Unknown code",IF(AND(K2354="Yes",C2354=""),"Billable, needs client",IF(N2354&gt;MaxDayHours,"Over "&amp;MaxDayHours&amp;" hours that day","")))))</f>
        <v/>
      </c>
    </row>
    <row r="2355" customFormat="false" ht="15" hidden="false" customHeight="false" outlineLevel="0" collapsed="false">
      <c r="A2355" s="31"/>
      <c r="B2355" s="32"/>
      <c r="C2355" s="32"/>
      <c r="D2355" s="33"/>
      <c r="E2355" s="34"/>
      <c r="F2355" s="32"/>
      <c r="G2355" s="35" t="str">
        <f aca="false">IF(A2355="","",A2355+7-WEEKDAY(A2355))</f>
        <v/>
      </c>
      <c r="H2355" s="36" t="str">
        <f aca="false">IF(A2355="","",DATE(YEAR(A2355),MONTH(A2355),1))</f>
        <v/>
      </c>
      <c r="I2355" s="37" t="str">
        <f aca="false">IF(B2355="","",IFERROR(INDEX(st_ID,MATCH(B2355,st_Name,0)),"Unknown"))</f>
        <v/>
      </c>
      <c r="J2355" s="37" t="str">
        <f aca="false">IF(C2355="","",IFERROR(INDEX(cl_Code,MATCH(C2355,cl_Name,0)),"Unknown"))</f>
        <v/>
      </c>
      <c r="K2355" s="37" t="str">
        <f aca="false">IF(D2355="","",IFERROR(INDEX(rt_Billable,MATCH(D2355,rt_Code,0)),"Unknown"))</f>
        <v/>
      </c>
      <c r="L2355" s="38" t="str">
        <f aca="false">IF(K2355&lt;&gt;"Yes","",IFERROR(INDEX(cr_Rate,MATCH(J2355&amp;"|"&amp;D2355,cr_Key,0)),INDEX(rt_Rate,MATCH(D2355,rt_Code,0))))</f>
        <v/>
      </c>
      <c r="M2355" s="25" t="str">
        <f aca="false">IF(L2355="","",ROUND(N(E2355)*L2355,2))</f>
        <v/>
      </c>
      <c r="N2355" s="39" t="str">
        <f aca="false">IF(OR(A2355="",B2355=""),"",SUMIFS(tl_Hours,tl_StaffID,I2355,tl_Date,A2355))</f>
        <v/>
      </c>
      <c r="O2355" s="40" t="str">
        <f aca="false">IF(A2355&amp;B2355&amp;D2355="","",IF(OR(A2355="",B2355="",D2355="",E2355=""),"Incomplete",IF(K2355="Unknown","Unknown code",IF(AND(K2355="Yes",C2355=""),"Billable, needs client",IF(N2355&gt;MaxDayHours,"Over "&amp;MaxDayHours&amp;" hours that day","")))))</f>
        <v/>
      </c>
    </row>
    <row r="2356" customFormat="false" ht="15" hidden="false" customHeight="false" outlineLevel="0" collapsed="false">
      <c r="A2356" s="31"/>
      <c r="B2356" s="32"/>
      <c r="C2356" s="32"/>
      <c r="D2356" s="33"/>
      <c r="E2356" s="34"/>
      <c r="F2356" s="32"/>
      <c r="G2356" s="35" t="str">
        <f aca="false">IF(A2356="","",A2356+7-WEEKDAY(A2356))</f>
        <v/>
      </c>
      <c r="H2356" s="36" t="str">
        <f aca="false">IF(A2356="","",DATE(YEAR(A2356),MONTH(A2356),1))</f>
        <v/>
      </c>
      <c r="I2356" s="37" t="str">
        <f aca="false">IF(B2356="","",IFERROR(INDEX(st_ID,MATCH(B2356,st_Name,0)),"Unknown"))</f>
        <v/>
      </c>
      <c r="J2356" s="37" t="str">
        <f aca="false">IF(C2356="","",IFERROR(INDEX(cl_Code,MATCH(C2356,cl_Name,0)),"Unknown"))</f>
        <v/>
      </c>
      <c r="K2356" s="37" t="str">
        <f aca="false">IF(D2356="","",IFERROR(INDEX(rt_Billable,MATCH(D2356,rt_Code,0)),"Unknown"))</f>
        <v/>
      </c>
      <c r="L2356" s="38" t="str">
        <f aca="false">IF(K2356&lt;&gt;"Yes","",IFERROR(INDEX(cr_Rate,MATCH(J2356&amp;"|"&amp;D2356,cr_Key,0)),INDEX(rt_Rate,MATCH(D2356,rt_Code,0))))</f>
        <v/>
      </c>
      <c r="M2356" s="25" t="str">
        <f aca="false">IF(L2356="","",ROUND(N(E2356)*L2356,2))</f>
        <v/>
      </c>
      <c r="N2356" s="39" t="str">
        <f aca="false">IF(OR(A2356="",B2356=""),"",SUMIFS(tl_Hours,tl_StaffID,I2356,tl_Date,A2356))</f>
        <v/>
      </c>
      <c r="O2356" s="40" t="str">
        <f aca="false">IF(A2356&amp;B2356&amp;D2356="","",IF(OR(A2356="",B2356="",D2356="",E2356=""),"Incomplete",IF(K2356="Unknown","Unknown code",IF(AND(K2356="Yes",C2356=""),"Billable, needs client",IF(N2356&gt;MaxDayHours,"Over "&amp;MaxDayHours&amp;" hours that day","")))))</f>
        <v/>
      </c>
    </row>
    <row r="2357" customFormat="false" ht="15" hidden="false" customHeight="false" outlineLevel="0" collapsed="false">
      <c r="A2357" s="31"/>
      <c r="B2357" s="32"/>
      <c r="C2357" s="32"/>
      <c r="D2357" s="33"/>
      <c r="E2357" s="34"/>
      <c r="F2357" s="32"/>
      <c r="G2357" s="35" t="str">
        <f aca="false">IF(A2357="","",A2357+7-WEEKDAY(A2357))</f>
        <v/>
      </c>
      <c r="H2357" s="36" t="str">
        <f aca="false">IF(A2357="","",DATE(YEAR(A2357),MONTH(A2357),1))</f>
        <v/>
      </c>
      <c r="I2357" s="37" t="str">
        <f aca="false">IF(B2357="","",IFERROR(INDEX(st_ID,MATCH(B2357,st_Name,0)),"Unknown"))</f>
        <v/>
      </c>
      <c r="J2357" s="37" t="str">
        <f aca="false">IF(C2357="","",IFERROR(INDEX(cl_Code,MATCH(C2357,cl_Name,0)),"Unknown"))</f>
        <v/>
      </c>
      <c r="K2357" s="37" t="str">
        <f aca="false">IF(D2357="","",IFERROR(INDEX(rt_Billable,MATCH(D2357,rt_Code,0)),"Unknown"))</f>
        <v/>
      </c>
      <c r="L2357" s="38" t="str">
        <f aca="false">IF(K2357&lt;&gt;"Yes","",IFERROR(INDEX(cr_Rate,MATCH(J2357&amp;"|"&amp;D2357,cr_Key,0)),INDEX(rt_Rate,MATCH(D2357,rt_Code,0))))</f>
        <v/>
      </c>
      <c r="M2357" s="25" t="str">
        <f aca="false">IF(L2357="","",ROUND(N(E2357)*L2357,2))</f>
        <v/>
      </c>
      <c r="N2357" s="39" t="str">
        <f aca="false">IF(OR(A2357="",B2357=""),"",SUMIFS(tl_Hours,tl_StaffID,I2357,tl_Date,A2357))</f>
        <v/>
      </c>
      <c r="O2357" s="40" t="str">
        <f aca="false">IF(A2357&amp;B2357&amp;D2357="","",IF(OR(A2357="",B2357="",D2357="",E2357=""),"Incomplete",IF(K2357="Unknown","Unknown code",IF(AND(K2357="Yes",C2357=""),"Billable, needs client",IF(N2357&gt;MaxDayHours,"Over "&amp;MaxDayHours&amp;" hours that day","")))))</f>
        <v/>
      </c>
    </row>
    <row r="2358" customFormat="false" ht="15" hidden="false" customHeight="false" outlineLevel="0" collapsed="false">
      <c r="A2358" s="31"/>
      <c r="B2358" s="32"/>
      <c r="C2358" s="32"/>
      <c r="D2358" s="33"/>
      <c r="E2358" s="34"/>
      <c r="F2358" s="32"/>
      <c r="G2358" s="35" t="str">
        <f aca="false">IF(A2358="","",A2358+7-WEEKDAY(A2358))</f>
        <v/>
      </c>
      <c r="H2358" s="36" t="str">
        <f aca="false">IF(A2358="","",DATE(YEAR(A2358),MONTH(A2358),1))</f>
        <v/>
      </c>
      <c r="I2358" s="37" t="str">
        <f aca="false">IF(B2358="","",IFERROR(INDEX(st_ID,MATCH(B2358,st_Name,0)),"Unknown"))</f>
        <v/>
      </c>
      <c r="J2358" s="37" t="str">
        <f aca="false">IF(C2358="","",IFERROR(INDEX(cl_Code,MATCH(C2358,cl_Name,0)),"Unknown"))</f>
        <v/>
      </c>
      <c r="K2358" s="37" t="str">
        <f aca="false">IF(D2358="","",IFERROR(INDEX(rt_Billable,MATCH(D2358,rt_Code,0)),"Unknown"))</f>
        <v/>
      </c>
      <c r="L2358" s="38" t="str">
        <f aca="false">IF(K2358&lt;&gt;"Yes","",IFERROR(INDEX(cr_Rate,MATCH(J2358&amp;"|"&amp;D2358,cr_Key,0)),INDEX(rt_Rate,MATCH(D2358,rt_Code,0))))</f>
        <v/>
      </c>
      <c r="M2358" s="25" t="str">
        <f aca="false">IF(L2358="","",ROUND(N(E2358)*L2358,2))</f>
        <v/>
      </c>
      <c r="N2358" s="39" t="str">
        <f aca="false">IF(OR(A2358="",B2358=""),"",SUMIFS(tl_Hours,tl_StaffID,I2358,tl_Date,A2358))</f>
        <v/>
      </c>
      <c r="O2358" s="40" t="str">
        <f aca="false">IF(A2358&amp;B2358&amp;D2358="","",IF(OR(A2358="",B2358="",D2358="",E2358=""),"Incomplete",IF(K2358="Unknown","Unknown code",IF(AND(K2358="Yes",C2358=""),"Billable, needs client",IF(N2358&gt;MaxDayHours,"Over "&amp;MaxDayHours&amp;" hours that day","")))))</f>
        <v/>
      </c>
    </row>
    <row r="2359" customFormat="false" ht="15" hidden="false" customHeight="false" outlineLevel="0" collapsed="false">
      <c r="A2359" s="31"/>
      <c r="B2359" s="32"/>
      <c r="C2359" s="32"/>
      <c r="D2359" s="33"/>
      <c r="E2359" s="34"/>
      <c r="F2359" s="32"/>
      <c r="G2359" s="35" t="str">
        <f aca="false">IF(A2359="","",A2359+7-WEEKDAY(A2359))</f>
        <v/>
      </c>
      <c r="H2359" s="36" t="str">
        <f aca="false">IF(A2359="","",DATE(YEAR(A2359),MONTH(A2359),1))</f>
        <v/>
      </c>
      <c r="I2359" s="37" t="str">
        <f aca="false">IF(B2359="","",IFERROR(INDEX(st_ID,MATCH(B2359,st_Name,0)),"Unknown"))</f>
        <v/>
      </c>
      <c r="J2359" s="37" t="str">
        <f aca="false">IF(C2359="","",IFERROR(INDEX(cl_Code,MATCH(C2359,cl_Name,0)),"Unknown"))</f>
        <v/>
      </c>
      <c r="K2359" s="37" t="str">
        <f aca="false">IF(D2359="","",IFERROR(INDEX(rt_Billable,MATCH(D2359,rt_Code,0)),"Unknown"))</f>
        <v/>
      </c>
      <c r="L2359" s="38" t="str">
        <f aca="false">IF(K2359&lt;&gt;"Yes","",IFERROR(INDEX(cr_Rate,MATCH(J2359&amp;"|"&amp;D2359,cr_Key,0)),INDEX(rt_Rate,MATCH(D2359,rt_Code,0))))</f>
        <v/>
      </c>
      <c r="M2359" s="25" t="str">
        <f aca="false">IF(L2359="","",ROUND(N(E2359)*L2359,2))</f>
        <v/>
      </c>
      <c r="N2359" s="39" t="str">
        <f aca="false">IF(OR(A2359="",B2359=""),"",SUMIFS(tl_Hours,tl_StaffID,I2359,tl_Date,A2359))</f>
        <v/>
      </c>
      <c r="O2359" s="40" t="str">
        <f aca="false">IF(A2359&amp;B2359&amp;D2359="","",IF(OR(A2359="",B2359="",D2359="",E2359=""),"Incomplete",IF(K2359="Unknown","Unknown code",IF(AND(K2359="Yes",C2359=""),"Billable, needs client",IF(N2359&gt;MaxDayHours,"Over "&amp;MaxDayHours&amp;" hours that day","")))))</f>
        <v/>
      </c>
    </row>
    <row r="2360" customFormat="false" ht="15" hidden="false" customHeight="false" outlineLevel="0" collapsed="false">
      <c r="A2360" s="31"/>
      <c r="B2360" s="32"/>
      <c r="C2360" s="32"/>
      <c r="D2360" s="33"/>
      <c r="E2360" s="34"/>
      <c r="F2360" s="32"/>
      <c r="G2360" s="35" t="str">
        <f aca="false">IF(A2360="","",A2360+7-WEEKDAY(A2360))</f>
        <v/>
      </c>
      <c r="H2360" s="36" t="str">
        <f aca="false">IF(A2360="","",DATE(YEAR(A2360),MONTH(A2360),1))</f>
        <v/>
      </c>
      <c r="I2360" s="37" t="str">
        <f aca="false">IF(B2360="","",IFERROR(INDEX(st_ID,MATCH(B2360,st_Name,0)),"Unknown"))</f>
        <v/>
      </c>
      <c r="J2360" s="37" t="str">
        <f aca="false">IF(C2360="","",IFERROR(INDEX(cl_Code,MATCH(C2360,cl_Name,0)),"Unknown"))</f>
        <v/>
      </c>
      <c r="K2360" s="37" t="str">
        <f aca="false">IF(D2360="","",IFERROR(INDEX(rt_Billable,MATCH(D2360,rt_Code,0)),"Unknown"))</f>
        <v/>
      </c>
      <c r="L2360" s="38" t="str">
        <f aca="false">IF(K2360&lt;&gt;"Yes","",IFERROR(INDEX(cr_Rate,MATCH(J2360&amp;"|"&amp;D2360,cr_Key,0)),INDEX(rt_Rate,MATCH(D2360,rt_Code,0))))</f>
        <v/>
      </c>
      <c r="M2360" s="25" t="str">
        <f aca="false">IF(L2360="","",ROUND(N(E2360)*L2360,2))</f>
        <v/>
      </c>
      <c r="N2360" s="39" t="str">
        <f aca="false">IF(OR(A2360="",B2360=""),"",SUMIFS(tl_Hours,tl_StaffID,I2360,tl_Date,A2360))</f>
        <v/>
      </c>
      <c r="O2360" s="40" t="str">
        <f aca="false">IF(A2360&amp;B2360&amp;D2360="","",IF(OR(A2360="",B2360="",D2360="",E2360=""),"Incomplete",IF(K2360="Unknown","Unknown code",IF(AND(K2360="Yes",C2360=""),"Billable, needs client",IF(N2360&gt;MaxDayHours,"Over "&amp;MaxDayHours&amp;" hours that day","")))))</f>
        <v/>
      </c>
    </row>
    <row r="2361" customFormat="false" ht="15" hidden="false" customHeight="false" outlineLevel="0" collapsed="false">
      <c r="A2361" s="31"/>
      <c r="B2361" s="32"/>
      <c r="C2361" s="32"/>
      <c r="D2361" s="33"/>
      <c r="E2361" s="34"/>
      <c r="F2361" s="32"/>
      <c r="G2361" s="35" t="str">
        <f aca="false">IF(A2361="","",A2361+7-WEEKDAY(A2361))</f>
        <v/>
      </c>
      <c r="H2361" s="36" t="str">
        <f aca="false">IF(A2361="","",DATE(YEAR(A2361),MONTH(A2361),1))</f>
        <v/>
      </c>
      <c r="I2361" s="37" t="str">
        <f aca="false">IF(B2361="","",IFERROR(INDEX(st_ID,MATCH(B2361,st_Name,0)),"Unknown"))</f>
        <v/>
      </c>
      <c r="J2361" s="37" t="str">
        <f aca="false">IF(C2361="","",IFERROR(INDEX(cl_Code,MATCH(C2361,cl_Name,0)),"Unknown"))</f>
        <v/>
      </c>
      <c r="K2361" s="37" t="str">
        <f aca="false">IF(D2361="","",IFERROR(INDEX(rt_Billable,MATCH(D2361,rt_Code,0)),"Unknown"))</f>
        <v/>
      </c>
      <c r="L2361" s="38" t="str">
        <f aca="false">IF(K2361&lt;&gt;"Yes","",IFERROR(INDEX(cr_Rate,MATCH(J2361&amp;"|"&amp;D2361,cr_Key,0)),INDEX(rt_Rate,MATCH(D2361,rt_Code,0))))</f>
        <v/>
      </c>
      <c r="M2361" s="25" t="str">
        <f aca="false">IF(L2361="","",ROUND(N(E2361)*L2361,2))</f>
        <v/>
      </c>
      <c r="N2361" s="39" t="str">
        <f aca="false">IF(OR(A2361="",B2361=""),"",SUMIFS(tl_Hours,tl_StaffID,I2361,tl_Date,A2361))</f>
        <v/>
      </c>
      <c r="O2361" s="40" t="str">
        <f aca="false">IF(A2361&amp;B2361&amp;D2361="","",IF(OR(A2361="",B2361="",D2361="",E2361=""),"Incomplete",IF(K2361="Unknown","Unknown code",IF(AND(K2361="Yes",C2361=""),"Billable, needs client",IF(N2361&gt;MaxDayHours,"Over "&amp;MaxDayHours&amp;" hours that day","")))))</f>
        <v/>
      </c>
    </row>
    <row r="2362" customFormat="false" ht="15" hidden="false" customHeight="false" outlineLevel="0" collapsed="false">
      <c r="A2362" s="31"/>
      <c r="B2362" s="32"/>
      <c r="C2362" s="32"/>
      <c r="D2362" s="33"/>
      <c r="E2362" s="34"/>
      <c r="F2362" s="32"/>
      <c r="G2362" s="35" t="str">
        <f aca="false">IF(A2362="","",A2362+7-WEEKDAY(A2362))</f>
        <v/>
      </c>
      <c r="H2362" s="36" t="str">
        <f aca="false">IF(A2362="","",DATE(YEAR(A2362),MONTH(A2362),1))</f>
        <v/>
      </c>
      <c r="I2362" s="37" t="str">
        <f aca="false">IF(B2362="","",IFERROR(INDEX(st_ID,MATCH(B2362,st_Name,0)),"Unknown"))</f>
        <v/>
      </c>
      <c r="J2362" s="37" t="str">
        <f aca="false">IF(C2362="","",IFERROR(INDEX(cl_Code,MATCH(C2362,cl_Name,0)),"Unknown"))</f>
        <v/>
      </c>
      <c r="K2362" s="37" t="str">
        <f aca="false">IF(D2362="","",IFERROR(INDEX(rt_Billable,MATCH(D2362,rt_Code,0)),"Unknown"))</f>
        <v/>
      </c>
      <c r="L2362" s="38" t="str">
        <f aca="false">IF(K2362&lt;&gt;"Yes","",IFERROR(INDEX(cr_Rate,MATCH(J2362&amp;"|"&amp;D2362,cr_Key,0)),INDEX(rt_Rate,MATCH(D2362,rt_Code,0))))</f>
        <v/>
      </c>
      <c r="M2362" s="25" t="str">
        <f aca="false">IF(L2362="","",ROUND(N(E2362)*L2362,2))</f>
        <v/>
      </c>
      <c r="N2362" s="39" t="str">
        <f aca="false">IF(OR(A2362="",B2362=""),"",SUMIFS(tl_Hours,tl_StaffID,I2362,tl_Date,A2362))</f>
        <v/>
      </c>
      <c r="O2362" s="40" t="str">
        <f aca="false">IF(A2362&amp;B2362&amp;D2362="","",IF(OR(A2362="",B2362="",D2362="",E2362=""),"Incomplete",IF(K2362="Unknown","Unknown code",IF(AND(K2362="Yes",C2362=""),"Billable, needs client",IF(N2362&gt;MaxDayHours,"Over "&amp;MaxDayHours&amp;" hours that day","")))))</f>
        <v/>
      </c>
    </row>
    <row r="2363" customFormat="false" ht="15" hidden="false" customHeight="false" outlineLevel="0" collapsed="false">
      <c r="A2363" s="31"/>
      <c r="B2363" s="32"/>
      <c r="C2363" s="32"/>
      <c r="D2363" s="33"/>
      <c r="E2363" s="34"/>
      <c r="F2363" s="32"/>
      <c r="G2363" s="35" t="str">
        <f aca="false">IF(A2363="","",A2363+7-WEEKDAY(A2363))</f>
        <v/>
      </c>
      <c r="H2363" s="36" t="str">
        <f aca="false">IF(A2363="","",DATE(YEAR(A2363),MONTH(A2363),1))</f>
        <v/>
      </c>
      <c r="I2363" s="37" t="str">
        <f aca="false">IF(B2363="","",IFERROR(INDEX(st_ID,MATCH(B2363,st_Name,0)),"Unknown"))</f>
        <v/>
      </c>
      <c r="J2363" s="37" t="str">
        <f aca="false">IF(C2363="","",IFERROR(INDEX(cl_Code,MATCH(C2363,cl_Name,0)),"Unknown"))</f>
        <v/>
      </c>
      <c r="K2363" s="37" t="str">
        <f aca="false">IF(D2363="","",IFERROR(INDEX(rt_Billable,MATCH(D2363,rt_Code,0)),"Unknown"))</f>
        <v/>
      </c>
      <c r="L2363" s="38" t="str">
        <f aca="false">IF(K2363&lt;&gt;"Yes","",IFERROR(INDEX(cr_Rate,MATCH(J2363&amp;"|"&amp;D2363,cr_Key,0)),INDEX(rt_Rate,MATCH(D2363,rt_Code,0))))</f>
        <v/>
      </c>
      <c r="M2363" s="25" t="str">
        <f aca="false">IF(L2363="","",ROUND(N(E2363)*L2363,2))</f>
        <v/>
      </c>
      <c r="N2363" s="39" t="str">
        <f aca="false">IF(OR(A2363="",B2363=""),"",SUMIFS(tl_Hours,tl_StaffID,I2363,tl_Date,A2363))</f>
        <v/>
      </c>
      <c r="O2363" s="40" t="str">
        <f aca="false">IF(A2363&amp;B2363&amp;D2363="","",IF(OR(A2363="",B2363="",D2363="",E2363=""),"Incomplete",IF(K2363="Unknown","Unknown code",IF(AND(K2363="Yes",C2363=""),"Billable, needs client",IF(N2363&gt;MaxDayHours,"Over "&amp;MaxDayHours&amp;" hours that day","")))))</f>
        <v/>
      </c>
    </row>
    <row r="2364" customFormat="false" ht="15" hidden="false" customHeight="false" outlineLevel="0" collapsed="false">
      <c r="A2364" s="31"/>
      <c r="B2364" s="32"/>
      <c r="C2364" s="32"/>
      <c r="D2364" s="33"/>
      <c r="E2364" s="34"/>
      <c r="F2364" s="32"/>
      <c r="G2364" s="35" t="str">
        <f aca="false">IF(A2364="","",A2364+7-WEEKDAY(A2364))</f>
        <v/>
      </c>
      <c r="H2364" s="36" t="str">
        <f aca="false">IF(A2364="","",DATE(YEAR(A2364),MONTH(A2364),1))</f>
        <v/>
      </c>
      <c r="I2364" s="37" t="str">
        <f aca="false">IF(B2364="","",IFERROR(INDEX(st_ID,MATCH(B2364,st_Name,0)),"Unknown"))</f>
        <v/>
      </c>
      <c r="J2364" s="37" t="str">
        <f aca="false">IF(C2364="","",IFERROR(INDEX(cl_Code,MATCH(C2364,cl_Name,0)),"Unknown"))</f>
        <v/>
      </c>
      <c r="K2364" s="37" t="str">
        <f aca="false">IF(D2364="","",IFERROR(INDEX(rt_Billable,MATCH(D2364,rt_Code,0)),"Unknown"))</f>
        <v/>
      </c>
      <c r="L2364" s="38" t="str">
        <f aca="false">IF(K2364&lt;&gt;"Yes","",IFERROR(INDEX(cr_Rate,MATCH(J2364&amp;"|"&amp;D2364,cr_Key,0)),INDEX(rt_Rate,MATCH(D2364,rt_Code,0))))</f>
        <v/>
      </c>
      <c r="M2364" s="25" t="str">
        <f aca="false">IF(L2364="","",ROUND(N(E2364)*L2364,2))</f>
        <v/>
      </c>
      <c r="N2364" s="39" t="str">
        <f aca="false">IF(OR(A2364="",B2364=""),"",SUMIFS(tl_Hours,tl_StaffID,I2364,tl_Date,A2364))</f>
        <v/>
      </c>
      <c r="O2364" s="40" t="str">
        <f aca="false">IF(A2364&amp;B2364&amp;D2364="","",IF(OR(A2364="",B2364="",D2364="",E2364=""),"Incomplete",IF(K2364="Unknown","Unknown code",IF(AND(K2364="Yes",C2364=""),"Billable, needs client",IF(N2364&gt;MaxDayHours,"Over "&amp;MaxDayHours&amp;" hours that day","")))))</f>
        <v/>
      </c>
    </row>
    <row r="2365" customFormat="false" ht="15" hidden="false" customHeight="false" outlineLevel="0" collapsed="false">
      <c r="A2365" s="31"/>
      <c r="B2365" s="32"/>
      <c r="C2365" s="32"/>
      <c r="D2365" s="33"/>
      <c r="E2365" s="34"/>
      <c r="F2365" s="32"/>
      <c r="G2365" s="35" t="str">
        <f aca="false">IF(A2365="","",A2365+7-WEEKDAY(A2365))</f>
        <v/>
      </c>
      <c r="H2365" s="36" t="str">
        <f aca="false">IF(A2365="","",DATE(YEAR(A2365),MONTH(A2365),1))</f>
        <v/>
      </c>
      <c r="I2365" s="37" t="str">
        <f aca="false">IF(B2365="","",IFERROR(INDEX(st_ID,MATCH(B2365,st_Name,0)),"Unknown"))</f>
        <v/>
      </c>
      <c r="J2365" s="37" t="str">
        <f aca="false">IF(C2365="","",IFERROR(INDEX(cl_Code,MATCH(C2365,cl_Name,0)),"Unknown"))</f>
        <v/>
      </c>
      <c r="K2365" s="37" t="str">
        <f aca="false">IF(D2365="","",IFERROR(INDEX(rt_Billable,MATCH(D2365,rt_Code,0)),"Unknown"))</f>
        <v/>
      </c>
      <c r="L2365" s="38" t="str">
        <f aca="false">IF(K2365&lt;&gt;"Yes","",IFERROR(INDEX(cr_Rate,MATCH(J2365&amp;"|"&amp;D2365,cr_Key,0)),INDEX(rt_Rate,MATCH(D2365,rt_Code,0))))</f>
        <v/>
      </c>
      <c r="M2365" s="25" t="str">
        <f aca="false">IF(L2365="","",ROUND(N(E2365)*L2365,2))</f>
        <v/>
      </c>
      <c r="N2365" s="39" t="str">
        <f aca="false">IF(OR(A2365="",B2365=""),"",SUMIFS(tl_Hours,tl_StaffID,I2365,tl_Date,A2365))</f>
        <v/>
      </c>
      <c r="O2365" s="40" t="str">
        <f aca="false">IF(A2365&amp;B2365&amp;D2365="","",IF(OR(A2365="",B2365="",D2365="",E2365=""),"Incomplete",IF(K2365="Unknown","Unknown code",IF(AND(K2365="Yes",C2365=""),"Billable, needs client",IF(N2365&gt;MaxDayHours,"Over "&amp;MaxDayHours&amp;" hours that day","")))))</f>
        <v/>
      </c>
    </row>
    <row r="2366" customFormat="false" ht="15" hidden="false" customHeight="false" outlineLevel="0" collapsed="false">
      <c r="A2366" s="31"/>
      <c r="B2366" s="32"/>
      <c r="C2366" s="32"/>
      <c r="D2366" s="33"/>
      <c r="E2366" s="34"/>
      <c r="F2366" s="32"/>
      <c r="G2366" s="35" t="str">
        <f aca="false">IF(A2366="","",A2366+7-WEEKDAY(A2366))</f>
        <v/>
      </c>
      <c r="H2366" s="36" t="str">
        <f aca="false">IF(A2366="","",DATE(YEAR(A2366),MONTH(A2366),1))</f>
        <v/>
      </c>
      <c r="I2366" s="37" t="str">
        <f aca="false">IF(B2366="","",IFERROR(INDEX(st_ID,MATCH(B2366,st_Name,0)),"Unknown"))</f>
        <v/>
      </c>
      <c r="J2366" s="37" t="str">
        <f aca="false">IF(C2366="","",IFERROR(INDEX(cl_Code,MATCH(C2366,cl_Name,0)),"Unknown"))</f>
        <v/>
      </c>
      <c r="K2366" s="37" t="str">
        <f aca="false">IF(D2366="","",IFERROR(INDEX(rt_Billable,MATCH(D2366,rt_Code,0)),"Unknown"))</f>
        <v/>
      </c>
      <c r="L2366" s="38" t="str">
        <f aca="false">IF(K2366&lt;&gt;"Yes","",IFERROR(INDEX(cr_Rate,MATCH(J2366&amp;"|"&amp;D2366,cr_Key,0)),INDEX(rt_Rate,MATCH(D2366,rt_Code,0))))</f>
        <v/>
      </c>
      <c r="M2366" s="25" t="str">
        <f aca="false">IF(L2366="","",ROUND(N(E2366)*L2366,2))</f>
        <v/>
      </c>
      <c r="N2366" s="39" t="str">
        <f aca="false">IF(OR(A2366="",B2366=""),"",SUMIFS(tl_Hours,tl_StaffID,I2366,tl_Date,A2366))</f>
        <v/>
      </c>
      <c r="O2366" s="40" t="str">
        <f aca="false">IF(A2366&amp;B2366&amp;D2366="","",IF(OR(A2366="",B2366="",D2366="",E2366=""),"Incomplete",IF(K2366="Unknown","Unknown code",IF(AND(K2366="Yes",C2366=""),"Billable, needs client",IF(N2366&gt;MaxDayHours,"Over "&amp;MaxDayHours&amp;" hours that day","")))))</f>
        <v/>
      </c>
    </row>
    <row r="2367" customFormat="false" ht="15" hidden="false" customHeight="false" outlineLevel="0" collapsed="false">
      <c r="A2367" s="31"/>
      <c r="B2367" s="32"/>
      <c r="C2367" s="32"/>
      <c r="D2367" s="33"/>
      <c r="E2367" s="34"/>
      <c r="F2367" s="32"/>
      <c r="G2367" s="35" t="str">
        <f aca="false">IF(A2367="","",A2367+7-WEEKDAY(A2367))</f>
        <v/>
      </c>
      <c r="H2367" s="36" t="str">
        <f aca="false">IF(A2367="","",DATE(YEAR(A2367),MONTH(A2367),1))</f>
        <v/>
      </c>
      <c r="I2367" s="37" t="str">
        <f aca="false">IF(B2367="","",IFERROR(INDEX(st_ID,MATCH(B2367,st_Name,0)),"Unknown"))</f>
        <v/>
      </c>
      <c r="J2367" s="37" t="str">
        <f aca="false">IF(C2367="","",IFERROR(INDEX(cl_Code,MATCH(C2367,cl_Name,0)),"Unknown"))</f>
        <v/>
      </c>
      <c r="K2367" s="37" t="str">
        <f aca="false">IF(D2367="","",IFERROR(INDEX(rt_Billable,MATCH(D2367,rt_Code,0)),"Unknown"))</f>
        <v/>
      </c>
      <c r="L2367" s="38" t="str">
        <f aca="false">IF(K2367&lt;&gt;"Yes","",IFERROR(INDEX(cr_Rate,MATCH(J2367&amp;"|"&amp;D2367,cr_Key,0)),INDEX(rt_Rate,MATCH(D2367,rt_Code,0))))</f>
        <v/>
      </c>
      <c r="M2367" s="25" t="str">
        <f aca="false">IF(L2367="","",ROUND(N(E2367)*L2367,2))</f>
        <v/>
      </c>
      <c r="N2367" s="39" t="str">
        <f aca="false">IF(OR(A2367="",B2367=""),"",SUMIFS(tl_Hours,tl_StaffID,I2367,tl_Date,A2367))</f>
        <v/>
      </c>
      <c r="O2367" s="40" t="str">
        <f aca="false">IF(A2367&amp;B2367&amp;D2367="","",IF(OR(A2367="",B2367="",D2367="",E2367=""),"Incomplete",IF(K2367="Unknown","Unknown code",IF(AND(K2367="Yes",C2367=""),"Billable, needs client",IF(N2367&gt;MaxDayHours,"Over "&amp;MaxDayHours&amp;" hours that day","")))))</f>
        <v/>
      </c>
    </row>
    <row r="2368" customFormat="false" ht="15" hidden="false" customHeight="false" outlineLevel="0" collapsed="false">
      <c r="A2368" s="31"/>
      <c r="B2368" s="32"/>
      <c r="C2368" s="32"/>
      <c r="D2368" s="33"/>
      <c r="E2368" s="34"/>
      <c r="F2368" s="32"/>
      <c r="G2368" s="35" t="str">
        <f aca="false">IF(A2368="","",A2368+7-WEEKDAY(A2368))</f>
        <v/>
      </c>
      <c r="H2368" s="36" t="str">
        <f aca="false">IF(A2368="","",DATE(YEAR(A2368),MONTH(A2368),1))</f>
        <v/>
      </c>
      <c r="I2368" s="37" t="str">
        <f aca="false">IF(B2368="","",IFERROR(INDEX(st_ID,MATCH(B2368,st_Name,0)),"Unknown"))</f>
        <v/>
      </c>
      <c r="J2368" s="37" t="str">
        <f aca="false">IF(C2368="","",IFERROR(INDEX(cl_Code,MATCH(C2368,cl_Name,0)),"Unknown"))</f>
        <v/>
      </c>
      <c r="K2368" s="37" t="str">
        <f aca="false">IF(D2368="","",IFERROR(INDEX(rt_Billable,MATCH(D2368,rt_Code,0)),"Unknown"))</f>
        <v/>
      </c>
      <c r="L2368" s="38" t="str">
        <f aca="false">IF(K2368&lt;&gt;"Yes","",IFERROR(INDEX(cr_Rate,MATCH(J2368&amp;"|"&amp;D2368,cr_Key,0)),INDEX(rt_Rate,MATCH(D2368,rt_Code,0))))</f>
        <v/>
      </c>
      <c r="M2368" s="25" t="str">
        <f aca="false">IF(L2368="","",ROUND(N(E2368)*L2368,2))</f>
        <v/>
      </c>
      <c r="N2368" s="39" t="str">
        <f aca="false">IF(OR(A2368="",B2368=""),"",SUMIFS(tl_Hours,tl_StaffID,I2368,tl_Date,A2368))</f>
        <v/>
      </c>
      <c r="O2368" s="40" t="str">
        <f aca="false">IF(A2368&amp;B2368&amp;D2368="","",IF(OR(A2368="",B2368="",D2368="",E2368=""),"Incomplete",IF(K2368="Unknown","Unknown code",IF(AND(K2368="Yes",C2368=""),"Billable, needs client",IF(N2368&gt;MaxDayHours,"Over "&amp;MaxDayHours&amp;" hours that day","")))))</f>
        <v/>
      </c>
    </row>
    <row r="2369" customFormat="false" ht="15" hidden="false" customHeight="false" outlineLevel="0" collapsed="false">
      <c r="A2369" s="31"/>
      <c r="B2369" s="32"/>
      <c r="C2369" s="32"/>
      <c r="D2369" s="33"/>
      <c r="E2369" s="34"/>
      <c r="F2369" s="32"/>
      <c r="G2369" s="35" t="str">
        <f aca="false">IF(A2369="","",A2369+7-WEEKDAY(A2369))</f>
        <v/>
      </c>
      <c r="H2369" s="36" t="str">
        <f aca="false">IF(A2369="","",DATE(YEAR(A2369),MONTH(A2369),1))</f>
        <v/>
      </c>
      <c r="I2369" s="37" t="str">
        <f aca="false">IF(B2369="","",IFERROR(INDEX(st_ID,MATCH(B2369,st_Name,0)),"Unknown"))</f>
        <v/>
      </c>
      <c r="J2369" s="37" t="str">
        <f aca="false">IF(C2369="","",IFERROR(INDEX(cl_Code,MATCH(C2369,cl_Name,0)),"Unknown"))</f>
        <v/>
      </c>
      <c r="K2369" s="37" t="str">
        <f aca="false">IF(D2369="","",IFERROR(INDEX(rt_Billable,MATCH(D2369,rt_Code,0)),"Unknown"))</f>
        <v/>
      </c>
      <c r="L2369" s="38" t="str">
        <f aca="false">IF(K2369&lt;&gt;"Yes","",IFERROR(INDEX(cr_Rate,MATCH(J2369&amp;"|"&amp;D2369,cr_Key,0)),INDEX(rt_Rate,MATCH(D2369,rt_Code,0))))</f>
        <v/>
      </c>
      <c r="M2369" s="25" t="str">
        <f aca="false">IF(L2369="","",ROUND(N(E2369)*L2369,2))</f>
        <v/>
      </c>
      <c r="N2369" s="39" t="str">
        <f aca="false">IF(OR(A2369="",B2369=""),"",SUMIFS(tl_Hours,tl_StaffID,I2369,tl_Date,A2369))</f>
        <v/>
      </c>
      <c r="O2369" s="40" t="str">
        <f aca="false">IF(A2369&amp;B2369&amp;D2369="","",IF(OR(A2369="",B2369="",D2369="",E2369=""),"Incomplete",IF(K2369="Unknown","Unknown code",IF(AND(K2369="Yes",C2369=""),"Billable, needs client",IF(N2369&gt;MaxDayHours,"Over "&amp;MaxDayHours&amp;" hours that day","")))))</f>
        <v/>
      </c>
    </row>
    <row r="2370" customFormat="false" ht="15" hidden="false" customHeight="false" outlineLevel="0" collapsed="false">
      <c r="A2370" s="31"/>
      <c r="B2370" s="32"/>
      <c r="C2370" s="32"/>
      <c r="D2370" s="33"/>
      <c r="E2370" s="34"/>
      <c r="F2370" s="32"/>
      <c r="G2370" s="35" t="str">
        <f aca="false">IF(A2370="","",A2370+7-WEEKDAY(A2370))</f>
        <v/>
      </c>
      <c r="H2370" s="36" t="str">
        <f aca="false">IF(A2370="","",DATE(YEAR(A2370),MONTH(A2370),1))</f>
        <v/>
      </c>
      <c r="I2370" s="37" t="str">
        <f aca="false">IF(B2370="","",IFERROR(INDEX(st_ID,MATCH(B2370,st_Name,0)),"Unknown"))</f>
        <v/>
      </c>
      <c r="J2370" s="37" t="str">
        <f aca="false">IF(C2370="","",IFERROR(INDEX(cl_Code,MATCH(C2370,cl_Name,0)),"Unknown"))</f>
        <v/>
      </c>
      <c r="K2370" s="37" t="str">
        <f aca="false">IF(D2370="","",IFERROR(INDEX(rt_Billable,MATCH(D2370,rt_Code,0)),"Unknown"))</f>
        <v/>
      </c>
      <c r="L2370" s="38" t="str">
        <f aca="false">IF(K2370&lt;&gt;"Yes","",IFERROR(INDEX(cr_Rate,MATCH(J2370&amp;"|"&amp;D2370,cr_Key,0)),INDEX(rt_Rate,MATCH(D2370,rt_Code,0))))</f>
        <v/>
      </c>
      <c r="M2370" s="25" t="str">
        <f aca="false">IF(L2370="","",ROUND(N(E2370)*L2370,2))</f>
        <v/>
      </c>
      <c r="N2370" s="39" t="str">
        <f aca="false">IF(OR(A2370="",B2370=""),"",SUMIFS(tl_Hours,tl_StaffID,I2370,tl_Date,A2370))</f>
        <v/>
      </c>
      <c r="O2370" s="40" t="str">
        <f aca="false">IF(A2370&amp;B2370&amp;D2370="","",IF(OR(A2370="",B2370="",D2370="",E2370=""),"Incomplete",IF(K2370="Unknown","Unknown code",IF(AND(K2370="Yes",C2370=""),"Billable, needs client",IF(N2370&gt;MaxDayHours,"Over "&amp;MaxDayHours&amp;" hours that day","")))))</f>
        <v/>
      </c>
    </row>
    <row r="2371" customFormat="false" ht="15" hidden="false" customHeight="false" outlineLevel="0" collapsed="false">
      <c r="A2371" s="31"/>
      <c r="B2371" s="32"/>
      <c r="C2371" s="32"/>
      <c r="D2371" s="33"/>
      <c r="E2371" s="34"/>
      <c r="F2371" s="32"/>
      <c r="G2371" s="35" t="str">
        <f aca="false">IF(A2371="","",A2371+7-WEEKDAY(A2371))</f>
        <v/>
      </c>
      <c r="H2371" s="36" t="str">
        <f aca="false">IF(A2371="","",DATE(YEAR(A2371),MONTH(A2371),1))</f>
        <v/>
      </c>
      <c r="I2371" s="37" t="str">
        <f aca="false">IF(B2371="","",IFERROR(INDEX(st_ID,MATCH(B2371,st_Name,0)),"Unknown"))</f>
        <v/>
      </c>
      <c r="J2371" s="37" t="str">
        <f aca="false">IF(C2371="","",IFERROR(INDEX(cl_Code,MATCH(C2371,cl_Name,0)),"Unknown"))</f>
        <v/>
      </c>
      <c r="K2371" s="37" t="str">
        <f aca="false">IF(D2371="","",IFERROR(INDEX(rt_Billable,MATCH(D2371,rt_Code,0)),"Unknown"))</f>
        <v/>
      </c>
      <c r="L2371" s="38" t="str">
        <f aca="false">IF(K2371&lt;&gt;"Yes","",IFERROR(INDEX(cr_Rate,MATCH(J2371&amp;"|"&amp;D2371,cr_Key,0)),INDEX(rt_Rate,MATCH(D2371,rt_Code,0))))</f>
        <v/>
      </c>
      <c r="M2371" s="25" t="str">
        <f aca="false">IF(L2371="","",ROUND(N(E2371)*L2371,2))</f>
        <v/>
      </c>
      <c r="N2371" s="39" t="str">
        <f aca="false">IF(OR(A2371="",B2371=""),"",SUMIFS(tl_Hours,tl_StaffID,I2371,tl_Date,A2371))</f>
        <v/>
      </c>
      <c r="O2371" s="40" t="str">
        <f aca="false">IF(A2371&amp;B2371&amp;D2371="","",IF(OR(A2371="",B2371="",D2371="",E2371=""),"Incomplete",IF(K2371="Unknown","Unknown code",IF(AND(K2371="Yes",C2371=""),"Billable, needs client",IF(N2371&gt;MaxDayHours,"Over "&amp;MaxDayHours&amp;" hours that day","")))))</f>
        <v/>
      </c>
    </row>
    <row r="2372" customFormat="false" ht="15" hidden="false" customHeight="false" outlineLevel="0" collapsed="false">
      <c r="A2372" s="31"/>
      <c r="B2372" s="32"/>
      <c r="C2372" s="32"/>
      <c r="D2372" s="33"/>
      <c r="E2372" s="34"/>
      <c r="F2372" s="32"/>
      <c r="G2372" s="35" t="str">
        <f aca="false">IF(A2372="","",A2372+7-WEEKDAY(A2372))</f>
        <v/>
      </c>
      <c r="H2372" s="36" t="str">
        <f aca="false">IF(A2372="","",DATE(YEAR(A2372),MONTH(A2372),1))</f>
        <v/>
      </c>
      <c r="I2372" s="37" t="str">
        <f aca="false">IF(B2372="","",IFERROR(INDEX(st_ID,MATCH(B2372,st_Name,0)),"Unknown"))</f>
        <v/>
      </c>
      <c r="J2372" s="37" t="str">
        <f aca="false">IF(C2372="","",IFERROR(INDEX(cl_Code,MATCH(C2372,cl_Name,0)),"Unknown"))</f>
        <v/>
      </c>
      <c r="K2372" s="37" t="str">
        <f aca="false">IF(D2372="","",IFERROR(INDEX(rt_Billable,MATCH(D2372,rt_Code,0)),"Unknown"))</f>
        <v/>
      </c>
      <c r="L2372" s="38" t="str">
        <f aca="false">IF(K2372&lt;&gt;"Yes","",IFERROR(INDEX(cr_Rate,MATCH(J2372&amp;"|"&amp;D2372,cr_Key,0)),INDEX(rt_Rate,MATCH(D2372,rt_Code,0))))</f>
        <v/>
      </c>
      <c r="M2372" s="25" t="str">
        <f aca="false">IF(L2372="","",ROUND(N(E2372)*L2372,2))</f>
        <v/>
      </c>
      <c r="N2372" s="39" t="str">
        <f aca="false">IF(OR(A2372="",B2372=""),"",SUMIFS(tl_Hours,tl_StaffID,I2372,tl_Date,A2372))</f>
        <v/>
      </c>
      <c r="O2372" s="40" t="str">
        <f aca="false">IF(A2372&amp;B2372&amp;D2372="","",IF(OR(A2372="",B2372="",D2372="",E2372=""),"Incomplete",IF(K2372="Unknown","Unknown code",IF(AND(K2372="Yes",C2372=""),"Billable, needs client",IF(N2372&gt;MaxDayHours,"Over "&amp;MaxDayHours&amp;" hours that day","")))))</f>
        <v/>
      </c>
    </row>
    <row r="2373" customFormat="false" ht="15" hidden="false" customHeight="false" outlineLevel="0" collapsed="false">
      <c r="A2373" s="31"/>
      <c r="B2373" s="32"/>
      <c r="C2373" s="32"/>
      <c r="D2373" s="33"/>
      <c r="E2373" s="34"/>
      <c r="F2373" s="32"/>
      <c r="G2373" s="35" t="str">
        <f aca="false">IF(A2373="","",A2373+7-WEEKDAY(A2373))</f>
        <v/>
      </c>
      <c r="H2373" s="36" t="str">
        <f aca="false">IF(A2373="","",DATE(YEAR(A2373),MONTH(A2373),1))</f>
        <v/>
      </c>
      <c r="I2373" s="37" t="str">
        <f aca="false">IF(B2373="","",IFERROR(INDEX(st_ID,MATCH(B2373,st_Name,0)),"Unknown"))</f>
        <v/>
      </c>
      <c r="J2373" s="37" t="str">
        <f aca="false">IF(C2373="","",IFERROR(INDEX(cl_Code,MATCH(C2373,cl_Name,0)),"Unknown"))</f>
        <v/>
      </c>
      <c r="K2373" s="37" t="str">
        <f aca="false">IF(D2373="","",IFERROR(INDEX(rt_Billable,MATCH(D2373,rt_Code,0)),"Unknown"))</f>
        <v/>
      </c>
      <c r="L2373" s="38" t="str">
        <f aca="false">IF(K2373&lt;&gt;"Yes","",IFERROR(INDEX(cr_Rate,MATCH(J2373&amp;"|"&amp;D2373,cr_Key,0)),INDEX(rt_Rate,MATCH(D2373,rt_Code,0))))</f>
        <v/>
      </c>
      <c r="M2373" s="25" t="str">
        <f aca="false">IF(L2373="","",ROUND(N(E2373)*L2373,2))</f>
        <v/>
      </c>
      <c r="N2373" s="39" t="str">
        <f aca="false">IF(OR(A2373="",B2373=""),"",SUMIFS(tl_Hours,tl_StaffID,I2373,tl_Date,A2373))</f>
        <v/>
      </c>
      <c r="O2373" s="40" t="str">
        <f aca="false">IF(A2373&amp;B2373&amp;D2373="","",IF(OR(A2373="",B2373="",D2373="",E2373=""),"Incomplete",IF(K2373="Unknown","Unknown code",IF(AND(K2373="Yes",C2373=""),"Billable, needs client",IF(N2373&gt;MaxDayHours,"Over "&amp;MaxDayHours&amp;" hours that day","")))))</f>
        <v/>
      </c>
    </row>
    <row r="2374" customFormat="false" ht="15" hidden="false" customHeight="false" outlineLevel="0" collapsed="false">
      <c r="A2374" s="31"/>
      <c r="B2374" s="32"/>
      <c r="C2374" s="32"/>
      <c r="D2374" s="33"/>
      <c r="E2374" s="34"/>
      <c r="F2374" s="32"/>
      <c r="G2374" s="35" t="str">
        <f aca="false">IF(A2374="","",A2374+7-WEEKDAY(A2374))</f>
        <v/>
      </c>
      <c r="H2374" s="36" t="str">
        <f aca="false">IF(A2374="","",DATE(YEAR(A2374),MONTH(A2374),1))</f>
        <v/>
      </c>
      <c r="I2374" s="37" t="str">
        <f aca="false">IF(B2374="","",IFERROR(INDEX(st_ID,MATCH(B2374,st_Name,0)),"Unknown"))</f>
        <v/>
      </c>
      <c r="J2374" s="37" t="str">
        <f aca="false">IF(C2374="","",IFERROR(INDEX(cl_Code,MATCH(C2374,cl_Name,0)),"Unknown"))</f>
        <v/>
      </c>
      <c r="K2374" s="37" t="str">
        <f aca="false">IF(D2374="","",IFERROR(INDEX(rt_Billable,MATCH(D2374,rt_Code,0)),"Unknown"))</f>
        <v/>
      </c>
      <c r="L2374" s="38" t="str">
        <f aca="false">IF(K2374&lt;&gt;"Yes","",IFERROR(INDEX(cr_Rate,MATCH(J2374&amp;"|"&amp;D2374,cr_Key,0)),INDEX(rt_Rate,MATCH(D2374,rt_Code,0))))</f>
        <v/>
      </c>
      <c r="M2374" s="25" t="str">
        <f aca="false">IF(L2374="","",ROUND(N(E2374)*L2374,2))</f>
        <v/>
      </c>
      <c r="N2374" s="39" t="str">
        <f aca="false">IF(OR(A2374="",B2374=""),"",SUMIFS(tl_Hours,tl_StaffID,I2374,tl_Date,A2374))</f>
        <v/>
      </c>
      <c r="O2374" s="40" t="str">
        <f aca="false">IF(A2374&amp;B2374&amp;D2374="","",IF(OR(A2374="",B2374="",D2374="",E2374=""),"Incomplete",IF(K2374="Unknown","Unknown code",IF(AND(K2374="Yes",C2374=""),"Billable, needs client",IF(N2374&gt;MaxDayHours,"Over "&amp;MaxDayHours&amp;" hours that day","")))))</f>
        <v/>
      </c>
    </row>
    <row r="2375" customFormat="false" ht="15" hidden="false" customHeight="false" outlineLevel="0" collapsed="false">
      <c r="A2375" s="31"/>
      <c r="B2375" s="32"/>
      <c r="C2375" s="32"/>
      <c r="D2375" s="33"/>
      <c r="E2375" s="34"/>
      <c r="F2375" s="32"/>
      <c r="G2375" s="35" t="str">
        <f aca="false">IF(A2375="","",A2375+7-WEEKDAY(A2375))</f>
        <v/>
      </c>
      <c r="H2375" s="36" t="str">
        <f aca="false">IF(A2375="","",DATE(YEAR(A2375),MONTH(A2375),1))</f>
        <v/>
      </c>
      <c r="I2375" s="37" t="str">
        <f aca="false">IF(B2375="","",IFERROR(INDEX(st_ID,MATCH(B2375,st_Name,0)),"Unknown"))</f>
        <v/>
      </c>
      <c r="J2375" s="37" t="str">
        <f aca="false">IF(C2375="","",IFERROR(INDEX(cl_Code,MATCH(C2375,cl_Name,0)),"Unknown"))</f>
        <v/>
      </c>
      <c r="K2375" s="37" t="str">
        <f aca="false">IF(D2375="","",IFERROR(INDEX(rt_Billable,MATCH(D2375,rt_Code,0)),"Unknown"))</f>
        <v/>
      </c>
      <c r="L2375" s="38" t="str">
        <f aca="false">IF(K2375&lt;&gt;"Yes","",IFERROR(INDEX(cr_Rate,MATCH(J2375&amp;"|"&amp;D2375,cr_Key,0)),INDEX(rt_Rate,MATCH(D2375,rt_Code,0))))</f>
        <v/>
      </c>
      <c r="M2375" s="25" t="str">
        <f aca="false">IF(L2375="","",ROUND(N(E2375)*L2375,2))</f>
        <v/>
      </c>
      <c r="N2375" s="39" t="str">
        <f aca="false">IF(OR(A2375="",B2375=""),"",SUMIFS(tl_Hours,tl_StaffID,I2375,tl_Date,A2375))</f>
        <v/>
      </c>
      <c r="O2375" s="40" t="str">
        <f aca="false">IF(A2375&amp;B2375&amp;D2375="","",IF(OR(A2375="",B2375="",D2375="",E2375=""),"Incomplete",IF(K2375="Unknown","Unknown code",IF(AND(K2375="Yes",C2375=""),"Billable, needs client",IF(N2375&gt;MaxDayHours,"Over "&amp;MaxDayHours&amp;" hours that day","")))))</f>
        <v/>
      </c>
    </row>
    <row r="2376" customFormat="false" ht="15" hidden="false" customHeight="false" outlineLevel="0" collapsed="false">
      <c r="A2376" s="31"/>
      <c r="B2376" s="32"/>
      <c r="C2376" s="32"/>
      <c r="D2376" s="33"/>
      <c r="E2376" s="34"/>
      <c r="F2376" s="32"/>
      <c r="G2376" s="35" t="str">
        <f aca="false">IF(A2376="","",A2376+7-WEEKDAY(A2376))</f>
        <v/>
      </c>
      <c r="H2376" s="36" t="str">
        <f aca="false">IF(A2376="","",DATE(YEAR(A2376),MONTH(A2376),1))</f>
        <v/>
      </c>
      <c r="I2376" s="37" t="str">
        <f aca="false">IF(B2376="","",IFERROR(INDEX(st_ID,MATCH(B2376,st_Name,0)),"Unknown"))</f>
        <v/>
      </c>
      <c r="J2376" s="37" t="str">
        <f aca="false">IF(C2376="","",IFERROR(INDEX(cl_Code,MATCH(C2376,cl_Name,0)),"Unknown"))</f>
        <v/>
      </c>
      <c r="K2376" s="37" t="str">
        <f aca="false">IF(D2376="","",IFERROR(INDEX(rt_Billable,MATCH(D2376,rt_Code,0)),"Unknown"))</f>
        <v/>
      </c>
      <c r="L2376" s="38" t="str">
        <f aca="false">IF(K2376&lt;&gt;"Yes","",IFERROR(INDEX(cr_Rate,MATCH(J2376&amp;"|"&amp;D2376,cr_Key,0)),INDEX(rt_Rate,MATCH(D2376,rt_Code,0))))</f>
        <v/>
      </c>
      <c r="M2376" s="25" t="str">
        <f aca="false">IF(L2376="","",ROUND(N(E2376)*L2376,2))</f>
        <v/>
      </c>
      <c r="N2376" s="39" t="str">
        <f aca="false">IF(OR(A2376="",B2376=""),"",SUMIFS(tl_Hours,tl_StaffID,I2376,tl_Date,A2376))</f>
        <v/>
      </c>
      <c r="O2376" s="40" t="str">
        <f aca="false">IF(A2376&amp;B2376&amp;D2376="","",IF(OR(A2376="",B2376="",D2376="",E2376=""),"Incomplete",IF(K2376="Unknown","Unknown code",IF(AND(K2376="Yes",C2376=""),"Billable, needs client",IF(N2376&gt;MaxDayHours,"Over "&amp;MaxDayHours&amp;" hours that day","")))))</f>
        <v/>
      </c>
    </row>
    <row r="2377" customFormat="false" ht="15" hidden="false" customHeight="false" outlineLevel="0" collapsed="false">
      <c r="A2377" s="31"/>
      <c r="B2377" s="32"/>
      <c r="C2377" s="32"/>
      <c r="D2377" s="33"/>
      <c r="E2377" s="34"/>
      <c r="F2377" s="32"/>
      <c r="G2377" s="35" t="str">
        <f aca="false">IF(A2377="","",A2377+7-WEEKDAY(A2377))</f>
        <v/>
      </c>
      <c r="H2377" s="36" t="str">
        <f aca="false">IF(A2377="","",DATE(YEAR(A2377),MONTH(A2377),1))</f>
        <v/>
      </c>
      <c r="I2377" s="37" t="str">
        <f aca="false">IF(B2377="","",IFERROR(INDEX(st_ID,MATCH(B2377,st_Name,0)),"Unknown"))</f>
        <v/>
      </c>
      <c r="J2377" s="37" t="str">
        <f aca="false">IF(C2377="","",IFERROR(INDEX(cl_Code,MATCH(C2377,cl_Name,0)),"Unknown"))</f>
        <v/>
      </c>
      <c r="K2377" s="37" t="str">
        <f aca="false">IF(D2377="","",IFERROR(INDEX(rt_Billable,MATCH(D2377,rt_Code,0)),"Unknown"))</f>
        <v/>
      </c>
      <c r="L2377" s="38" t="str">
        <f aca="false">IF(K2377&lt;&gt;"Yes","",IFERROR(INDEX(cr_Rate,MATCH(J2377&amp;"|"&amp;D2377,cr_Key,0)),INDEX(rt_Rate,MATCH(D2377,rt_Code,0))))</f>
        <v/>
      </c>
      <c r="M2377" s="25" t="str">
        <f aca="false">IF(L2377="","",ROUND(N(E2377)*L2377,2))</f>
        <v/>
      </c>
      <c r="N2377" s="39" t="str">
        <f aca="false">IF(OR(A2377="",B2377=""),"",SUMIFS(tl_Hours,tl_StaffID,I2377,tl_Date,A2377))</f>
        <v/>
      </c>
      <c r="O2377" s="40" t="str">
        <f aca="false">IF(A2377&amp;B2377&amp;D2377="","",IF(OR(A2377="",B2377="",D2377="",E2377=""),"Incomplete",IF(K2377="Unknown","Unknown code",IF(AND(K2377="Yes",C2377=""),"Billable, needs client",IF(N2377&gt;MaxDayHours,"Over "&amp;MaxDayHours&amp;" hours that day","")))))</f>
        <v/>
      </c>
    </row>
    <row r="2378" customFormat="false" ht="15" hidden="false" customHeight="false" outlineLevel="0" collapsed="false">
      <c r="A2378" s="31"/>
      <c r="B2378" s="32"/>
      <c r="C2378" s="32"/>
      <c r="D2378" s="33"/>
      <c r="E2378" s="34"/>
      <c r="F2378" s="32"/>
      <c r="G2378" s="35" t="str">
        <f aca="false">IF(A2378="","",A2378+7-WEEKDAY(A2378))</f>
        <v/>
      </c>
      <c r="H2378" s="36" t="str">
        <f aca="false">IF(A2378="","",DATE(YEAR(A2378),MONTH(A2378),1))</f>
        <v/>
      </c>
      <c r="I2378" s="37" t="str">
        <f aca="false">IF(B2378="","",IFERROR(INDEX(st_ID,MATCH(B2378,st_Name,0)),"Unknown"))</f>
        <v/>
      </c>
      <c r="J2378" s="37" t="str">
        <f aca="false">IF(C2378="","",IFERROR(INDEX(cl_Code,MATCH(C2378,cl_Name,0)),"Unknown"))</f>
        <v/>
      </c>
      <c r="K2378" s="37" t="str">
        <f aca="false">IF(D2378="","",IFERROR(INDEX(rt_Billable,MATCH(D2378,rt_Code,0)),"Unknown"))</f>
        <v/>
      </c>
      <c r="L2378" s="38" t="str">
        <f aca="false">IF(K2378&lt;&gt;"Yes","",IFERROR(INDEX(cr_Rate,MATCH(J2378&amp;"|"&amp;D2378,cr_Key,0)),INDEX(rt_Rate,MATCH(D2378,rt_Code,0))))</f>
        <v/>
      </c>
      <c r="M2378" s="25" t="str">
        <f aca="false">IF(L2378="","",ROUND(N(E2378)*L2378,2))</f>
        <v/>
      </c>
      <c r="N2378" s="39" t="str">
        <f aca="false">IF(OR(A2378="",B2378=""),"",SUMIFS(tl_Hours,tl_StaffID,I2378,tl_Date,A2378))</f>
        <v/>
      </c>
      <c r="O2378" s="40" t="str">
        <f aca="false">IF(A2378&amp;B2378&amp;D2378="","",IF(OR(A2378="",B2378="",D2378="",E2378=""),"Incomplete",IF(K2378="Unknown","Unknown code",IF(AND(K2378="Yes",C2378=""),"Billable, needs client",IF(N2378&gt;MaxDayHours,"Over "&amp;MaxDayHours&amp;" hours that day","")))))</f>
        <v/>
      </c>
    </row>
    <row r="2379" customFormat="false" ht="15" hidden="false" customHeight="false" outlineLevel="0" collapsed="false">
      <c r="A2379" s="31"/>
      <c r="B2379" s="32"/>
      <c r="C2379" s="32"/>
      <c r="D2379" s="33"/>
      <c r="E2379" s="34"/>
      <c r="F2379" s="32"/>
      <c r="G2379" s="35" t="str">
        <f aca="false">IF(A2379="","",A2379+7-WEEKDAY(A2379))</f>
        <v/>
      </c>
      <c r="H2379" s="36" t="str">
        <f aca="false">IF(A2379="","",DATE(YEAR(A2379),MONTH(A2379),1))</f>
        <v/>
      </c>
      <c r="I2379" s="37" t="str">
        <f aca="false">IF(B2379="","",IFERROR(INDEX(st_ID,MATCH(B2379,st_Name,0)),"Unknown"))</f>
        <v/>
      </c>
      <c r="J2379" s="37" t="str">
        <f aca="false">IF(C2379="","",IFERROR(INDEX(cl_Code,MATCH(C2379,cl_Name,0)),"Unknown"))</f>
        <v/>
      </c>
      <c r="K2379" s="37" t="str">
        <f aca="false">IF(D2379="","",IFERROR(INDEX(rt_Billable,MATCH(D2379,rt_Code,0)),"Unknown"))</f>
        <v/>
      </c>
      <c r="L2379" s="38" t="str">
        <f aca="false">IF(K2379&lt;&gt;"Yes","",IFERROR(INDEX(cr_Rate,MATCH(J2379&amp;"|"&amp;D2379,cr_Key,0)),INDEX(rt_Rate,MATCH(D2379,rt_Code,0))))</f>
        <v/>
      </c>
      <c r="M2379" s="25" t="str">
        <f aca="false">IF(L2379="","",ROUND(N(E2379)*L2379,2))</f>
        <v/>
      </c>
      <c r="N2379" s="39" t="str">
        <f aca="false">IF(OR(A2379="",B2379=""),"",SUMIFS(tl_Hours,tl_StaffID,I2379,tl_Date,A2379))</f>
        <v/>
      </c>
      <c r="O2379" s="40" t="str">
        <f aca="false">IF(A2379&amp;B2379&amp;D2379="","",IF(OR(A2379="",B2379="",D2379="",E2379=""),"Incomplete",IF(K2379="Unknown","Unknown code",IF(AND(K2379="Yes",C2379=""),"Billable, needs client",IF(N2379&gt;MaxDayHours,"Over "&amp;MaxDayHours&amp;" hours that day","")))))</f>
        <v/>
      </c>
    </row>
    <row r="2380" customFormat="false" ht="15" hidden="false" customHeight="false" outlineLevel="0" collapsed="false">
      <c r="A2380" s="31"/>
      <c r="B2380" s="32"/>
      <c r="C2380" s="32"/>
      <c r="D2380" s="33"/>
      <c r="E2380" s="34"/>
      <c r="F2380" s="32"/>
      <c r="G2380" s="35" t="str">
        <f aca="false">IF(A2380="","",A2380+7-WEEKDAY(A2380))</f>
        <v/>
      </c>
      <c r="H2380" s="36" t="str">
        <f aca="false">IF(A2380="","",DATE(YEAR(A2380),MONTH(A2380),1))</f>
        <v/>
      </c>
      <c r="I2380" s="37" t="str">
        <f aca="false">IF(B2380="","",IFERROR(INDEX(st_ID,MATCH(B2380,st_Name,0)),"Unknown"))</f>
        <v/>
      </c>
      <c r="J2380" s="37" t="str">
        <f aca="false">IF(C2380="","",IFERROR(INDEX(cl_Code,MATCH(C2380,cl_Name,0)),"Unknown"))</f>
        <v/>
      </c>
      <c r="K2380" s="37" t="str">
        <f aca="false">IF(D2380="","",IFERROR(INDEX(rt_Billable,MATCH(D2380,rt_Code,0)),"Unknown"))</f>
        <v/>
      </c>
      <c r="L2380" s="38" t="str">
        <f aca="false">IF(K2380&lt;&gt;"Yes","",IFERROR(INDEX(cr_Rate,MATCH(J2380&amp;"|"&amp;D2380,cr_Key,0)),INDEX(rt_Rate,MATCH(D2380,rt_Code,0))))</f>
        <v/>
      </c>
      <c r="M2380" s="25" t="str">
        <f aca="false">IF(L2380="","",ROUND(N(E2380)*L2380,2))</f>
        <v/>
      </c>
      <c r="N2380" s="39" t="str">
        <f aca="false">IF(OR(A2380="",B2380=""),"",SUMIFS(tl_Hours,tl_StaffID,I2380,tl_Date,A2380))</f>
        <v/>
      </c>
      <c r="O2380" s="40" t="str">
        <f aca="false">IF(A2380&amp;B2380&amp;D2380="","",IF(OR(A2380="",B2380="",D2380="",E2380=""),"Incomplete",IF(K2380="Unknown","Unknown code",IF(AND(K2380="Yes",C2380=""),"Billable, needs client",IF(N2380&gt;MaxDayHours,"Over "&amp;MaxDayHours&amp;" hours that day","")))))</f>
        <v/>
      </c>
    </row>
    <row r="2381" customFormat="false" ht="15" hidden="false" customHeight="false" outlineLevel="0" collapsed="false">
      <c r="A2381" s="31"/>
      <c r="B2381" s="32"/>
      <c r="C2381" s="32"/>
      <c r="D2381" s="33"/>
      <c r="E2381" s="34"/>
      <c r="F2381" s="32"/>
      <c r="G2381" s="35" t="str">
        <f aca="false">IF(A2381="","",A2381+7-WEEKDAY(A2381))</f>
        <v/>
      </c>
      <c r="H2381" s="36" t="str">
        <f aca="false">IF(A2381="","",DATE(YEAR(A2381),MONTH(A2381),1))</f>
        <v/>
      </c>
      <c r="I2381" s="37" t="str">
        <f aca="false">IF(B2381="","",IFERROR(INDEX(st_ID,MATCH(B2381,st_Name,0)),"Unknown"))</f>
        <v/>
      </c>
      <c r="J2381" s="37" t="str">
        <f aca="false">IF(C2381="","",IFERROR(INDEX(cl_Code,MATCH(C2381,cl_Name,0)),"Unknown"))</f>
        <v/>
      </c>
      <c r="K2381" s="37" t="str">
        <f aca="false">IF(D2381="","",IFERROR(INDEX(rt_Billable,MATCH(D2381,rt_Code,0)),"Unknown"))</f>
        <v/>
      </c>
      <c r="L2381" s="38" t="str">
        <f aca="false">IF(K2381&lt;&gt;"Yes","",IFERROR(INDEX(cr_Rate,MATCH(J2381&amp;"|"&amp;D2381,cr_Key,0)),INDEX(rt_Rate,MATCH(D2381,rt_Code,0))))</f>
        <v/>
      </c>
      <c r="M2381" s="25" t="str">
        <f aca="false">IF(L2381="","",ROUND(N(E2381)*L2381,2))</f>
        <v/>
      </c>
      <c r="N2381" s="39" t="str">
        <f aca="false">IF(OR(A2381="",B2381=""),"",SUMIFS(tl_Hours,tl_StaffID,I2381,tl_Date,A2381))</f>
        <v/>
      </c>
      <c r="O2381" s="40" t="str">
        <f aca="false">IF(A2381&amp;B2381&amp;D2381="","",IF(OR(A2381="",B2381="",D2381="",E2381=""),"Incomplete",IF(K2381="Unknown","Unknown code",IF(AND(K2381="Yes",C2381=""),"Billable, needs client",IF(N2381&gt;MaxDayHours,"Over "&amp;MaxDayHours&amp;" hours that day","")))))</f>
        <v/>
      </c>
    </row>
    <row r="2382" customFormat="false" ht="15" hidden="false" customHeight="false" outlineLevel="0" collapsed="false">
      <c r="A2382" s="31"/>
      <c r="B2382" s="32"/>
      <c r="C2382" s="32"/>
      <c r="D2382" s="33"/>
      <c r="E2382" s="34"/>
      <c r="F2382" s="32"/>
      <c r="G2382" s="35" t="str">
        <f aca="false">IF(A2382="","",A2382+7-WEEKDAY(A2382))</f>
        <v/>
      </c>
      <c r="H2382" s="36" t="str">
        <f aca="false">IF(A2382="","",DATE(YEAR(A2382),MONTH(A2382),1))</f>
        <v/>
      </c>
      <c r="I2382" s="37" t="str">
        <f aca="false">IF(B2382="","",IFERROR(INDEX(st_ID,MATCH(B2382,st_Name,0)),"Unknown"))</f>
        <v/>
      </c>
      <c r="J2382" s="37" t="str">
        <f aca="false">IF(C2382="","",IFERROR(INDEX(cl_Code,MATCH(C2382,cl_Name,0)),"Unknown"))</f>
        <v/>
      </c>
      <c r="K2382" s="37" t="str">
        <f aca="false">IF(D2382="","",IFERROR(INDEX(rt_Billable,MATCH(D2382,rt_Code,0)),"Unknown"))</f>
        <v/>
      </c>
      <c r="L2382" s="38" t="str">
        <f aca="false">IF(K2382&lt;&gt;"Yes","",IFERROR(INDEX(cr_Rate,MATCH(J2382&amp;"|"&amp;D2382,cr_Key,0)),INDEX(rt_Rate,MATCH(D2382,rt_Code,0))))</f>
        <v/>
      </c>
      <c r="M2382" s="25" t="str">
        <f aca="false">IF(L2382="","",ROUND(N(E2382)*L2382,2))</f>
        <v/>
      </c>
      <c r="N2382" s="39" t="str">
        <f aca="false">IF(OR(A2382="",B2382=""),"",SUMIFS(tl_Hours,tl_StaffID,I2382,tl_Date,A2382))</f>
        <v/>
      </c>
      <c r="O2382" s="40" t="str">
        <f aca="false">IF(A2382&amp;B2382&amp;D2382="","",IF(OR(A2382="",B2382="",D2382="",E2382=""),"Incomplete",IF(K2382="Unknown","Unknown code",IF(AND(K2382="Yes",C2382=""),"Billable, needs client",IF(N2382&gt;MaxDayHours,"Over "&amp;MaxDayHours&amp;" hours that day","")))))</f>
        <v/>
      </c>
    </row>
    <row r="2383" customFormat="false" ht="15" hidden="false" customHeight="false" outlineLevel="0" collapsed="false">
      <c r="A2383" s="31"/>
      <c r="B2383" s="32"/>
      <c r="C2383" s="32"/>
      <c r="D2383" s="33"/>
      <c r="E2383" s="34"/>
      <c r="F2383" s="32"/>
      <c r="G2383" s="35" t="str">
        <f aca="false">IF(A2383="","",A2383+7-WEEKDAY(A2383))</f>
        <v/>
      </c>
      <c r="H2383" s="36" t="str">
        <f aca="false">IF(A2383="","",DATE(YEAR(A2383),MONTH(A2383),1))</f>
        <v/>
      </c>
      <c r="I2383" s="37" t="str">
        <f aca="false">IF(B2383="","",IFERROR(INDEX(st_ID,MATCH(B2383,st_Name,0)),"Unknown"))</f>
        <v/>
      </c>
      <c r="J2383" s="37" t="str">
        <f aca="false">IF(C2383="","",IFERROR(INDEX(cl_Code,MATCH(C2383,cl_Name,0)),"Unknown"))</f>
        <v/>
      </c>
      <c r="K2383" s="37" t="str">
        <f aca="false">IF(D2383="","",IFERROR(INDEX(rt_Billable,MATCH(D2383,rt_Code,0)),"Unknown"))</f>
        <v/>
      </c>
      <c r="L2383" s="38" t="str">
        <f aca="false">IF(K2383&lt;&gt;"Yes","",IFERROR(INDEX(cr_Rate,MATCH(J2383&amp;"|"&amp;D2383,cr_Key,0)),INDEX(rt_Rate,MATCH(D2383,rt_Code,0))))</f>
        <v/>
      </c>
      <c r="M2383" s="25" t="str">
        <f aca="false">IF(L2383="","",ROUND(N(E2383)*L2383,2))</f>
        <v/>
      </c>
      <c r="N2383" s="39" t="str">
        <f aca="false">IF(OR(A2383="",B2383=""),"",SUMIFS(tl_Hours,tl_StaffID,I2383,tl_Date,A2383))</f>
        <v/>
      </c>
      <c r="O2383" s="40" t="str">
        <f aca="false">IF(A2383&amp;B2383&amp;D2383="","",IF(OR(A2383="",B2383="",D2383="",E2383=""),"Incomplete",IF(K2383="Unknown","Unknown code",IF(AND(K2383="Yes",C2383=""),"Billable, needs client",IF(N2383&gt;MaxDayHours,"Over "&amp;MaxDayHours&amp;" hours that day","")))))</f>
        <v/>
      </c>
    </row>
    <row r="2384" customFormat="false" ht="15" hidden="false" customHeight="false" outlineLevel="0" collapsed="false">
      <c r="A2384" s="31"/>
      <c r="B2384" s="32"/>
      <c r="C2384" s="32"/>
      <c r="D2384" s="33"/>
      <c r="E2384" s="34"/>
      <c r="F2384" s="32"/>
      <c r="G2384" s="35" t="str">
        <f aca="false">IF(A2384="","",A2384+7-WEEKDAY(A2384))</f>
        <v/>
      </c>
      <c r="H2384" s="36" t="str">
        <f aca="false">IF(A2384="","",DATE(YEAR(A2384),MONTH(A2384),1))</f>
        <v/>
      </c>
      <c r="I2384" s="37" t="str">
        <f aca="false">IF(B2384="","",IFERROR(INDEX(st_ID,MATCH(B2384,st_Name,0)),"Unknown"))</f>
        <v/>
      </c>
      <c r="J2384" s="37" t="str">
        <f aca="false">IF(C2384="","",IFERROR(INDEX(cl_Code,MATCH(C2384,cl_Name,0)),"Unknown"))</f>
        <v/>
      </c>
      <c r="K2384" s="37" t="str">
        <f aca="false">IF(D2384="","",IFERROR(INDEX(rt_Billable,MATCH(D2384,rt_Code,0)),"Unknown"))</f>
        <v/>
      </c>
      <c r="L2384" s="38" t="str">
        <f aca="false">IF(K2384&lt;&gt;"Yes","",IFERROR(INDEX(cr_Rate,MATCH(J2384&amp;"|"&amp;D2384,cr_Key,0)),INDEX(rt_Rate,MATCH(D2384,rt_Code,0))))</f>
        <v/>
      </c>
      <c r="M2384" s="25" t="str">
        <f aca="false">IF(L2384="","",ROUND(N(E2384)*L2384,2))</f>
        <v/>
      </c>
      <c r="N2384" s="39" t="str">
        <f aca="false">IF(OR(A2384="",B2384=""),"",SUMIFS(tl_Hours,tl_StaffID,I2384,tl_Date,A2384))</f>
        <v/>
      </c>
      <c r="O2384" s="40" t="str">
        <f aca="false">IF(A2384&amp;B2384&amp;D2384="","",IF(OR(A2384="",B2384="",D2384="",E2384=""),"Incomplete",IF(K2384="Unknown","Unknown code",IF(AND(K2384="Yes",C2384=""),"Billable, needs client",IF(N2384&gt;MaxDayHours,"Over "&amp;MaxDayHours&amp;" hours that day","")))))</f>
        <v/>
      </c>
    </row>
    <row r="2385" customFormat="false" ht="15" hidden="false" customHeight="false" outlineLevel="0" collapsed="false">
      <c r="A2385" s="31"/>
      <c r="B2385" s="32"/>
      <c r="C2385" s="32"/>
      <c r="D2385" s="33"/>
      <c r="E2385" s="34"/>
      <c r="F2385" s="32"/>
      <c r="G2385" s="35" t="str">
        <f aca="false">IF(A2385="","",A2385+7-WEEKDAY(A2385))</f>
        <v/>
      </c>
      <c r="H2385" s="36" t="str">
        <f aca="false">IF(A2385="","",DATE(YEAR(A2385),MONTH(A2385),1))</f>
        <v/>
      </c>
      <c r="I2385" s="37" t="str">
        <f aca="false">IF(B2385="","",IFERROR(INDEX(st_ID,MATCH(B2385,st_Name,0)),"Unknown"))</f>
        <v/>
      </c>
      <c r="J2385" s="37" t="str">
        <f aca="false">IF(C2385="","",IFERROR(INDEX(cl_Code,MATCH(C2385,cl_Name,0)),"Unknown"))</f>
        <v/>
      </c>
      <c r="K2385" s="37" t="str">
        <f aca="false">IF(D2385="","",IFERROR(INDEX(rt_Billable,MATCH(D2385,rt_Code,0)),"Unknown"))</f>
        <v/>
      </c>
      <c r="L2385" s="38" t="str">
        <f aca="false">IF(K2385&lt;&gt;"Yes","",IFERROR(INDEX(cr_Rate,MATCH(J2385&amp;"|"&amp;D2385,cr_Key,0)),INDEX(rt_Rate,MATCH(D2385,rt_Code,0))))</f>
        <v/>
      </c>
      <c r="M2385" s="25" t="str">
        <f aca="false">IF(L2385="","",ROUND(N(E2385)*L2385,2))</f>
        <v/>
      </c>
      <c r="N2385" s="39" t="str">
        <f aca="false">IF(OR(A2385="",B2385=""),"",SUMIFS(tl_Hours,tl_StaffID,I2385,tl_Date,A2385))</f>
        <v/>
      </c>
      <c r="O2385" s="40" t="str">
        <f aca="false">IF(A2385&amp;B2385&amp;D2385="","",IF(OR(A2385="",B2385="",D2385="",E2385=""),"Incomplete",IF(K2385="Unknown","Unknown code",IF(AND(K2385="Yes",C2385=""),"Billable, needs client",IF(N2385&gt;MaxDayHours,"Over "&amp;MaxDayHours&amp;" hours that day","")))))</f>
        <v/>
      </c>
    </row>
    <row r="2386" customFormat="false" ht="15" hidden="false" customHeight="false" outlineLevel="0" collapsed="false">
      <c r="A2386" s="31"/>
      <c r="B2386" s="32"/>
      <c r="C2386" s="32"/>
      <c r="D2386" s="33"/>
      <c r="E2386" s="34"/>
      <c r="F2386" s="32"/>
      <c r="G2386" s="35" t="str">
        <f aca="false">IF(A2386="","",A2386+7-WEEKDAY(A2386))</f>
        <v/>
      </c>
      <c r="H2386" s="36" t="str">
        <f aca="false">IF(A2386="","",DATE(YEAR(A2386),MONTH(A2386),1))</f>
        <v/>
      </c>
      <c r="I2386" s="37" t="str">
        <f aca="false">IF(B2386="","",IFERROR(INDEX(st_ID,MATCH(B2386,st_Name,0)),"Unknown"))</f>
        <v/>
      </c>
      <c r="J2386" s="37" t="str">
        <f aca="false">IF(C2386="","",IFERROR(INDEX(cl_Code,MATCH(C2386,cl_Name,0)),"Unknown"))</f>
        <v/>
      </c>
      <c r="K2386" s="37" t="str">
        <f aca="false">IF(D2386="","",IFERROR(INDEX(rt_Billable,MATCH(D2386,rt_Code,0)),"Unknown"))</f>
        <v/>
      </c>
      <c r="L2386" s="38" t="str">
        <f aca="false">IF(K2386&lt;&gt;"Yes","",IFERROR(INDEX(cr_Rate,MATCH(J2386&amp;"|"&amp;D2386,cr_Key,0)),INDEX(rt_Rate,MATCH(D2386,rt_Code,0))))</f>
        <v/>
      </c>
      <c r="M2386" s="25" t="str">
        <f aca="false">IF(L2386="","",ROUND(N(E2386)*L2386,2))</f>
        <v/>
      </c>
      <c r="N2386" s="39" t="str">
        <f aca="false">IF(OR(A2386="",B2386=""),"",SUMIFS(tl_Hours,tl_StaffID,I2386,tl_Date,A2386))</f>
        <v/>
      </c>
      <c r="O2386" s="40" t="str">
        <f aca="false">IF(A2386&amp;B2386&amp;D2386="","",IF(OR(A2386="",B2386="",D2386="",E2386=""),"Incomplete",IF(K2386="Unknown","Unknown code",IF(AND(K2386="Yes",C2386=""),"Billable, needs client",IF(N2386&gt;MaxDayHours,"Over "&amp;MaxDayHours&amp;" hours that day","")))))</f>
        <v/>
      </c>
    </row>
    <row r="2387" customFormat="false" ht="15" hidden="false" customHeight="false" outlineLevel="0" collapsed="false">
      <c r="A2387" s="31"/>
      <c r="B2387" s="32"/>
      <c r="C2387" s="32"/>
      <c r="D2387" s="33"/>
      <c r="E2387" s="34"/>
      <c r="F2387" s="32"/>
      <c r="G2387" s="35" t="str">
        <f aca="false">IF(A2387="","",A2387+7-WEEKDAY(A2387))</f>
        <v/>
      </c>
      <c r="H2387" s="36" t="str">
        <f aca="false">IF(A2387="","",DATE(YEAR(A2387),MONTH(A2387),1))</f>
        <v/>
      </c>
      <c r="I2387" s="37" t="str">
        <f aca="false">IF(B2387="","",IFERROR(INDEX(st_ID,MATCH(B2387,st_Name,0)),"Unknown"))</f>
        <v/>
      </c>
      <c r="J2387" s="37" t="str">
        <f aca="false">IF(C2387="","",IFERROR(INDEX(cl_Code,MATCH(C2387,cl_Name,0)),"Unknown"))</f>
        <v/>
      </c>
      <c r="K2387" s="37" t="str">
        <f aca="false">IF(D2387="","",IFERROR(INDEX(rt_Billable,MATCH(D2387,rt_Code,0)),"Unknown"))</f>
        <v/>
      </c>
      <c r="L2387" s="38" t="str">
        <f aca="false">IF(K2387&lt;&gt;"Yes","",IFERROR(INDEX(cr_Rate,MATCH(J2387&amp;"|"&amp;D2387,cr_Key,0)),INDEX(rt_Rate,MATCH(D2387,rt_Code,0))))</f>
        <v/>
      </c>
      <c r="M2387" s="25" t="str">
        <f aca="false">IF(L2387="","",ROUND(N(E2387)*L2387,2))</f>
        <v/>
      </c>
      <c r="N2387" s="39" t="str">
        <f aca="false">IF(OR(A2387="",B2387=""),"",SUMIFS(tl_Hours,tl_StaffID,I2387,tl_Date,A2387))</f>
        <v/>
      </c>
      <c r="O2387" s="40" t="str">
        <f aca="false">IF(A2387&amp;B2387&amp;D2387="","",IF(OR(A2387="",B2387="",D2387="",E2387=""),"Incomplete",IF(K2387="Unknown","Unknown code",IF(AND(K2387="Yes",C2387=""),"Billable, needs client",IF(N2387&gt;MaxDayHours,"Over "&amp;MaxDayHours&amp;" hours that day","")))))</f>
        <v/>
      </c>
    </row>
    <row r="2388" customFormat="false" ht="15" hidden="false" customHeight="false" outlineLevel="0" collapsed="false">
      <c r="A2388" s="31"/>
      <c r="B2388" s="32"/>
      <c r="C2388" s="32"/>
      <c r="D2388" s="33"/>
      <c r="E2388" s="34"/>
      <c r="F2388" s="32"/>
      <c r="G2388" s="35" t="str">
        <f aca="false">IF(A2388="","",A2388+7-WEEKDAY(A2388))</f>
        <v/>
      </c>
      <c r="H2388" s="36" t="str">
        <f aca="false">IF(A2388="","",DATE(YEAR(A2388),MONTH(A2388),1))</f>
        <v/>
      </c>
      <c r="I2388" s="37" t="str">
        <f aca="false">IF(B2388="","",IFERROR(INDEX(st_ID,MATCH(B2388,st_Name,0)),"Unknown"))</f>
        <v/>
      </c>
      <c r="J2388" s="37" t="str">
        <f aca="false">IF(C2388="","",IFERROR(INDEX(cl_Code,MATCH(C2388,cl_Name,0)),"Unknown"))</f>
        <v/>
      </c>
      <c r="K2388" s="37" t="str">
        <f aca="false">IF(D2388="","",IFERROR(INDEX(rt_Billable,MATCH(D2388,rt_Code,0)),"Unknown"))</f>
        <v/>
      </c>
      <c r="L2388" s="38" t="str">
        <f aca="false">IF(K2388&lt;&gt;"Yes","",IFERROR(INDEX(cr_Rate,MATCH(J2388&amp;"|"&amp;D2388,cr_Key,0)),INDEX(rt_Rate,MATCH(D2388,rt_Code,0))))</f>
        <v/>
      </c>
      <c r="M2388" s="25" t="str">
        <f aca="false">IF(L2388="","",ROUND(N(E2388)*L2388,2))</f>
        <v/>
      </c>
      <c r="N2388" s="39" t="str">
        <f aca="false">IF(OR(A2388="",B2388=""),"",SUMIFS(tl_Hours,tl_StaffID,I2388,tl_Date,A2388))</f>
        <v/>
      </c>
      <c r="O2388" s="40" t="str">
        <f aca="false">IF(A2388&amp;B2388&amp;D2388="","",IF(OR(A2388="",B2388="",D2388="",E2388=""),"Incomplete",IF(K2388="Unknown","Unknown code",IF(AND(K2388="Yes",C2388=""),"Billable, needs client",IF(N2388&gt;MaxDayHours,"Over "&amp;MaxDayHours&amp;" hours that day","")))))</f>
        <v/>
      </c>
    </row>
    <row r="2389" customFormat="false" ht="15" hidden="false" customHeight="false" outlineLevel="0" collapsed="false">
      <c r="A2389" s="31"/>
      <c r="B2389" s="32"/>
      <c r="C2389" s="32"/>
      <c r="D2389" s="33"/>
      <c r="E2389" s="34"/>
      <c r="F2389" s="32"/>
      <c r="G2389" s="35" t="str">
        <f aca="false">IF(A2389="","",A2389+7-WEEKDAY(A2389))</f>
        <v/>
      </c>
      <c r="H2389" s="36" t="str">
        <f aca="false">IF(A2389="","",DATE(YEAR(A2389),MONTH(A2389),1))</f>
        <v/>
      </c>
      <c r="I2389" s="37" t="str">
        <f aca="false">IF(B2389="","",IFERROR(INDEX(st_ID,MATCH(B2389,st_Name,0)),"Unknown"))</f>
        <v/>
      </c>
      <c r="J2389" s="37" t="str">
        <f aca="false">IF(C2389="","",IFERROR(INDEX(cl_Code,MATCH(C2389,cl_Name,0)),"Unknown"))</f>
        <v/>
      </c>
      <c r="K2389" s="37" t="str">
        <f aca="false">IF(D2389="","",IFERROR(INDEX(rt_Billable,MATCH(D2389,rt_Code,0)),"Unknown"))</f>
        <v/>
      </c>
      <c r="L2389" s="38" t="str">
        <f aca="false">IF(K2389&lt;&gt;"Yes","",IFERROR(INDEX(cr_Rate,MATCH(J2389&amp;"|"&amp;D2389,cr_Key,0)),INDEX(rt_Rate,MATCH(D2389,rt_Code,0))))</f>
        <v/>
      </c>
      <c r="M2389" s="25" t="str">
        <f aca="false">IF(L2389="","",ROUND(N(E2389)*L2389,2))</f>
        <v/>
      </c>
      <c r="N2389" s="39" t="str">
        <f aca="false">IF(OR(A2389="",B2389=""),"",SUMIFS(tl_Hours,tl_StaffID,I2389,tl_Date,A2389))</f>
        <v/>
      </c>
      <c r="O2389" s="40" t="str">
        <f aca="false">IF(A2389&amp;B2389&amp;D2389="","",IF(OR(A2389="",B2389="",D2389="",E2389=""),"Incomplete",IF(K2389="Unknown","Unknown code",IF(AND(K2389="Yes",C2389=""),"Billable, needs client",IF(N2389&gt;MaxDayHours,"Over "&amp;MaxDayHours&amp;" hours that day","")))))</f>
        <v/>
      </c>
    </row>
    <row r="2390" customFormat="false" ht="15" hidden="false" customHeight="false" outlineLevel="0" collapsed="false">
      <c r="A2390" s="31"/>
      <c r="B2390" s="32"/>
      <c r="C2390" s="32"/>
      <c r="D2390" s="33"/>
      <c r="E2390" s="34"/>
      <c r="F2390" s="32"/>
      <c r="G2390" s="35" t="str">
        <f aca="false">IF(A2390="","",A2390+7-WEEKDAY(A2390))</f>
        <v/>
      </c>
      <c r="H2390" s="36" t="str">
        <f aca="false">IF(A2390="","",DATE(YEAR(A2390),MONTH(A2390),1))</f>
        <v/>
      </c>
      <c r="I2390" s="37" t="str">
        <f aca="false">IF(B2390="","",IFERROR(INDEX(st_ID,MATCH(B2390,st_Name,0)),"Unknown"))</f>
        <v/>
      </c>
      <c r="J2390" s="37" t="str">
        <f aca="false">IF(C2390="","",IFERROR(INDEX(cl_Code,MATCH(C2390,cl_Name,0)),"Unknown"))</f>
        <v/>
      </c>
      <c r="K2390" s="37" t="str">
        <f aca="false">IF(D2390="","",IFERROR(INDEX(rt_Billable,MATCH(D2390,rt_Code,0)),"Unknown"))</f>
        <v/>
      </c>
      <c r="L2390" s="38" t="str">
        <f aca="false">IF(K2390&lt;&gt;"Yes","",IFERROR(INDEX(cr_Rate,MATCH(J2390&amp;"|"&amp;D2390,cr_Key,0)),INDEX(rt_Rate,MATCH(D2390,rt_Code,0))))</f>
        <v/>
      </c>
      <c r="M2390" s="25" t="str">
        <f aca="false">IF(L2390="","",ROUND(N(E2390)*L2390,2))</f>
        <v/>
      </c>
      <c r="N2390" s="39" t="str">
        <f aca="false">IF(OR(A2390="",B2390=""),"",SUMIFS(tl_Hours,tl_StaffID,I2390,tl_Date,A2390))</f>
        <v/>
      </c>
      <c r="O2390" s="40" t="str">
        <f aca="false">IF(A2390&amp;B2390&amp;D2390="","",IF(OR(A2390="",B2390="",D2390="",E2390=""),"Incomplete",IF(K2390="Unknown","Unknown code",IF(AND(K2390="Yes",C2390=""),"Billable, needs client",IF(N2390&gt;MaxDayHours,"Over "&amp;MaxDayHours&amp;" hours that day","")))))</f>
        <v/>
      </c>
    </row>
    <row r="2391" customFormat="false" ht="15" hidden="false" customHeight="false" outlineLevel="0" collapsed="false">
      <c r="A2391" s="31"/>
      <c r="B2391" s="32"/>
      <c r="C2391" s="32"/>
      <c r="D2391" s="33"/>
      <c r="E2391" s="34"/>
      <c r="F2391" s="32"/>
      <c r="G2391" s="35" t="str">
        <f aca="false">IF(A2391="","",A2391+7-WEEKDAY(A2391))</f>
        <v/>
      </c>
      <c r="H2391" s="36" t="str">
        <f aca="false">IF(A2391="","",DATE(YEAR(A2391),MONTH(A2391),1))</f>
        <v/>
      </c>
      <c r="I2391" s="37" t="str">
        <f aca="false">IF(B2391="","",IFERROR(INDEX(st_ID,MATCH(B2391,st_Name,0)),"Unknown"))</f>
        <v/>
      </c>
      <c r="J2391" s="37" t="str">
        <f aca="false">IF(C2391="","",IFERROR(INDEX(cl_Code,MATCH(C2391,cl_Name,0)),"Unknown"))</f>
        <v/>
      </c>
      <c r="K2391" s="37" t="str">
        <f aca="false">IF(D2391="","",IFERROR(INDEX(rt_Billable,MATCH(D2391,rt_Code,0)),"Unknown"))</f>
        <v/>
      </c>
      <c r="L2391" s="38" t="str">
        <f aca="false">IF(K2391&lt;&gt;"Yes","",IFERROR(INDEX(cr_Rate,MATCH(J2391&amp;"|"&amp;D2391,cr_Key,0)),INDEX(rt_Rate,MATCH(D2391,rt_Code,0))))</f>
        <v/>
      </c>
      <c r="M2391" s="25" t="str">
        <f aca="false">IF(L2391="","",ROUND(N(E2391)*L2391,2))</f>
        <v/>
      </c>
      <c r="N2391" s="39" t="str">
        <f aca="false">IF(OR(A2391="",B2391=""),"",SUMIFS(tl_Hours,tl_StaffID,I2391,tl_Date,A2391))</f>
        <v/>
      </c>
      <c r="O2391" s="40" t="str">
        <f aca="false">IF(A2391&amp;B2391&amp;D2391="","",IF(OR(A2391="",B2391="",D2391="",E2391=""),"Incomplete",IF(K2391="Unknown","Unknown code",IF(AND(K2391="Yes",C2391=""),"Billable, needs client",IF(N2391&gt;MaxDayHours,"Over "&amp;MaxDayHours&amp;" hours that day","")))))</f>
        <v/>
      </c>
    </row>
    <row r="2392" customFormat="false" ht="15" hidden="false" customHeight="false" outlineLevel="0" collapsed="false">
      <c r="A2392" s="31"/>
      <c r="B2392" s="32"/>
      <c r="C2392" s="32"/>
      <c r="D2392" s="33"/>
      <c r="E2392" s="34"/>
      <c r="F2392" s="32"/>
      <c r="G2392" s="35" t="str">
        <f aca="false">IF(A2392="","",A2392+7-WEEKDAY(A2392))</f>
        <v/>
      </c>
      <c r="H2392" s="36" t="str">
        <f aca="false">IF(A2392="","",DATE(YEAR(A2392),MONTH(A2392),1))</f>
        <v/>
      </c>
      <c r="I2392" s="37" t="str">
        <f aca="false">IF(B2392="","",IFERROR(INDEX(st_ID,MATCH(B2392,st_Name,0)),"Unknown"))</f>
        <v/>
      </c>
      <c r="J2392" s="37" t="str">
        <f aca="false">IF(C2392="","",IFERROR(INDEX(cl_Code,MATCH(C2392,cl_Name,0)),"Unknown"))</f>
        <v/>
      </c>
      <c r="K2392" s="37" t="str">
        <f aca="false">IF(D2392="","",IFERROR(INDEX(rt_Billable,MATCH(D2392,rt_Code,0)),"Unknown"))</f>
        <v/>
      </c>
      <c r="L2392" s="38" t="str">
        <f aca="false">IF(K2392&lt;&gt;"Yes","",IFERROR(INDEX(cr_Rate,MATCH(J2392&amp;"|"&amp;D2392,cr_Key,0)),INDEX(rt_Rate,MATCH(D2392,rt_Code,0))))</f>
        <v/>
      </c>
      <c r="M2392" s="25" t="str">
        <f aca="false">IF(L2392="","",ROUND(N(E2392)*L2392,2))</f>
        <v/>
      </c>
      <c r="N2392" s="39" t="str">
        <f aca="false">IF(OR(A2392="",B2392=""),"",SUMIFS(tl_Hours,tl_StaffID,I2392,tl_Date,A2392))</f>
        <v/>
      </c>
      <c r="O2392" s="40" t="str">
        <f aca="false">IF(A2392&amp;B2392&amp;D2392="","",IF(OR(A2392="",B2392="",D2392="",E2392=""),"Incomplete",IF(K2392="Unknown","Unknown code",IF(AND(K2392="Yes",C2392=""),"Billable, needs client",IF(N2392&gt;MaxDayHours,"Over "&amp;MaxDayHours&amp;" hours that day","")))))</f>
        <v/>
      </c>
    </row>
    <row r="2393" customFormat="false" ht="15" hidden="false" customHeight="false" outlineLevel="0" collapsed="false">
      <c r="A2393" s="31"/>
      <c r="B2393" s="32"/>
      <c r="C2393" s="32"/>
      <c r="D2393" s="33"/>
      <c r="E2393" s="34"/>
      <c r="F2393" s="32"/>
      <c r="G2393" s="35" t="str">
        <f aca="false">IF(A2393="","",A2393+7-WEEKDAY(A2393))</f>
        <v/>
      </c>
      <c r="H2393" s="36" t="str">
        <f aca="false">IF(A2393="","",DATE(YEAR(A2393),MONTH(A2393),1))</f>
        <v/>
      </c>
      <c r="I2393" s="37" t="str">
        <f aca="false">IF(B2393="","",IFERROR(INDEX(st_ID,MATCH(B2393,st_Name,0)),"Unknown"))</f>
        <v/>
      </c>
      <c r="J2393" s="37" t="str">
        <f aca="false">IF(C2393="","",IFERROR(INDEX(cl_Code,MATCH(C2393,cl_Name,0)),"Unknown"))</f>
        <v/>
      </c>
      <c r="K2393" s="37" t="str">
        <f aca="false">IF(D2393="","",IFERROR(INDEX(rt_Billable,MATCH(D2393,rt_Code,0)),"Unknown"))</f>
        <v/>
      </c>
      <c r="L2393" s="38" t="str">
        <f aca="false">IF(K2393&lt;&gt;"Yes","",IFERROR(INDEX(cr_Rate,MATCH(J2393&amp;"|"&amp;D2393,cr_Key,0)),INDEX(rt_Rate,MATCH(D2393,rt_Code,0))))</f>
        <v/>
      </c>
      <c r="M2393" s="25" t="str">
        <f aca="false">IF(L2393="","",ROUND(N(E2393)*L2393,2))</f>
        <v/>
      </c>
      <c r="N2393" s="39" t="str">
        <f aca="false">IF(OR(A2393="",B2393=""),"",SUMIFS(tl_Hours,tl_StaffID,I2393,tl_Date,A2393))</f>
        <v/>
      </c>
      <c r="O2393" s="40" t="str">
        <f aca="false">IF(A2393&amp;B2393&amp;D2393="","",IF(OR(A2393="",B2393="",D2393="",E2393=""),"Incomplete",IF(K2393="Unknown","Unknown code",IF(AND(K2393="Yes",C2393=""),"Billable, needs client",IF(N2393&gt;MaxDayHours,"Over "&amp;MaxDayHours&amp;" hours that day","")))))</f>
        <v/>
      </c>
    </row>
    <row r="2394" customFormat="false" ht="15" hidden="false" customHeight="false" outlineLevel="0" collapsed="false">
      <c r="A2394" s="31"/>
      <c r="B2394" s="32"/>
      <c r="C2394" s="32"/>
      <c r="D2394" s="33"/>
      <c r="E2394" s="34"/>
      <c r="F2394" s="32"/>
      <c r="G2394" s="35" t="str">
        <f aca="false">IF(A2394="","",A2394+7-WEEKDAY(A2394))</f>
        <v/>
      </c>
      <c r="H2394" s="36" t="str">
        <f aca="false">IF(A2394="","",DATE(YEAR(A2394),MONTH(A2394),1))</f>
        <v/>
      </c>
      <c r="I2394" s="37" t="str">
        <f aca="false">IF(B2394="","",IFERROR(INDEX(st_ID,MATCH(B2394,st_Name,0)),"Unknown"))</f>
        <v/>
      </c>
      <c r="J2394" s="37" t="str">
        <f aca="false">IF(C2394="","",IFERROR(INDEX(cl_Code,MATCH(C2394,cl_Name,0)),"Unknown"))</f>
        <v/>
      </c>
      <c r="K2394" s="37" t="str">
        <f aca="false">IF(D2394="","",IFERROR(INDEX(rt_Billable,MATCH(D2394,rt_Code,0)),"Unknown"))</f>
        <v/>
      </c>
      <c r="L2394" s="38" t="str">
        <f aca="false">IF(K2394&lt;&gt;"Yes","",IFERROR(INDEX(cr_Rate,MATCH(J2394&amp;"|"&amp;D2394,cr_Key,0)),INDEX(rt_Rate,MATCH(D2394,rt_Code,0))))</f>
        <v/>
      </c>
      <c r="M2394" s="25" t="str">
        <f aca="false">IF(L2394="","",ROUND(N(E2394)*L2394,2))</f>
        <v/>
      </c>
      <c r="N2394" s="39" t="str">
        <f aca="false">IF(OR(A2394="",B2394=""),"",SUMIFS(tl_Hours,tl_StaffID,I2394,tl_Date,A2394))</f>
        <v/>
      </c>
      <c r="O2394" s="40" t="str">
        <f aca="false">IF(A2394&amp;B2394&amp;D2394="","",IF(OR(A2394="",B2394="",D2394="",E2394=""),"Incomplete",IF(K2394="Unknown","Unknown code",IF(AND(K2394="Yes",C2394=""),"Billable, needs client",IF(N2394&gt;MaxDayHours,"Over "&amp;MaxDayHours&amp;" hours that day","")))))</f>
        <v/>
      </c>
    </row>
    <row r="2395" customFormat="false" ht="15" hidden="false" customHeight="false" outlineLevel="0" collapsed="false">
      <c r="A2395" s="31"/>
      <c r="B2395" s="32"/>
      <c r="C2395" s="32"/>
      <c r="D2395" s="33"/>
      <c r="E2395" s="34"/>
      <c r="F2395" s="32"/>
      <c r="G2395" s="35" t="str">
        <f aca="false">IF(A2395="","",A2395+7-WEEKDAY(A2395))</f>
        <v/>
      </c>
      <c r="H2395" s="36" t="str">
        <f aca="false">IF(A2395="","",DATE(YEAR(A2395),MONTH(A2395),1))</f>
        <v/>
      </c>
      <c r="I2395" s="37" t="str">
        <f aca="false">IF(B2395="","",IFERROR(INDEX(st_ID,MATCH(B2395,st_Name,0)),"Unknown"))</f>
        <v/>
      </c>
      <c r="J2395" s="37" t="str">
        <f aca="false">IF(C2395="","",IFERROR(INDEX(cl_Code,MATCH(C2395,cl_Name,0)),"Unknown"))</f>
        <v/>
      </c>
      <c r="K2395" s="37" t="str">
        <f aca="false">IF(D2395="","",IFERROR(INDEX(rt_Billable,MATCH(D2395,rt_Code,0)),"Unknown"))</f>
        <v/>
      </c>
      <c r="L2395" s="38" t="str">
        <f aca="false">IF(K2395&lt;&gt;"Yes","",IFERROR(INDEX(cr_Rate,MATCH(J2395&amp;"|"&amp;D2395,cr_Key,0)),INDEX(rt_Rate,MATCH(D2395,rt_Code,0))))</f>
        <v/>
      </c>
      <c r="M2395" s="25" t="str">
        <f aca="false">IF(L2395="","",ROUND(N(E2395)*L2395,2))</f>
        <v/>
      </c>
      <c r="N2395" s="39" t="str">
        <f aca="false">IF(OR(A2395="",B2395=""),"",SUMIFS(tl_Hours,tl_StaffID,I2395,tl_Date,A2395))</f>
        <v/>
      </c>
      <c r="O2395" s="40" t="str">
        <f aca="false">IF(A2395&amp;B2395&amp;D2395="","",IF(OR(A2395="",B2395="",D2395="",E2395=""),"Incomplete",IF(K2395="Unknown","Unknown code",IF(AND(K2395="Yes",C2395=""),"Billable, needs client",IF(N2395&gt;MaxDayHours,"Over "&amp;MaxDayHours&amp;" hours that day","")))))</f>
        <v/>
      </c>
    </row>
    <row r="2396" customFormat="false" ht="15" hidden="false" customHeight="false" outlineLevel="0" collapsed="false">
      <c r="A2396" s="31"/>
      <c r="B2396" s="32"/>
      <c r="C2396" s="32"/>
      <c r="D2396" s="33"/>
      <c r="E2396" s="34"/>
      <c r="F2396" s="32"/>
      <c r="G2396" s="35" t="str">
        <f aca="false">IF(A2396="","",A2396+7-WEEKDAY(A2396))</f>
        <v/>
      </c>
      <c r="H2396" s="36" t="str">
        <f aca="false">IF(A2396="","",DATE(YEAR(A2396),MONTH(A2396),1))</f>
        <v/>
      </c>
      <c r="I2396" s="37" t="str">
        <f aca="false">IF(B2396="","",IFERROR(INDEX(st_ID,MATCH(B2396,st_Name,0)),"Unknown"))</f>
        <v/>
      </c>
      <c r="J2396" s="37" t="str">
        <f aca="false">IF(C2396="","",IFERROR(INDEX(cl_Code,MATCH(C2396,cl_Name,0)),"Unknown"))</f>
        <v/>
      </c>
      <c r="K2396" s="37" t="str">
        <f aca="false">IF(D2396="","",IFERROR(INDEX(rt_Billable,MATCH(D2396,rt_Code,0)),"Unknown"))</f>
        <v/>
      </c>
      <c r="L2396" s="38" t="str">
        <f aca="false">IF(K2396&lt;&gt;"Yes","",IFERROR(INDEX(cr_Rate,MATCH(J2396&amp;"|"&amp;D2396,cr_Key,0)),INDEX(rt_Rate,MATCH(D2396,rt_Code,0))))</f>
        <v/>
      </c>
      <c r="M2396" s="25" t="str">
        <f aca="false">IF(L2396="","",ROUND(N(E2396)*L2396,2))</f>
        <v/>
      </c>
      <c r="N2396" s="39" t="str">
        <f aca="false">IF(OR(A2396="",B2396=""),"",SUMIFS(tl_Hours,tl_StaffID,I2396,tl_Date,A2396))</f>
        <v/>
      </c>
      <c r="O2396" s="40" t="str">
        <f aca="false">IF(A2396&amp;B2396&amp;D2396="","",IF(OR(A2396="",B2396="",D2396="",E2396=""),"Incomplete",IF(K2396="Unknown","Unknown code",IF(AND(K2396="Yes",C2396=""),"Billable, needs client",IF(N2396&gt;MaxDayHours,"Over "&amp;MaxDayHours&amp;" hours that day","")))))</f>
        <v/>
      </c>
    </row>
    <row r="2397" customFormat="false" ht="15" hidden="false" customHeight="false" outlineLevel="0" collapsed="false">
      <c r="A2397" s="31"/>
      <c r="B2397" s="32"/>
      <c r="C2397" s="32"/>
      <c r="D2397" s="33"/>
      <c r="E2397" s="34"/>
      <c r="F2397" s="32"/>
      <c r="G2397" s="35" t="str">
        <f aca="false">IF(A2397="","",A2397+7-WEEKDAY(A2397))</f>
        <v/>
      </c>
      <c r="H2397" s="36" t="str">
        <f aca="false">IF(A2397="","",DATE(YEAR(A2397),MONTH(A2397),1))</f>
        <v/>
      </c>
      <c r="I2397" s="37" t="str">
        <f aca="false">IF(B2397="","",IFERROR(INDEX(st_ID,MATCH(B2397,st_Name,0)),"Unknown"))</f>
        <v/>
      </c>
      <c r="J2397" s="37" t="str">
        <f aca="false">IF(C2397="","",IFERROR(INDEX(cl_Code,MATCH(C2397,cl_Name,0)),"Unknown"))</f>
        <v/>
      </c>
      <c r="K2397" s="37" t="str">
        <f aca="false">IF(D2397="","",IFERROR(INDEX(rt_Billable,MATCH(D2397,rt_Code,0)),"Unknown"))</f>
        <v/>
      </c>
      <c r="L2397" s="38" t="str">
        <f aca="false">IF(K2397&lt;&gt;"Yes","",IFERROR(INDEX(cr_Rate,MATCH(J2397&amp;"|"&amp;D2397,cr_Key,0)),INDEX(rt_Rate,MATCH(D2397,rt_Code,0))))</f>
        <v/>
      </c>
      <c r="M2397" s="25" t="str">
        <f aca="false">IF(L2397="","",ROUND(N(E2397)*L2397,2))</f>
        <v/>
      </c>
      <c r="N2397" s="39" t="str">
        <f aca="false">IF(OR(A2397="",B2397=""),"",SUMIFS(tl_Hours,tl_StaffID,I2397,tl_Date,A2397))</f>
        <v/>
      </c>
      <c r="O2397" s="40" t="str">
        <f aca="false">IF(A2397&amp;B2397&amp;D2397="","",IF(OR(A2397="",B2397="",D2397="",E2397=""),"Incomplete",IF(K2397="Unknown","Unknown code",IF(AND(K2397="Yes",C2397=""),"Billable, needs client",IF(N2397&gt;MaxDayHours,"Over "&amp;MaxDayHours&amp;" hours that day","")))))</f>
        <v/>
      </c>
    </row>
    <row r="2398" customFormat="false" ht="15" hidden="false" customHeight="false" outlineLevel="0" collapsed="false">
      <c r="A2398" s="31"/>
      <c r="B2398" s="32"/>
      <c r="C2398" s="32"/>
      <c r="D2398" s="33"/>
      <c r="E2398" s="34"/>
      <c r="F2398" s="32"/>
      <c r="G2398" s="35" t="str">
        <f aca="false">IF(A2398="","",A2398+7-WEEKDAY(A2398))</f>
        <v/>
      </c>
      <c r="H2398" s="36" t="str">
        <f aca="false">IF(A2398="","",DATE(YEAR(A2398),MONTH(A2398),1))</f>
        <v/>
      </c>
      <c r="I2398" s="37" t="str">
        <f aca="false">IF(B2398="","",IFERROR(INDEX(st_ID,MATCH(B2398,st_Name,0)),"Unknown"))</f>
        <v/>
      </c>
      <c r="J2398" s="37" t="str">
        <f aca="false">IF(C2398="","",IFERROR(INDEX(cl_Code,MATCH(C2398,cl_Name,0)),"Unknown"))</f>
        <v/>
      </c>
      <c r="K2398" s="37" t="str">
        <f aca="false">IF(D2398="","",IFERROR(INDEX(rt_Billable,MATCH(D2398,rt_Code,0)),"Unknown"))</f>
        <v/>
      </c>
      <c r="L2398" s="38" t="str">
        <f aca="false">IF(K2398&lt;&gt;"Yes","",IFERROR(INDEX(cr_Rate,MATCH(J2398&amp;"|"&amp;D2398,cr_Key,0)),INDEX(rt_Rate,MATCH(D2398,rt_Code,0))))</f>
        <v/>
      </c>
      <c r="M2398" s="25" t="str">
        <f aca="false">IF(L2398="","",ROUND(N(E2398)*L2398,2))</f>
        <v/>
      </c>
      <c r="N2398" s="39" t="str">
        <f aca="false">IF(OR(A2398="",B2398=""),"",SUMIFS(tl_Hours,tl_StaffID,I2398,tl_Date,A2398))</f>
        <v/>
      </c>
      <c r="O2398" s="40" t="str">
        <f aca="false">IF(A2398&amp;B2398&amp;D2398="","",IF(OR(A2398="",B2398="",D2398="",E2398=""),"Incomplete",IF(K2398="Unknown","Unknown code",IF(AND(K2398="Yes",C2398=""),"Billable, needs client",IF(N2398&gt;MaxDayHours,"Over "&amp;MaxDayHours&amp;" hours that day","")))))</f>
        <v/>
      </c>
    </row>
    <row r="2399" customFormat="false" ht="15" hidden="false" customHeight="false" outlineLevel="0" collapsed="false">
      <c r="A2399" s="31"/>
      <c r="B2399" s="32"/>
      <c r="C2399" s="32"/>
      <c r="D2399" s="33"/>
      <c r="E2399" s="34"/>
      <c r="F2399" s="32"/>
      <c r="G2399" s="35" t="str">
        <f aca="false">IF(A2399="","",A2399+7-WEEKDAY(A2399))</f>
        <v/>
      </c>
      <c r="H2399" s="36" t="str">
        <f aca="false">IF(A2399="","",DATE(YEAR(A2399),MONTH(A2399),1))</f>
        <v/>
      </c>
      <c r="I2399" s="37" t="str">
        <f aca="false">IF(B2399="","",IFERROR(INDEX(st_ID,MATCH(B2399,st_Name,0)),"Unknown"))</f>
        <v/>
      </c>
      <c r="J2399" s="37" t="str">
        <f aca="false">IF(C2399="","",IFERROR(INDEX(cl_Code,MATCH(C2399,cl_Name,0)),"Unknown"))</f>
        <v/>
      </c>
      <c r="K2399" s="37" t="str">
        <f aca="false">IF(D2399="","",IFERROR(INDEX(rt_Billable,MATCH(D2399,rt_Code,0)),"Unknown"))</f>
        <v/>
      </c>
      <c r="L2399" s="38" t="str">
        <f aca="false">IF(K2399&lt;&gt;"Yes","",IFERROR(INDEX(cr_Rate,MATCH(J2399&amp;"|"&amp;D2399,cr_Key,0)),INDEX(rt_Rate,MATCH(D2399,rt_Code,0))))</f>
        <v/>
      </c>
      <c r="M2399" s="25" t="str">
        <f aca="false">IF(L2399="","",ROUND(N(E2399)*L2399,2))</f>
        <v/>
      </c>
      <c r="N2399" s="39" t="str">
        <f aca="false">IF(OR(A2399="",B2399=""),"",SUMIFS(tl_Hours,tl_StaffID,I2399,tl_Date,A2399))</f>
        <v/>
      </c>
      <c r="O2399" s="40" t="str">
        <f aca="false">IF(A2399&amp;B2399&amp;D2399="","",IF(OR(A2399="",B2399="",D2399="",E2399=""),"Incomplete",IF(K2399="Unknown","Unknown code",IF(AND(K2399="Yes",C2399=""),"Billable, needs client",IF(N2399&gt;MaxDayHours,"Over "&amp;MaxDayHours&amp;" hours that day","")))))</f>
        <v/>
      </c>
    </row>
    <row r="2400" customFormat="false" ht="15" hidden="false" customHeight="false" outlineLevel="0" collapsed="false">
      <c r="A2400" s="31"/>
      <c r="B2400" s="32"/>
      <c r="C2400" s="32"/>
      <c r="D2400" s="33"/>
      <c r="E2400" s="34"/>
      <c r="F2400" s="32"/>
      <c r="G2400" s="35" t="str">
        <f aca="false">IF(A2400="","",A2400+7-WEEKDAY(A2400))</f>
        <v/>
      </c>
      <c r="H2400" s="36" t="str">
        <f aca="false">IF(A2400="","",DATE(YEAR(A2400),MONTH(A2400),1))</f>
        <v/>
      </c>
      <c r="I2400" s="37" t="str">
        <f aca="false">IF(B2400="","",IFERROR(INDEX(st_ID,MATCH(B2400,st_Name,0)),"Unknown"))</f>
        <v/>
      </c>
      <c r="J2400" s="37" t="str">
        <f aca="false">IF(C2400="","",IFERROR(INDEX(cl_Code,MATCH(C2400,cl_Name,0)),"Unknown"))</f>
        <v/>
      </c>
      <c r="K2400" s="37" t="str">
        <f aca="false">IF(D2400="","",IFERROR(INDEX(rt_Billable,MATCH(D2400,rt_Code,0)),"Unknown"))</f>
        <v/>
      </c>
      <c r="L2400" s="38" t="str">
        <f aca="false">IF(K2400&lt;&gt;"Yes","",IFERROR(INDEX(cr_Rate,MATCH(J2400&amp;"|"&amp;D2400,cr_Key,0)),INDEX(rt_Rate,MATCH(D2400,rt_Code,0))))</f>
        <v/>
      </c>
      <c r="M2400" s="25" t="str">
        <f aca="false">IF(L2400="","",ROUND(N(E2400)*L2400,2))</f>
        <v/>
      </c>
      <c r="N2400" s="39" t="str">
        <f aca="false">IF(OR(A2400="",B2400=""),"",SUMIFS(tl_Hours,tl_StaffID,I2400,tl_Date,A2400))</f>
        <v/>
      </c>
      <c r="O2400" s="40" t="str">
        <f aca="false">IF(A2400&amp;B2400&amp;D2400="","",IF(OR(A2400="",B2400="",D2400="",E2400=""),"Incomplete",IF(K2400="Unknown","Unknown code",IF(AND(K2400="Yes",C2400=""),"Billable, needs client",IF(N2400&gt;MaxDayHours,"Over "&amp;MaxDayHours&amp;" hours that day","")))))</f>
        <v/>
      </c>
    </row>
    <row r="2401" customFormat="false" ht="15" hidden="false" customHeight="false" outlineLevel="0" collapsed="false">
      <c r="A2401" s="31"/>
      <c r="B2401" s="32"/>
      <c r="C2401" s="32"/>
      <c r="D2401" s="33"/>
      <c r="E2401" s="34"/>
      <c r="F2401" s="32"/>
      <c r="G2401" s="35" t="str">
        <f aca="false">IF(A2401="","",A2401+7-WEEKDAY(A2401))</f>
        <v/>
      </c>
      <c r="H2401" s="36" t="str">
        <f aca="false">IF(A2401="","",DATE(YEAR(A2401),MONTH(A2401),1))</f>
        <v/>
      </c>
      <c r="I2401" s="37" t="str">
        <f aca="false">IF(B2401="","",IFERROR(INDEX(st_ID,MATCH(B2401,st_Name,0)),"Unknown"))</f>
        <v/>
      </c>
      <c r="J2401" s="37" t="str">
        <f aca="false">IF(C2401="","",IFERROR(INDEX(cl_Code,MATCH(C2401,cl_Name,0)),"Unknown"))</f>
        <v/>
      </c>
      <c r="K2401" s="37" t="str">
        <f aca="false">IF(D2401="","",IFERROR(INDEX(rt_Billable,MATCH(D2401,rt_Code,0)),"Unknown"))</f>
        <v/>
      </c>
      <c r="L2401" s="38" t="str">
        <f aca="false">IF(K2401&lt;&gt;"Yes","",IFERROR(INDEX(cr_Rate,MATCH(J2401&amp;"|"&amp;D2401,cr_Key,0)),INDEX(rt_Rate,MATCH(D2401,rt_Code,0))))</f>
        <v/>
      </c>
      <c r="M2401" s="25" t="str">
        <f aca="false">IF(L2401="","",ROUND(N(E2401)*L2401,2))</f>
        <v/>
      </c>
      <c r="N2401" s="39" t="str">
        <f aca="false">IF(OR(A2401="",B2401=""),"",SUMIFS(tl_Hours,tl_StaffID,I2401,tl_Date,A2401))</f>
        <v/>
      </c>
      <c r="O2401" s="40" t="str">
        <f aca="false">IF(A2401&amp;B2401&amp;D2401="","",IF(OR(A2401="",B2401="",D2401="",E2401=""),"Incomplete",IF(K2401="Unknown","Unknown code",IF(AND(K2401="Yes",C2401=""),"Billable, needs client",IF(N2401&gt;MaxDayHours,"Over "&amp;MaxDayHours&amp;" hours that day","")))))</f>
        <v/>
      </c>
    </row>
    <row r="2402" customFormat="false" ht="15" hidden="false" customHeight="false" outlineLevel="0" collapsed="false">
      <c r="A2402" s="31"/>
      <c r="B2402" s="32"/>
      <c r="C2402" s="32"/>
      <c r="D2402" s="33"/>
      <c r="E2402" s="34"/>
      <c r="F2402" s="32"/>
      <c r="G2402" s="35" t="str">
        <f aca="false">IF(A2402="","",A2402+7-WEEKDAY(A2402))</f>
        <v/>
      </c>
      <c r="H2402" s="36" t="str">
        <f aca="false">IF(A2402="","",DATE(YEAR(A2402),MONTH(A2402),1))</f>
        <v/>
      </c>
      <c r="I2402" s="37" t="str">
        <f aca="false">IF(B2402="","",IFERROR(INDEX(st_ID,MATCH(B2402,st_Name,0)),"Unknown"))</f>
        <v/>
      </c>
      <c r="J2402" s="37" t="str">
        <f aca="false">IF(C2402="","",IFERROR(INDEX(cl_Code,MATCH(C2402,cl_Name,0)),"Unknown"))</f>
        <v/>
      </c>
      <c r="K2402" s="37" t="str">
        <f aca="false">IF(D2402="","",IFERROR(INDEX(rt_Billable,MATCH(D2402,rt_Code,0)),"Unknown"))</f>
        <v/>
      </c>
      <c r="L2402" s="38" t="str">
        <f aca="false">IF(K2402&lt;&gt;"Yes","",IFERROR(INDEX(cr_Rate,MATCH(J2402&amp;"|"&amp;D2402,cr_Key,0)),INDEX(rt_Rate,MATCH(D2402,rt_Code,0))))</f>
        <v/>
      </c>
      <c r="M2402" s="25" t="str">
        <f aca="false">IF(L2402="","",ROUND(N(E2402)*L2402,2))</f>
        <v/>
      </c>
      <c r="N2402" s="39" t="str">
        <f aca="false">IF(OR(A2402="",B2402=""),"",SUMIFS(tl_Hours,tl_StaffID,I2402,tl_Date,A2402))</f>
        <v/>
      </c>
      <c r="O2402" s="40" t="str">
        <f aca="false">IF(A2402&amp;B2402&amp;D2402="","",IF(OR(A2402="",B2402="",D2402="",E2402=""),"Incomplete",IF(K2402="Unknown","Unknown code",IF(AND(K2402="Yes",C2402=""),"Billable, needs client",IF(N2402&gt;MaxDayHours,"Over "&amp;MaxDayHours&amp;" hours that day","")))))</f>
        <v/>
      </c>
    </row>
    <row r="2403" customFormat="false" ht="15" hidden="false" customHeight="false" outlineLevel="0" collapsed="false">
      <c r="A2403" s="31"/>
      <c r="B2403" s="32"/>
      <c r="C2403" s="32"/>
      <c r="D2403" s="33"/>
      <c r="E2403" s="34"/>
      <c r="F2403" s="32"/>
      <c r="G2403" s="35" t="str">
        <f aca="false">IF(A2403="","",A2403+7-WEEKDAY(A2403))</f>
        <v/>
      </c>
      <c r="H2403" s="36" t="str">
        <f aca="false">IF(A2403="","",DATE(YEAR(A2403),MONTH(A2403),1))</f>
        <v/>
      </c>
      <c r="I2403" s="37" t="str">
        <f aca="false">IF(B2403="","",IFERROR(INDEX(st_ID,MATCH(B2403,st_Name,0)),"Unknown"))</f>
        <v/>
      </c>
      <c r="J2403" s="37" t="str">
        <f aca="false">IF(C2403="","",IFERROR(INDEX(cl_Code,MATCH(C2403,cl_Name,0)),"Unknown"))</f>
        <v/>
      </c>
      <c r="K2403" s="37" t="str">
        <f aca="false">IF(D2403="","",IFERROR(INDEX(rt_Billable,MATCH(D2403,rt_Code,0)),"Unknown"))</f>
        <v/>
      </c>
      <c r="L2403" s="38" t="str">
        <f aca="false">IF(K2403&lt;&gt;"Yes","",IFERROR(INDEX(cr_Rate,MATCH(J2403&amp;"|"&amp;D2403,cr_Key,0)),INDEX(rt_Rate,MATCH(D2403,rt_Code,0))))</f>
        <v/>
      </c>
      <c r="M2403" s="25" t="str">
        <f aca="false">IF(L2403="","",ROUND(N(E2403)*L2403,2))</f>
        <v/>
      </c>
      <c r="N2403" s="39" t="str">
        <f aca="false">IF(OR(A2403="",B2403=""),"",SUMIFS(tl_Hours,tl_StaffID,I2403,tl_Date,A2403))</f>
        <v/>
      </c>
      <c r="O2403" s="40" t="str">
        <f aca="false">IF(A2403&amp;B2403&amp;D2403="","",IF(OR(A2403="",B2403="",D2403="",E2403=""),"Incomplete",IF(K2403="Unknown","Unknown code",IF(AND(K2403="Yes",C2403=""),"Billable, needs client",IF(N2403&gt;MaxDayHours,"Over "&amp;MaxDayHours&amp;" hours that day","")))))</f>
        <v/>
      </c>
    </row>
    <row r="2404" customFormat="false" ht="15" hidden="false" customHeight="false" outlineLevel="0" collapsed="false">
      <c r="A2404" s="31"/>
      <c r="B2404" s="32"/>
      <c r="C2404" s="32"/>
      <c r="D2404" s="33"/>
      <c r="E2404" s="34"/>
      <c r="F2404" s="32"/>
      <c r="G2404" s="35" t="str">
        <f aca="false">IF(A2404="","",A2404+7-WEEKDAY(A2404))</f>
        <v/>
      </c>
      <c r="H2404" s="36" t="str">
        <f aca="false">IF(A2404="","",DATE(YEAR(A2404),MONTH(A2404),1))</f>
        <v/>
      </c>
      <c r="I2404" s="37" t="str">
        <f aca="false">IF(B2404="","",IFERROR(INDEX(st_ID,MATCH(B2404,st_Name,0)),"Unknown"))</f>
        <v/>
      </c>
      <c r="J2404" s="37" t="str">
        <f aca="false">IF(C2404="","",IFERROR(INDEX(cl_Code,MATCH(C2404,cl_Name,0)),"Unknown"))</f>
        <v/>
      </c>
      <c r="K2404" s="37" t="str">
        <f aca="false">IF(D2404="","",IFERROR(INDEX(rt_Billable,MATCH(D2404,rt_Code,0)),"Unknown"))</f>
        <v/>
      </c>
      <c r="L2404" s="38" t="str">
        <f aca="false">IF(K2404&lt;&gt;"Yes","",IFERROR(INDEX(cr_Rate,MATCH(J2404&amp;"|"&amp;D2404,cr_Key,0)),INDEX(rt_Rate,MATCH(D2404,rt_Code,0))))</f>
        <v/>
      </c>
      <c r="M2404" s="25" t="str">
        <f aca="false">IF(L2404="","",ROUND(N(E2404)*L2404,2))</f>
        <v/>
      </c>
      <c r="N2404" s="39" t="str">
        <f aca="false">IF(OR(A2404="",B2404=""),"",SUMIFS(tl_Hours,tl_StaffID,I2404,tl_Date,A2404))</f>
        <v/>
      </c>
      <c r="O2404" s="40" t="str">
        <f aca="false">IF(A2404&amp;B2404&amp;D2404="","",IF(OR(A2404="",B2404="",D2404="",E2404=""),"Incomplete",IF(K2404="Unknown","Unknown code",IF(AND(K2404="Yes",C2404=""),"Billable, needs client",IF(N2404&gt;MaxDayHours,"Over "&amp;MaxDayHours&amp;" hours that day","")))))</f>
        <v/>
      </c>
    </row>
    <row r="2405" customFormat="false" ht="15" hidden="false" customHeight="false" outlineLevel="0" collapsed="false">
      <c r="A2405" s="31"/>
      <c r="B2405" s="32"/>
      <c r="C2405" s="32"/>
      <c r="D2405" s="33"/>
      <c r="E2405" s="34"/>
      <c r="F2405" s="32"/>
      <c r="G2405" s="35" t="str">
        <f aca="false">IF(A2405="","",A2405+7-WEEKDAY(A2405))</f>
        <v/>
      </c>
      <c r="H2405" s="36" t="str">
        <f aca="false">IF(A2405="","",DATE(YEAR(A2405),MONTH(A2405),1))</f>
        <v/>
      </c>
      <c r="I2405" s="37" t="str">
        <f aca="false">IF(B2405="","",IFERROR(INDEX(st_ID,MATCH(B2405,st_Name,0)),"Unknown"))</f>
        <v/>
      </c>
      <c r="J2405" s="37" t="str">
        <f aca="false">IF(C2405="","",IFERROR(INDEX(cl_Code,MATCH(C2405,cl_Name,0)),"Unknown"))</f>
        <v/>
      </c>
      <c r="K2405" s="37" t="str">
        <f aca="false">IF(D2405="","",IFERROR(INDEX(rt_Billable,MATCH(D2405,rt_Code,0)),"Unknown"))</f>
        <v/>
      </c>
      <c r="L2405" s="38" t="str">
        <f aca="false">IF(K2405&lt;&gt;"Yes","",IFERROR(INDEX(cr_Rate,MATCH(J2405&amp;"|"&amp;D2405,cr_Key,0)),INDEX(rt_Rate,MATCH(D2405,rt_Code,0))))</f>
        <v/>
      </c>
      <c r="M2405" s="25" t="str">
        <f aca="false">IF(L2405="","",ROUND(N(E2405)*L2405,2))</f>
        <v/>
      </c>
      <c r="N2405" s="39" t="str">
        <f aca="false">IF(OR(A2405="",B2405=""),"",SUMIFS(tl_Hours,tl_StaffID,I2405,tl_Date,A2405))</f>
        <v/>
      </c>
      <c r="O2405" s="40" t="str">
        <f aca="false">IF(A2405&amp;B2405&amp;D2405="","",IF(OR(A2405="",B2405="",D2405="",E2405=""),"Incomplete",IF(K2405="Unknown","Unknown code",IF(AND(K2405="Yes",C2405=""),"Billable, needs client",IF(N2405&gt;MaxDayHours,"Over "&amp;MaxDayHours&amp;" hours that day","")))))</f>
        <v/>
      </c>
    </row>
    <row r="2406" customFormat="false" ht="15" hidden="false" customHeight="false" outlineLevel="0" collapsed="false">
      <c r="A2406" s="31"/>
      <c r="B2406" s="32"/>
      <c r="C2406" s="32"/>
      <c r="D2406" s="33"/>
      <c r="E2406" s="34"/>
      <c r="F2406" s="32"/>
      <c r="G2406" s="35" t="str">
        <f aca="false">IF(A2406="","",A2406+7-WEEKDAY(A2406))</f>
        <v/>
      </c>
      <c r="H2406" s="36" t="str">
        <f aca="false">IF(A2406="","",DATE(YEAR(A2406),MONTH(A2406),1))</f>
        <v/>
      </c>
      <c r="I2406" s="37" t="str">
        <f aca="false">IF(B2406="","",IFERROR(INDEX(st_ID,MATCH(B2406,st_Name,0)),"Unknown"))</f>
        <v/>
      </c>
      <c r="J2406" s="37" t="str">
        <f aca="false">IF(C2406="","",IFERROR(INDEX(cl_Code,MATCH(C2406,cl_Name,0)),"Unknown"))</f>
        <v/>
      </c>
      <c r="K2406" s="37" t="str">
        <f aca="false">IF(D2406="","",IFERROR(INDEX(rt_Billable,MATCH(D2406,rt_Code,0)),"Unknown"))</f>
        <v/>
      </c>
      <c r="L2406" s="38" t="str">
        <f aca="false">IF(K2406&lt;&gt;"Yes","",IFERROR(INDEX(cr_Rate,MATCH(J2406&amp;"|"&amp;D2406,cr_Key,0)),INDEX(rt_Rate,MATCH(D2406,rt_Code,0))))</f>
        <v/>
      </c>
      <c r="M2406" s="25" t="str">
        <f aca="false">IF(L2406="","",ROUND(N(E2406)*L2406,2))</f>
        <v/>
      </c>
      <c r="N2406" s="39" t="str">
        <f aca="false">IF(OR(A2406="",B2406=""),"",SUMIFS(tl_Hours,tl_StaffID,I2406,tl_Date,A2406))</f>
        <v/>
      </c>
      <c r="O2406" s="40" t="str">
        <f aca="false">IF(A2406&amp;B2406&amp;D2406="","",IF(OR(A2406="",B2406="",D2406="",E2406=""),"Incomplete",IF(K2406="Unknown","Unknown code",IF(AND(K2406="Yes",C2406=""),"Billable, needs client",IF(N2406&gt;MaxDayHours,"Over "&amp;MaxDayHours&amp;" hours that day","")))))</f>
        <v/>
      </c>
    </row>
    <row r="2407" customFormat="false" ht="15" hidden="false" customHeight="false" outlineLevel="0" collapsed="false">
      <c r="A2407" s="31"/>
      <c r="B2407" s="32"/>
      <c r="C2407" s="32"/>
      <c r="D2407" s="33"/>
      <c r="E2407" s="34"/>
      <c r="F2407" s="32"/>
      <c r="G2407" s="35" t="str">
        <f aca="false">IF(A2407="","",A2407+7-WEEKDAY(A2407))</f>
        <v/>
      </c>
      <c r="H2407" s="36" t="str">
        <f aca="false">IF(A2407="","",DATE(YEAR(A2407),MONTH(A2407),1))</f>
        <v/>
      </c>
      <c r="I2407" s="37" t="str">
        <f aca="false">IF(B2407="","",IFERROR(INDEX(st_ID,MATCH(B2407,st_Name,0)),"Unknown"))</f>
        <v/>
      </c>
      <c r="J2407" s="37" t="str">
        <f aca="false">IF(C2407="","",IFERROR(INDEX(cl_Code,MATCH(C2407,cl_Name,0)),"Unknown"))</f>
        <v/>
      </c>
      <c r="K2407" s="37" t="str">
        <f aca="false">IF(D2407="","",IFERROR(INDEX(rt_Billable,MATCH(D2407,rt_Code,0)),"Unknown"))</f>
        <v/>
      </c>
      <c r="L2407" s="38" t="str">
        <f aca="false">IF(K2407&lt;&gt;"Yes","",IFERROR(INDEX(cr_Rate,MATCH(J2407&amp;"|"&amp;D2407,cr_Key,0)),INDEX(rt_Rate,MATCH(D2407,rt_Code,0))))</f>
        <v/>
      </c>
      <c r="M2407" s="25" t="str">
        <f aca="false">IF(L2407="","",ROUND(N(E2407)*L2407,2))</f>
        <v/>
      </c>
      <c r="N2407" s="39" t="str">
        <f aca="false">IF(OR(A2407="",B2407=""),"",SUMIFS(tl_Hours,tl_StaffID,I2407,tl_Date,A2407))</f>
        <v/>
      </c>
      <c r="O2407" s="40" t="str">
        <f aca="false">IF(A2407&amp;B2407&amp;D2407="","",IF(OR(A2407="",B2407="",D2407="",E2407=""),"Incomplete",IF(K2407="Unknown","Unknown code",IF(AND(K2407="Yes",C2407=""),"Billable, needs client",IF(N2407&gt;MaxDayHours,"Over "&amp;MaxDayHours&amp;" hours that day","")))))</f>
        <v/>
      </c>
    </row>
    <row r="2408" customFormat="false" ht="15" hidden="false" customHeight="false" outlineLevel="0" collapsed="false">
      <c r="A2408" s="31"/>
      <c r="B2408" s="32"/>
      <c r="C2408" s="32"/>
      <c r="D2408" s="33"/>
      <c r="E2408" s="34"/>
      <c r="F2408" s="32"/>
      <c r="G2408" s="35" t="str">
        <f aca="false">IF(A2408="","",A2408+7-WEEKDAY(A2408))</f>
        <v/>
      </c>
      <c r="H2408" s="36" t="str">
        <f aca="false">IF(A2408="","",DATE(YEAR(A2408),MONTH(A2408),1))</f>
        <v/>
      </c>
      <c r="I2408" s="37" t="str">
        <f aca="false">IF(B2408="","",IFERROR(INDEX(st_ID,MATCH(B2408,st_Name,0)),"Unknown"))</f>
        <v/>
      </c>
      <c r="J2408" s="37" t="str">
        <f aca="false">IF(C2408="","",IFERROR(INDEX(cl_Code,MATCH(C2408,cl_Name,0)),"Unknown"))</f>
        <v/>
      </c>
      <c r="K2408" s="37" t="str">
        <f aca="false">IF(D2408="","",IFERROR(INDEX(rt_Billable,MATCH(D2408,rt_Code,0)),"Unknown"))</f>
        <v/>
      </c>
      <c r="L2408" s="38" t="str">
        <f aca="false">IF(K2408&lt;&gt;"Yes","",IFERROR(INDEX(cr_Rate,MATCH(J2408&amp;"|"&amp;D2408,cr_Key,0)),INDEX(rt_Rate,MATCH(D2408,rt_Code,0))))</f>
        <v/>
      </c>
      <c r="M2408" s="25" t="str">
        <f aca="false">IF(L2408="","",ROUND(N(E2408)*L2408,2))</f>
        <v/>
      </c>
      <c r="N2408" s="39" t="str">
        <f aca="false">IF(OR(A2408="",B2408=""),"",SUMIFS(tl_Hours,tl_StaffID,I2408,tl_Date,A2408))</f>
        <v/>
      </c>
      <c r="O2408" s="40" t="str">
        <f aca="false">IF(A2408&amp;B2408&amp;D2408="","",IF(OR(A2408="",B2408="",D2408="",E2408=""),"Incomplete",IF(K2408="Unknown","Unknown code",IF(AND(K2408="Yes",C2408=""),"Billable, needs client",IF(N2408&gt;MaxDayHours,"Over "&amp;MaxDayHours&amp;" hours that day","")))))</f>
        <v/>
      </c>
    </row>
    <row r="2409" customFormat="false" ht="15" hidden="false" customHeight="false" outlineLevel="0" collapsed="false">
      <c r="A2409" s="31"/>
      <c r="B2409" s="32"/>
      <c r="C2409" s="32"/>
      <c r="D2409" s="33"/>
      <c r="E2409" s="34"/>
      <c r="F2409" s="32"/>
      <c r="G2409" s="35" t="str">
        <f aca="false">IF(A2409="","",A2409+7-WEEKDAY(A2409))</f>
        <v/>
      </c>
      <c r="H2409" s="36" t="str">
        <f aca="false">IF(A2409="","",DATE(YEAR(A2409),MONTH(A2409),1))</f>
        <v/>
      </c>
      <c r="I2409" s="37" t="str">
        <f aca="false">IF(B2409="","",IFERROR(INDEX(st_ID,MATCH(B2409,st_Name,0)),"Unknown"))</f>
        <v/>
      </c>
      <c r="J2409" s="37" t="str">
        <f aca="false">IF(C2409="","",IFERROR(INDEX(cl_Code,MATCH(C2409,cl_Name,0)),"Unknown"))</f>
        <v/>
      </c>
      <c r="K2409" s="37" t="str">
        <f aca="false">IF(D2409="","",IFERROR(INDEX(rt_Billable,MATCH(D2409,rt_Code,0)),"Unknown"))</f>
        <v/>
      </c>
      <c r="L2409" s="38" t="str">
        <f aca="false">IF(K2409&lt;&gt;"Yes","",IFERROR(INDEX(cr_Rate,MATCH(J2409&amp;"|"&amp;D2409,cr_Key,0)),INDEX(rt_Rate,MATCH(D2409,rt_Code,0))))</f>
        <v/>
      </c>
      <c r="M2409" s="25" t="str">
        <f aca="false">IF(L2409="","",ROUND(N(E2409)*L2409,2))</f>
        <v/>
      </c>
      <c r="N2409" s="39" t="str">
        <f aca="false">IF(OR(A2409="",B2409=""),"",SUMIFS(tl_Hours,tl_StaffID,I2409,tl_Date,A2409))</f>
        <v/>
      </c>
      <c r="O2409" s="40" t="str">
        <f aca="false">IF(A2409&amp;B2409&amp;D2409="","",IF(OR(A2409="",B2409="",D2409="",E2409=""),"Incomplete",IF(K2409="Unknown","Unknown code",IF(AND(K2409="Yes",C2409=""),"Billable, needs client",IF(N2409&gt;MaxDayHours,"Over "&amp;MaxDayHours&amp;" hours that day","")))))</f>
        <v/>
      </c>
    </row>
    <row r="2410" customFormat="false" ht="15" hidden="false" customHeight="false" outlineLevel="0" collapsed="false">
      <c r="A2410" s="31"/>
      <c r="B2410" s="32"/>
      <c r="C2410" s="32"/>
      <c r="D2410" s="33"/>
      <c r="E2410" s="34"/>
      <c r="F2410" s="32"/>
      <c r="G2410" s="35" t="str">
        <f aca="false">IF(A2410="","",A2410+7-WEEKDAY(A2410))</f>
        <v/>
      </c>
      <c r="H2410" s="36" t="str">
        <f aca="false">IF(A2410="","",DATE(YEAR(A2410),MONTH(A2410),1))</f>
        <v/>
      </c>
      <c r="I2410" s="37" t="str">
        <f aca="false">IF(B2410="","",IFERROR(INDEX(st_ID,MATCH(B2410,st_Name,0)),"Unknown"))</f>
        <v/>
      </c>
      <c r="J2410" s="37" t="str">
        <f aca="false">IF(C2410="","",IFERROR(INDEX(cl_Code,MATCH(C2410,cl_Name,0)),"Unknown"))</f>
        <v/>
      </c>
      <c r="K2410" s="37" t="str">
        <f aca="false">IF(D2410="","",IFERROR(INDEX(rt_Billable,MATCH(D2410,rt_Code,0)),"Unknown"))</f>
        <v/>
      </c>
      <c r="L2410" s="38" t="str">
        <f aca="false">IF(K2410&lt;&gt;"Yes","",IFERROR(INDEX(cr_Rate,MATCH(J2410&amp;"|"&amp;D2410,cr_Key,0)),INDEX(rt_Rate,MATCH(D2410,rt_Code,0))))</f>
        <v/>
      </c>
      <c r="M2410" s="25" t="str">
        <f aca="false">IF(L2410="","",ROUND(N(E2410)*L2410,2))</f>
        <v/>
      </c>
      <c r="N2410" s="39" t="str">
        <f aca="false">IF(OR(A2410="",B2410=""),"",SUMIFS(tl_Hours,tl_StaffID,I2410,tl_Date,A2410))</f>
        <v/>
      </c>
      <c r="O2410" s="40" t="str">
        <f aca="false">IF(A2410&amp;B2410&amp;D2410="","",IF(OR(A2410="",B2410="",D2410="",E2410=""),"Incomplete",IF(K2410="Unknown","Unknown code",IF(AND(K2410="Yes",C2410=""),"Billable, needs client",IF(N2410&gt;MaxDayHours,"Over "&amp;MaxDayHours&amp;" hours that day","")))))</f>
        <v/>
      </c>
    </row>
    <row r="2411" customFormat="false" ht="15" hidden="false" customHeight="false" outlineLevel="0" collapsed="false">
      <c r="A2411" s="31"/>
      <c r="B2411" s="32"/>
      <c r="C2411" s="32"/>
      <c r="D2411" s="33"/>
      <c r="E2411" s="34"/>
      <c r="F2411" s="32"/>
      <c r="G2411" s="35" t="str">
        <f aca="false">IF(A2411="","",A2411+7-WEEKDAY(A2411))</f>
        <v/>
      </c>
      <c r="H2411" s="36" t="str">
        <f aca="false">IF(A2411="","",DATE(YEAR(A2411),MONTH(A2411),1))</f>
        <v/>
      </c>
      <c r="I2411" s="37" t="str">
        <f aca="false">IF(B2411="","",IFERROR(INDEX(st_ID,MATCH(B2411,st_Name,0)),"Unknown"))</f>
        <v/>
      </c>
      <c r="J2411" s="37" t="str">
        <f aca="false">IF(C2411="","",IFERROR(INDEX(cl_Code,MATCH(C2411,cl_Name,0)),"Unknown"))</f>
        <v/>
      </c>
      <c r="K2411" s="37" t="str">
        <f aca="false">IF(D2411="","",IFERROR(INDEX(rt_Billable,MATCH(D2411,rt_Code,0)),"Unknown"))</f>
        <v/>
      </c>
      <c r="L2411" s="38" t="str">
        <f aca="false">IF(K2411&lt;&gt;"Yes","",IFERROR(INDEX(cr_Rate,MATCH(J2411&amp;"|"&amp;D2411,cr_Key,0)),INDEX(rt_Rate,MATCH(D2411,rt_Code,0))))</f>
        <v/>
      </c>
      <c r="M2411" s="25" t="str">
        <f aca="false">IF(L2411="","",ROUND(N(E2411)*L2411,2))</f>
        <v/>
      </c>
      <c r="N2411" s="39" t="str">
        <f aca="false">IF(OR(A2411="",B2411=""),"",SUMIFS(tl_Hours,tl_StaffID,I2411,tl_Date,A2411))</f>
        <v/>
      </c>
      <c r="O2411" s="40" t="str">
        <f aca="false">IF(A2411&amp;B2411&amp;D2411="","",IF(OR(A2411="",B2411="",D2411="",E2411=""),"Incomplete",IF(K2411="Unknown","Unknown code",IF(AND(K2411="Yes",C2411=""),"Billable, needs client",IF(N2411&gt;MaxDayHours,"Over "&amp;MaxDayHours&amp;" hours that day","")))))</f>
        <v/>
      </c>
    </row>
    <row r="2412" customFormat="false" ht="15" hidden="false" customHeight="false" outlineLevel="0" collapsed="false">
      <c r="A2412" s="31"/>
      <c r="B2412" s="32"/>
      <c r="C2412" s="32"/>
      <c r="D2412" s="33"/>
      <c r="E2412" s="34"/>
      <c r="F2412" s="32"/>
      <c r="G2412" s="35" t="str">
        <f aca="false">IF(A2412="","",A2412+7-WEEKDAY(A2412))</f>
        <v/>
      </c>
      <c r="H2412" s="36" t="str">
        <f aca="false">IF(A2412="","",DATE(YEAR(A2412),MONTH(A2412),1))</f>
        <v/>
      </c>
      <c r="I2412" s="37" t="str">
        <f aca="false">IF(B2412="","",IFERROR(INDEX(st_ID,MATCH(B2412,st_Name,0)),"Unknown"))</f>
        <v/>
      </c>
      <c r="J2412" s="37" t="str">
        <f aca="false">IF(C2412="","",IFERROR(INDEX(cl_Code,MATCH(C2412,cl_Name,0)),"Unknown"))</f>
        <v/>
      </c>
      <c r="K2412" s="37" t="str">
        <f aca="false">IF(D2412="","",IFERROR(INDEX(rt_Billable,MATCH(D2412,rt_Code,0)),"Unknown"))</f>
        <v/>
      </c>
      <c r="L2412" s="38" t="str">
        <f aca="false">IF(K2412&lt;&gt;"Yes","",IFERROR(INDEX(cr_Rate,MATCH(J2412&amp;"|"&amp;D2412,cr_Key,0)),INDEX(rt_Rate,MATCH(D2412,rt_Code,0))))</f>
        <v/>
      </c>
      <c r="M2412" s="25" t="str">
        <f aca="false">IF(L2412="","",ROUND(N(E2412)*L2412,2))</f>
        <v/>
      </c>
      <c r="N2412" s="39" t="str">
        <f aca="false">IF(OR(A2412="",B2412=""),"",SUMIFS(tl_Hours,tl_StaffID,I2412,tl_Date,A2412))</f>
        <v/>
      </c>
      <c r="O2412" s="40" t="str">
        <f aca="false">IF(A2412&amp;B2412&amp;D2412="","",IF(OR(A2412="",B2412="",D2412="",E2412=""),"Incomplete",IF(K2412="Unknown","Unknown code",IF(AND(K2412="Yes",C2412=""),"Billable, needs client",IF(N2412&gt;MaxDayHours,"Over "&amp;MaxDayHours&amp;" hours that day","")))))</f>
        <v/>
      </c>
    </row>
    <row r="2413" customFormat="false" ht="15" hidden="false" customHeight="false" outlineLevel="0" collapsed="false">
      <c r="A2413" s="31"/>
      <c r="B2413" s="32"/>
      <c r="C2413" s="32"/>
      <c r="D2413" s="33"/>
      <c r="E2413" s="34"/>
      <c r="F2413" s="32"/>
      <c r="G2413" s="35" t="str">
        <f aca="false">IF(A2413="","",A2413+7-WEEKDAY(A2413))</f>
        <v/>
      </c>
      <c r="H2413" s="36" t="str">
        <f aca="false">IF(A2413="","",DATE(YEAR(A2413),MONTH(A2413),1))</f>
        <v/>
      </c>
      <c r="I2413" s="37" t="str">
        <f aca="false">IF(B2413="","",IFERROR(INDEX(st_ID,MATCH(B2413,st_Name,0)),"Unknown"))</f>
        <v/>
      </c>
      <c r="J2413" s="37" t="str">
        <f aca="false">IF(C2413="","",IFERROR(INDEX(cl_Code,MATCH(C2413,cl_Name,0)),"Unknown"))</f>
        <v/>
      </c>
      <c r="K2413" s="37" t="str">
        <f aca="false">IF(D2413="","",IFERROR(INDEX(rt_Billable,MATCH(D2413,rt_Code,0)),"Unknown"))</f>
        <v/>
      </c>
      <c r="L2413" s="38" t="str">
        <f aca="false">IF(K2413&lt;&gt;"Yes","",IFERROR(INDEX(cr_Rate,MATCH(J2413&amp;"|"&amp;D2413,cr_Key,0)),INDEX(rt_Rate,MATCH(D2413,rt_Code,0))))</f>
        <v/>
      </c>
      <c r="M2413" s="25" t="str">
        <f aca="false">IF(L2413="","",ROUND(N(E2413)*L2413,2))</f>
        <v/>
      </c>
      <c r="N2413" s="39" t="str">
        <f aca="false">IF(OR(A2413="",B2413=""),"",SUMIFS(tl_Hours,tl_StaffID,I2413,tl_Date,A2413))</f>
        <v/>
      </c>
      <c r="O2413" s="40" t="str">
        <f aca="false">IF(A2413&amp;B2413&amp;D2413="","",IF(OR(A2413="",B2413="",D2413="",E2413=""),"Incomplete",IF(K2413="Unknown","Unknown code",IF(AND(K2413="Yes",C2413=""),"Billable, needs client",IF(N2413&gt;MaxDayHours,"Over "&amp;MaxDayHours&amp;" hours that day","")))))</f>
        <v/>
      </c>
    </row>
    <row r="2414" customFormat="false" ht="15" hidden="false" customHeight="false" outlineLevel="0" collapsed="false">
      <c r="A2414" s="31"/>
      <c r="B2414" s="32"/>
      <c r="C2414" s="32"/>
      <c r="D2414" s="33"/>
      <c r="E2414" s="34"/>
      <c r="F2414" s="32"/>
      <c r="G2414" s="35" t="str">
        <f aca="false">IF(A2414="","",A2414+7-WEEKDAY(A2414))</f>
        <v/>
      </c>
      <c r="H2414" s="36" t="str">
        <f aca="false">IF(A2414="","",DATE(YEAR(A2414),MONTH(A2414),1))</f>
        <v/>
      </c>
      <c r="I2414" s="37" t="str">
        <f aca="false">IF(B2414="","",IFERROR(INDEX(st_ID,MATCH(B2414,st_Name,0)),"Unknown"))</f>
        <v/>
      </c>
      <c r="J2414" s="37" t="str">
        <f aca="false">IF(C2414="","",IFERROR(INDEX(cl_Code,MATCH(C2414,cl_Name,0)),"Unknown"))</f>
        <v/>
      </c>
      <c r="K2414" s="37" t="str">
        <f aca="false">IF(D2414="","",IFERROR(INDEX(rt_Billable,MATCH(D2414,rt_Code,0)),"Unknown"))</f>
        <v/>
      </c>
      <c r="L2414" s="38" t="str">
        <f aca="false">IF(K2414&lt;&gt;"Yes","",IFERROR(INDEX(cr_Rate,MATCH(J2414&amp;"|"&amp;D2414,cr_Key,0)),INDEX(rt_Rate,MATCH(D2414,rt_Code,0))))</f>
        <v/>
      </c>
      <c r="M2414" s="25" t="str">
        <f aca="false">IF(L2414="","",ROUND(N(E2414)*L2414,2))</f>
        <v/>
      </c>
      <c r="N2414" s="39" t="str">
        <f aca="false">IF(OR(A2414="",B2414=""),"",SUMIFS(tl_Hours,tl_StaffID,I2414,tl_Date,A2414))</f>
        <v/>
      </c>
      <c r="O2414" s="40" t="str">
        <f aca="false">IF(A2414&amp;B2414&amp;D2414="","",IF(OR(A2414="",B2414="",D2414="",E2414=""),"Incomplete",IF(K2414="Unknown","Unknown code",IF(AND(K2414="Yes",C2414=""),"Billable, needs client",IF(N2414&gt;MaxDayHours,"Over "&amp;MaxDayHours&amp;" hours that day","")))))</f>
        <v/>
      </c>
    </row>
    <row r="2415" customFormat="false" ht="15" hidden="false" customHeight="false" outlineLevel="0" collapsed="false">
      <c r="A2415" s="31"/>
      <c r="B2415" s="32"/>
      <c r="C2415" s="32"/>
      <c r="D2415" s="33"/>
      <c r="E2415" s="34"/>
      <c r="F2415" s="32"/>
      <c r="G2415" s="35" t="str">
        <f aca="false">IF(A2415="","",A2415+7-WEEKDAY(A2415))</f>
        <v/>
      </c>
      <c r="H2415" s="36" t="str">
        <f aca="false">IF(A2415="","",DATE(YEAR(A2415),MONTH(A2415),1))</f>
        <v/>
      </c>
      <c r="I2415" s="37" t="str">
        <f aca="false">IF(B2415="","",IFERROR(INDEX(st_ID,MATCH(B2415,st_Name,0)),"Unknown"))</f>
        <v/>
      </c>
      <c r="J2415" s="37" t="str">
        <f aca="false">IF(C2415="","",IFERROR(INDEX(cl_Code,MATCH(C2415,cl_Name,0)),"Unknown"))</f>
        <v/>
      </c>
      <c r="K2415" s="37" t="str">
        <f aca="false">IF(D2415="","",IFERROR(INDEX(rt_Billable,MATCH(D2415,rt_Code,0)),"Unknown"))</f>
        <v/>
      </c>
      <c r="L2415" s="38" t="str">
        <f aca="false">IF(K2415&lt;&gt;"Yes","",IFERROR(INDEX(cr_Rate,MATCH(J2415&amp;"|"&amp;D2415,cr_Key,0)),INDEX(rt_Rate,MATCH(D2415,rt_Code,0))))</f>
        <v/>
      </c>
      <c r="M2415" s="25" t="str">
        <f aca="false">IF(L2415="","",ROUND(N(E2415)*L2415,2))</f>
        <v/>
      </c>
      <c r="N2415" s="39" t="str">
        <f aca="false">IF(OR(A2415="",B2415=""),"",SUMIFS(tl_Hours,tl_StaffID,I2415,tl_Date,A2415))</f>
        <v/>
      </c>
      <c r="O2415" s="40" t="str">
        <f aca="false">IF(A2415&amp;B2415&amp;D2415="","",IF(OR(A2415="",B2415="",D2415="",E2415=""),"Incomplete",IF(K2415="Unknown","Unknown code",IF(AND(K2415="Yes",C2415=""),"Billable, needs client",IF(N2415&gt;MaxDayHours,"Over "&amp;MaxDayHours&amp;" hours that day","")))))</f>
        <v/>
      </c>
    </row>
    <row r="2416" customFormat="false" ht="15" hidden="false" customHeight="false" outlineLevel="0" collapsed="false">
      <c r="A2416" s="31"/>
      <c r="B2416" s="32"/>
      <c r="C2416" s="32"/>
      <c r="D2416" s="33"/>
      <c r="E2416" s="34"/>
      <c r="F2416" s="32"/>
      <c r="G2416" s="35" t="str">
        <f aca="false">IF(A2416="","",A2416+7-WEEKDAY(A2416))</f>
        <v/>
      </c>
      <c r="H2416" s="36" t="str">
        <f aca="false">IF(A2416="","",DATE(YEAR(A2416),MONTH(A2416),1))</f>
        <v/>
      </c>
      <c r="I2416" s="37" t="str">
        <f aca="false">IF(B2416="","",IFERROR(INDEX(st_ID,MATCH(B2416,st_Name,0)),"Unknown"))</f>
        <v/>
      </c>
      <c r="J2416" s="37" t="str">
        <f aca="false">IF(C2416="","",IFERROR(INDEX(cl_Code,MATCH(C2416,cl_Name,0)),"Unknown"))</f>
        <v/>
      </c>
      <c r="K2416" s="37" t="str">
        <f aca="false">IF(D2416="","",IFERROR(INDEX(rt_Billable,MATCH(D2416,rt_Code,0)),"Unknown"))</f>
        <v/>
      </c>
      <c r="L2416" s="38" t="str">
        <f aca="false">IF(K2416&lt;&gt;"Yes","",IFERROR(INDEX(cr_Rate,MATCH(J2416&amp;"|"&amp;D2416,cr_Key,0)),INDEX(rt_Rate,MATCH(D2416,rt_Code,0))))</f>
        <v/>
      </c>
      <c r="M2416" s="25" t="str">
        <f aca="false">IF(L2416="","",ROUND(N(E2416)*L2416,2))</f>
        <v/>
      </c>
      <c r="N2416" s="39" t="str">
        <f aca="false">IF(OR(A2416="",B2416=""),"",SUMIFS(tl_Hours,tl_StaffID,I2416,tl_Date,A2416))</f>
        <v/>
      </c>
      <c r="O2416" s="40" t="str">
        <f aca="false">IF(A2416&amp;B2416&amp;D2416="","",IF(OR(A2416="",B2416="",D2416="",E2416=""),"Incomplete",IF(K2416="Unknown","Unknown code",IF(AND(K2416="Yes",C2416=""),"Billable, needs client",IF(N2416&gt;MaxDayHours,"Over "&amp;MaxDayHours&amp;" hours that day","")))))</f>
        <v/>
      </c>
    </row>
    <row r="2417" customFormat="false" ht="15" hidden="false" customHeight="false" outlineLevel="0" collapsed="false">
      <c r="A2417" s="31"/>
      <c r="B2417" s="32"/>
      <c r="C2417" s="32"/>
      <c r="D2417" s="33"/>
      <c r="E2417" s="34"/>
      <c r="F2417" s="32"/>
      <c r="G2417" s="35" t="str">
        <f aca="false">IF(A2417="","",A2417+7-WEEKDAY(A2417))</f>
        <v/>
      </c>
      <c r="H2417" s="36" t="str">
        <f aca="false">IF(A2417="","",DATE(YEAR(A2417),MONTH(A2417),1))</f>
        <v/>
      </c>
      <c r="I2417" s="37" t="str">
        <f aca="false">IF(B2417="","",IFERROR(INDEX(st_ID,MATCH(B2417,st_Name,0)),"Unknown"))</f>
        <v/>
      </c>
      <c r="J2417" s="37" t="str">
        <f aca="false">IF(C2417="","",IFERROR(INDEX(cl_Code,MATCH(C2417,cl_Name,0)),"Unknown"))</f>
        <v/>
      </c>
      <c r="K2417" s="37" t="str">
        <f aca="false">IF(D2417="","",IFERROR(INDEX(rt_Billable,MATCH(D2417,rt_Code,0)),"Unknown"))</f>
        <v/>
      </c>
      <c r="L2417" s="38" t="str">
        <f aca="false">IF(K2417&lt;&gt;"Yes","",IFERROR(INDEX(cr_Rate,MATCH(J2417&amp;"|"&amp;D2417,cr_Key,0)),INDEX(rt_Rate,MATCH(D2417,rt_Code,0))))</f>
        <v/>
      </c>
      <c r="M2417" s="25" t="str">
        <f aca="false">IF(L2417="","",ROUND(N(E2417)*L2417,2))</f>
        <v/>
      </c>
      <c r="N2417" s="39" t="str">
        <f aca="false">IF(OR(A2417="",B2417=""),"",SUMIFS(tl_Hours,tl_StaffID,I2417,tl_Date,A2417))</f>
        <v/>
      </c>
      <c r="O2417" s="40" t="str">
        <f aca="false">IF(A2417&amp;B2417&amp;D2417="","",IF(OR(A2417="",B2417="",D2417="",E2417=""),"Incomplete",IF(K2417="Unknown","Unknown code",IF(AND(K2417="Yes",C2417=""),"Billable, needs client",IF(N2417&gt;MaxDayHours,"Over "&amp;MaxDayHours&amp;" hours that day","")))))</f>
        <v/>
      </c>
    </row>
    <row r="2418" customFormat="false" ht="15" hidden="false" customHeight="false" outlineLevel="0" collapsed="false">
      <c r="A2418" s="31"/>
      <c r="B2418" s="32"/>
      <c r="C2418" s="32"/>
      <c r="D2418" s="33"/>
      <c r="E2418" s="34"/>
      <c r="F2418" s="32"/>
      <c r="G2418" s="35" t="str">
        <f aca="false">IF(A2418="","",A2418+7-WEEKDAY(A2418))</f>
        <v/>
      </c>
      <c r="H2418" s="36" t="str">
        <f aca="false">IF(A2418="","",DATE(YEAR(A2418),MONTH(A2418),1))</f>
        <v/>
      </c>
      <c r="I2418" s="37" t="str">
        <f aca="false">IF(B2418="","",IFERROR(INDEX(st_ID,MATCH(B2418,st_Name,0)),"Unknown"))</f>
        <v/>
      </c>
      <c r="J2418" s="37" t="str">
        <f aca="false">IF(C2418="","",IFERROR(INDEX(cl_Code,MATCH(C2418,cl_Name,0)),"Unknown"))</f>
        <v/>
      </c>
      <c r="K2418" s="37" t="str">
        <f aca="false">IF(D2418="","",IFERROR(INDEX(rt_Billable,MATCH(D2418,rt_Code,0)),"Unknown"))</f>
        <v/>
      </c>
      <c r="L2418" s="38" t="str">
        <f aca="false">IF(K2418&lt;&gt;"Yes","",IFERROR(INDEX(cr_Rate,MATCH(J2418&amp;"|"&amp;D2418,cr_Key,0)),INDEX(rt_Rate,MATCH(D2418,rt_Code,0))))</f>
        <v/>
      </c>
      <c r="M2418" s="25" t="str">
        <f aca="false">IF(L2418="","",ROUND(N(E2418)*L2418,2))</f>
        <v/>
      </c>
      <c r="N2418" s="39" t="str">
        <f aca="false">IF(OR(A2418="",B2418=""),"",SUMIFS(tl_Hours,tl_StaffID,I2418,tl_Date,A2418))</f>
        <v/>
      </c>
      <c r="O2418" s="40" t="str">
        <f aca="false">IF(A2418&amp;B2418&amp;D2418="","",IF(OR(A2418="",B2418="",D2418="",E2418=""),"Incomplete",IF(K2418="Unknown","Unknown code",IF(AND(K2418="Yes",C2418=""),"Billable, needs client",IF(N2418&gt;MaxDayHours,"Over "&amp;MaxDayHours&amp;" hours that day","")))))</f>
        <v/>
      </c>
    </row>
    <row r="2419" customFormat="false" ht="15" hidden="false" customHeight="false" outlineLevel="0" collapsed="false">
      <c r="A2419" s="31"/>
      <c r="B2419" s="32"/>
      <c r="C2419" s="32"/>
      <c r="D2419" s="33"/>
      <c r="E2419" s="34"/>
      <c r="F2419" s="32"/>
      <c r="G2419" s="35" t="str">
        <f aca="false">IF(A2419="","",A2419+7-WEEKDAY(A2419))</f>
        <v/>
      </c>
      <c r="H2419" s="36" t="str">
        <f aca="false">IF(A2419="","",DATE(YEAR(A2419),MONTH(A2419),1))</f>
        <v/>
      </c>
      <c r="I2419" s="37" t="str">
        <f aca="false">IF(B2419="","",IFERROR(INDEX(st_ID,MATCH(B2419,st_Name,0)),"Unknown"))</f>
        <v/>
      </c>
      <c r="J2419" s="37" t="str">
        <f aca="false">IF(C2419="","",IFERROR(INDEX(cl_Code,MATCH(C2419,cl_Name,0)),"Unknown"))</f>
        <v/>
      </c>
      <c r="K2419" s="37" t="str">
        <f aca="false">IF(D2419="","",IFERROR(INDEX(rt_Billable,MATCH(D2419,rt_Code,0)),"Unknown"))</f>
        <v/>
      </c>
      <c r="L2419" s="38" t="str">
        <f aca="false">IF(K2419&lt;&gt;"Yes","",IFERROR(INDEX(cr_Rate,MATCH(J2419&amp;"|"&amp;D2419,cr_Key,0)),INDEX(rt_Rate,MATCH(D2419,rt_Code,0))))</f>
        <v/>
      </c>
      <c r="M2419" s="25" t="str">
        <f aca="false">IF(L2419="","",ROUND(N(E2419)*L2419,2))</f>
        <v/>
      </c>
      <c r="N2419" s="39" t="str">
        <f aca="false">IF(OR(A2419="",B2419=""),"",SUMIFS(tl_Hours,tl_StaffID,I2419,tl_Date,A2419))</f>
        <v/>
      </c>
      <c r="O2419" s="40" t="str">
        <f aca="false">IF(A2419&amp;B2419&amp;D2419="","",IF(OR(A2419="",B2419="",D2419="",E2419=""),"Incomplete",IF(K2419="Unknown","Unknown code",IF(AND(K2419="Yes",C2419=""),"Billable, needs client",IF(N2419&gt;MaxDayHours,"Over "&amp;MaxDayHours&amp;" hours that day","")))))</f>
        <v/>
      </c>
    </row>
    <row r="2420" customFormat="false" ht="15" hidden="false" customHeight="false" outlineLevel="0" collapsed="false">
      <c r="A2420" s="31"/>
      <c r="B2420" s="32"/>
      <c r="C2420" s="32"/>
      <c r="D2420" s="33"/>
      <c r="E2420" s="34"/>
      <c r="F2420" s="32"/>
      <c r="G2420" s="35" t="str">
        <f aca="false">IF(A2420="","",A2420+7-WEEKDAY(A2420))</f>
        <v/>
      </c>
      <c r="H2420" s="36" t="str">
        <f aca="false">IF(A2420="","",DATE(YEAR(A2420),MONTH(A2420),1))</f>
        <v/>
      </c>
      <c r="I2420" s="37" t="str">
        <f aca="false">IF(B2420="","",IFERROR(INDEX(st_ID,MATCH(B2420,st_Name,0)),"Unknown"))</f>
        <v/>
      </c>
      <c r="J2420" s="37" t="str">
        <f aca="false">IF(C2420="","",IFERROR(INDEX(cl_Code,MATCH(C2420,cl_Name,0)),"Unknown"))</f>
        <v/>
      </c>
      <c r="K2420" s="37" t="str">
        <f aca="false">IF(D2420="","",IFERROR(INDEX(rt_Billable,MATCH(D2420,rt_Code,0)),"Unknown"))</f>
        <v/>
      </c>
      <c r="L2420" s="38" t="str">
        <f aca="false">IF(K2420&lt;&gt;"Yes","",IFERROR(INDEX(cr_Rate,MATCH(J2420&amp;"|"&amp;D2420,cr_Key,0)),INDEX(rt_Rate,MATCH(D2420,rt_Code,0))))</f>
        <v/>
      </c>
      <c r="M2420" s="25" t="str">
        <f aca="false">IF(L2420="","",ROUND(N(E2420)*L2420,2))</f>
        <v/>
      </c>
      <c r="N2420" s="39" t="str">
        <f aca="false">IF(OR(A2420="",B2420=""),"",SUMIFS(tl_Hours,tl_StaffID,I2420,tl_Date,A2420))</f>
        <v/>
      </c>
      <c r="O2420" s="40" t="str">
        <f aca="false">IF(A2420&amp;B2420&amp;D2420="","",IF(OR(A2420="",B2420="",D2420="",E2420=""),"Incomplete",IF(K2420="Unknown","Unknown code",IF(AND(K2420="Yes",C2420=""),"Billable, needs client",IF(N2420&gt;MaxDayHours,"Over "&amp;MaxDayHours&amp;" hours that day","")))))</f>
        <v/>
      </c>
    </row>
    <row r="2421" customFormat="false" ht="15" hidden="false" customHeight="false" outlineLevel="0" collapsed="false">
      <c r="A2421" s="31"/>
      <c r="B2421" s="32"/>
      <c r="C2421" s="32"/>
      <c r="D2421" s="33"/>
      <c r="E2421" s="34"/>
      <c r="F2421" s="32"/>
      <c r="G2421" s="35" t="str">
        <f aca="false">IF(A2421="","",A2421+7-WEEKDAY(A2421))</f>
        <v/>
      </c>
      <c r="H2421" s="36" t="str">
        <f aca="false">IF(A2421="","",DATE(YEAR(A2421),MONTH(A2421),1))</f>
        <v/>
      </c>
      <c r="I2421" s="37" t="str">
        <f aca="false">IF(B2421="","",IFERROR(INDEX(st_ID,MATCH(B2421,st_Name,0)),"Unknown"))</f>
        <v/>
      </c>
      <c r="J2421" s="37" t="str">
        <f aca="false">IF(C2421="","",IFERROR(INDEX(cl_Code,MATCH(C2421,cl_Name,0)),"Unknown"))</f>
        <v/>
      </c>
      <c r="K2421" s="37" t="str">
        <f aca="false">IF(D2421="","",IFERROR(INDEX(rt_Billable,MATCH(D2421,rt_Code,0)),"Unknown"))</f>
        <v/>
      </c>
      <c r="L2421" s="38" t="str">
        <f aca="false">IF(K2421&lt;&gt;"Yes","",IFERROR(INDEX(cr_Rate,MATCH(J2421&amp;"|"&amp;D2421,cr_Key,0)),INDEX(rt_Rate,MATCH(D2421,rt_Code,0))))</f>
        <v/>
      </c>
      <c r="M2421" s="25" t="str">
        <f aca="false">IF(L2421="","",ROUND(N(E2421)*L2421,2))</f>
        <v/>
      </c>
      <c r="N2421" s="39" t="str">
        <f aca="false">IF(OR(A2421="",B2421=""),"",SUMIFS(tl_Hours,tl_StaffID,I2421,tl_Date,A2421))</f>
        <v/>
      </c>
      <c r="O2421" s="40" t="str">
        <f aca="false">IF(A2421&amp;B2421&amp;D2421="","",IF(OR(A2421="",B2421="",D2421="",E2421=""),"Incomplete",IF(K2421="Unknown","Unknown code",IF(AND(K2421="Yes",C2421=""),"Billable, needs client",IF(N2421&gt;MaxDayHours,"Over "&amp;MaxDayHours&amp;" hours that day","")))))</f>
        <v/>
      </c>
    </row>
    <row r="2422" customFormat="false" ht="15" hidden="false" customHeight="false" outlineLevel="0" collapsed="false">
      <c r="A2422" s="31"/>
      <c r="B2422" s="32"/>
      <c r="C2422" s="32"/>
      <c r="D2422" s="33"/>
      <c r="E2422" s="34"/>
      <c r="F2422" s="32"/>
      <c r="G2422" s="35" t="str">
        <f aca="false">IF(A2422="","",A2422+7-WEEKDAY(A2422))</f>
        <v/>
      </c>
      <c r="H2422" s="36" t="str">
        <f aca="false">IF(A2422="","",DATE(YEAR(A2422),MONTH(A2422),1))</f>
        <v/>
      </c>
      <c r="I2422" s="37" t="str">
        <f aca="false">IF(B2422="","",IFERROR(INDEX(st_ID,MATCH(B2422,st_Name,0)),"Unknown"))</f>
        <v/>
      </c>
      <c r="J2422" s="37" t="str">
        <f aca="false">IF(C2422="","",IFERROR(INDEX(cl_Code,MATCH(C2422,cl_Name,0)),"Unknown"))</f>
        <v/>
      </c>
      <c r="K2422" s="37" t="str">
        <f aca="false">IF(D2422="","",IFERROR(INDEX(rt_Billable,MATCH(D2422,rt_Code,0)),"Unknown"))</f>
        <v/>
      </c>
      <c r="L2422" s="38" t="str">
        <f aca="false">IF(K2422&lt;&gt;"Yes","",IFERROR(INDEX(cr_Rate,MATCH(J2422&amp;"|"&amp;D2422,cr_Key,0)),INDEX(rt_Rate,MATCH(D2422,rt_Code,0))))</f>
        <v/>
      </c>
      <c r="M2422" s="25" t="str">
        <f aca="false">IF(L2422="","",ROUND(N(E2422)*L2422,2))</f>
        <v/>
      </c>
      <c r="N2422" s="39" t="str">
        <f aca="false">IF(OR(A2422="",B2422=""),"",SUMIFS(tl_Hours,tl_StaffID,I2422,tl_Date,A2422))</f>
        <v/>
      </c>
      <c r="O2422" s="40" t="str">
        <f aca="false">IF(A2422&amp;B2422&amp;D2422="","",IF(OR(A2422="",B2422="",D2422="",E2422=""),"Incomplete",IF(K2422="Unknown","Unknown code",IF(AND(K2422="Yes",C2422=""),"Billable, needs client",IF(N2422&gt;MaxDayHours,"Over "&amp;MaxDayHours&amp;" hours that day","")))))</f>
        <v/>
      </c>
    </row>
    <row r="2423" customFormat="false" ht="15" hidden="false" customHeight="false" outlineLevel="0" collapsed="false">
      <c r="A2423" s="31"/>
      <c r="B2423" s="32"/>
      <c r="C2423" s="32"/>
      <c r="D2423" s="33"/>
      <c r="E2423" s="34"/>
      <c r="F2423" s="32"/>
      <c r="G2423" s="35" t="str">
        <f aca="false">IF(A2423="","",A2423+7-WEEKDAY(A2423))</f>
        <v/>
      </c>
      <c r="H2423" s="36" t="str">
        <f aca="false">IF(A2423="","",DATE(YEAR(A2423),MONTH(A2423),1))</f>
        <v/>
      </c>
      <c r="I2423" s="37" t="str">
        <f aca="false">IF(B2423="","",IFERROR(INDEX(st_ID,MATCH(B2423,st_Name,0)),"Unknown"))</f>
        <v/>
      </c>
      <c r="J2423" s="37" t="str">
        <f aca="false">IF(C2423="","",IFERROR(INDEX(cl_Code,MATCH(C2423,cl_Name,0)),"Unknown"))</f>
        <v/>
      </c>
      <c r="K2423" s="37" t="str">
        <f aca="false">IF(D2423="","",IFERROR(INDEX(rt_Billable,MATCH(D2423,rt_Code,0)),"Unknown"))</f>
        <v/>
      </c>
      <c r="L2423" s="38" t="str">
        <f aca="false">IF(K2423&lt;&gt;"Yes","",IFERROR(INDEX(cr_Rate,MATCH(J2423&amp;"|"&amp;D2423,cr_Key,0)),INDEX(rt_Rate,MATCH(D2423,rt_Code,0))))</f>
        <v/>
      </c>
      <c r="M2423" s="25" t="str">
        <f aca="false">IF(L2423="","",ROUND(N(E2423)*L2423,2))</f>
        <v/>
      </c>
      <c r="N2423" s="39" t="str">
        <f aca="false">IF(OR(A2423="",B2423=""),"",SUMIFS(tl_Hours,tl_StaffID,I2423,tl_Date,A2423))</f>
        <v/>
      </c>
      <c r="O2423" s="40" t="str">
        <f aca="false">IF(A2423&amp;B2423&amp;D2423="","",IF(OR(A2423="",B2423="",D2423="",E2423=""),"Incomplete",IF(K2423="Unknown","Unknown code",IF(AND(K2423="Yes",C2423=""),"Billable, needs client",IF(N2423&gt;MaxDayHours,"Over "&amp;MaxDayHours&amp;" hours that day","")))))</f>
        <v/>
      </c>
    </row>
    <row r="2424" customFormat="false" ht="15" hidden="false" customHeight="false" outlineLevel="0" collapsed="false">
      <c r="A2424" s="31"/>
      <c r="B2424" s="32"/>
      <c r="C2424" s="32"/>
      <c r="D2424" s="33"/>
      <c r="E2424" s="34"/>
      <c r="F2424" s="32"/>
      <c r="G2424" s="35" t="str">
        <f aca="false">IF(A2424="","",A2424+7-WEEKDAY(A2424))</f>
        <v/>
      </c>
      <c r="H2424" s="36" t="str">
        <f aca="false">IF(A2424="","",DATE(YEAR(A2424),MONTH(A2424),1))</f>
        <v/>
      </c>
      <c r="I2424" s="37" t="str">
        <f aca="false">IF(B2424="","",IFERROR(INDEX(st_ID,MATCH(B2424,st_Name,0)),"Unknown"))</f>
        <v/>
      </c>
      <c r="J2424" s="37" t="str">
        <f aca="false">IF(C2424="","",IFERROR(INDEX(cl_Code,MATCH(C2424,cl_Name,0)),"Unknown"))</f>
        <v/>
      </c>
      <c r="K2424" s="37" t="str">
        <f aca="false">IF(D2424="","",IFERROR(INDEX(rt_Billable,MATCH(D2424,rt_Code,0)),"Unknown"))</f>
        <v/>
      </c>
      <c r="L2424" s="38" t="str">
        <f aca="false">IF(K2424&lt;&gt;"Yes","",IFERROR(INDEX(cr_Rate,MATCH(J2424&amp;"|"&amp;D2424,cr_Key,0)),INDEX(rt_Rate,MATCH(D2424,rt_Code,0))))</f>
        <v/>
      </c>
      <c r="M2424" s="25" t="str">
        <f aca="false">IF(L2424="","",ROUND(N(E2424)*L2424,2))</f>
        <v/>
      </c>
      <c r="N2424" s="39" t="str">
        <f aca="false">IF(OR(A2424="",B2424=""),"",SUMIFS(tl_Hours,tl_StaffID,I2424,tl_Date,A2424))</f>
        <v/>
      </c>
      <c r="O2424" s="40" t="str">
        <f aca="false">IF(A2424&amp;B2424&amp;D2424="","",IF(OR(A2424="",B2424="",D2424="",E2424=""),"Incomplete",IF(K2424="Unknown","Unknown code",IF(AND(K2424="Yes",C2424=""),"Billable, needs client",IF(N2424&gt;MaxDayHours,"Over "&amp;MaxDayHours&amp;" hours that day","")))))</f>
        <v/>
      </c>
    </row>
    <row r="2425" customFormat="false" ht="15" hidden="false" customHeight="false" outlineLevel="0" collapsed="false">
      <c r="A2425" s="31"/>
      <c r="B2425" s="32"/>
      <c r="C2425" s="32"/>
      <c r="D2425" s="33"/>
      <c r="E2425" s="34"/>
      <c r="F2425" s="32"/>
      <c r="G2425" s="35" t="str">
        <f aca="false">IF(A2425="","",A2425+7-WEEKDAY(A2425))</f>
        <v/>
      </c>
      <c r="H2425" s="36" t="str">
        <f aca="false">IF(A2425="","",DATE(YEAR(A2425),MONTH(A2425),1))</f>
        <v/>
      </c>
      <c r="I2425" s="37" t="str">
        <f aca="false">IF(B2425="","",IFERROR(INDEX(st_ID,MATCH(B2425,st_Name,0)),"Unknown"))</f>
        <v/>
      </c>
      <c r="J2425" s="37" t="str">
        <f aca="false">IF(C2425="","",IFERROR(INDEX(cl_Code,MATCH(C2425,cl_Name,0)),"Unknown"))</f>
        <v/>
      </c>
      <c r="K2425" s="37" t="str">
        <f aca="false">IF(D2425="","",IFERROR(INDEX(rt_Billable,MATCH(D2425,rt_Code,0)),"Unknown"))</f>
        <v/>
      </c>
      <c r="L2425" s="38" t="str">
        <f aca="false">IF(K2425&lt;&gt;"Yes","",IFERROR(INDEX(cr_Rate,MATCH(J2425&amp;"|"&amp;D2425,cr_Key,0)),INDEX(rt_Rate,MATCH(D2425,rt_Code,0))))</f>
        <v/>
      </c>
      <c r="M2425" s="25" t="str">
        <f aca="false">IF(L2425="","",ROUND(N(E2425)*L2425,2))</f>
        <v/>
      </c>
      <c r="N2425" s="39" t="str">
        <f aca="false">IF(OR(A2425="",B2425=""),"",SUMIFS(tl_Hours,tl_StaffID,I2425,tl_Date,A2425))</f>
        <v/>
      </c>
      <c r="O2425" s="40" t="str">
        <f aca="false">IF(A2425&amp;B2425&amp;D2425="","",IF(OR(A2425="",B2425="",D2425="",E2425=""),"Incomplete",IF(K2425="Unknown","Unknown code",IF(AND(K2425="Yes",C2425=""),"Billable, needs client",IF(N2425&gt;MaxDayHours,"Over "&amp;MaxDayHours&amp;" hours that day","")))))</f>
        <v/>
      </c>
    </row>
    <row r="2426" customFormat="false" ht="15" hidden="false" customHeight="false" outlineLevel="0" collapsed="false">
      <c r="A2426" s="31"/>
      <c r="B2426" s="32"/>
      <c r="C2426" s="32"/>
      <c r="D2426" s="33"/>
      <c r="E2426" s="34"/>
      <c r="F2426" s="32"/>
      <c r="G2426" s="35" t="str">
        <f aca="false">IF(A2426="","",A2426+7-WEEKDAY(A2426))</f>
        <v/>
      </c>
      <c r="H2426" s="36" t="str">
        <f aca="false">IF(A2426="","",DATE(YEAR(A2426),MONTH(A2426),1))</f>
        <v/>
      </c>
      <c r="I2426" s="37" t="str">
        <f aca="false">IF(B2426="","",IFERROR(INDEX(st_ID,MATCH(B2426,st_Name,0)),"Unknown"))</f>
        <v/>
      </c>
      <c r="J2426" s="37" t="str">
        <f aca="false">IF(C2426="","",IFERROR(INDEX(cl_Code,MATCH(C2426,cl_Name,0)),"Unknown"))</f>
        <v/>
      </c>
      <c r="K2426" s="37" t="str">
        <f aca="false">IF(D2426="","",IFERROR(INDEX(rt_Billable,MATCH(D2426,rt_Code,0)),"Unknown"))</f>
        <v/>
      </c>
      <c r="L2426" s="38" t="str">
        <f aca="false">IF(K2426&lt;&gt;"Yes","",IFERROR(INDEX(cr_Rate,MATCH(J2426&amp;"|"&amp;D2426,cr_Key,0)),INDEX(rt_Rate,MATCH(D2426,rt_Code,0))))</f>
        <v/>
      </c>
      <c r="M2426" s="25" t="str">
        <f aca="false">IF(L2426="","",ROUND(N(E2426)*L2426,2))</f>
        <v/>
      </c>
      <c r="N2426" s="39" t="str">
        <f aca="false">IF(OR(A2426="",B2426=""),"",SUMIFS(tl_Hours,tl_StaffID,I2426,tl_Date,A2426))</f>
        <v/>
      </c>
      <c r="O2426" s="40" t="str">
        <f aca="false">IF(A2426&amp;B2426&amp;D2426="","",IF(OR(A2426="",B2426="",D2426="",E2426=""),"Incomplete",IF(K2426="Unknown","Unknown code",IF(AND(K2426="Yes",C2426=""),"Billable, needs client",IF(N2426&gt;MaxDayHours,"Over "&amp;MaxDayHours&amp;" hours that day","")))))</f>
        <v/>
      </c>
    </row>
    <row r="2427" customFormat="false" ht="15" hidden="false" customHeight="false" outlineLevel="0" collapsed="false">
      <c r="A2427" s="31"/>
      <c r="B2427" s="32"/>
      <c r="C2427" s="32"/>
      <c r="D2427" s="33"/>
      <c r="E2427" s="34"/>
      <c r="F2427" s="32"/>
      <c r="G2427" s="35" t="str">
        <f aca="false">IF(A2427="","",A2427+7-WEEKDAY(A2427))</f>
        <v/>
      </c>
      <c r="H2427" s="36" t="str">
        <f aca="false">IF(A2427="","",DATE(YEAR(A2427),MONTH(A2427),1))</f>
        <v/>
      </c>
      <c r="I2427" s="37" t="str">
        <f aca="false">IF(B2427="","",IFERROR(INDEX(st_ID,MATCH(B2427,st_Name,0)),"Unknown"))</f>
        <v/>
      </c>
      <c r="J2427" s="37" t="str">
        <f aca="false">IF(C2427="","",IFERROR(INDEX(cl_Code,MATCH(C2427,cl_Name,0)),"Unknown"))</f>
        <v/>
      </c>
      <c r="K2427" s="37" t="str">
        <f aca="false">IF(D2427="","",IFERROR(INDEX(rt_Billable,MATCH(D2427,rt_Code,0)),"Unknown"))</f>
        <v/>
      </c>
      <c r="L2427" s="38" t="str">
        <f aca="false">IF(K2427&lt;&gt;"Yes","",IFERROR(INDEX(cr_Rate,MATCH(J2427&amp;"|"&amp;D2427,cr_Key,0)),INDEX(rt_Rate,MATCH(D2427,rt_Code,0))))</f>
        <v/>
      </c>
      <c r="M2427" s="25" t="str">
        <f aca="false">IF(L2427="","",ROUND(N(E2427)*L2427,2))</f>
        <v/>
      </c>
      <c r="N2427" s="39" t="str">
        <f aca="false">IF(OR(A2427="",B2427=""),"",SUMIFS(tl_Hours,tl_StaffID,I2427,tl_Date,A2427))</f>
        <v/>
      </c>
      <c r="O2427" s="40" t="str">
        <f aca="false">IF(A2427&amp;B2427&amp;D2427="","",IF(OR(A2427="",B2427="",D2427="",E2427=""),"Incomplete",IF(K2427="Unknown","Unknown code",IF(AND(K2427="Yes",C2427=""),"Billable, needs client",IF(N2427&gt;MaxDayHours,"Over "&amp;MaxDayHours&amp;" hours that day","")))))</f>
        <v/>
      </c>
    </row>
    <row r="2428" customFormat="false" ht="15" hidden="false" customHeight="false" outlineLevel="0" collapsed="false">
      <c r="A2428" s="31"/>
      <c r="B2428" s="32"/>
      <c r="C2428" s="32"/>
      <c r="D2428" s="33"/>
      <c r="E2428" s="34"/>
      <c r="F2428" s="32"/>
      <c r="G2428" s="35" t="str">
        <f aca="false">IF(A2428="","",A2428+7-WEEKDAY(A2428))</f>
        <v/>
      </c>
      <c r="H2428" s="36" t="str">
        <f aca="false">IF(A2428="","",DATE(YEAR(A2428),MONTH(A2428),1))</f>
        <v/>
      </c>
      <c r="I2428" s="37" t="str">
        <f aca="false">IF(B2428="","",IFERROR(INDEX(st_ID,MATCH(B2428,st_Name,0)),"Unknown"))</f>
        <v/>
      </c>
      <c r="J2428" s="37" t="str">
        <f aca="false">IF(C2428="","",IFERROR(INDEX(cl_Code,MATCH(C2428,cl_Name,0)),"Unknown"))</f>
        <v/>
      </c>
      <c r="K2428" s="37" t="str">
        <f aca="false">IF(D2428="","",IFERROR(INDEX(rt_Billable,MATCH(D2428,rt_Code,0)),"Unknown"))</f>
        <v/>
      </c>
      <c r="L2428" s="38" t="str">
        <f aca="false">IF(K2428&lt;&gt;"Yes","",IFERROR(INDEX(cr_Rate,MATCH(J2428&amp;"|"&amp;D2428,cr_Key,0)),INDEX(rt_Rate,MATCH(D2428,rt_Code,0))))</f>
        <v/>
      </c>
      <c r="M2428" s="25" t="str">
        <f aca="false">IF(L2428="","",ROUND(N(E2428)*L2428,2))</f>
        <v/>
      </c>
      <c r="N2428" s="39" t="str">
        <f aca="false">IF(OR(A2428="",B2428=""),"",SUMIFS(tl_Hours,tl_StaffID,I2428,tl_Date,A2428))</f>
        <v/>
      </c>
      <c r="O2428" s="40" t="str">
        <f aca="false">IF(A2428&amp;B2428&amp;D2428="","",IF(OR(A2428="",B2428="",D2428="",E2428=""),"Incomplete",IF(K2428="Unknown","Unknown code",IF(AND(K2428="Yes",C2428=""),"Billable, needs client",IF(N2428&gt;MaxDayHours,"Over "&amp;MaxDayHours&amp;" hours that day","")))))</f>
        <v/>
      </c>
    </row>
    <row r="2429" customFormat="false" ht="15" hidden="false" customHeight="false" outlineLevel="0" collapsed="false">
      <c r="A2429" s="31"/>
      <c r="B2429" s="32"/>
      <c r="C2429" s="32"/>
      <c r="D2429" s="33"/>
      <c r="E2429" s="34"/>
      <c r="F2429" s="32"/>
      <c r="G2429" s="35" t="str">
        <f aca="false">IF(A2429="","",A2429+7-WEEKDAY(A2429))</f>
        <v/>
      </c>
      <c r="H2429" s="36" t="str">
        <f aca="false">IF(A2429="","",DATE(YEAR(A2429),MONTH(A2429),1))</f>
        <v/>
      </c>
      <c r="I2429" s="37" t="str">
        <f aca="false">IF(B2429="","",IFERROR(INDEX(st_ID,MATCH(B2429,st_Name,0)),"Unknown"))</f>
        <v/>
      </c>
      <c r="J2429" s="37" t="str">
        <f aca="false">IF(C2429="","",IFERROR(INDEX(cl_Code,MATCH(C2429,cl_Name,0)),"Unknown"))</f>
        <v/>
      </c>
      <c r="K2429" s="37" t="str">
        <f aca="false">IF(D2429="","",IFERROR(INDEX(rt_Billable,MATCH(D2429,rt_Code,0)),"Unknown"))</f>
        <v/>
      </c>
      <c r="L2429" s="38" t="str">
        <f aca="false">IF(K2429&lt;&gt;"Yes","",IFERROR(INDEX(cr_Rate,MATCH(J2429&amp;"|"&amp;D2429,cr_Key,0)),INDEX(rt_Rate,MATCH(D2429,rt_Code,0))))</f>
        <v/>
      </c>
      <c r="M2429" s="25" t="str">
        <f aca="false">IF(L2429="","",ROUND(N(E2429)*L2429,2))</f>
        <v/>
      </c>
      <c r="N2429" s="39" t="str">
        <f aca="false">IF(OR(A2429="",B2429=""),"",SUMIFS(tl_Hours,tl_StaffID,I2429,tl_Date,A2429))</f>
        <v/>
      </c>
      <c r="O2429" s="40" t="str">
        <f aca="false">IF(A2429&amp;B2429&amp;D2429="","",IF(OR(A2429="",B2429="",D2429="",E2429=""),"Incomplete",IF(K2429="Unknown","Unknown code",IF(AND(K2429="Yes",C2429=""),"Billable, needs client",IF(N2429&gt;MaxDayHours,"Over "&amp;MaxDayHours&amp;" hours that day","")))))</f>
        <v/>
      </c>
    </row>
    <row r="2430" customFormat="false" ht="15" hidden="false" customHeight="false" outlineLevel="0" collapsed="false">
      <c r="A2430" s="31"/>
      <c r="B2430" s="32"/>
      <c r="C2430" s="32"/>
      <c r="D2430" s="33"/>
      <c r="E2430" s="34"/>
      <c r="F2430" s="32"/>
      <c r="G2430" s="35" t="str">
        <f aca="false">IF(A2430="","",A2430+7-WEEKDAY(A2430))</f>
        <v/>
      </c>
      <c r="H2430" s="36" t="str">
        <f aca="false">IF(A2430="","",DATE(YEAR(A2430),MONTH(A2430),1))</f>
        <v/>
      </c>
      <c r="I2430" s="37" t="str">
        <f aca="false">IF(B2430="","",IFERROR(INDEX(st_ID,MATCH(B2430,st_Name,0)),"Unknown"))</f>
        <v/>
      </c>
      <c r="J2430" s="37" t="str">
        <f aca="false">IF(C2430="","",IFERROR(INDEX(cl_Code,MATCH(C2430,cl_Name,0)),"Unknown"))</f>
        <v/>
      </c>
      <c r="K2430" s="37" t="str">
        <f aca="false">IF(D2430="","",IFERROR(INDEX(rt_Billable,MATCH(D2430,rt_Code,0)),"Unknown"))</f>
        <v/>
      </c>
      <c r="L2430" s="38" t="str">
        <f aca="false">IF(K2430&lt;&gt;"Yes","",IFERROR(INDEX(cr_Rate,MATCH(J2430&amp;"|"&amp;D2430,cr_Key,0)),INDEX(rt_Rate,MATCH(D2430,rt_Code,0))))</f>
        <v/>
      </c>
      <c r="M2430" s="25" t="str">
        <f aca="false">IF(L2430="","",ROUND(N(E2430)*L2430,2))</f>
        <v/>
      </c>
      <c r="N2430" s="39" t="str">
        <f aca="false">IF(OR(A2430="",B2430=""),"",SUMIFS(tl_Hours,tl_StaffID,I2430,tl_Date,A2430))</f>
        <v/>
      </c>
      <c r="O2430" s="40" t="str">
        <f aca="false">IF(A2430&amp;B2430&amp;D2430="","",IF(OR(A2430="",B2430="",D2430="",E2430=""),"Incomplete",IF(K2430="Unknown","Unknown code",IF(AND(K2430="Yes",C2430=""),"Billable, needs client",IF(N2430&gt;MaxDayHours,"Over "&amp;MaxDayHours&amp;" hours that day","")))))</f>
        <v/>
      </c>
    </row>
    <row r="2431" customFormat="false" ht="15" hidden="false" customHeight="false" outlineLevel="0" collapsed="false">
      <c r="A2431" s="31"/>
      <c r="B2431" s="32"/>
      <c r="C2431" s="32"/>
      <c r="D2431" s="33"/>
      <c r="E2431" s="34"/>
      <c r="F2431" s="32"/>
      <c r="G2431" s="35" t="str">
        <f aca="false">IF(A2431="","",A2431+7-WEEKDAY(A2431))</f>
        <v/>
      </c>
      <c r="H2431" s="36" t="str">
        <f aca="false">IF(A2431="","",DATE(YEAR(A2431),MONTH(A2431),1))</f>
        <v/>
      </c>
      <c r="I2431" s="37" t="str">
        <f aca="false">IF(B2431="","",IFERROR(INDEX(st_ID,MATCH(B2431,st_Name,0)),"Unknown"))</f>
        <v/>
      </c>
      <c r="J2431" s="37" t="str">
        <f aca="false">IF(C2431="","",IFERROR(INDEX(cl_Code,MATCH(C2431,cl_Name,0)),"Unknown"))</f>
        <v/>
      </c>
      <c r="K2431" s="37" t="str">
        <f aca="false">IF(D2431="","",IFERROR(INDEX(rt_Billable,MATCH(D2431,rt_Code,0)),"Unknown"))</f>
        <v/>
      </c>
      <c r="L2431" s="38" t="str">
        <f aca="false">IF(K2431&lt;&gt;"Yes","",IFERROR(INDEX(cr_Rate,MATCH(J2431&amp;"|"&amp;D2431,cr_Key,0)),INDEX(rt_Rate,MATCH(D2431,rt_Code,0))))</f>
        <v/>
      </c>
      <c r="M2431" s="25" t="str">
        <f aca="false">IF(L2431="","",ROUND(N(E2431)*L2431,2))</f>
        <v/>
      </c>
      <c r="N2431" s="39" t="str">
        <f aca="false">IF(OR(A2431="",B2431=""),"",SUMIFS(tl_Hours,tl_StaffID,I2431,tl_Date,A2431))</f>
        <v/>
      </c>
      <c r="O2431" s="40" t="str">
        <f aca="false">IF(A2431&amp;B2431&amp;D2431="","",IF(OR(A2431="",B2431="",D2431="",E2431=""),"Incomplete",IF(K2431="Unknown","Unknown code",IF(AND(K2431="Yes",C2431=""),"Billable, needs client",IF(N2431&gt;MaxDayHours,"Over "&amp;MaxDayHours&amp;" hours that day","")))))</f>
        <v/>
      </c>
    </row>
    <row r="2432" customFormat="false" ht="15" hidden="false" customHeight="false" outlineLevel="0" collapsed="false">
      <c r="A2432" s="31"/>
      <c r="B2432" s="32"/>
      <c r="C2432" s="32"/>
      <c r="D2432" s="33"/>
      <c r="E2432" s="34"/>
      <c r="F2432" s="32"/>
      <c r="G2432" s="35" t="str">
        <f aca="false">IF(A2432="","",A2432+7-WEEKDAY(A2432))</f>
        <v/>
      </c>
      <c r="H2432" s="36" t="str">
        <f aca="false">IF(A2432="","",DATE(YEAR(A2432),MONTH(A2432),1))</f>
        <v/>
      </c>
      <c r="I2432" s="37" t="str">
        <f aca="false">IF(B2432="","",IFERROR(INDEX(st_ID,MATCH(B2432,st_Name,0)),"Unknown"))</f>
        <v/>
      </c>
      <c r="J2432" s="37" t="str">
        <f aca="false">IF(C2432="","",IFERROR(INDEX(cl_Code,MATCH(C2432,cl_Name,0)),"Unknown"))</f>
        <v/>
      </c>
      <c r="K2432" s="37" t="str">
        <f aca="false">IF(D2432="","",IFERROR(INDEX(rt_Billable,MATCH(D2432,rt_Code,0)),"Unknown"))</f>
        <v/>
      </c>
      <c r="L2432" s="38" t="str">
        <f aca="false">IF(K2432&lt;&gt;"Yes","",IFERROR(INDEX(cr_Rate,MATCH(J2432&amp;"|"&amp;D2432,cr_Key,0)),INDEX(rt_Rate,MATCH(D2432,rt_Code,0))))</f>
        <v/>
      </c>
      <c r="M2432" s="25" t="str">
        <f aca="false">IF(L2432="","",ROUND(N(E2432)*L2432,2))</f>
        <v/>
      </c>
      <c r="N2432" s="39" t="str">
        <f aca="false">IF(OR(A2432="",B2432=""),"",SUMIFS(tl_Hours,tl_StaffID,I2432,tl_Date,A2432))</f>
        <v/>
      </c>
      <c r="O2432" s="40" t="str">
        <f aca="false">IF(A2432&amp;B2432&amp;D2432="","",IF(OR(A2432="",B2432="",D2432="",E2432=""),"Incomplete",IF(K2432="Unknown","Unknown code",IF(AND(K2432="Yes",C2432=""),"Billable, needs client",IF(N2432&gt;MaxDayHours,"Over "&amp;MaxDayHours&amp;" hours that day","")))))</f>
        <v/>
      </c>
    </row>
    <row r="2433" customFormat="false" ht="15" hidden="false" customHeight="false" outlineLevel="0" collapsed="false">
      <c r="A2433" s="31"/>
      <c r="B2433" s="32"/>
      <c r="C2433" s="32"/>
      <c r="D2433" s="33"/>
      <c r="E2433" s="34"/>
      <c r="F2433" s="32"/>
      <c r="G2433" s="35" t="str">
        <f aca="false">IF(A2433="","",A2433+7-WEEKDAY(A2433))</f>
        <v/>
      </c>
      <c r="H2433" s="36" t="str">
        <f aca="false">IF(A2433="","",DATE(YEAR(A2433),MONTH(A2433),1))</f>
        <v/>
      </c>
      <c r="I2433" s="37" t="str">
        <f aca="false">IF(B2433="","",IFERROR(INDEX(st_ID,MATCH(B2433,st_Name,0)),"Unknown"))</f>
        <v/>
      </c>
      <c r="J2433" s="37" t="str">
        <f aca="false">IF(C2433="","",IFERROR(INDEX(cl_Code,MATCH(C2433,cl_Name,0)),"Unknown"))</f>
        <v/>
      </c>
      <c r="K2433" s="37" t="str">
        <f aca="false">IF(D2433="","",IFERROR(INDEX(rt_Billable,MATCH(D2433,rt_Code,0)),"Unknown"))</f>
        <v/>
      </c>
      <c r="L2433" s="38" t="str">
        <f aca="false">IF(K2433&lt;&gt;"Yes","",IFERROR(INDEX(cr_Rate,MATCH(J2433&amp;"|"&amp;D2433,cr_Key,0)),INDEX(rt_Rate,MATCH(D2433,rt_Code,0))))</f>
        <v/>
      </c>
      <c r="M2433" s="25" t="str">
        <f aca="false">IF(L2433="","",ROUND(N(E2433)*L2433,2))</f>
        <v/>
      </c>
      <c r="N2433" s="39" t="str">
        <f aca="false">IF(OR(A2433="",B2433=""),"",SUMIFS(tl_Hours,tl_StaffID,I2433,tl_Date,A2433))</f>
        <v/>
      </c>
      <c r="O2433" s="40" t="str">
        <f aca="false">IF(A2433&amp;B2433&amp;D2433="","",IF(OR(A2433="",B2433="",D2433="",E2433=""),"Incomplete",IF(K2433="Unknown","Unknown code",IF(AND(K2433="Yes",C2433=""),"Billable, needs client",IF(N2433&gt;MaxDayHours,"Over "&amp;MaxDayHours&amp;" hours that day","")))))</f>
        <v/>
      </c>
    </row>
    <row r="2434" customFormat="false" ht="15" hidden="false" customHeight="false" outlineLevel="0" collapsed="false">
      <c r="A2434" s="31"/>
      <c r="B2434" s="32"/>
      <c r="C2434" s="32"/>
      <c r="D2434" s="33"/>
      <c r="E2434" s="34"/>
      <c r="F2434" s="32"/>
      <c r="G2434" s="35" t="str">
        <f aca="false">IF(A2434="","",A2434+7-WEEKDAY(A2434))</f>
        <v/>
      </c>
      <c r="H2434" s="36" t="str">
        <f aca="false">IF(A2434="","",DATE(YEAR(A2434),MONTH(A2434),1))</f>
        <v/>
      </c>
      <c r="I2434" s="37" t="str">
        <f aca="false">IF(B2434="","",IFERROR(INDEX(st_ID,MATCH(B2434,st_Name,0)),"Unknown"))</f>
        <v/>
      </c>
      <c r="J2434" s="37" t="str">
        <f aca="false">IF(C2434="","",IFERROR(INDEX(cl_Code,MATCH(C2434,cl_Name,0)),"Unknown"))</f>
        <v/>
      </c>
      <c r="K2434" s="37" t="str">
        <f aca="false">IF(D2434="","",IFERROR(INDEX(rt_Billable,MATCH(D2434,rt_Code,0)),"Unknown"))</f>
        <v/>
      </c>
      <c r="L2434" s="38" t="str">
        <f aca="false">IF(K2434&lt;&gt;"Yes","",IFERROR(INDEX(cr_Rate,MATCH(J2434&amp;"|"&amp;D2434,cr_Key,0)),INDEX(rt_Rate,MATCH(D2434,rt_Code,0))))</f>
        <v/>
      </c>
      <c r="M2434" s="25" t="str">
        <f aca="false">IF(L2434="","",ROUND(N(E2434)*L2434,2))</f>
        <v/>
      </c>
      <c r="N2434" s="39" t="str">
        <f aca="false">IF(OR(A2434="",B2434=""),"",SUMIFS(tl_Hours,tl_StaffID,I2434,tl_Date,A2434))</f>
        <v/>
      </c>
      <c r="O2434" s="40" t="str">
        <f aca="false">IF(A2434&amp;B2434&amp;D2434="","",IF(OR(A2434="",B2434="",D2434="",E2434=""),"Incomplete",IF(K2434="Unknown","Unknown code",IF(AND(K2434="Yes",C2434=""),"Billable, needs client",IF(N2434&gt;MaxDayHours,"Over "&amp;MaxDayHours&amp;" hours that day","")))))</f>
        <v/>
      </c>
    </row>
    <row r="2435" customFormat="false" ht="15" hidden="false" customHeight="false" outlineLevel="0" collapsed="false">
      <c r="A2435" s="31"/>
      <c r="B2435" s="32"/>
      <c r="C2435" s="32"/>
      <c r="D2435" s="33"/>
      <c r="E2435" s="34"/>
      <c r="F2435" s="32"/>
      <c r="G2435" s="35" t="str">
        <f aca="false">IF(A2435="","",A2435+7-WEEKDAY(A2435))</f>
        <v/>
      </c>
      <c r="H2435" s="36" t="str">
        <f aca="false">IF(A2435="","",DATE(YEAR(A2435),MONTH(A2435),1))</f>
        <v/>
      </c>
      <c r="I2435" s="37" t="str">
        <f aca="false">IF(B2435="","",IFERROR(INDEX(st_ID,MATCH(B2435,st_Name,0)),"Unknown"))</f>
        <v/>
      </c>
      <c r="J2435" s="37" t="str">
        <f aca="false">IF(C2435="","",IFERROR(INDEX(cl_Code,MATCH(C2435,cl_Name,0)),"Unknown"))</f>
        <v/>
      </c>
      <c r="K2435" s="37" t="str">
        <f aca="false">IF(D2435="","",IFERROR(INDEX(rt_Billable,MATCH(D2435,rt_Code,0)),"Unknown"))</f>
        <v/>
      </c>
      <c r="L2435" s="38" t="str">
        <f aca="false">IF(K2435&lt;&gt;"Yes","",IFERROR(INDEX(cr_Rate,MATCH(J2435&amp;"|"&amp;D2435,cr_Key,0)),INDEX(rt_Rate,MATCH(D2435,rt_Code,0))))</f>
        <v/>
      </c>
      <c r="M2435" s="25" t="str">
        <f aca="false">IF(L2435="","",ROUND(N(E2435)*L2435,2))</f>
        <v/>
      </c>
      <c r="N2435" s="39" t="str">
        <f aca="false">IF(OR(A2435="",B2435=""),"",SUMIFS(tl_Hours,tl_StaffID,I2435,tl_Date,A2435))</f>
        <v/>
      </c>
      <c r="O2435" s="40" t="str">
        <f aca="false">IF(A2435&amp;B2435&amp;D2435="","",IF(OR(A2435="",B2435="",D2435="",E2435=""),"Incomplete",IF(K2435="Unknown","Unknown code",IF(AND(K2435="Yes",C2435=""),"Billable, needs client",IF(N2435&gt;MaxDayHours,"Over "&amp;MaxDayHours&amp;" hours that day","")))))</f>
        <v/>
      </c>
    </row>
    <row r="2436" customFormat="false" ht="15" hidden="false" customHeight="false" outlineLevel="0" collapsed="false">
      <c r="A2436" s="31"/>
      <c r="B2436" s="32"/>
      <c r="C2436" s="32"/>
      <c r="D2436" s="33"/>
      <c r="E2436" s="34"/>
      <c r="F2436" s="32"/>
      <c r="G2436" s="35" t="str">
        <f aca="false">IF(A2436="","",A2436+7-WEEKDAY(A2436))</f>
        <v/>
      </c>
      <c r="H2436" s="36" t="str">
        <f aca="false">IF(A2436="","",DATE(YEAR(A2436),MONTH(A2436),1))</f>
        <v/>
      </c>
      <c r="I2436" s="37" t="str">
        <f aca="false">IF(B2436="","",IFERROR(INDEX(st_ID,MATCH(B2436,st_Name,0)),"Unknown"))</f>
        <v/>
      </c>
      <c r="J2436" s="37" t="str">
        <f aca="false">IF(C2436="","",IFERROR(INDEX(cl_Code,MATCH(C2436,cl_Name,0)),"Unknown"))</f>
        <v/>
      </c>
      <c r="K2436" s="37" t="str">
        <f aca="false">IF(D2436="","",IFERROR(INDEX(rt_Billable,MATCH(D2436,rt_Code,0)),"Unknown"))</f>
        <v/>
      </c>
      <c r="L2436" s="38" t="str">
        <f aca="false">IF(K2436&lt;&gt;"Yes","",IFERROR(INDEX(cr_Rate,MATCH(J2436&amp;"|"&amp;D2436,cr_Key,0)),INDEX(rt_Rate,MATCH(D2436,rt_Code,0))))</f>
        <v/>
      </c>
      <c r="M2436" s="25" t="str">
        <f aca="false">IF(L2436="","",ROUND(N(E2436)*L2436,2))</f>
        <v/>
      </c>
      <c r="N2436" s="39" t="str">
        <f aca="false">IF(OR(A2436="",B2436=""),"",SUMIFS(tl_Hours,tl_StaffID,I2436,tl_Date,A2436))</f>
        <v/>
      </c>
      <c r="O2436" s="40" t="str">
        <f aca="false">IF(A2436&amp;B2436&amp;D2436="","",IF(OR(A2436="",B2436="",D2436="",E2436=""),"Incomplete",IF(K2436="Unknown","Unknown code",IF(AND(K2436="Yes",C2436=""),"Billable, needs client",IF(N2436&gt;MaxDayHours,"Over "&amp;MaxDayHours&amp;" hours that day","")))))</f>
        <v/>
      </c>
    </row>
    <row r="2437" customFormat="false" ht="15" hidden="false" customHeight="false" outlineLevel="0" collapsed="false">
      <c r="A2437" s="31"/>
      <c r="B2437" s="32"/>
      <c r="C2437" s="32"/>
      <c r="D2437" s="33"/>
      <c r="E2437" s="34"/>
      <c r="F2437" s="32"/>
      <c r="G2437" s="35" t="str">
        <f aca="false">IF(A2437="","",A2437+7-WEEKDAY(A2437))</f>
        <v/>
      </c>
      <c r="H2437" s="36" t="str">
        <f aca="false">IF(A2437="","",DATE(YEAR(A2437),MONTH(A2437),1))</f>
        <v/>
      </c>
      <c r="I2437" s="37" t="str">
        <f aca="false">IF(B2437="","",IFERROR(INDEX(st_ID,MATCH(B2437,st_Name,0)),"Unknown"))</f>
        <v/>
      </c>
      <c r="J2437" s="37" t="str">
        <f aca="false">IF(C2437="","",IFERROR(INDEX(cl_Code,MATCH(C2437,cl_Name,0)),"Unknown"))</f>
        <v/>
      </c>
      <c r="K2437" s="37" t="str">
        <f aca="false">IF(D2437="","",IFERROR(INDEX(rt_Billable,MATCH(D2437,rt_Code,0)),"Unknown"))</f>
        <v/>
      </c>
      <c r="L2437" s="38" t="str">
        <f aca="false">IF(K2437&lt;&gt;"Yes","",IFERROR(INDEX(cr_Rate,MATCH(J2437&amp;"|"&amp;D2437,cr_Key,0)),INDEX(rt_Rate,MATCH(D2437,rt_Code,0))))</f>
        <v/>
      </c>
      <c r="M2437" s="25" t="str">
        <f aca="false">IF(L2437="","",ROUND(N(E2437)*L2437,2))</f>
        <v/>
      </c>
      <c r="N2437" s="39" t="str">
        <f aca="false">IF(OR(A2437="",B2437=""),"",SUMIFS(tl_Hours,tl_StaffID,I2437,tl_Date,A2437))</f>
        <v/>
      </c>
      <c r="O2437" s="40" t="str">
        <f aca="false">IF(A2437&amp;B2437&amp;D2437="","",IF(OR(A2437="",B2437="",D2437="",E2437=""),"Incomplete",IF(K2437="Unknown","Unknown code",IF(AND(K2437="Yes",C2437=""),"Billable, needs client",IF(N2437&gt;MaxDayHours,"Over "&amp;MaxDayHours&amp;" hours that day","")))))</f>
        <v/>
      </c>
    </row>
    <row r="2438" customFormat="false" ht="15" hidden="false" customHeight="false" outlineLevel="0" collapsed="false">
      <c r="A2438" s="31"/>
      <c r="B2438" s="32"/>
      <c r="C2438" s="32"/>
      <c r="D2438" s="33"/>
      <c r="E2438" s="34"/>
      <c r="F2438" s="32"/>
      <c r="G2438" s="35" t="str">
        <f aca="false">IF(A2438="","",A2438+7-WEEKDAY(A2438))</f>
        <v/>
      </c>
      <c r="H2438" s="36" t="str">
        <f aca="false">IF(A2438="","",DATE(YEAR(A2438),MONTH(A2438),1))</f>
        <v/>
      </c>
      <c r="I2438" s="37" t="str">
        <f aca="false">IF(B2438="","",IFERROR(INDEX(st_ID,MATCH(B2438,st_Name,0)),"Unknown"))</f>
        <v/>
      </c>
      <c r="J2438" s="37" t="str">
        <f aca="false">IF(C2438="","",IFERROR(INDEX(cl_Code,MATCH(C2438,cl_Name,0)),"Unknown"))</f>
        <v/>
      </c>
      <c r="K2438" s="37" t="str">
        <f aca="false">IF(D2438="","",IFERROR(INDEX(rt_Billable,MATCH(D2438,rt_Code,0)),"Unknown"))</f>
        <v/>
      </c>
      <c r="L2438" s="38" t="str">
        <f aca="false">IF(K2438&lt;&gt;"Yes","",IFERROR(INDEX(cr_Rate,MATCH(J2438&amp;"|"&amp;D2438,cr_Key,0)),INDEX(rt_Rate,MATCH(D2438,rt_Code,0))))</f>
        <v/>
      </c>
      <c r="M2438" s="25" t="str">
        <f aca="false">IF(L2438="","",ROUND(N(E2438)*L2438,2))</f>
        <v/>
      </c>
      <c r="N2438" s="39" t="str">
        <f aca="false">IF(OR(A2438="",B2438=""),"",SUMIFS(tl_Hours,tl_StaffID,I2438,tl_Date,A2438))</f>
        <v/>
      </c>
      <c r="O2438" s="40" t="str">
        <f aca="false">IF(A2438&amp;B2438&amp;D2438="","",IF(OR(A2438="",B2438="",D2438="",E2438=""),"Incomplete",IF(K2438="Unknown","Unknown code",IF(AND(K2438="Yes",C2438=""),"Billable, needs client",IF(N2438&gt;MaxDayHours,"Over "&amp;MaxDayHours&amp;" hours that day","")))))</f>
        <v/>
      </c>
    </row>
    <row r="2439" customFormat="false" ht="15" hidden="false" customHeight="false" outlineLevel="0" collapsed="false">
      <c r="A2439" s="31"/>
      <c r="B2439" s="32"/>
      <c r="C2439" s="32"/>
      <c r="D2439" s="33"/>
      <c r="E2439" s="34"/>
      <c r="F2439" s="32"/>
      <c r="G2439" s="35" t="str">
        <f aca="false">IF(A2439="","",A2439+7-WEEKDAY(A2439))</f>
        <v/>
      </c>
      <c r="H2439" s="36" t="str">
        <f aca="false">IF(A2439="","",DATE(YEAR(A2439),MONTH(A2439),1))</f>
        <v/>
      </c>
      <c r="I2439" s="37" t="str">
        <f aca="false">IF(B2439="","",IFERROR(INDEX(st_ID,MATCH(B2439,st_Name,0)),"Unknown"))</f>
        <v/>
      </c>
      <c r="J2439" s="37" t="str">
        <f aca="false">IF(C2439="","",IFERROR(INDEX(cl_Code,MATCH(C2439,cl_Name,0)),"Unknown"))</f>
        <v/>
      </c>
      <c r="K2439" s="37" t="str">
        <f aca="false">IF(D2439="","",IFERROR(INDEX(rt_Billable,MATCH(D2439,rt_Code,0)),"Unknown"))</f>
        <v/>
      </c>
      <c r="L2439" s="38" t="str">
        <f aca="false">IF(K2439&lt;&gt;"Yes","",IFERROR(INDEX(cr_Rate,MATCH(J2439&amp;"|"&amp;D2439,cr_Key,0)),INDEX(rt_Rate,MATCH(D2439,rt_Code,0))))</f>
        <v/>
      </c>
      <c r="M2439" s="25" t="str">
        <f aca="false">IF(L2439="","",ROUND(N(E2439)*L2439,2))</f>
        <v/>
      </c>
      <c r="N2439" s="39" t="str">
        <f aca="false">IF(OR(A2439="",B2439=""),"",SUMIFS(tl_Hours,tl_StaffID,I2439,tl_Date,A2439))</f>
        <v/>
      </c>
      <c r="O2439" s="40" t="str">
        <f aca="false">IF(A2439&amp;B2439&amp;D2439="","",IF(OR(A2439="",B2439="",D2439="",E2439=""),"Incomplete",IF(K2439="Unknown","Unknown code",IF(AND(K2439="Yes",C2439=""),"Billable, needs client",IF(N2439&gt;MaxDayHours,"Over "&amp;MaxDayHours&amp;" hours that day","")))))</f>
        <v/>
      </c>
    </row>
    <row r="2440" customFormat="false" ht="15" hidden="false" customHeight="false" outlineLevel="0" collapsed="false">
      <c r="A2440" s="31"/>
      <c r="B2440" s="32"/>
      <c r="C2440" s="32"/>
      <c r="D2440" s="33"/>
      <c r="E2440" s="34"/>
      <c r="F2440" s="32"/>
      <c r="G2440" s="35" t="str">
        <f aca="false">IF(A2440="","",A2440+7-WEEKDAY(A2440))</f>
        <v/>
      </c>
      <c r="H2440" s="36" t="str">
        <f aca="false">IF(A2440="","",DATE(YEAR(A2440),MONTH(A2440),1))</f>
        <v/>
      </c>
      <c r="I2440" s="37" t="str">
        <f aca="false">IF(B2440="","",IFERROR(INDEX(st_ID,MATCH(B2440,st_Name,0)),"Unknown"))</f>
        <v/>
      </c>
      <c r="J2440" s="37" t="str">
        <f aca="false">IF(C2440="","",IFERROR(INDEX(cl_Code,MATCH(C2440,cl_Name,0)),"Unknown"))</f>
        <v/>
      </c>
      <c r="K2440" s="37" t="str">
        <f aca="false">IF(D2440="","",IFERROR(INDEX(rt_Billable,MATCH(D2440,rt_Code,0)),"Unknown"))</f>
        <v/>
      </c>
      <c r="L2440" s="38" t="str">
        <f aca="false">IF(K2440&lt;&gt;"Yes","",IFERROR(INDEX(cr_Rate,MATCH(J2440&amp;"|"&amp;D2440,cr_Key,0)),INDEX(rt_Rate,MATCH(D2440,rt_Code,0))))</f>
        <v/>
      </c>
      <c r="M2440" s="25" t="str">
        <f aca="false">IF(L2440="","",ROUND(N(E2440)*L2440,2))</f>
        <v/>
      </c>
      <c r="N2440" s="39" t="str">
        <f aca="false">IF(OR(A2440="",B2440=""),"",SUMIFS(tl_Hours,tl_StaffID,I2440,tl_Date,A2440))</f>
        <v/>
      </c>
      <c r="O2440" s="40" t="str">
        <f aca="false">IF(A2440&amp;B2440&amp;D2440="","",IF(OR(A2440="",B2440="",D2440="",E2440=""),"Incomplete",IF(K2440="Unknown","Unknown code",IF(AND(K2440="Yes",C2440=""),"Billable, needs client",IF(N2440&gt;MaxDayHours,"Over "&amp;MaxDayHours&amp;" hours that day","")))))</f>
        <v/>
      </c>
    </row>
    <row r="2441" customFormat="false" ht="15" hidden="false" customHeight="false" outlineLevel="0" collapsed="false">
      <c r="A2441" s="31"/>
      <c r="B2441" s="32"/>
      <c r="C2441" s="32"/>
      <c r="D2441" s="33"/>
      <c r="E2441" s="34"/>
      <c r="F2441" s="32"/>
      <c r="G2441" s="35" t="str">
        <f aca="false">IF(A2441="","",A2441+7-WEEKDAY(A2441))</f>
        <v/>
      </c>
      <c r="H2441" s="36" t="str">
        <f aca="false">IF(A2441="","",DATE(YEAR(A2441),MONTH(A2441),1))</f>
        <v/>
      </c>
      <c r="I2441" s="37" t="str">
        <f aca="false">IF(B2441="","",IFERROR(INDEX(st_ID,MATCH(B2441,st_Name,0)),"Unknown"))</f>
        <v/>
      </c>
      <c r="J2441" s="37" t="str">
        <f aca="false">IF(C2441="","",IFERROR(INDEX(cl_Code,MATCH(C2441,cl_Name,0)),"Unknown"))</f>
        <v/>
      </c>
      <c r="K2441" s="37" t="str">
        <f aca="false">IF(D2441="","",IFERROR(INDEX(rt_Billable,MATCH(D2441,rt_Code,0)),"Unknown"))</f>
        <v/>
      </c>
      <c r="L2441" s="38" t="str">
        <f aca="false">IF(K2441&lt;&gt;"Yes","",IFERROR(INDEX(cr_Rate,MATCH(J2441&amp;"|"&amp;D2441,cr_Key,0)),INDEX(rt_Rate,MATCH(D2441,rt_Code,0))))</f>
        <v/>
      </c>
      <c r="M2441" s="25" t="str">
        <f aca="false">IF(L2441="","",ROUND(N(E2441)*L2441,2))</f>
        <v/>
      </c>
      <c r="N2441" s="39" t="str">
        <f aca="false">IF(OR(A2441="",B2441=""),"",SUMIFS(tl_Hours,tl_StaffID,I2441,tl_Date,A2441))</f>
        <v/>
      </c>
      <c r="O2441" s="40" t="str">
        <f aca="false">IF(A2441&amp;B2441&amp;D2441="","",IF(OR(A2441="",B2441="",D2441="",E2441=""),"Incomplete",IF(K2441="Unknown","Unknown code",IF(AND(K2441="Yes",C2441=""),"Billable, needs client",IF(N2441&gt;MaxDayHours,"Over "&amp;MaxDayHours&amp;" hours that day","")))))</f>
        <v/>
      </c>
    </row>
    <row r="2442" customFormat="false" ht="15" hidden="false" customHeight="false" outlineLevel="0" collapsed="false">
      <c r="A2442" s="31"/>
      <c r="B2442" s="32"/>
      <c r="C2442" s="32"/>
      <c r="D2442" s="33"/>
      <c r="E2442" s="34"/>
      <c r="F2442" s="32"/>
      <c r="G2442" s="35" t="str">
        <f aca="false">IF(A2442="","",A2442+7-WEEKDAY(A2442))</f>
        <v/>
      </c>
      <c r="H2442" s="36" t="str">
        <f aca="false">IF(A2442="","",DATE(YEAR(A2442),MONTH(A2442),1))</f>
        <v/>
      </c>
      <c r="I2442" s="37" t="str">
        <f aca="false">IF(B2442="","",IFERROR(INDEX(st_ID,MATCH(B2442,st_Name,0)),"Unknown"))</f>
        <v/>
      </c>
      <c r="J2442" s="37" t="str">
        <f aca="false">IF(C2442="","",IFERROR(INDEX(cl_Code,MATCH(C2442,cl_Name,0)),"Unknown"))</f>
        <v/>
      </c>
      <c r="K2442" s="37" t="str">
        <f aca="false">IF(D2442="","",IFERROR(INDEX(rt_Billable,MATCH(D2442,rt_Code,0)),"Unknown"))</f>
        <v/>
      </c>
      <c r="L2442" s="38" t="str">
        <f aca="false">IF(K2442&lt;&gt;"Yes","",IFERROR(INDEX(cr_Rate,MATCH(J2442&amp;"|"&amp;D2442,cr_Key,0)),INDEX(rt_Rate,MATCH(D2442,rt_Code,0))))</f>
        <v/>
      </c>
      <c r="M2442" s="25" t="str">
        <f aca="false">IF(L2442="","",ROUND(N(E2442)*L2442,2))</f>
        <v/>
      </c>
      <c r="N2442" s="39" t="str">
        <f aca="false">IF(OR(A2442="",B2442=""),"",SUMIFS(tl_Hours,tl_StaffID,I2442,tl_Date,A2442))</f>
        <v/>
      </c>
      <c r="O2442" s="40" t="str">
        <f aca="false">IF(A2442&amp;B2442&amp;D2442="","",IF(OR(A2442="",B2442="",D2442="",E2442=""),"Incomplete",IF(K2442="Unknown","Unknown code",IF(AND(K2442="Yes",C2442=""),"Billable, needs client",IF(N2442&gt;MaxDayHours,"Over "&amp;MaxDayHours&amp;" hours that day","")))))</f>
        <v/>
      </c>
    </row>
    <row r="2443" customFormat="false" ht="15" hidden="false" customHeight="false" outlineLevel="0" collapsed="false">
      <c r="A2443" s="31"/>
      <c r="B2443" s="32"/>
      <c r="C2443" s="32"/>
      <c r="D2443" s="33"/>
      <c r="E2443" s="34"/>
      <c r="F2443" s="32"/>
      <c r="G2443" s="35" t="str">
        <f aca="false">IF(A2443="","",A2443+7-WEEKDAY(A2443))</f>
        <v/>
      </c>
      <c r="H2443" s="36" t="str">
        <f aca="false">IF(A2443="","",DATE(YEAR(A2443),MONTH(A2443),1))</f>
        <v/>
      </c>
      <c r="I2443" s="37" t="str">
        <f aca="false">IF(B2443="","",IFERROR(INDEX(st_ID,MATCH(B2443,st_Name,0)),"Unknown"))</f>
        <v/>
      </c>
      <c r="J2443" s="37" t="str">
        <f aca="false">IF(C2443="","",IFERROR(INDEX(cl_Code,MATCH(C2443,cl_Name,0)),"Unknown"))</f>
        <v/>
      </c>
      <c r="K2443" s="37" t="str">
        <f aca="false">IF(D2443="","",IFERROR(INDEX(rt_Billable,MATCH(D2443,rt_Code,0)),"Unknown"))</f>
        <v/>
      </c>
      <c r="L2443" s="38" t="str">
        <f aca="false">IF(K2443&lt;&gt;"Yes","",IFERROR(INDEX(cr_Rate,MATCH(J2443&amp;"|"&amp;D2443,cr_Key,0)),INDEX(rt_Rate,MATCH(D2443,rt_Code,0))))</f>
        <v/>
      </c>
      <c r="M2443" s="25" t="str">
        <f aca="false">IF(L2443="","",ROUND(N(E2443)*L2443,2))</f>
        <v/>
      </c>
      <c r="N2443" s="39" t="str">
        <f aca="false">IF(OR(A2443="",B2443=""),"",SUMIFS(tl_Hours,tl_StaffID,I2443,tl_Date,A2443))</f>
        <v/>
      </c>
      <c r="O2443" s="40" t="str">
        <f aca="false">IF(A2443&amp;B2443&amp;D2443="","",IF(OR(A2443="",B2443="",D2443="",E2443=""),"Incomplete",IF(K2443="Unknown","Unknown code",IF(AND(K2443="Yes",C2443=""),"Billable, needs client",IF(N2443&gt;MaxDayHours,"Over "&amp;MaxDayHours&amp;" hours that day","")))))</f>
        <v/>
      </c>
    </row>
    <row r="2444" customFormat="false" ht="15" hidden="false" customHeight="false" outlineLevel="0" collapsed="false">
      <c r="A2444" s="31"/>
      <c r="B2444" s="32"/>
      <c r="C2444" s="32"/>
      <c r="D2444" s="33"/>
      <c r="E2444" s="34"/>
      <c r="F2444" s="32"/>
      <c r="G2444" s="35" t="str">
        <f aca="false">IF(A2444="","",A2444+7-WEEKDAY(A2444))</f>
        <v/>
      </c>
      <c r="H2444" s="36" t="str">
        <f aca="false">IF(A2444="","",DATE(YEAR(A2444),MONTH(A2444),1))</f>
        <v/>
      </c>
      <c r="I2444" s="37" t="str">
        <f aca="false">IF(B2444="","",IFERROR(INDEX(st_ID,MATCH(B2444,st_Name,0)),"Unknown"))</f>
        <v/>
      </c>
      <c r="J2444" s="37" t="str">
        <f aca="false">IF(C2444="","",IFERROR(INDEX(cl_Code,MATCH(C2444,cl_Name,0)),"Unknown"))</f>
        <v/>
      </c>
      <c r="K2444" s="37" t="str">
        <f aca="false">IF(D2444="","",IFERROR(INDEX(rt_Billable,MATCH(D2444,rt_Code,0)),"Unknown"))</f>
        <v/>
      </c>
      <c r="L2444" s="38" t="str">
        <f aca="false">IF(K2444&lt;&gt;"Yes","",IFERROR(INDEX(cr_Rate,MATCH(J2444&amp;"|"&amp;D2444,cr_Key,0)),INDEX(rt_Rate,MATCH(D2444,rt_Code,0))))</f>
        <v/>
      </c>
      <c r="M2444" s="25" t="str">
        <f aca="false">IF(L2444="","",ROUND(N(E2444)*L2444,2))</f>
        <v/>
      </c>
      <c r="N2444" s="39" t="str">
        <f aca="false">IF(OR(A2444="",B2444=""),"",SUMIFS(tl_Hours,tl_StaffID,I2444,tl_Date,A2444))</f>
        <v/>
      </c>
      <c r="O2444" s="40" t="str">
        <f aca="false">IF(A2444&amp;B2444&amp;D2444="","",IF(OR(A2444="",B2444="",D2444="",E2444=""),"Incomplete",IF(K2444="Unknown","Unknown code",IF(AND(K2444="Yes",C2444=""),"Billable, needs client",IF(N2444&gt;MaxDayHours,"Over "&amp;MaxDayHours&amp;" hours that day","")))))</f>
        <v/>
      </c>
    </row>
    <row r="2445" customFormat="false" ht="15" hidden="false" customHeight="false" outlineLevel="0" collapsed="false">
      <c r="A2445" s="31"/>
      <c r="B2445" s="32"/>
      <c r="C2445" s="32"/>
      <c r="D2445" s="33"/>
      <c r="E2445" s="34"/>
      <c r="F2445" s="32"/>
      <c r="G2445" s="35" t="str">
        <f aca="false">IF(A2445="","",A2445+7-WEEKDAY(A2445))</f>
        <v/>
      </c>
      <c r="H2445" s="36" t="str">
        <f aca="false">IF(A2445="","",DATE(YEAR(A2445),MONTH(A2445),1))</f>
        <v/>
      </c>
      <c r="I2445" s="37" t="str">
        <f aca="false">IF(B2445="","",IFERROR(INDEX(st_ID,MATCH(B2445,st_Name,0)),"Unknown"))</f>
        <v/>
      </c>
      <c r="J2445" s="37" t="str">
        <f aca="false">IF(C2445="","",IFERROR(INDEX(cl_Code,MATCH(C2445,cl_Name,0)),"Unknown"))</f>
        <v/>
      </c>
      <c r="K2445" s="37" t="str">
        <f aca="false">IF(D2445="","",IFERROR(INDEX(rt_Billable,MATCH(D2445,rt_Code,0)),"Unknown"))</f>
        <v/>
      </c>
      <c r="L2445" s="38" t="str">
        <f aca="false">IF(K2445&lt;&gt;"Yes","",IFERROR(INDEX(cr_Rate,MATCH(J2445&amp;"|"&amp;D2445,cr_Key,0)),INDEX(rt_Rate,MATCH(D2445,rt_Code,0))))</f>
        <v/>
      </c>
      <c r="M2445" s="25" t="str">
        <f aca="false">IF(L2445="","",ROUND(N(E2445)*L2445,2))</f>
        <v/>
      </c>
      <c r="N2445" s="39" t="str">
        <f aca="false">IF(OR(A2445="",B2445=""),"",SUMIFS(tl_Hours,tl_StaffID,I2445,tl_Date,A2445))</f>
        <v/>
      </c>
      <c r="O2445" s="40" t="str">
        <f aca="false">IF(A2445&amp;B2445&amp;D2445="","",IF(OR(A2445="",B2445="",D2445="",E2445=""),"Incomplete",IF(K2445="Unknown","Unknown code",IF(AND(K2445="Yes",C2445=""),"Billable, needs client",IF(N2445&gt;MaxDayHours,"Over "&amp;MaxDayHours&amp;" hours that day","")))))</f>
        <v/>
      </c>
    </row>
    <row r="2446" customFormat="false" ht="15" hidden="false" customHeight="false" outlineLevel="0" collapsed="false">
      <c r="A2446" s="31"/>
      <c r="B2446" s="32"/>
      <c r="C2446" s="32"/>
      <c r="D2446" s="33"/>
      <c r="E2446" s="34"/>
      <c r="F2446" s="32"/>
      <c r="G2446" s="35" t="str">
        <f aca="false">IF(A2446="","",A2446+7-WEEKDAY(A2446))</f>
        <v/>
      </c>
      <c r="H2446" s="36" t="str">
        <f aca="false">IF(A2446="","",DATE(YEAR(A2446),MONTH(A2446),1))</f>
        <v/>
      </c>
      <c r="I2446" s="37" t="str">
        <f aca="false">IF(B2446="","",IFERROR(INDEX(st_ID,MATCH(B2446,st_Name,0)),"Unknown"))</f>
        <v/>
      </c>
      <c r="J2446" s="37" t="str">
        <f aca="false">IF(C2446="","",IFERROR(INDEX(cl_Code,MATCH(C2446,cl_Name,0)),"Unknown"))</f>
        <v/>
      </c>
      <c r="K2446" s="37" t="str">
        <f aca="false">IF(D2446="","",IFERROR(INDEX(rt_Billable,MATCH(D2446,rt_Code,0)),"Unknown"))</f>
        <v/>
      </c>
      <c r="L2446" s="38" t="str">
        <f aca="false">IF(K2446&lt;&gt;"Yes","",IFERROR(INDEX(cr_Rate,MATCH(J2446&amp;"|"&amp;D2446,cr_Key,0)),INDEX(rt_Rate,MATCH(D2446,rt_Code,0))))</f>
        <v/>
      </c>
      <c r="M2446" s="25" t="str">
        <f aca="false">IF(L2446="","",ROUND(N(E2446)*L2446,2))</f>
        <v/>
      </c>
      <c r="N2446" s="39" t="str">
        <f aca="false">IF(OR(A2446="",B2446=""),"",SUMIFS(tl_Hours,tl_StaffID,I2446,tl_Date,A2446))</f>
        <v/>
      </c>
      <c r="O2446" s="40" t="str">
        <f aca="false">IF(A2446&amp;B2446&amp;D2446="","",IF(OR(A2446="",B2446="",D2446="",E2446=""),"Incomplete",IF(K2446="Unknown","Unknown code",IF(AND(K2446="Yes",C2446=""),"Billable, needs client",IF(N2446&gt;MaxDayHours,"Over "&amp;MaxDayHours&amp;" hours that day","")))))</f>
        <v/>
      </c>
    </row>
    <row r="2447" customFormat="false" ht="15" hidden="false" customHeight="false" outlineLevel="0" collapsed="false">
      <c r="A2447" s="31"/>
      <c r="B2447" s="32"/>
      <c r="C2447" s="32"/>
      <c r="D2447" s="33"/>
      <c r="E2447" s="34"/>
      <c r="F2447" s="32"/>
      <c r="G2447" s="35" t="str">
        <f aca="false">IF(A2447="","",A2447+7-WEEKDAY(A2447))</f>
        <v/>
      </c>
      <c r="H2447" s="36" t="str">
        <f aca="false">IF(A2447="","",DATE(YEAR(A2447),MONTH(A2447),1))</f>
        <v/>
      </c>
      <c r="I2447" s="37" t="str">
        <f aca="false">IF(B2447="","",IFERROR(INDEX(st_ID,MATCH(B2447,st_Name,0)),"Unknown"))</f>
        <v/>
      </c>
      <c r="J2447" s="37" t="str">
        <f aca="false">IF(C2447="","",IFERROR(INDEX(cl_Code,MATCH(C2447,cl_Name,0)),"Unknown"))</f>
        <v/>
      </c>
      <c r="K2447" s="37" t="str">
        <f aca="false">IF(D2447="","",IFERROR(INDEX(rt_Billable,MATCH(D2447,rt_Code,0)),"Unknown"))</f>
        <v/>
      </c>
      <c r="L2447" s="38" t="str">
        <f aca="false">IF(K2447&lt;&gt;"Yes","",IFERROR(INDEX(cr_Rate,MATCH(J2447&amp;"|"&amp;D2447,cr_Key,0)),INDEX(rt_Rate,MATCH(D2447,rt_Code,0))))</f>
        <v/>
      </c>
      <c r="M2447" s="25" t="str">
        <f aca="false">IF(L2447="","",ROUND(N(E2447)*L2447,2))</f>
        <v/>
      </c>
      <c r="N2447" s="39" t="str">
        <f aca="false">IF(OR(A2447="",B2447=""),"",SUMIFS(tl_Hours,tl_StaffID,I2447,tl_Date,A2447))</f>
        <v/>
      </c>
      <c r="O2447" s="40" t="str">
        <f aca="false">IF(A2447&amp;B2447&amp;D2447="","",IF(OR(A2447="",B2447="",D2447="",E2447=""),"Incomplete",IF(K2447="Unknown","Unknown code",IF(AND(K2447="Yes",C2447=""),"Billable, needs client",IF(N2447&gt;MaxDayHours,"Over "&amp;MaxDayHours&amp;" hours that day","")))))</f>
        <v/>
      </c>
    </row>
    <row r="2448" customFormat="false" ht="15" hidden="false" customHeight="false" outlineLevel="0" collapsed="false">
      <c r="A2448" s="31"/>
      <c r="B2448" s="32"/>
      <c r="C2448" s="32"/>
      <c r="D2448" s="33"/>
      <c r="E2448" s="34"/>
      <c r="F2448" s="32"/>
      <c r="G2448" s="35" t="str">
        <f aca="false">IF(A2448="","",A2448+7-WEEKDAY(A2448))</f>
        <v/>
      </c>
      <c r="H2448" s="36" t="str">
        <f aca="false">IF(A2448="","",DATE(YEAR(A2448),MONTH(A2448),1))</f>
        <v/>
      </c>
      <c r="I2448" s="37" t="str">
        <f aca="false">IF(B2448="","",IFERROR(INDEX(st_ID,MATCH(B2448,st_Name,0)),"Unknown"))</f>
        <v/>
      </c>
      <c r="J2448" s="37" t="str">
        <f aca="false">IF(C2448="","",IFERROR(INDEX(cl_Code,MATCH(C2448,cl_Name,0)),"Unknown"))</f>
        <v/>
      </c>
      <c r="K2448" s="37" t="str">
        <f aca="false">IF(D2448="","",IFERROR(INDEX(rt_Billable,MATCH(D2448,rt_Code,0)),"Unknown"))</f>
        <v/>
      </c>
      <c r="L2448" s="38" t="str">
        <f aca="false">IF(K2448&lt;&gt;"Yes","",IFERROR(INDEX(cr_Rate,MATCH(J2448&amp;"|"&amp;D2448,cr_Key,0)),INDEX(rt_Rate,MATCH(D2448,rt_Code,0))))</f>
        <v/>
      </c>
      <c r="M2448" s="25" t="str">
        <f aca="false">IF(L2448="","",ROUND(N(E2448)*L2448,2))</f>
        <v/>
      </c>
      <c r="N2448" s="39" t="str">
        <f aca="false">IF(OR(A2448="",B2448=""),"",SUMIFS(tl_Hours,tl_StaffID,I2448,tl_Date,A2448))</f>
        <v/>
      </c>
      <c r="O2448" s="40" t="str">
        <f aca="false">IF(A2448&amp;B2448&amp;D2448="","",IF(OR(A2448="",B2448="",D2448="",E2448=""),"Incomplete",IF(K2448="Unknown","Unknown code",IF(AND(K2448="Yes",C2448=""),"Billable, needs client",IF(N2448&gt;MaxDayHours,"Over "&amp;MaxDayHours&amp;" hours that day","")))))</f>
        <v/>
      </c>
    </row>
    <row r="2449" customFormat="false" ht="15" hidden="false" customHeight="false" outlineLevel="0" collapsed="false">
      <c r="A2449" s="31"/>
      <c r="B2449" s="32"/>
      <c r="C2449" s="32"/>
      <c r="D2449" s="33"/>
      <c r="E2449" s="34"/>
      <c r="F2449" s="32"/>
      <c r="G2449" s="35" t="str">
        <f aca="false">IF(A2449="","",A2449+7-WEEKDAY(A2449))</f>
        <v/>
      </c>
      <c r="H2449" s="36" t="str">
        <f aca="false">IF(A2449="","",DATE(YEAR(A2449),MONTH(A2449),1))</f>
        <v/>
      </c>
      <c r="I2449" s="37" t="str">
        <f aca="false">IF(B2449="","",IFERROR(INDEX(st_ID,MATCH(B2449,st_Name,0)),"Unknown"))</f>
        <v/>
      </c>
      <c r="J2449" s="37" t="str">
        <f aca="false">IF(C2449="","",IFERROR(INDEX(cl_Code,MATCH(C2449,cl_Name,0)),"Unknown"))</f>
        <v/>
      </c>
      <c r="K2449" s="37" t="str">
        <f aca="false">IF(D2449="","",IFERROR(INDEX(rt_Billable,MATCH(D2449,rt_Code,0)),"Unknown"))</f>
        <v/>
      </c>
      <c r="L2449" s="38" t="str">
        <f aca="false">IF(K2449&lt;&gt;"Yes","",IFERROR(INDEX(cr_Rate,MATCH(J2449&amp;"|"&amp;D2449,cr_Key,0)),INDEX(rt_Rate,MATCH(D2449,rt_Code,0))))</f>
        <v/>
      </c>
      <c r="M2449" s="25" t="str">
        <f aca="false">IF(L2449="","",ROUND(N(E2449)*L2449,2))</f>
        <v/>
      </c>
      <c r="N2449" s="39" t="str">
        <f aca="false">IF(OR(A2449="",B2449=""),"",SUMIFS(tl_Hours,tl_StaffID,I2449,tl_Date,A2449))</f>
        <v/>
      </c>
      <c r="O2449" s="40" t="str">
        <f aca="false">IF(A2449&amp;B2449&amp;D2449="","",IF(OR(A2449="",B2449="",D2449="",E2449=""),"Incomplete",IF(K2449="Unknown","Unknown code",IF(AND(K2449="Yes",C2449=""),"Billable, needs client",IF(N2449&gt;MaxDayHours,"Over "&amp;MaxDayHours&amp;" hours that day","")))))</f>
        <v/>
      </c>
    </row>
    <row r="2450" customFormat="false" ht="15" hidden="false" customHeight="false" outlineLevel="0" collapsed="false">
      <c r="A2450" s="31"/>
      <c r="B2450" s="32"/>
      <c r="C2450" s="32"/>
      <c r="D2450" s="33"/>
      <c r="E2450" s="34"/>
      <c r="F2450" s="32"/>
      <c r="G2450" s="35" t="str">
        <f aca="false">IF(A2450="","",A2450+7-WEEKDAY(A2450))</f>
        <v/>
      </c>
      <c r="H2450" s="36" t="str">
        <f aca="false">IF(A2450="","",DATE(YEAR(A2450),MONTH(A2450),1))</f>
        <v/>
      </c>
      <c r="I2450" s="37" t="str">
        <f aca="false">IF(B2450="","",IFERROR(INDEX(st_ID,MATCH(B2450,st_Name,0)),"Unknown"))</f>
        <v/>
      </c>
      <c r="J2450" s="37" t="str">
        <f aca="false">IF(C2450="","",IFERROR(INDEX(cl_Code,MATCH(C2450,cl_Name,0)),"Unknown"))</f>
        <v/>
      </c>
      <c r="K2450" s="37" t="str">
        <f aca="false">IF(D2450="","",IFERROR(INDEX(rt_Billable,MATCH(D2450,rt_Code,0)),"Unknown"))</f>
        <v/>
      </c>
      <c r="L2450" s="38" t="str">
        <f aca="false">IF(K2450&lt;&gt;"Yes","",IFERROR(INDEX(cr_Rate,MATCH(J2450&amp;"|"&amp;D2450,cr_Key,0)),INDEX(rt_Rate,MATCH(D2450,rt_Code,0))))</f>
        <v/>
      </c>
      <c r="M2450" s="25" t="str">
        <f aca="false">IF(L2450="","",ROUND(N(E2450)*L2450,2))</f>
        <v/>
      </c>
      <c r="N2450" s="39" t="str">
        <f aca="false">IF(OR(A2450="",B2450=""),"",SUMIFS(tl_Hours,tl_StaffID,I2450,tl_Date,A2450))</f>
        <v/>
      </c>
      <c r="O2450" s="40" t="str">
        <f aca="false">IF(A2450&amp;B2450&amp;D2450="","",IF(OR(A2450="",B2450="",D2450="",E2450=""),"Incomplete",IF(K2450="Unknown","Unknown code",IF(AND(K2450="Yes",C2450=""),"Billable, needs client",IF(N2450&gt;MaxDayHours,"Over "&amp;MaxDayHours&amp;" hours that day","")))))</f>
        <v/>
      </c>
    </row>
    <row r="2451" customFormat="false" ht="15" hidden="false" customHeight="false" outlineLevel="0" collapsed="false">
      <c r="A2451" s="31"/>
      <c r="B2451" s="32"/>
      <c r="C2451" s="32"/>
      <c r="D2451" s="33"/>
      <c r="E2451" s="34"/>
      <c r="F2451" s="32"/>
      <c r="G2451" s="35" t="str">
        <f aca="false">IF(A2451="","",A2451+7-WEEKDAY(A2451))</f>
        <v/>
      </c>
      <c r="H2451" s="36" t="str">
        <f aca="false">IF(A2451="","",DATE(YEAR(A2451),MONTH(A2451),1))</f>
        <v/>
      </c>
      <c r="I2451" s="37" t="str">
        <f aca="false">IF(B2451="","",IFERROR(INDEX(st_ID,MATCH(B2451,st_Name,0)),"Unknown"))</f>
        <v/>
      </c>
      <c r="J2451" s="37" t="str">
        <f aca="false">IF(C2451="","",IFERROR(INDEX(cl_Code,MATCH(C2451,cl_Name,0)),"Unknown"))</f>
        <v/>
      </c>
      <c r="K2451" s="37" t="str">
        <f aca="false">IF(D2451="","",IFERROR(INDEX(rt_Billable,MATCH(D2451,rt_Code,0)),"Unknown"))</f>
        <v/>
      </c>
      <c r="L2451" s="38" t="str">
        <f aca="false">IF(K2451&lt;&gt;"Yes","",IFERROR(INDEX(cr_Rate,MATCH(J2451&amp;"|"&amp;D2451,cr_Key,0)),INDEX(rt_Rate,MATCH(D2451,rt_Code,0))))</f>
        <v/>
      </c>
      <c r="M2451" s="25" t="str">
        <f aca="false">IF(L2451="","",ROUND(N(E2451)*L2451,2))</f>
        <v/>
      </c>
      <c r="N2451" s="39" t="str">
        <f aca="false">IF(OR(A2451="",B2451=""),"",SUMIFS(tl_Hours,tl_StaffID,I2451,tl_Date,A2451))</f>
        <v/>
      </c>
      <c r="O2451" s="40" t="str">
        <f aca="false">IF(A2451&amp;B2451&amp;D2451="","",IF(OR(A2451="",B2451="",D2451="",E2451=""),"Incomplete",IF(K2451="Unknown","Unknown code",IF(AND(K2451="Yes",C2451=""),"Billable, needs client",IF(N2451&gt;MaxDayHours,"Over "&amp;MaxDayHours&amp;" hours that day","")))))</f>
        <v/>
      </c>
    </row>
    <row r="2452" customFormat="false" ht="15" hidden="false" customHeight="false" outlineLevel="0" collapsed="false">
      <c r="A2452" s="31"/>
      <c r="B2452" s="32"/>
      <c r="C2452" s="32"/>
      <c r="D2452" s="33"/>
      <c r="E2452" s="34"/>
      <c r="F2452" s="32"/>
      <c r="G2452" s="35" t="str">
        <f aca="false">IF(A2452="","",A2452+7-WEEKDAY(A2452))</f>
        <v/>
      </c>
      <c r="H2452" s="36" t="str">
        <f aca="false">IF(A2452="","",DATE(YEAR(A2452),MONTH(A2452),1))</f>
        <v/>
      </c>
      <c r="I2452" s="37" t="str">
        <f aca="false">IF(B2452="","",IFERROR(INDEX(st_ID,MATCH(B2452,st_Name,0)),"Unknown"))</f>
        <v/>
      </c>
      <c r="J2452" s="37" t="str">
        <f aca="false">IF(C2452="","",IFERROR(INDEX(cl_Code,MATCH(C2452,cl_Name,0)),"Unknown"))</f>
        <v/>
      </c>
      <c r="K2452" s="37" t="str">
        <f aca="false">IF(D2452="","",IFERROR(INDEX(rt_Billable,MATCH(D2452,rt_Code,0)),"Unknown"))</f>
        <v/>
      </c>
      <c r="L2452" s="38" t="str">
        <f aca="false">IF(K2452&lt;&gt;"Yes","",IFERROR(INDEX(cr_Rate,MATCH(J2452&amp;"|"&amp;D2452,cr_Key,0)),INDEX(rt_Rate,MATCH(D2452,rt_Code,0))))</f>
        <v/>
      </c>
      <c r="M2452" s="25" t="str">
        <f aca="false">IF(L2452="","",ROUND(N(E2452)*L2452,2))</f>
        <v/>
      </c>
      <c r="N2452" s="39" t="str">
        <f aca="false">IF(OR(A2452="",B2452=""),"",SUMIFS(tl_Hours,tl_StaffID,I2452,tl_Date,A2452))</f>
        <v/>
      </c>
      <c r="O2452" s="40" t="str">
        <f aca="false">IF(A2452&amp;B2452&amp;D2452="","",IF(OR(A2452="",B2452="",D2452="",E2452=""),"Incomplete",IF(K2452="Unknown","Unknown code",IF(AND(K2452="Yes",C2452=""),"Billable, needs client",IF(N2452&gt;MaxDayHours,"Over "&amp;MaxDayHours&amp;" hours that day","")))))</f>
        <v/>
      </c>
    </row>
    <row r="2453" customFormat="false" ht="15" hidden="false" customHeight="false" outlineLevel="0" collapsed="false">
      <c r="A2453" s="31"/>
      <c r="B2453" s="32"/>
      <c r="C2453" s="32"/>
      <c r="D2453" s="33"/>
      <c r="E2453" s="34"/>
      <c r="F2453" s="32"/>
      <c r="G2453" s="35" t="str">
        <f aca="false">IF(A2453="","",A2453+7-WEEKDAY(A2453))</f>
        <v/>
      </c>
      <c r="H2453" s="36" t="str">
        <f aca="false">IF(A2453="","",DATE(YEAR(A2453),MONTH(A2453),1))</f>
        <v/>
      </c>
      <c r="I2453" s="37" t="str">
        <f aca="false">IF(B2453="","",IFERROR(INDEX(st_ID,MATCH(B2453,st_Name,0)),"Unknown"))</f>
        <v/>
      </c>
      <c r="J2453" s="37" t="str">
        <f aca="false">IF(C2453="","",IFERROR(INDEX(cl_Code,MATCH(C2453,cl_Name,0)),"Unknown"))</f>
        <v/>
      </c>
      <c r="K2453" s="37" t="str">
        <f aca="false">IF(D2453="","",IFERROR(INDEX(rt_Billable,MATCH(D2453,rt_Code,0)),"Unknown"))</f>
        <v/>
      </c>
      <c r="L2453" s="38" t="str">
        <f aca="false">IF(K2453&lt;&gt;"Yes","",IFERROR(INDEX(cr_Rate,MATCH(J2453&amp;"|"&amp;D2453,cr_Key,0)),INDEX(rt_Rate,MATCH(D2453,rt_Code,0))))</f>
        <v/>
      </c>
      <c r="M2453" s="25" t="str">
        <f aca="false">IF(L2453="","",ROUND(N(E2453)*L2453,2))</f>
        <v/>
      </c>
      <c r="N2453" s="39" t="str">
        <f aca="false">IF(OR(A2453="",B2453=""),"",SUMIFS(tl_Hours,tl_StaffID,I2453,tl_Date,A2453))</f>
        <v/>
      </c>
      <c r="O2453" s="40" t="str">
        <f aca="false">IF(A2453&amp;B2453&amp;D2453="","",IF(OR(A2453="",B2453="",D2453="",E2453=""),"Incomplete",IF(K2453="Unknown","Unknown code",IF(AND(K2453="Yes",C2453=""),"Billable, needs client",IF(N2453&gt;MaxDayHours,"Over "&amp;MaxDayHours&amp;" hours that day","")))))</f>
        <v/>
      </c>
    </row>
    <row r="2454" customFormat="false" ht="15" hidden="false" customHeight="false" outlineLevel="0" collapsed="false">
      <c r="A2454" s="31"/>
      <c r="B2454" s="32"/>
      <c r="C2454" s="32"/>
      <c r="D2454" s="33"/>
      <c r="E2454" s="34"/>
      <c r="F2454" s="32"/>
      <c r="G2454" s="35" t="str">
        <f aca="false">IF(A2454="","",A2454+7-WEEKDAY(A2454))</f>
        <v/>
      </c>
      <c r="H2454" s="36" t="str">
        <f aca="false">IF(A2454="","",DATE(YEAR(A2454),MONTH(A2454),1))</f>
        <v/>
      </c>
      <c r="I2454" s="37" t="str">
        <f aca="false">IF(B2454="","",IFERROR(INDEX(st_ID,MATCH(B2454,st_Name,0)),"Unknown"))</f>
        <v/>
      </c>
      <c r="J2454" s="37" t="str">
        <f aca="false">IF(C2454="","",IFERROR(INDEX(cl_Code,MATCH(C2454,cl_Name,0)),"Unknown"))</f>
        <v/>
      </c>
      <c r="K2454" s="37" t="str">
        <f aca="false">IF(D2454="","",IFERROR(INDEX(rt_Billable,MATCH(D2454,rt_Code,0)),"Unknown"))</f>
        <v/>
      </c>
      <c r="L2454" s="38" t="str">
        <f aca="false">IF(K2454&lt;&gt;"Yes","",IFERROR(INDEX(cr_Rate,MATCH(J2454&amp;"|"&amp;D2454,cr_Key,0)),INDEX(rt_Rate,MATCH(D2454,rt_Code,0))))</f>
        <v/>
      </c>
      <c r="M2454" s="25" t="str">
        <f aca="false">IF(L2454="","",ROUND(N(E2454)*L2454,2))</f>
        <v/>
      </c>
      <c r="N2454" s="39" t="str">
        <f aca="false">IF(OR(A2454="",B2454=""),"",SUMIFS(tl_Hours,tl_StaffID,I2454,tl_Date,A2454))</f>
        <v/>
      </c>
      <c r="O2454" s="40" t="str">
        <f aca="false">IF(A2454&amp;B2454&amp;D2454="","",IF(OR(A2454="",B2454="",D2454="",E2454=""),"Incomplete",IF(K2454="Unknown","Unknown code",IF(AND(K2454="Yes",C2454=""),"Billable, needs client",IF(N2454&gt;MaxDayHours,"Over "&amp;MaxDayHours&amp;" hours that day","")))))</f>
        <v/>
      </c>
    </row>
    <row r="2455" customFormat="false" ht="15" hidden="false" customHeight="false" outlineLevel="0" collapsed="false">
      <c r="A2455" s="31"/>
      <c r="B2455" s="32"/>
      <c r="C2455" s="32"/>
      <c r="D2455" s="33"/>
      <c r="E2455" s="34"/>
      <c r="F2455" s="32"/>
      <c r="G2455" s="35" t="str">
        <f aca="false">IF(A2455="","",A2455+7-WEEKDAY(A2455))</f>
        <v/>
      </c>
      <c r="H2455" s="36" t="str">
        <f aca="false">IF(A2455="","",DATE(YEAR(A2455),MONTH(A2455),1))</f>
        <v/>
      </c>
      <c r="I2455" s="37" t="str">
        <f aca="false">IF(B2455="","",IFERROR(INDEX(st_ID,MATCH(B2455,st_Name,0)),"Unknown"))</f>
        <v/>
      </c>
      <c r="J2455" s="37" t="str">
        <f aca="false">IF(C2455="","",IFERROR(INDEX(cl_Code,MATCH(C2455,cl_Name,0)),"Unknown"))</f>
        <v/>
      </c>
      <c r="K2455" s="37" t="str">
        <f aca="false">IF(D2455="","",IFERROR(INDEX(rt_Billable,MATCH(D2455,rt_Code,0)),"Unknown"))</f>
        <v/>
      </c>
      <c r="L2455" s="38" t="str">
        <f aca="false">IF(K2455&lt;&gt;"Yes","",IFERROR(INDEX(cr_Rate,MATCH(J2455&amp;"|"&amp;D2455,cr_Key,0)),INDEX(rt_Rate,MATCH(D2455,rt_Code,0))))</f>
        <v/>
      </c>
      <c r="M2455" s="25" t="str">
        <f aca="false">IF(L2455="","",ROUND(N(E2455)*L2455,2))</f>
        <v/>
      </c>
      <c r="N2455" s="39" t="str">
        <f aca="false">IF(OR(A2455="",B2455=""),"",SUMIFS(tl_Hours,tl_StaffID,I2455,tl_Date,A2455))</f>
        <v/>
      </c>
      <c r="O2455" s="40" t="str">
        <f aca="false">IF(A2455&amp;B2455&amp;D2455="","",IF(OR(A2455="",B2455="",D2455="",E2455=""),"Incomplete",IF(K2455="Unknown","Unknown code",IF(AND(K2455="Yes",C2455=""),"Billable, needs client",IF(N2455&gt;MaxDayHours,"Over "&amp;MaxDayHours&amp;" hours that day","")))))</f>
        <v/>
      </c>
    </row>
    <row r="2456" customFormat="false" ht="15" hidden="false" customHeight="false" outlineLevel="0" collapsed="false">
      <c r="A2456" s="31"/>
      <c r="B2456" s="32"/>
      <c r="C2456" s="32"/>
      <c r="D2456" s="33"/>
      <c r="E2456" s="34"/>
      <c r="F2456" s="32"/>
      <c r="G2456" s="35" t="str">
        <f aca="false">IF(A2456="","",A2456+7-WEEKDAY(A2456))</f>
        <v/>
      </c>
      <c r="H2456" s="36" t="str">
        <f aca="false">IF(A2456="","",DATE(YEAR(A2456),MONTH(A2456),1))</f>
        <v/>
      </c>
      <c r="I2456" s="37" t="str">
        <f aca="false">IF(B2456="","",IFERROR(INDEX(st_ID,MATCH(B2456,st_Name,0)),"Unknown"))</f>
        <v/>
      </c>
      <c r="J2456" s="37" t="str">
        <f aca="false">IF(C2456="","",IFERROR(INDEX(cl_Code,MATCH(C2456,cl_Name,0)),"Unknown"))</f>
        <v/>
      </c>
      <c r="K2456" s="37" t="str">
        <f aca="false">IF(D2456="","",IFERROR(INDEX(rt_Billable,MATCH(D2456,rt_Code,0)),"Unknown"))</f>
        <v/>
      </c>
      <c r="L2456" s="38" t="str">
        <f aca="false">IF(K2456&lt;&gt;"Yes","",IFERROR(INDEX(cr_Rate,MATCH(J2456&amp;"|"&amp;D2456,cr_Key,0)),INDEX(rt_Rate,MATCH(D2456,rt_Code,0))))</f>
        <v/>
      </c>
      <c r="M2456" s="25" t="str">
        <f aca="false">IF(L2456="","",ROUND(N(E2456)*L2456,2))</f>
        <v/>
      </c>
      <c r="N2456" s="39" t="str">
        <f aca="false">IF(OR(A2456="",B2456=""),"",SUMIFS(tl_Hours,tl_StaffID,I2456,tl_Date,A2456))</f>
        <v/>
      </c>
      <c r="O2456" s="40" t="str">
        <f aca="false">IF(A2456&amp;B2456&amp;D2456="","",IF(OR(A2456="",B2456="",D2456="",E2456=""),"Incomplete",IF(K2456="Unknown","Unknown code",IF(AND(K2456="Yes",C2456=""),"Billable, needs client",IF(N2456&gt;MaxDayHours,"Over "&amp;MaxDayHours&amp;" hours that day","")))))</f>
        <v/>
      </c>
    </row>
    <row r="2457" customFormat="false" ht="15" hidden="false" customHeight="false" outlineLevel="0" collapsed="false">
      <c r="A2457" s="31"/>
      <c r="B2457" s="32"/>
      <c r="C2457" s="32"/>
      <c r="D2457" s="33"/>
      <c r="E2457" s="34"/>
      <c r="F2457" s="32"/>
      <c r="G2457" s="35" t="str">
        <f aca="false">IF(A2457="","",A2457+7-WEEKDAY(A2457))</f>
        <v/>
      </c>
      <c r="H2457" s="36" t="str">
        <f aca="false">IF(A2457="","",DATE(YEAR(A2457),MONTH(A2457),1))</f>
        <v/>
      </c>
      <c r="I2457" s="37" t="str">
        <f aca="false">IF(B2457="","",IFERROR(INDEX(st_ID,MATCH(B2457,st_Name,0)),"Unknown"))</f>
        <v/>
      </c>
      <c r="J2457" s="37" t="str">
        <f aca="false">IF(C2457="","",IFERROR(INDEX(cl_Code,MATCH(C2457,cl_Name,0)),"Unknown"))</f>
        <v/>
      </c>
      <c r="K2457" s="37" t="str">
        <f aca="false">IF(D2457="","",IFERROR(INDEX(rt_Billable,MATCH(D2457,rt_Code,0)),"Unknown"))</f>
        <v/>
      </c>
      <c r="L2457" s="38" t="str">
        <f aca="false">IF(K2457&lt;&gt;"Yes","",IFERROR(INDEX(cr_Rate,MATCH(J2457&amp;"|"&amp;D2457,cr_Key,0)),INDEX(rt_Rate,MATCH(D2457,rt_Code,0))))</f>
        <v/>
      </c>
      <c r="M2457" s="25" t="str">
        <f aca="false">IF(L2457="","",ROUND(N(E2457)*L2457,2))</f>
        <v/>
      </c>
      <c r="N2457" s="39" t="str">
        <f aca="false">IF(OR(A2457="",B2457=""),"",SUMIFS(tl_Hours,tl_StaffID,I2457,tl_Date,A2457))</f>
        <v/>
      </c>
      <c r="O2457" s="40" t="str">
        <f aca="false">IF(A2457&amp;B2457&amp;D2457="","",IF(OR(A2457="",B2457="",D2457="",E2457=""),"Incomplete",IF(K2457="Unknown","Unknown code",IF(AND(K2457="Yes",C2457=""),"Billable, needs client",IF(N2457&gt;MaxDayHours,"Over "&amp;MaxDayHours&amp;" hours that day","")))))</f>
        <v/>
      </c>
    </row>
    <row r="2458" customFormat="false" ht="15" hidden="false" customHeight="false" outlineLevel="0" collapsed="false">
      <c r="A2458" s="31"/>
      <c r="B2458" s="32"/>
      <c r="C2458" s="32"/>
      <c r="D2458" s="33"/>
      <c r="E2458" s="34"/>
      <c r="F2458" s="32"/>
      <c r="G2458" s="35" t="str">
        <f aca="false">IF(A2458="","",A2458+7-WEEKDAY(A2458))</f>
        <v/>
      </c>
      <c r="H2458" s="36" t="str">
        <f aca="false">IF(A2458="","",DATE(YEAR(A2458),MONTH(A2458),1))</f>
        <v/>
      </c>
      <c r="I2458" s="37" t="str">
        <f aca="false">IF(B2458="","",IFERROR(INDEX(st_ID,MATCH(B2458,st_Name,0)),"Unknown"))</f>
        <v/>
      </c>
      <c r="J2458" s="37" t="str">
        <f aca="false">IF(C2458="","",IFERROR(INDEX(cl_Code,MATCH(C2458,cl_Name,0)),"Unknown"))</f>
        <v/>
      </c>
      <c r="K2458" s="37" t="str">
        <f aca="false">IF(D2458="","",IFERROR(INDEX(rt_Billable,MATCH(D2458,rt_Code,0)),"Unknown"))</f>
        <v/>
      </c>
      <c r="L2458" s="38" t="str">
        <f aca="false">IF(K2458&lt;&gt;"Yes","",IFERROR(INDEX(cr_Rate,MATCH(J2458&amp;"|"&amp;D2458,cr_Key,0)),INDEX(rt_Rate,MATCH(D2458,rt_Code,0))))</f>
        <v/>
      </c>
      <c r="M2458" s="25" t="str">
        <f aca="false">IF(L2458="","",ROUND(N(E2458)*L2458,2))</f>
        <v/>
      </c>
      <c r="N2458" s="39" t="str">
        <f aca="false">IF(OR(A2458="",B2458=""),"",SUMIFS(tl_Hours,tl_StaffID,I2458,tl_Date,A2458))</f>
        <v/>
      </c>
      <c r="O2458" s="40" t="str">
        <f aca="false">IF(A2458&amp;B2458&amp;D2458="","",IF(OR(A2458="",B2458="",D2458="",E2458=""),"Incomplete",IF(K2458="Unknown","Unknown code",IF(AND(K2458="Yes",C2458=""),"Billable, needs client",IF(N2458&gt;MaxDayHours,"Over "&amp;MaxDayHours&amp;" hours that day","")))))</f>
        <v/>
      </c>
    </row>
    <row r="2459" customFormat="false" ht="15" hidden="false" customHeight="false" outlineLevel="0" collapsed="false">
      <c r="A2459" s="31"/>
      <c r="B2459" s="32"/>
      <c r="C2459" s="32"/>
      <c r="D2459" s="33"/>
      <c r="E2459" s="34"/>
      <c r="F2459" s="32"/>
      <c r="G2459" s="35" t="str">
        <f aca="false">IF(A2459="","",A2459+7-WEEKDAY(A2459))</f>
        <v/>
      </c>
      <c r="H2459" s="36" t="str">
        <f aca="false">IF(A2459="","",DATE(YEAR(A2459),MONTH(A2459),1))</f>
        <v/>
      </c>
      <c r="I2459" s="37" t="str">
        <f aca="false">IF(B2459="","",IFERROR(INDEX(st_ID,MATCH(B2459,st_Name,0)),"Unknown"))</f>
        <v/>
      </c>
      <c r="J2459" s="37" t="str">
        <f aca="false">IF(C2459="","",IFERROR(INDEX(cl_Code,MATCH(C2459,cl_Name,0)),"Unknown"))</f>
        <v/>
      </c>
      <c r="K2459" s="37" t="str">
        <f aca="false">IF(D2459="","",IFERROR(INDEX(rt_Billable,MATCH(D2459,rt_Code,0)),"Unknown"))</f>
        <v/>
      </c>
      <c r="L2459" s="38" t="str">
        <f aca="false">IF(K2459&lt;&gt;"Yes","",IFERROR(INDEX(cr_Rate,MATCH(J2459&amp;"|"&amp;D2459,cr_Key,0)),INDEX(rt_Rate,MATCH(D2459,rt_Code,0))))</f>
        <v/>
      </c>
      <c r="M2459" s="25" t="str">
        <f aca="false">IF(L2459="","",ROUND(N(E2459)*L2459,2))</f>
        <v/>
      </c>
      <c r="N2459" s="39" t="str">
        <f aca="false">IF(OR(A2459="",B2459=""),"",SUMIFS(tl_Hours,tl_StaffID,I2459,tl_Date,A2459))</f>
        <v/>
      </c>
      <c r="O2459" s="40" t="str">
        <f aca="false">IF(A2459&amp;B2459&amp;D2459="","",IF(OR(A2459="",B2459="",D2459="",E2459=""),"Incomplete",IF(K2459="Unknown","Unknown code",IF(AND(K2459="Yes",C2459=""),"Billable, needs client",IF(N2459&gt;MaxDayHours,"Over "&amp;MaxDayHours&amp;" hours that day","")))))</f>
        <v/>
      </c>
    </row>
    <row r="2460" customFormat="false" ht="15" hidden="false" customHeight="false" outlineLevel="0" collapsed="false">
      <c r="A2460" s="31"/>
      <c r="B2460" s="32"/>
      <c r="C2460" s="32"/>
      <c r="D2460" s="33"/>
      <c r="E2460" s="34"/>
      <c r="F2460" s="32"/>
      <c r="G2460" s="35" t="str">
        <f aca="false">IF(A2460="","",A2460+7-WEEKDAY(A2460))</f>
        <v/>
      </c>
      <c r="H2460" s="36" t="str">
        <f aca="false">IF(A2460="","",DATE(YEAR(A2460),MONTH(A2460),1))</f>
        <v/>
      </c>
      <c r="I2460" s="37" t="str">
        <f aca="false">IF(B2460="","",IFERROR(INDEX(st_ID,MATCH(B2460,st_Name,0)),"Unknown"))</f>
        <v/>
      </c>
      <c r="J2460" s="37" t="str">
        <f aca="false">IF(C2460="","",IFERROR(INDEX(cl_Code,MATCH(C2460,cl_Name,0)),"Unknown"))</f>
        <v/>
      </c>
      <c r="K2460" s="37" t="str">
        <f aca="false">IF(D2460="","",IFERROR(INDEX(rt_Billable,MATCH(D2460,rt_Code,0)),"Unknown"))</f>
        <v/>
      </c>
      <c r="L2460" s="38" t="str">
        <f aca="false">IF(K2460&lt;&gt;"Yes","",IFERROR(INDEX(cr_Rate,MATCH(J2460&amp;"|"&amp;D2460,cr_Key,0)),INDEX(rt_Rate,MATCH(D2460,rt_Code,0))))</f>
        <v/>
      </c>
      <c r="M2460" s="25" t="str">
        <f aca="false">IF(L2460="","",ROUND(N(E2460)*L2460,2))</f>
        <v/>
      </c>
      <c r="N2460" s="39" t="str">
        <f aca="false">IF(OR(A2460="",B2460=""),"",SUMIFS(tl_Hours,tl_StaffID,I2460,tl_Date,A2460))</f>
        <v/>
      </c>
      <c r="O2460" s="40" t="str">
        <f aca="false">IF(A2460&amp;B2460&amp;D2460="","",IF(OR(A2460="",B2460="",D2460="",E2460=""),"Incomplete",IF(K2460="Unknown","Unknown code",IF(AND(K2460="Yes",C2460=""),"Billable, needs client",IF(N2460&gt;MaxDayHours,"Over "&amp;MaxDayHours&amp;" hours that day","")))))</f>
        <v/>
      </c>
    </row>
    <row r="2461" customFormat="false" ht="15" hidden="false" customHeight="false" outlineLevel="0" collapsed="false">
      <c r="A2461" s="31"/>
      <c r="B2461" s="32"/>
      <c r="C2461" s="32"/>
      <c r="D2461" s="33"/>
      <c r="E2461" s="34"/>
      <c r="F2461" s="32"/>
      <c r="G2461" s="35" t="str">
        <f aca="false">IF(A2461="","",A2461+7-WEEKDAY(A2461))</f>
        <v/>
      </c>
      <c r="H2461" s="36" t="str">
        <f aca="false">IF(A2461="","",DATE(YEAR(A2461),MONTH(A2461),1))</f>
        <v/>
      </c>
      <c r="I2461" s="37" t="str">
        <f aca="false">IF(B2461="","",IFERROR(INDEX(st_ID,MATCH(B2461,st_Name,0)),"Unknown"))</f>
        <v/>
      </c>
      <c r="J2461" s="37" t="str">
        <f aca="false">IF(C2461="","",IFERROR(INDEX(cl_Code,MATCH(C2461,cl_Name,0)),"Unknown"))</f>
        <v/>
      </c>
      <c r="K2461" s="37" t="str">
        <f aca="false">IF(D2461="","",IFERROR(INDEX(rt_Billable,MATCH(D2461,rt_Code,0)),"Unknown"))</f>
        <v/>
      </c>
      <c r="L2461" s="38" t="str">
        <f aca="false">IF(K2461&lt;&gt;"Yes","",IFERROR(INDEX(cr_Rate,MATCH(J2461&amp;"|"&amp;D2461,cr_Key,0)),INDEX(rt_Rate,MATCH(D2461,rt_Code,0))))</f>
        <v/>
      </c>
      <c r="M2461" s="25" t="str">
        <f aca="false">IF(L2461="","",ROUND(N(E2461)*L2461,2))</f>
        <v/>
      </c>
      <c r="N2461" s="39" t="str">
        <f aca="false">IF(OR(A2461="",B2461=""),"",SUMIFS(tl_Hours,tl_StaffID,I2461,tl_Date,A2461))</f>
        <v/>
      </c>
      <c r="O2461" s="40" t="str">
        <f aca="false">IF(A2461&amp;B2461&amp;D2461="","",IF(OR(A2461="",B2461="",D2461="",E2461=""),"Incomplete",IF(K2461="Unknown","Unknown code",IF(AND(K2461="Yes",C2461=""),"Billable, needs client",IF(N2461&gt;MaxDayHours,"Over "&amp;MaxDayHours&amp;" hours that day","")))))</f>
        <v/>
      </c>
    </row>
    <row r="2462" customFormat="false" ht="15" hidden="false" customHeight="false" outlineLevel="0" collapsed="false">
      <c r="A2462" s="31"/>
      <c r="B2462" s="32"/>
      <c r="C2462" s="32"/>
      <c r="D2462" s="33"/>
      <c r="E2462" s="34"/>
      <c r="F2462" s="32"/>
      <c r="G2462" s="35" t="str">
        <f aca="false">IF(A2462="","",A2462+7-WEEKDAY(A2462))</f>
        <v/>
      </c>
      <c r="H2462" s="36" t="str">
        <f aca="false">IF(A2462="","",DATE(YEAR(A2462),MONTH(A2462),1))</f>
        <v/>
      </c>
      <c r="I2462" s="37" t="str">
        <f aca="false">IF(B2462="","",IFERROR(INDEX(st_ID,MATCH(B2462,st_Name,0)),"Unknown"))</f>
        <v/>
      </c>
      <c r="J2462" s="37" t="str">
        <f aca="false">IF(C2462="","",IFERROR(INDEX(cl_Code,MATCH(C2462,cl_Name,0)),"Unknown"))</f>
        <v/>
      </c>
      <c r="K2462" s="37" t="str">
        <f aca="false">IF(D2462="","",IFERROR(INDEX(rt_Billable,MATCH(D2462,rt_Code,0)),"Unknown"))</f>
        <v/>
      </c>
      <c r="L2462" s="38" t="str">
        <f aca="false">IF(K2462&lt;&gt;"Yes","",IFERROR(INDEX(cr_Rate,MATCH(J2462&amp;"|"&amp;D2462,cr_Key,0)),INDEX(rt_Rate,MATCH(D2462,rt_Code,0))))</f>
        <v/>
      </c>
      <c r="M2462" s="25" t="str">
        <f aca="false">IF(L2462="","",ROUND(N(E2462)*L2462,2))</f>
        <v/>
      </c>
      <c r="N2462" s="39" t="str">
        <f aca="false">IF(OR(A2462="",B2462=""),"",SUMIFS(tl_Hours,tl_StaffID,I2462,tl_Date,A2462))</f>
        <v/>
      </c>
      <c r="O2462" s="40" t="str">
        <f aca="false">IF(A2462&amp;B2462&amp;D2462="","",IF(OR(A2462="",B2462="",D2462="",E2462=""),"Incomplete",IF(K2462="Unknown","Unknown code",IF(AND(K2462="Yes",C2462=""),"Billable, needs client",IF(N2462&gt;MaxDayHours,"Over "&amp;MaxDayHours&amp;" hours that day","")))))</f>
        <v/>
      </c>
    </row>
    <row r="2463" customFormat="false" ht="15" hidden="false" customHeight="false" outlineLevel="0" collapsed="false">
      <c r="A2463" s="31"/>
      <c r="B2463" s="32"/>
      <c r="C2463" s="32"/>
      <c r="D2463" s="33"/>
      <c r="E2463" s="34"/>
      <c r="F2463" s="32"/>
      <c r="G2463" s="35" t="str">
        <f aca="false">IF(A2463="","",A2463+7-WEEKDAY(A2463))</f>
        <v/>
      </c>
      <c r="H2463" s="36" t="str">
        <f aca="false">IF(A2463="","",DATE(YEAR(A2463),MONTH(A2463),1))</f>
        <v/>
      </c>
      <c r="I2463" s="37" t="str">
        <f aca="false">IF(B2463="","",IFERROR(INDEX(st_ID,MATCH(B2463,st_Name,0)),"Unknown"))</f>
        <v/>
      </c>
      <c r="J2463" s="37" t="str">
        <f aca="false">IF(C2463="","",IFERROR(INDEX(cl_Code,MATCH(C2463,cl_Name,0)),"Unknown"))</f>
        <v/>
      </c>
      <c r="K2463" s="37" t="str">
        <f aca="false">IF(D2463="","",IFERROR(INDEX(rt_Billable,MATCH(D2463,rt_Code,0)),"Unknown"))</f>
        <v/>
      </c>
      <c r="L2463" s="38" t="str">
        <f aca="false">IF(K2463&lt;&gt;"Yes","",IFERROR(INDEX(cr_Rate,MATCH(J2463&amp;"|"&amp;D2463,cr_Key,0)),INDEX(rt_Rate,MATCH(D2463,rt_Code,0))))</f>
        <v/>
      </c>
      <c r="M2463" s="25" t="str">
        <f aca="false">IF(L2463="","",ROUND(N(E2463)*L2463,2))</f>
        <v/>
      </c>
      <c r="N2463" s="39" t="str">
        <f aca="false">IF(OR(A2463="",B2463=""),"",SUMIFS(tl_Hours,tl_StaffID,I2463,tl_Date,A2463))</f>
        <v/>
      </c>
      <c r="O2463" s="40" t="str">
        <f aca="false">IF(A2463&amp;B2463&amp;D2463="","",IF(OR(A2463="",B2463="",D2463="",E2463=""),"Incomplete",IF(K2463="Unknown","Unknown code",IF(AND(K2463="Yes",C2463=""),"Billable, needs client",IF(N2463&gt;MaxDayHours,"Over "&amp;MaxDayHours&amp;" hours that day","")))))</f>
        <v/>
      </c>
    </row>
    <row r="2464" customFormat="false" ht="15" hidden="false" customHeight="false" outlineLevel="0" collapsed="false">
      <c r="A2464" s="31"/>
      <c r="B2464" s="32"/>
      <c r="C2464" s="32"/>
      <c r="D2464" s="33"/>
      <c r="E2464" s="34"/>
      <c r="F2464" s="32"/>
      <c r="G2464" s="35" t="str">
        <f aca="false">IF(A2464="","",A2464+7-WEEKDAY(A2464))</f>
        <v/>
      </c>
      <c r="H2464" s="36" t="str">
        <f aca="false">IF(A2464="","",DATE(YEAR(A2464),MONTH(A2464),1))</f>
        <v/>
      </c>
      <c r="I2464" s="37" t="str">
        <f aca="false">IF(B2464="","",IFERROR(INDEX(st_ID,MATCH(B2464,st_Name,0)),"Unknown"))</f>
        <v/>
      </c>
      <c r="J2464" s="37" t="str">
        <f aca="false">IF(C2464="","",IFERROR(INDEX(cl_Code,MATCH(C2464,cl_Name,0)),"Unknown"))</f>
        <v/>
      </c>
      <c r="K2464" s="37" t="str">
        <f aca="false">IF(D2464="","",IFERROR(INDEX(rt_Billable,MATCH(D2464,rt_Code,0)),"Unknown"))</f>
        <v/>
      </c>
      <c r="L2464" s="38" t="str">
        <f aca="false">IF(K2464&lt;&gt;"Yes","",IFERROR(INDEX(cr_Rate,MATCH(J2464&amp;"|"&amp;D2464,cr_Key,0)),INDEX(rt_Rate,MATCH(D2464,rt_Code,0))))</f>
        <v/>
      </c>
      <c r="M2464" s="25" t="str">
        <f aca="false">IF(L2464="","",ROUND(N(E2464)*L2464,2))</f>
        <v/>
      </c>
      <c r="N2464" s="39" t="str">
        <f aca="false">IF(OR(A2464="",B2464=""),"",SUMIFS(tl_Hours,tl_StaffID,I2464,tl_Date,A2464))</f>
        <v/>
      </c>
      <c r="O2464" s="40" t="str">
        <f aca="false">IF(A2464&amp;B2464&amp;D2464="","",IF(OR(A2464="",B2464="",D2464="",E2464=""),"Incomplete",IF(K2464="Unknown","Unknown code",IF(AND(K2464="Yes",C2464=""),"Billable, needs client",IF(N2464&gt;MaxDayHours,"Over "&amp;MaxDayHours&amp;" hours that day","")))))</f>
        <v/>
      </c>
    </row>
    <row r="2465" customFormat="false" ht="15" hidden="false" customHeight="false" outlineLevel="0" collapsed="false">
      <c r="A2465" s="31"/>
      <c r="B2465" s="32"/>
      <c r="C2465" s="32"/>
      <c r="D2465" s="33"/>
      <c r="E2465" s="34"/>
      <c r="F2465" s="32"/>
      <c r="G2465" s="35" t="str">
        <f aca="false">IF(A2465="","",A2465+7-WEEKDAY(A2465))</f>
        <v/>
      </c>
      <c r="H2465" s="36" t="str">
        <f aca="false">IF(A2465="","",DATE(YEAR(A2465),MONTH(A2465),1))</f>
        <v/>
      </c>
      <c r="I2465" s="37" t="str">
        <f aca="false">IF(B2465="","",IFERROR(INDEX(st_ID,MATCH(B2465,st_Name,0)),"Unknown"))</f>
        <v/>
      </c>
      <c r="J2465" s="37" t="str">
        <f aca="false">IF(C2465="","",IFERROR(INDEX(cl_Code,MATCH(C2465,cl_Name,0)),"Unknown"))</f>
        <v/>
      </c>
      <c r="K2465" s="37" t="str">
        <f aca="false">IF(D2465="","",IFERROR(INDEX(rt_Billable,MATCH(D2465,rt_Code,0)),"Unknown"))</f>
        <v/>
      </c>
      <c r="L2465" s="38" t="str">
        <f aca="false">IF(K2465&lt;&gt;"Yes","",IFERROR(INDEX(cr_Rate,MATCH(J2465&amp;"|"&amp;D2465,cr_Key,0)),INDEX(rt_Rate,MATCH(D2465,rt_Code,0))))</f>
        <v/>
      </c>
      <c r="M2465" s="25" t="str">
        <f aca="false">IF(L2465="","",ROUND(N(E2465)*L2465,2))</f>
        <v/>
      </c>
      <c r="N2465" s="39" t="str">
        <f aca="false">IF(OR(A2465="",B2465=""),"",SUMIFS(tl_Hours,tl_StaffID,I2465,tl_Date,A2465))</f>
        <v/>
      </c>
      <c r="O2465" s="40" t="str">
        <f aca="false">IF(A2465&amp;B2465&amp;D2465="","",IF(OR(A2465="",B2465="",D2465="",E2465=""),"Incomplete",IF(K2465="Unknown","Unknown code",IF(AND(K2465="Yes",C2465=""),"Billable, needs client",IF(N2465&gt;MaxDayHours,"Over "&amp;MaxDayHours&amp;" hours that day","")))))</f>
        <v/>
      </c>
    </row>
    <row r="2466" customFormat="false" ht="15" hidden="false" customHeight="false" outlineLevel="0" collapsed="false">
      <c r="A2466" s="31"/>
      <c r="B2466" s="32"/>
      <c r="C2466" s="32"/>
      <c r="D2466" s="33"/>
      <c r="E2466" s="34"/>
      <c r="F2466" s="32"/>
      <c r="G2466" s="35" t="str">
        <f aca="false">IF(A2466="","",A2466+7-WEEKDAY(A2466))</f>
        <v/>
      </c>
      <c r="H2466" s="36" t="str">
        <f aca="false">IF(A2466="","",DATE(YEAR(A2466),MONTH(A2466),1))</f>
        <v/>
      </c>
      <c r="I2466" s="37" t="str">
        <f aca="false">IF(B2466="","",IFERROR(INDEX(st_ID,MATCH(B2466,st_Name,0)),"Unknown"))</f>
        <v/>
      </c>
      <c r="J2466" s="37" t="str">
        <f aca="false">IF(C2466="","",IFERROR(INDEX(cl_Code,MATCH(C2466,cl_Name,0)),"Unknown"))</f>
        <v/>
      </c>
      <c r="K2466" s="37" t="str">
        <f aca="false">IF(D2466="","",IFERROR(INDEX(rt_Billable,MATCH(D2466,rt_Code,0)),"Unknown"))</f>
        <v/>
      </c>
      <c r="L2466" s="38" t="str">
        <f aca="false">IF(K2466&lt;&gt;"Yes","",IFERROR(INDEX(cr_Rate,MATCH(J2466&amp;"|"&amp;D2466,cr_Key,0)),INDEX(rt_Rate,MATCH(D2466,rt_Code,0))))</f>
        <v/>
      </c>
      <c r="M2466" s="25" t="str">
        <f aca="false">IF(L2466="","",ROUND(N(E2466)*L2466,2))</f>
        <v/>
      </c>
      <c r="N2466" s="39" t="str">
        <f aca="false">IF(OR(A2466="",B2466=""),"",SUMIFS(tl_Hours,tl_StaffID,I2466,tl_Date,A2466))</f>
        <v/>
      </c>
      <c r="O2466" s="40" t="str">
        <f aca="false">IF(A2466&amp;B2466&amp;D2466="","",IF(OR(A2466="",B2466="",D2466="",E2466=""),"Incomplete",IF(K2466="Unknown","Unknown code",IF(AND(K2466="Yes",C2466=""),"Billable, needs client",IF(N2466&gt;MaxDayHours,"Over "&amp;MaxDayHours&amp;" hours that day","")))))</f>
        <v/>
      </c>
    </row>
    <row r="2467" customFormat="false" ht="15" hidden="false" customHeight="false" outlineLevel="0" collapsed="false">
      <c r="A2467" s="31"/>
      <c r="B2467" s="32"/>
      <c r="C2467" s="32"/>
      <c r="D2467" s="33"/>
      <c r="E2467" s="34"/>
      <c r="F2467" s="32"/>
      <c r="G2467" s="35" t="str">
        <f aca="false">IF(A2467="","",A2467+7-WEEKDAY(A2467))</f>
        <v/>
      </c>
      <c r="H2467" s="36" t="str">
        <f aca="false">IF(A2467="","",DATE(YEAR(A2467),MONTH(A2467),1))</f>
        <v/>
      </c>
      <c r="I2467" s="37" t="str">
        <f aca="false">IF(B2467="","",IFERROR(INDEX(st_ID,MATCH(B2467,st_Name,0)),"Unknown"))</f>
        <v/>
      </c>
      <c r="J2467" s="37" t="str">
        <f aca="false">IF(C2467="","",IFERROR(INDEX(cl_Code,MATCH(C2467,cl_Name,0)),"Unknown"))</f>
        <v/>
      </c>
      <c r="K2467" s="37" t="str">
        <f aca="false">IF(D2467="","",IFERROR(INDEX(rt_Billable,MATCH(D2467,rt_Code,0)),"Unknown"))</f>
        <v/>
      </c>
      <c r="L2467" s="38" t="str">
        <f aca="false">IF(K2467&lt;&gt;"Yes","",IFERROR(INDEX(cr_Rate,MATCH(J2467&amp;"|"&amp;D2467,cr_Key,0)),INDEX(rt_Rate,MATCH(D2467,rt_Code,0))))</f>
        <v/>
      </c>
      <c r="M2467" s="25" t="str">
        <f aca="false">IF(L2467="","",ROUND(N(E2467)*L2467,2))</f>
        <v/>
      </c>
      <c r="N2467" s="39" t="str">
        <f aca="false">IF(OR(A2467="",B2467=""),"",SUMIFS(tl_Hours,tl_StaffID,I2467,tl_Date,A2467))</f>
        <v/>
      </c>
      <c r="O2467" s="40" t="str">
        <f aca="false">IF(A2467&amp;B2467&amp;D2467="","",IF(OR(A2467="",B2467="",D2467="",E2467=""),"Incomplete",IF(K2467="Unknown","Unknown code",IF(AND(K2467="Yes",C2467=""),"Billable, needs client",IF(N2467&gt;MaxDayHours,"Over "&amp;MaxDayHours&amp;" hours that day","")))))</f>
        <v/>
      </c>
    </row>
    <row r="2468" customFormat="false" ht="15" hidden="false" customHeight="false" outlineLevel="0" collapsed="false">
      <c r="A2468" s="31"/>
      <c r="B2468" s="32"/>
      <c r="C2468" s="32"/>
      <c r="D2468" s="33"/>
      <c r="E2468" s="34"/>
      <c r="F2468" s="32"/>
      <c r="G2468" s="35" t="str">
        <f aca="false">IF(A2468="","",A2468+7-WEEKDAY(A2468))</f>
        <v/>
      </c>
      <c r="H2468" s="36" t="str">
        <f aca="false">IF(A2468="","",DATE(YEAR(A2468),MONTH(A2468),1))</f>
        <v/>
      </c>
      <c r="I2468" s="37" t="str">
        <f aca="false">IF(B2468="","",IFERROR(INDEX(st_ID,MATCH(B2468,st_Name,0)),"Unknown"))</f>
        <v/>
      </c>
      <c r="J2468" s="37" t="str">
        <f aca="false">IF(C2468="","",IFERROR(INDEX(cl_Code,MATCH(C2468,cl_Name,0)),"Unknown"))</f>
        <v/>
      </c>
      <c r="K2468" s="37" t="str">
        <f aca="false">IF(D2468="","",IFERROR(INDEX(rt_Billable,MATCH(D2468,rt_Code,0)),"Unknown"))</f>
        <v/>
      </c>
      <c r="L2468" s="38" t="str">
        <f aca="false">IF(K2468&lt;&gt;"Yes","",IFERROR(INDEX(cr_Rate,MATCH(J2468&amp;"|"&amp;D2468,cr_Key,0)),INDEX(rt_Rate,MATCH(D2468,rt_Code,0))))</f>
        <v/>
      </c>
      <c r="M2468" s="25" t="str">
        <f aca="false">IF(L2468="","",ROUND(N(E2468)*L2468,2))</f>
        <v/>
      </c>
      <c r="N2468" s="39" t="str">
        <f aca="false">IF(OR(A2468="",B2468=""),"",SUMIFS(tl_Hours,tl_StaffID,I2468,tl_Date,A2468))</f>
        <v/>
      </c>
      <c r="O2468" s="40" t="str">
        <f aca="false">IF(A2468&amp;B2468&amp;D2468="","",IF(OR(A2468="",B2468="",D2468="",E2468=""),"Incomplete",IF(K2468="Unknown","Unknown code",IF(AND(K2468="Yes",C2468=""),"Billable, needs client",IF(N2468&gt;MaxDayHours,"Over "&amp;MaxDayHours&amp;" hours that day","")))))</f>
        <v/>
      </c>
    </row>
    <row r="2469" customFormat="false" ht="15" hidden="false" customHeight="false" outlineLevel="0" collapsed="false">
      <c r="A2469" s="31"/>
      <c r="B2469" s="32"/>
      <c r="C2469" s="32"/>
      <c r="D2469" s="33"/>
      <c r="E2469" s="34"/>
      <c r="F2469" s="32"/>
      <c r="G2469" s="35" t="str">
        <f aca="false">IF(A2469="","",A2469+7-WEEKDAY(A2469))</f>
        <v/>
      </c>
      <c r="H2469" s="36" t="str">
        <f aca="false">IF(A2469="","",DATE(YEAR(A2469),MONTH(A2469),1))</f>
        <v/>
      </c>
      <c r="I2469" s="37" t="str">
        <f aca="false">IF(B2469="","",IFERROR(INDEX(st_ID,MATCH(B2469,st_Name,0)),"Unknown"))</f>
        <v/>
      </c>
      <c r="J2469" s="37" t="str">
        <f aca="false">IF(C2469="","",IFERROR(INDEX(cl_Code,MATCH(C2469,cl_Name,0)),"Unknown"))</f>
        <v/>
      </c>
      <c r="K2469" s="37" t="str">
        <f aca="false">IF(D2469="","",IFERROR(INDEX(rt_Billable,MATCH(D2469,rt_Code,0)),"Unknown"))</f>
        <v/>
      </c>
      <c r="L2469" s="38" t="str">
        <f aca="false">IF(K2469&lt;&gt;"Yes","",IFERROR(INDEX(cr_Rate,MATCH(J2469&amp;"|"&amp;D2469,cr_Key,0)),INDEX(rt_Rate,MATCH(D2469,rt_Code,0))))</f>
        <v/>
      </c>
      <c r="M2469" s="25" t="str">
        <f aca="false">IF(L2469="","",ROUND(N(E2469)*L2469,2))</f>
        <v/>
      </c>
      <c r="N2469" s="39" t="str">
        <f aca="false">IF(OR(A2469="",B2469=""),"",SUMIFS(tl_Hours,tl_StaffID,I2469,tl_Date,A2469))</f>
        <v/>
      </c>
      <c r="O2469" s="40" t="str">
        <f aca="false">IF(A2469&amp;B2469&amp;D2469="","",IF(OR(A2469="",B2469="",D2469="",E2469=""),"Incomplete",IF(K2469="Unknown","Unknown code",IF(AND(K2469="Yes",C2469=""),"Billable, needs client",IF(N2469&gt;MaxDayHours,"Over "&amp;MaxDayHours&amp;" hours that day","")))))</f>
        <v/>
      </c>
    </row>
    <row r="2470" customFormat="false" ht="15" hidden="false" customHeight="false" outlineLevel="0" collapsed="false">
      <c r="A2470" s="31"/>
      <c r="B2470" s="32"/>
      <c r="C2470" s="32"/>
      <c r="D2470" s="33"/>
      <c r="E2470" s="34"/>
      <c r="F2470" s="32"/>
      <c r="G2470" s="35" t="str">
        <f aca="false">IF(A2470="","",A2470+7-WEEKDAY(A2470))</f>
        <v/>
      </c>
      <c r="H2470" s="36" t="str">
        <f aca="false">IF(A2470="","",DATE(YEAR(A2470),MONTH(A2470),1))</f>
        <v/>
      </c>
      <c r="I2470" s="37" t="str">
        <f aca="false">IF(B2470="","",IFERROR(INDEX(st_ID,MATCH(B2470,st_Name,0)),"Unknown"))</f>
        <v/>
      </c>
      <c r="J2470" s="37" t="str">
        <f aca="false">IF(C2470="","",IFERROR(INDEX(cl_Code,MATCH(C2470,cl_Name,0)),"Unknown"))</f>
        <v/>
      </c>
      <c r="K2470" s="37" t="str">
        <f aca="false">IF(D2470="","",IFERROR(INDEX(rt_Billable,MATCH(D2470,rt_Code,0)),"Unknown"))</f>
        <v/>
      </c>
      <c r="L2470" s="38" t="str">
        <f aca="false">IF(K2470&lt;&gt;"Yes","",IFERROR(INDEX(cr_Rate,MATCH(J2470&amp;"|"&amp;D2470,cr_Key,0)),INDEX(rt_Rate,MATCH(D2470,rt_Code,0))))</f>
        <v/>
      </c>
      <c r="M2470" s="25" t="str">
        <f aca="false">IF(L2470="","",ROUND(N(E2470)*L2470,2))</f>
        <v/>
      </c>
      <c r="N2470" s="39" t="str">
        <f aca="false">IF(OR(A2470="",B2470=""),"",SUMIFS(tl_Hours,tl_StaffID,I2470,tl_Date,A2470))</f>
        <v/>
      </c>
      <c r="O2470" s="40" t="str">
        <f aca="false">IF(A2470&amp;B2470&amp;D2470="","",IF(OR(A2470="",B2470="",D2470="",E2470=""),"Incomplete",IF(K2470="Unknown","Unknown code",IF(AND(K2470="Yes",C2470=""),"Billable, needs client",IF(N2470&gt;MaxDayHours,"Over "&amp;MaxDayHours&amp;" hours that day","")))))</f>
        <v/>
      </c>
    </row>
    <row r="2471" customFormat="false" ht="15" hidden="false" customHeight="false" outlineLevel="0" collapsed="false">
      <c r="A2471" s="31"/>
      <c r="B2471" s="32"/>
      <c r="C2471" s="32"/>
      <c r="D2471" s="33"/>
      <c r="E2471" s="34"/>
      <c r="F2471" s="32"/>
      <c r="G2471" s="35" t="str">
        <f aca="false">IF(A2471="","",A2471+7-WEEKDAY(A2471))</f>
        <v/>
      </c>
      <c r="H2471" s="36" t="str">
        <f aca="false">IF(A2471="","",DATE(YEAR(A2471),MONTH(A2471),1))</f>
        <v/>
      </c>
      <c r="I2471" s="37" t="str">
        <f aca="false">IF(B2471="","",IFERROR(INDEX(st_ID,MATCH(B2471,st_Name,0)),"Unknown"))</f>
        <v/>
      </c>
      <c r="J2471" s="37" t="str">
        <f aca="false">IF(C2471="","",IFERROR(INDEX(cl_Code,MATCH(C2471,cl_Name,0)),"Unknown"))</f>
        <v/>
      </c>
      <c r="K2471" s="37" t="str">
        <f aca="false">IF(D2471="","",IFERROR(INDEX(rt_Billable,MATCH(D2471,rt_Code,0)),"Unknown"))</f>
        <v/>
      </c>
      <c r="L2471" s="38" t="str">
        <f aca="false">IF(K2471&lt;&gt;"Yes","",IFERROR(INDEX(cr_Rate,MATCH(J2471&amp;"|"&amp;D2471,cr_Key,0)),INDEX(rt_Rate,MATCH(D2471,rt_Code,0))))</f>
        <v/>
      </c>
      <c r="M2471" s="25" t="str">
        <f aca="false">IF(L2471="","",ROUND(N(E2471)*L2471,2))</f>
        <v/>
      </c>
      <c r="N2471" s="39" t="str">
        <f aca="false">IF(OR(A2471="",B2471=""),"",SUMIFS(tl_Hours,tl_StaffID,I2471,tl_Date,A2471))</f>
        <v/>
      </c>
      <c r="O2471" s="40" t="str">
        <f aca="false">IF(A2471&amp;B2471&amp;D2471="","",IF(OR(A2471="",B2471="",D2471="",E2471=""),"Incomplete",IF(K2471="Unknown","Unknown code",IF(AND(K2471="Yes",C2471=""),"Billable, needs client",IF(N2471&gt;MaxDayHours,"Over "&amp;MaxDayHours&amp;" hours that day","")))))</f>
        <v/>
      </c>
    </row>
    <row r="2472" customFormat="false" ht="15" hidden="false" customHeight="false" outlineLevel="0" collapsed="false">
      <c r="A2472" s="31"/>
      <c r="B2472" s="32"/>
      <c r="C2472" s="32"/>
      <c r="D2472" s="33"/>
      <c r="E2472" s="34"/>
      <c r="F2472" s="32"/>
      <c r="G2472" s="35" t="str">
        <f aca="false">IF(A2472="","",A2472+7-WEEKDAY(A2472))</f>
        <v/>
      </c>
      <c r="H2472" s="36" t="str">
        <f aca="false">IF(A2472="","",DATE(YEAR(A2472),MONTH(A2472),1))</f>
        <v/>
      </c>
      <c r="I2472" s="37" t="str">
        <f aca="false">IF(B2472="","",IFERROR(INDEX(st_ID,MATCH(B2472,st_Name,0)),"Unknown"))</f>
        <v/>
      </c>
      <c r="J2472" s="37" t="str">
        <f aca="false">IF(C2472="","",IFERROR(INDEX(cl_Code,MATCH(C2472,cl_Name,0)),"Unknown"))</f>
        <v/>
      </c>
      <c r="K2472" s="37" t="str">
        <f aca="false">IF(D2472="","",IFERROR(INDEX(rt_Billable,MATCH(D2472,rt_Code,0)),"Unknown"))</f>
        <v/>
      </c>
      <c r="L2472" s="38" t="str">
        <f aca="false">IF(K2472&lt;&gt;"Yes","",IFERROR(INDEX(cr_Rate,MATCH(J2472&amp;"|"&amp;D2472,cr_Key,0)),INDEX(rt_Rate,MATCH(D2472,rt_Code,0))))</f>
        <v/>
      </c>
      <c r="M2472" s="25" t="str">
        <f aca="false">IF(L2472="","",ROUND(N(E2472)*L2472,2))</f>
        <v/>
      </c>
      <c r="N2472" s="39" t="str">
        <f aca="false">IF(OR(A2472="",B2472=""),"",SUMIFS(tl_Hours,tl_StaffID,I2472,tl_Date,A2472))</f>
        <v/>
      </c>
      <c r="O2472" s="40" t="str">
        <f aca="false">IF(A2472&amp;B2472&amp;D2472="","",IF(OR(A2472="",B2472="",D2472="",E2472=""),"Incomplete",IF(K2472="Unknown","Unknown code",IF(AND(K2472="Yes",C2472=""),"Billable, needs client",IF(N2472&gt;MaxDayHours,"Over "&amp;MaxDayHours&amp;" hours that day","")))))</f>
        <v/>
      </c>
    </row>
    <row r="2473" customFormat="false" ht="15" hidden="false" customHeight="false" outlineLevel="0" collapsed="false">
      <c r="A2473" s="31"/>
      <c r="B2473" s="32"/>
      <c r="C2473" s="32"/>
      <c r="D2473" s="33"/>
      <c r="E2473" s="34"/>
      <c r="F2473" s="32"/>
      <c r="G2473" s="35" t="str">
        <f aca="false">IF(A2473="","",A2473+7-WEEKDAY(A2473))</f>
        <v/>
      </c>
      <c r="H2473" s="36" t="str">
        <f aca="false">IF(A2473="","",DATE(YEAR(A2473),MONTH(A2473),1))</f>
        <v/>
      </c>
      <c r="I2473" s="37" t="str">
        <f aca="false">IF(B2473="","",IFERROR(INDEX(st_ID,MATCH(B2473,st_Name,0)),"Unknown"))</f>
        <v/>
      </c>
      <c r="J2473" s="37" t="str">
        <f aca="false">IF(C2473="","",IFERROR(INDEX(cl_Code,MATCH(C2473,cl_Name,0)),"Unknown"))</f>
        <v/>
      </c>
      <c r="K2473" s="37" t="str">
        <f aca="false">IF(D2473="","",IFERROR(INDEX(rt_Billable,MATCH(D2473,rt_Code,0)),"Unknown"))</f>
        <v/>
      </c>
      <c r="L2473" s="38" t="str">
        <f aca="false">IF(K2473&lt;&gt;"Yes","",IFERROR(INDEX(cr_Rate,MATCH(J2473&amp;"|"&amp;D2473,cr_Key,0)),INDEX(rt_Rate,MATCH(D2473,rt_Code,0))))</f>
        <v/>
      </c>
      <c r="M2473" s="25" t="str">
        <f aca="false">IF(L2473="","",ROUND(N(E2473)*L2473,2))</f>
        <v/>
      </c>
      <c r="N2473" s="39" t="str">
        <f aca="false">IF(OR(A2473="",B2473=""),"",SUMIFS(tl_Hours,tl_StaffID,I2473,tl_Date,A2473))</f>
        <v/>
      </c>
      <c r="O2473" s="40" t="str">
        <f aca="false">IF(A2473&amp;B2473&amp;D2473="","",IF(OR(A2473="",B2473="",D2473="",E2473=""),"Incomplete",IF(K2473="Unknown","Unknown code",IF(AND(K2473="Yes",C2473=""),"Billable, needs client",IF(N2473&gt;MaxDayHours,"Over "&amp;MaxDayHours&amp;" hours that day","")))))</f>
        <v/>
      </c>
    </row>
    <row r="2474" customFormat="false" ht="15" hidden="false" customHeight="false" outlineLevel="0" collapsed="false">
      <c r="A2474" s="31"/>
      <c r="B2474" s="32"/>
      <c r="C2474" s="32"/>
      <c r="D2474" s="33"/>
      <c r="E2474" s="34"/>
      <c r="F2474" s="32"/>
      <c r="G2474" s="35" t="str">
        <f aca="false">IF(A2474="","",A2474+7-WEEKDAY(A2474))</f>
        <v/>
      </c>
      <c r="H2474" s="36" t="str">
        <f aca="false">IF(A2474="","",DATE(YEAR(A2474),MONTH(A2474),1))</f>
        <v/>
      </c>
      <c r="I2474" s="37" t="str">
        <f aca="false">IF(B2474="","",IFERROR(INDEX(st_ID,MATCH(B2474,st_Name,0)),"Unknown"))</f>
        <v/>
      </c>
      <c r="J2474" s="37" t="str">
        <f aca="false">IF(C2474="","",IFERROR(INDEX(cl_Code,MATCH(C2474,cl_Name,0)),"Unknown"))</f>
        <v/>
      </c>
      <c r="K2474" s="37" t="str">
        <f aca="false">IF(D2474="","",IFERROR(INDEX(rt_Billable,MATCH(D2474,rt_Code,0)),"Unknown"))</f>
        <v/>
      </c>
      <c r="L2474" s="38" t="str">
        <f aca="false">IF(K2474&lt;&gt;"Yes","",IFERROR(INDEX(cr_Rate,MATCH(J2474&amp;"|"&amp;D2474,cr_Key,0)),INDEX(rt_Rate,MATCH(D2474,rt_Code,0))))</f>
        <v/>
      </c>
      <c r="M2474" s="25" t="str">
        <f aca="false">IF(L2474="","",ROUND(N(E2474)*L2474,2))</f>
        <v/>
      </c>
      <c r="N2474" s="39" t="str">
        <f aca="false">IF(OR(A2474="",B2474=""),"",SUMIFS(tl_Hours,tl_StaffID,I2474,tl_Date,A2474))</f>
        <v/>
      </c>
      <c r="O2474" s="40" t="str">
        <f aca="false">IF(A2474&amp;B2474&amp;D2474="","",IF(OR(A2474="",B2474="",D2474="",E2474=""),"Incomplete",IF(K2474="Unknown","Unknown code",IF(AND(K2474="Yes",C2474=""),"Billable, needs client",IF(N2474&gt;MaxDayHours,"Over "&amp;MaxDayHours&amp;" hours that day","")))))</f>
        <v/>
      </c>
    </row>
    <row r="2475" customFormat="false" ht="15" hidden="false" customHeight="false" outlineLevel="0" collapsed="false">
      <c r="A2475" s="31"/>
      <c r="B2475" s="32"/>
      <c r="C2475" s="32"/>
      <c r="D2475" s="33"/>
      <c r="E2475" s="34"/>
      <c r="F2475" s="32"/>
      <c r="G2475" s="35" t="str">
        <f aca="false">IF(A2475="","",A2475+7-WEEKDAY(A2475))</f>
        <v/>
      </c>
      <c r="H2475" s="36" t="str">
        <f aca="false">IF(A2475="","",DATE(YEAR(A2475),MONTH(A2475),1))</f>
        <v/>
      </c>
      <c r="I2475" s="37" t="str">
        <f aca="false">IF(B2475="","",IFERROR(INDEX(st_ID,MATCH(B2475,st_Name,0)),"Unknown"))</f>
        <v/>
      </c>
      <c r="J2475" s="37" t="str">
        <f aca="false">IF(C2475="","",IFERROR(INDEX(cl_Code,MATCH(C2475,cl_Name,0)),"Unknown"))</f>
        <v/>
      </c>
      <c r="K2475" s="37" t="str">
        <f aca="false">IF(D2475="","",IFERROR(INDEX(rt_Billable,MATCH(D2475,rt_Code,0)),"Unknown"))</f>
        <v/>
      </c>
      <c r="L2475" s="38" t="str">
        <f aca="false">IF(K2475&lt;&gt;"Yes","",IFERROR(INDEX(cr_Rate,MATCH(J2475&amp;"|"&amp;D2475,cr_Key,0)),INDEX(rt_Rate,MATCH(D2475,rt_Code,0))))</f>
        <v/>
      </c>
      <c r="M2475" s="25" t="str">
        <f aca="false">IF(L2475="","",ROUND(N(E2475)*L2475,2))</f>
        <v/>
      </c>
      <c r="N2475" s="39" t="str">
        <f aca="false">IF(OR(A2475="",B2475=""),"",SUMIFS(tl_Hours,tl_StaffID,I2475,tl_Date,A2475))</f>
        <v/>
      </c>
      <c r="O2475" s="40" t="str">
        <f aca="false">IF(A2475&amp;B2475&amp;D2475="","",IF(OR(A2475="",B2475="",D2475="",E2475=""),"Incomplete",IF(K2475="Unknown","Unknown code",IF(AND(K2475="Yes",C2475=""),"Billable, needs client",IF(N2475&gt;MaxDayHours,"Over "&amp;MaxDayHours&amp;" hours that day","")))))</f>
        <v/>
      </c>
    </row>
    <row r="2476" customFormat="false" ht="15" hidden="false" customHeight="false" outlineLevel="0" collapsed="false">
      <c r="A2476" s="31"/>
      <c r="B2476" s="32"/>
      <c r="C2476" s="32"/>
      <c r="D2476" s="33"/>
      <c r="E2476" s="34"/>
      <c r="F2476" s="32"/>
      <c r="G2476" s="35" t="str">
        <f aca="false">IF(A2476="","",A2476+7-WEEKDAY(A2476))</f>
        <v/>
      </c>
      <c r="H2476" s="36" t="str">
        <f aca="false">IF(A2476="","",DATE(YEAR(A2476),MONTH(A2476),1))</f>
        <v/>
      </c>
      <c r="I2476" s="37" t="str">
        <f aca="false">IF(B2476="","",IFERROR(INDEX(st_ID,MATCH(B2476,st_Name,0)),"Unknown"))</f>
        <v/>
      </c>
      <c r="J2476" s="37" t="str">
        <f aca="false">IF(C2476="","",IFERROR(INDEX(cl_Code,MATCH(C2476,cl_Name,0)),"Unknown"))</f>
        <v/>
      </c>
      <c r="K2476" s="37" t="str">
        <f aca="false">IF(D2476="","",IFERROR(INDEX(rt_Billable,MATCH(D2476,rt_Code,0)),"Unknown"))</f>
        <v/>
      </c>
      <c r="L2476" s="38" t="str">
        <f aca="false">IF(K2476&lt;&gt;"Yes","",IFERROR(INDEX(cr_Rate,MATCH(J2476&amp;"|"&amp;D2476,cr_Key,0)),INDEX(rt_Rate,MATCH(D2476,rt_Code,0))))</f>
        <v/>
      </c>
      <c r="M2476" s="25" t="str">
        <f aca="false">IF(L2476="","",ROUND(N(E2476)*L2476,2))</f>
        <v/>
      </c>
      <c r="N2476" s="39" t="str">
        <f aca="false">IF(OR(A2476="",B2476=""),"",SUMIFS(tl_Hours,tl_StaffID,I2476,tl_Date,A2476))</f>
        <v/>
      </c>
      <c r="O2476" s="40" t="str">
        <f aca="false">IF(A2476&amp;B2476&amp;D2476="","",IF(OR(A2476="",B2476="",D2476="",E2476=""),"Incomplete",IF(K2476="Unknown","Unknown code",IF(AND(K2476="Yes",C2476=""),"Billable, needs client",IF(N2476&gt;MaxDayHours,"Over "&amp;MaxDayHours&amp;" hours that day","")))))</f>
        <v/>
      </c>
    </row>
    <row r="2477" customFormat="false" ht="15" hidden="false" customHeight="false" outlineLevel="0" collapsed="false">
      <c r="A2477" s="31"/>
      <c r="B2477" s="32"/>
      <c r="C2477" s="32"/>
      <c r="D2477" s="33"/>
      <c r="E2477" s="34"/>
      <c r="F2477" s="32"/>
      <c r="G2477" s="35" t="str">
        <f aca="false">IF(A2477="","",A2477+7-WEEKDAY(A2477))</f>
        <v/>
      </c>
      <c r="H2477" s="36" t="str">
        <f aca="false">IF(A2477="","",DATE(YEAR(A2477),MONTH(A2477),1))</f>
        <v/>
      </c>
      <c r="I2477" s="37" t="str">
        <f aca="false">IF(B2477="","",IFERROR(INDEX(st_ID,MATCH(B2477,st_Name,0)),"Unknown"))</f>
        <v/>
      </c>
      <c r="J2477" s="37" t="str">
        <f aca="false">IF(C2477="","",IFERROR(INDEX(cl_Code,MATCH(C2477,cl_Name,0)),"Unknown"))</f>
        <v/>
      </c>
      <c r="K2477" s="37" t="str">
        <f aca="false">IF(D2477="","",IFERROR(INDEX(rt_Billable,MATCH(D2477,rt_Code,0)),"Unknown"))</f>
        <v/>
      </c>
      <c r="L2477" s="38" t="str">
        <f aca="false">IF(K2477&lt;&gt;"Yes","",IFERROR(INDEX(cr_Rate,MATCH(J2477&amp;"|"&amp;D2477,cr_Key,0)),INDEX(rt_Rate,MATCH(D2477,rt_Code,0))))</f>
        <v/>
      </c>
      <c r="M2477" s="25" t="str">
        <f aca="false">IF(L2477="","",ROUND(N(E2477)*L2477,2))</f>
        <v/>
      </c>
      <c r="N2477" s="39" t="str">
        <f aca="false">IF(OR(A2477="",B2477=""),"",SUMIFS(tl_Hours,tl_StaffID,I2477,tl_Date,A2477))</f>
        <v/>
      </c>
      <c r="O2477" s="40" t="str">
        <f aca="false">IF(A2477&amp;B2477&amp;D2477="","",IF(OR(A2477="",B2477="",D2477="",E2477=""),"Incomplete",IF(K2477="Unknown","Unknown code",IF(AND(K2477="Yes",C2477=""),"Billable, needs client",IF(N2477&gt;MaxDayHours,"Over "&amp;MaxDayHours&amp;" hours that day","")))))</f>
        <v/>
      </c>
    </row>
    <row r="2478" customFormat="false" ht="15" hidden="false" customHeight="false" outlineLevel="0" collapsed="false">
      <c r="A2478" s="31"/>
      <c r="B2478" s="32"/>
      <c r="C2478" s="32"/>
      <c r="D2478" s="33"/>
      <c r="E2478" s="34"/>
      <c r="F2478" s="32"/>
      <c r="G2478" s="35" t="str">
        <f aca="false">IF(A2478="","",A2478+7-WEEKDAY(A2478))</f>
        <v/>
      </c>
      <c r="H2478" s="36" t="str">
        <f aca="false">IF(A2478="","",DATE(YEAR(A2478),MONTH(A2478),1))</f>
        <v/>
      </c>
      <c r="I2478" s="37" t="str">
        <f aca="false">IF(B2478="","",IFERROR(INDEX(st_ID,MATCH(B2478,st_Name,0)),"Unknown"))</f>
        <v/>
      </c>
      <c r="J2478" s="37" t="str">
        <f aca="false">IF(C2478="","",IFERROR(INDEX(cl_Code,MATCH(C2478,cl_Name,0)),"Unknown"))</f>
        <v/>
      </c>
      <c r="K2478" s="37" t="str">
        <f aca="false">IF(D2478="","",IFERROR(INDEX(rt_Billable,MATCH(D2478,rt_Code,0)),"Unknown"))</f>
        <v/>
      </c>
      <c r="L2478" s="38" t="str">
        <f aca="false">IF(K2478&lt;&gt;"Yes","",IFERROR(INDEX(cr_Rate,MATCH(J2478&amp;"|"&amp;D2478,cr_Key,0)),INDEX(rt_Rate,MATCH(D2478,rt_Code,0))))</f>
        <v/>
      </c>
      <c r="M2478" s="25" t="str">
        <f aca="false">IF(L2478="","",ROUND(N(E2478)*L2478,2))</f>
        <v/>
      </c>
      <c r="N2478" s="39" t="str">
        <f aca="false">IF(OR(A2478="",B2478=""),"",SUMIFS(tl_Hours,tl_StaffID,I2478,tl_Date,A2478))</f>
        <v/>
      </c>
      <c r="O2478" s="40" t="str">
        <f aca="false">IF(A2478&amp;B2478&amp;D2478="","",IF(OR(A2478="",B2478="",D2478="",E2478=""),"Incomplete",IF(K2478="Unknown","Unknown code",IF(AND(K2478="Yes",C2478=""),"Billable, needs client",IF(N2478&gt;MaxDayHours,"Over "&amp;MaxDayHours&amp;" hours that day","")))))</f>
        <v/>
      </c>
    </row>
    <row r="2479" customFormat="false" ht="15" hidden="false" customHeight="false" outlineLevel="0" collapsed="false">
      <c r="A2479" s="31"/>
      <c r="B2479" s="32"/>
      <c r="C2479" s="32"/>
      <c r="D2479" s="33"/>
      <c r="E2479" s="34"/>
      <c r="F2479" s="32"/>
      <c r="G2479" s="35" t="str">
        <f aca="false">IF(A2479="","",A2479+7-WEEKDAY(A2479))</f>
        <v/>
      </c>
      <c r="H2479" s="36" t="str">
        <f aca="false">IF(A2479="","",DATE(YEAR(A2479),MONTH(A2479),1))</f>
        <v/>
      </c>
      <c r="I2479" s="37" t="str">
        <f aca="false">IF(B2479="","",IFERROR(INDEX(st_ID,MATCH(B2479,st_Name,0)),"Unknown"))</f>
        <v/>
      </c>
      <c r="J2479" s="37" t="str">
        <f aca="false">IF(C2479="","",IFERROR(INDEX(cl_Code,MATCH(C2479,cl_Name,0)),"Unknown"))</f>
        <v/>
      </c>
      <c r="K2479" s="37" t="str">
        <f aca="false">IF(D2479="","",IFERROR(INDEX(rt_Billable,MATCH(D2479,rt_Code,0)),"Unknown"))</f>
        <v/>
      </c>
      <c r="L2479" s="38" t="str">
        <f aca="false">IF(K2479&lt;&gt;"Yes","",IFERROR(INDEX(cr_Rate,MATCH(J2479&amp;"|"&amp;D2479,cr_Key,0)),INDEX(rt_Rate,MATCH(D2479,rt_Code,0))))</f>
        <v/>
      </c>
      <c r="M2479" s="25" t="str">
        <f aca="false">IF(L2479="","",ROUND(N(E2479)*L2479,2))</f>
        <v/>
      </c>
      <c r="N2479" s="39" t="str">
        <f aca="false">IF(OR(A2479="",B2479=""),"",SUMIFS(tl_Hours,tl_StaffID,I2479,tl_Date,A2479))</f>
        <v/>
      </c>
      <c r="O2479" s="40" t="str">
        <f aca="false">IF(A2479&amp;B2479&amp;D2479="","",IF(OR(A2479="",B2479="",D2479="",E2479=""),"Incomplete",IF(K2479="Unknown","Unknown code",IF(AND(K2479="Yes",C2479=""),"Billable, needs client",IF(N2479&gt;MaxDayHours,"Over "&amp;MaxDayHours&amp;" hours that day","")))))</f>
        <v/>
      </c>
    </row>
    <row r="2480" customFormat="false" ht="15" hidden="false" customHeight="false" outlineLevel="0" collapsed="false">
      <c r="A2480" s="31"/>
      <c r="B2480" s="32"/>
      <c r="C2480" s="32"/>
      <c r="D2480" s="33"/>
      <c r="E2480" s="34"/>
      <c r="F2480" s="32"/>
      <c r="G2480" s="35" t="str">
        <f aca="false">IF(A2480="","",A2480+7-WEEKDAY(A2480))</f>
        <v/>
      </c>
      <c r="H2480" s="36" t="str">
        <f aca="false">IF(A2480="","",DATE(YEAR(A2480),MONTH(A2480),1))</f>
        <v/>
      </c>
      <c r="I2480" s="37" t="str">
        <f aca="false">IF(B2480="","",IFERROR(INDEX(st_ID,MATCH(B2480,st_Name,0)),"Unknown"))</f>
        <v/>
      </c>
      <c r="J2480" s="37" t="str">
        <f aca="false">IF(C2480="","",IFERROR(INDEX(cl_Code,MATCH(C2480,cl_Name,0)),"Unknown"))</f>
        <v/>
      </c>
      <c r="K2480" s="37" t="str">
        <f aca="false">IF(D2480="","",IFERROR(INDEX(rt_Billable,MATCH(D2480,rt_Code,0)),"Unknown"))</f>
        <v/>
      </c>
      <c r="L2480" s="38" t="str">
        <f aca="false">IF(K2480&lt;&gt;"Yes","",IFERROR(INDEX(cr_Rate,MATCH(J2480&amp;"|"&amp;D2480,cr_Key,0)),INDEX(rt_Rate,MATCH(D2480,rt_Code,0))))</f>
        <v/>
      </c>
      <c r="M2480" s="25" t="str">
        <f aca="false">IF(L2480="","",ROUND(N(E2480)*L2480,2))</f>
        <v/>
      </c>
      <c r="N2480" s="39" t="str">
        <f aca="false">IF(OR(A2480="",B2480=""),"",SUMIFS(tl_Hours,tl_StaffID,I2480,tl_Date,A2480))</f>
        <v/>
      </c>
      <c r="O2480" s="40" t="str">
        <f aca="false">IF(A2480&amp;B2480&amp;D2480="","",IF(OR(A2480="",B2480="",D2480="",E2480=""),"Incomplete",IF(K2480="Unknown","Unknown code",IF(AND(K2480="Yes",C2480=""),"Billable, needs client",IF(N2480&gt;MaxDayHours,"Over "&amp;MaxDayHours&amp;" hours that day","")))))</f>
        <v/>
      </c>
    </row>
    <row r="2481" customFormat="false" ht="15" hidden="false" customHeight="false" outlineLevel="0" collapsed="false">
      <c r="A2481" s="31"/>
      <c r="B2481" s="32"/>
      <c r="C2481" s="32"/>
      <c r="D2481" s="33"/>
      <c r="E2481" s="34"/>
      <c r="F2481" s="32"/>
      <c r="G2481" s="35" t="str">
        <f aca="false">IF(A2481="","",A2481+7-WEEKDAY(A2481))</f>
        <v/>
      </c>
      <c r="H2481" s="36" t="str">
        <f aca="false">IF(A2481="","",DATE(YEAR(A2481),MONTH(A2481),1))</f>
        <v/>
      </c>
      <c r="I2481" s="37" t="str">
        <f aca="false">IF(B2481="","",IFERROR(INDEX(st_ID,MATCH(B2481,st_Name,0)),"Unknown"))</f>
        <v/>
      </c>
      <c r="J2481" s="37" t="str">
        <f aca="false">IF(C2481="","",IFERROR(INDEX(cl_Code,MATCH(C2481,cl_Name,0)),"Unknown"))</f>
        <v/>
      </c>
      <c r="K2481" s="37" t="str">
        <f aca="false">IF(D2481="","",IFERROR(INDEX(rt_Billable,MATCH(D2481,rt_Code,0)),"Unknown"))</f>
        <v/>
      </c>
      <c r="L2481" s="38" t="str">
        <f aca="false">IF(K2481&lt;&gt;"Yes","",IFERROR(INDEX(cr_Rate,MATCH(J2481&amp;"|"&amp;D2481,cr_Key,0)),INDEX(rt_Rate,MATCH(D2481,rt_Code,0))))</f>
        <v/>
      </c>
      <c r="M2481" s="25" t="str">
        <f aca="false">IF(L2481="","",ROUND(N(E2481)*L2481,2))</f>
        <v/>
      </c>
      <c r="N2481" s="39" t="str">
        <f aca="false">IF(OR(A2481="",B2481=""),"",SUMIFS(tl_Hours,tl_StaffID,I2481,tl_Date,A2481))</f>
        <v/>
      </c>
      <c r="O2481" s="40" t="str">
        <f aca="false">IF(A2481&amp;B2481&amp;D2481="","",IF(OR(A2481="",B2481="",D2481="",E2481=""),"Incomplete",IF(K2481="Unknown","Unknown code",IF(AND(K2481="Yes",C2481=""),"Billable, needs client",IF(N2481&gt;MaxDayHours,"Over "&amp;MaxDayHours&amp;" hours that day","")))))</f>
        <v/>
      </c>
    </row>
    <row r="2482" customFormat="false" ht="15" hidden="false" customHeight="false" outlineLevel="0" collapsed="false">
      <c r="A2482" s="31"/>
      <c r="B2482" s="32"/>
      <c r="C2482" s="32"/>
      <c r="D2482" s="33"/>
      <c r="E2482" s="34"/>
      <c r="F2482" s="32"/>
      <c r="G2482" s="35" t="str">
        <f aca="false">IF(A2482="","",A2482+7-WEEKDAY(A2482))</f>
        <v/>
      </c>
      <c r="H2482" s="36" t="str">
        <f aca="false">IF(A2482="","",DATE(YEAR(A2482),MONTH(A2482),1))</f>
        <v/>
      </c>
      <c r="I2482" s="37" t="str">
        <f aca="false">IF(B2482="","",IFERROR(INDEX(st_ID,MATCH(B2482,st_Name,0)),"Unknown"))</f>
        <v/>
      </c>
      <c r="J2482" s="37" t="str">
        <f aca="false">IF(C2482="","",IFERROR(INDEX(cl_Code,MATCH(C2482,cl_Name,0)),"Unknown"))</f>
        <v/>
      </c>
      <c r="K2482" s="37" t="str">
        <f aca="false">IF(D2482="","",IFERROR(INDEX(rt_Billable,MATCH(D2482,rt_Code,0)),"Unknown"))</f>
        <v/>
      </c>
      <c r="L2482" s="38" t="str">
        <f aca="false">IF(K2482&lt;&gt;"Yes","",IFERROR(INDEX(cr_Rate,MATCH(J2482&amp;"|"&amp;D2482,cr_Key,0)),INDEX(rt_Rate,MATCH(D2482,rt_Code,0))))</f>
        <v/>
      </c>
      <c r="M2482" s="25" t="str">
        <f aca="false">IF(L2482="","",ROUND(N(E2482)*L2482,2))</f>
        <v/>
      </c>
      <c r="N2482" s="39" t="str">
        <f aca="false">IF(OR(A2482="",B2482=""),"",SUMIFS(tl_Hours,tl_StaffID,I2482,tl_Date,A2482))</f>
        <v/>
      </c>
      <c r="O2482" s="40" t="str">
        <f aca="false">IF(A2482&amp;B2482&amp;D2482="","",IF(OR(A2482="",B2482="",D2482="",E2482=""),"Incomplete",IF(K2482="Unknown","Unknown code",IF(AND(K2482="Yes",C2482=""),"Billable, needs client",IF(N2482&gt;MaxDayHours,"Over "&amp;MaxDayHours&amp;" hours that day","")))))</f>
        <v/>
      </c>
    </row>
    <row r="2483" customFormat="false" ht="15" hidden="false" customHeight="false" outlineLevel="0" collapsed="false">
      <c r="A2483" s="31"/>
      <c r="B2483" s="32"/>
      <c r="C2483" s="32"/>
      <c r="D2483" s="33"/>
      <c r="E2483" s="34"/>
      <c r="F2483" s="32"/>
      <c r="G2483" s="35" t="str">
        <f aca="false">IF(A2483="","",A2483+7-WEEKDAY(A2483))</f>
        <v/>
      </c>
      <c r="H2483" s="36" t="str">
        <f aca="false">IF(A2483="","",DATE(YEAR(A2483),MONTH(A2483),1))</f>
        <v/>
      </c>
      <c r="I2483" s="37" t="str">
        <f aca="false">IF(B2483="","",IFERROR(INDEX(st_ID,MATCH(B2483,st_Name,0)),"Unknown"))</f>
        <v/>
      </c>
      <c r="J2483" s="37" t="str">
        <f aca="false">IF(C2483="","",IFERROR(INDEX(cl_Code,MATCH(C2483,cl_Name,0)),"Unknown"))</f>
        <v/>
      </c>
      <c r="K2483" s="37" t="str">
        <f aca="false">IF(D2483="","",IFERROR(INDEX(rt_Billable,MATCH(D2483,rt_Code,0)),"Unknown"))</f>
        <v/>
      </c>
      <c r="L2483" s="38" t="str">
        <f aca="false">IF(K2483&lt;&gt;"Yes","",IFERROR(INDEX(cr_Rate,MATCH(J2483&amp;"|"&amp;D2483,cr_Key,0)),INDEX(rt_Rate,MATCH(D2483,rt_Code,0))))</f>
        <v/>
      </c>
      <c r="M2483" s="25" t="str">
        <f aca="false">IF(L2483="","",ROUND(N(E2483)*L2483,2))</f>
        <v/>
      </c>
      <c r="N2483" s="39" t="str">
        <f aca="false">IF(OR(A2483="",B2483=""),"",SUMIFS(tl_Hours,tl_StaffID,I2483,tl_Date,A2483))</f>
        <v/>
      </c>
      <c r="O2483" s="40" t="str">
        <f aca="false">IF(A2483&amp;B2483&amp;D2483="","",IF(OR(A2483="",B2483="",D2483="",E2483=""),"Incomplete",IF(K2483="Unknown","Unknown code",IF(AND(K2483="Yes",C2483=""),"Billable, needs client",IF(N2483&gt;MaxDayHours,"Over "&amp;MaxDayHours&amp;" hours that day","")))))</f>
        <v/>
      </c>
    </row>
    <row r="2484" customFormat="false" ht="15" hidden="false" customHeight="false" outlineLevel="0" collapsed="false">
      <c r="A2484" s="31"/>
      <c r="B2484" s="32"/>
      <c r="C2484" s="32"/>
      <c r="D2484" s="33"/>
      <c r="E2484" s="34"/>
      <c r="F2484" s="32"/>
      <c r="G2484" s="35" t="str">
        <f aca="false">IF(A2484="","",A2484+7-WEEKDAY(A2484))</f>
        <v/>
      </c>
      <c r="H2484" s="36" t="str">
        <f aca="false">IF(A2484="","",DATE(YEAR(A2484),MONTH(A2484),1))</f>
        <v/>
      </c>
      <c r="I2484" s="37" t="str">
        <f aca="false">IF(B2484="","",IFERROR(INDEX(st_ID,MATCH(B2484,st_Name,0)),"Unknown"))</f>
        <v/>
      </c>
      <c r="J2484" s="37" t="str">
        <f aca="false">IF(C2484="","",IFERROR(INDEX(cl_Code,MATCH(C2484,cl_Name,0)),"Unknown"))</f>
        <v/>
      </c>
      <c r="K2484" s="37" t="str">
        <f aca="false">IF(D2484="","",IFERROR(INDEX(rt_Billable,MATCH(D2484,rt_Code,0)),"Unknown"))</f>
        <v/>
      </c>
      <c r="L2484" s="38" t="str">
        <f aca="false">IF(K2484&lt;&gt;"Yes","",IFERROR(INDEX(cr_Rate,MATCH(J2484&amp;"|"&amp;D2484,cr_Key,0)),INDEX(rt_Rate,MATCH(D2484,rt_Code,0))))</f>
        <v/>
      </c>
      <c r="M2484" s="25" t="str">
        <f aca="false">IF(L2484="","",ROUND(N(E2484)*L2484,2))</f>
        <v/>
      </c>
      <c r="N2484" s="39" t="str">
        <f aca="false">IF(OR(A2484="",B2484=""),"",SUMIFS(tl_Hours,tl_StaffID,I2484,tl_Date,A2484))</f>
        <v/>
      </c>
      <c r="O2484" s="40" t="str">
        <f aca="false">IF(A2484&amp;B2484&amp;D2484="","",IF(OR(A2484="",B2484="",D2484="",E2484=""),"Incomplete",IF(K2484="Unknown","Unknown code",IF(AND(K2484="Yes",C2484=""),"Billable, needs client",IF(N2484&gt;MaxDayHours,"Over "&amp;MaxDayHours&amp;" hours that day","")))))</f>
        <v/>
      </c>
    </row>
    <row r="2485" customFormat="false" ht="15" hidden="false" customHeight="false" outlineLevel="0" collapsed="false">
      <c r="A2485" s="31"/>
      <c r="B2485" s="32"/>
      <c r="C2485" s="32"/>
      <c r="D2485" s="33"/>
      <c r="E2485" s="34"/>
      <c r="F2485" s="32"/>
      <c r="G2485" s="35" t="str">
        <f aca="false">IF(A2485="","",A2485+7-WEEKDAY(A2485))</f>
        <v/>
      </c>
      <c r="H2485" s="36" t="str">
        <f aca="false">IF(A2485="","",DATE(YEAR(A2485),MONTH(A2485),1))</f>
        <v/>
      </c>
      <c r="I2485" s="37" t="str">
        <f aca="false">IF(B2485="","",IFERROR(INDEX(st_ID,MATCH(B2485,st_Name,0)),"Unknown"))</f>
        <v/>
      </c>
      <c r="J2485" s="37" t="str">
        <f aca="false">IF(C2485="","",IFERROR(INDEX(cl_Code,MATCH(C2485,cl_Name,0)),"Unknown"))</f>
        <v/>
      </c>
      <c r="K2485" s="37" t="str">
        <f aca="false">IF(D2485="","",IFERROR(INDEX(rt_Billable,MATCH(D2485,rt_Code,0)),"Unknown"))</f>
        <v/>
      </c>
      <c r="L2485" s="38" t="str">
        <f aca="false">IF(K2485&lt;&gt;"Yes","",IFERROR(INDEX(cr_Rate,MATCH(J2485&amp;"|"&amp;D2485,cr_Key,0)),INDEX(rt_Rate,MATCH(D2485,rt_Code,0))))</f>
        <v/>
      </c>
      <c r="M2485" s="25" t="str">
        <f aca="false">IF(L2485="","",ROUND(N(E2485)*L2485,2))</f>
        <v/>
      </c>
      <c r="N2485" s="39" t="str">
        <f aca="false">IF(OR(A2485="",B2485=""),"",SUMIFS(tl_Hours,tl_StaffID,I2485,tl_Date,A2485))</f>
        <v/>
      </c>
      <c r="O2485" s="40" t="str">
        <f aca="false">IF(A2485&amp;B2485&amp;D2485="","",IF(OR(A2485="",B2485="",D2485="",E2485=""),"Incomplete",IF(K2485="Unknown","Unknown code",IF(AND(K2485="Yes",C2485=""),"Billable, needs client",IF(N2485&gt;MaxDayHours,"Over "&amp;MaxDayHours&amp;" hours that day","")))))</f>
        <v/>
      </c>
    </row>
    <row r="2486" customFormat="false" ht="15" hidden="false" customHeight="false" outlineLevel="0" collapsed="false">
      <c r="A2486" s="31"/>
      <c r="B2486" s="32"/>
      <c r="C2486" s="32"/>
      <c r="D2486" s="33"/>
      <c r="E2486" s="34"/>
      <c r="F2486" s="32"/>
      <c r="G2486" s="35" t="str">
        <f aca="false">IF(A2486="","",A2486+7-WEEKDAY(A2486))</f>
        <v/>
      </c>
      <c r="H2486" s="36" t="str">
        <f aca="false">IF(A2486="","",DATE(YEAR(A2486),MONTH(A2486),1))</f>
        <v/>
      </c>
      <c r="I2486" s="37" t="str">
        <f aca="false">IF(B2486="","",IFERROR(INDEX(st_ID,MATCH(B2486,st_Name,0)),"Unknown"))</f>
        <v/>
      </c>
      <c r="J2486" s="37" t="str">
        <f aca="false">IF(C2486="","",IFERROR(INDEX(cl_Code,MATCH(C2486,cl_Name,0)),"Unknown"))</f>
        <v/>
      </c>
      <c r="K2486" s="37" t="str">
        <f aca="false">IF(D2486="","",IFERROR(INDEX(rt_Billable,MATCH(D2486,rt_Code,0)),"Unknown"))</f>
        <v/>
      </c>
      <c r="L2486" s="38" t="str">
        <f aca="false">IF(K2486&lt;&gt;"Yes","",IFERROR(INDEX(cr_Rate,MATCH(J2486&amp;"|"&amp;D2486,cr_Key,0)),INDEX(rt_Rate,MATCH(D2486,rt_Code,0))))</f>
        <v/>
      </c>
      <c r="M2486" s="25" t="str">
        <f aca="false">IF(L2486="","",ROUND(N(E2486)*L2486,2))</f>
        <v/>
      </c>
      <c r="N2486" s="39" t="str">
        <f aca="false">IF(OR(A2486="",B2486=""),"",SUMIFS(tl_Hours,tl_StaffID,I2486,tl_Date,A2486))</f>
        <v/>
      </c>
      <c r="O2486" s="40" t="str">
        <f aca="false">IF(A2486&amp;B2486&amp;D2486="","",IF(OR(A2486="",B2486="",D2486="",E2486=""),"Incomplete",IF(K2486="Unknown","Unknown code",IF(AND(K2486="Yes",C2486=""),"Billable, needs client",IF(N2486&gt;MaxDayHours,"Over "&amp;MaxDayHours&amp;" hours that day","")))))</f>
        <v/>
      </c>
    </row>
    <row r="2487" customFormat="false" ht="15" hidden="false" customHeight="false" outlineLevel="0" collapsed="false">
      <c r="A2487" s="31"/>
      <c r="B2487" s="32"/>
      <c r="C2487" s="32"/>
      <c r="D2487" s="33"/>
      <c r="E2487" s="34"/>
      <c r="F2487" s="32"/>
      <c r="G2487" s="35" t="str">
        <f aca="false">IF(A2487="","",A2487+7-WEEKDAY(A2487))</f>
        <v/>
      </c>
      <c r="H2487" s="36" t="str">
        <f aca="false">IF(A2487="","",DATE(YEAR(A2487),MONTH(A2487),1))</f>
        <v/>
      </c>
      <c r="I2487" s="37" t="str">
        <f aca="false">IF(B2487="","",IFERROR(INDEX(st_ID,MATCH(B2487,st_Name,0)),"Unknown"))</f>
        <v/>
      </c>
      <c r="J2487" s="37" t="str">
        <f aca="false">IF(C2487="","",IFERROR(INDEX(cl_Code,MATCH(C2487,cl_Name,0)),"Unknown"))</f>
        <v/>
      </c>
      <c r="K2487" s="37" t="str">
        <f aca="false">IF(D2487="","",IFERROR(INDEX(rt_Billable,MATCH(D2487,rt_Code,0)),"Unknown"))</f>
        <v/>
      </c>
      <c r="L2487" s="38" t="str">
        <f aca="false">IF(K2487&lt;&gt;"Yes","",IFERROR(INDEX(cr_Rate,MATCH(J2487&amp;"|"&amp;D2487,cr_Key,0)),INDEX(rt_Rate,MATCH(D2487,rt_Code,0))))</f>
        <v/>
      </c>
      <c r="M2487" s="25" t="str">
        <f aca="false">IF(L2487="","",ROUND(N(E2487)*L2487,2))</f>
        <v/>
      </c>
      <c r="N2487" s="39" t="str">
        <f aca="false">IF(OR(A2487="",B2487=""),"",SUMIFS(tl_Hours,tl_StaffID,I2487,tl_Date,A2487))</f>
        <v/>
      </c>
      <c r="O2487" s="40" t="str">
        <f aca="false">IF(A2487&amp;B2487&amp;D2487="","",IF(OR(A2487="",B2487="",D2487="",E2487=""),"Incomplete",IF(K2487="Unknown","Unknown code",IF(AND(K2487="Yes",C2487=""),"Billable, needs client",IF(N2487&gt;MaxDayHours,"Over "&amp;MaxDayHours&amp;" hours that day","")))))</f>
        <v/>
      </c>
    </row>
    <row r="2488" customFormat="false" ht="15" hidden="false" customHeight="false" outlineLevel="0" collapsed="false">
      <c r="A2488" s="31"/>
      <c r="B2488" s="32"/>
      <c r="C2488" s="32"/>
      <c r="D2488" s="33"/>
      <c r="E2488" s="34"/>
      <c r="F2488" s="32"/>
      <c r="G2488" s="35" t="str">
        <f aca="false">IF(A2488="","",A2488+7-WEEKDAY(A2488))</f>
        <v/>
      </c>
      <c r="H2488" s="36" t="str">
        <f aca="false">IF(A2488="","",DATE(YEAR(A2488),MONTH(A2488),1))</f>
        <v/>
      </c>
      <c r="I2488" s="37" t="str">
        <f aca="false">IF(B2488="","",IFERROR(INDEX(st_ID,MATCH(B2488,st_Name,0)),"Unknown"))</f>
        <v/>
      </c>
      <c r="J2488" s="37" t="str">
        <f aca="false">IF(C2488="","",IFERROR(INDEX(cl_Code,MATCH(C2488,cl_Name,0)),"Unknown"))</f>
        <v/>
      </c>
      <c r="K2488" s="37" t="str">
        <f aca="false">IF(D2488="","",IFERROR(INDEX(rt_Billable,MATCH(D2488,rt_Code,0)),"Unknown"))</f>
        <v/>
      </c>
      <c r="L2488" s="38" t="str">
        <f aca="false">IF(K2488&lt;&gt;"Yes","",IFERROR(INDEX(cr_Rate,MATCH(J2488&amp;"|"&amp;D2488,cr_Key,0)),INDEX(rt_Rate,MATCH(D2488,rt_Code,0))))</f>
        <v/>
      </c>
      <c r="M2488" s="25" t="str">
        <f aca="false">IF(L2488="","",ROUND(N(E2488)*L2488,2))</f>
        <v/>
      </c>
      <c r="N2488" s="39" t="str">
        <f aca="false">IF(OR(A2488="",B2488=""),"",SUMIFS(tl_Hours,tl_StaffID,I2488,tl_Date,A2488))</f>
        <v/>
      </c>
      <c r="O2488" s="40" t="str">
        <f aca="false">IF(A2488&amp;B2488&amp;D2488="","",IF(OR(A2488="",B2488="",D2488="",E2488=""),"Incomplete",IF(K2488="Unknown","Unknown code",IF(AND(K2488="Yes",C2488=""),"Billable, needs client",IF(N2488&gt;MaxDayHours,"Over "&amp;MaxDayHours&amp;" hours that day","")))))</f>
        <v/>
      </c>
    </row>
    <row r="2489" customFormat="false" ht="15" hidden="false" customHeight="false" outlineLevel="0" collapsed="false">
      <c r="A2489" s="31"/>
      <c r="B2489" s="32"/>
      <c r="C2489" s="32"/>
      <c r="D2489" s="33"/>
      <c r="E2489" s="34"/>
      <c r="F2489" s="32"/>
      <c r="G2489" s="35" t="str">
        <f aca="false">IF(A2489="","",A2489+7-WEEKDAY(A2489))</f>
        <v/>
      </c>
      <c r="H2489" s="36" t="str">
        <f aca="false">IF(A2489="","",DATE(YEAR(A2489),MONTH(A2489),1))</f>
        <v/>
      </c>
      <c r="I2489" s="37" t="str">
        <f aca="false">IF(B2489="","",IFERROR(INDEX(st_ID,MATCH(B2489,st_Name,0)),"Unknown"))</f>
        <v/>
      </c>
      <c r="J2489" s="37" t="str">
        <f aca="false">IF(C2489="","",IFERROR(INDEX(cl_Code,MATCH(C2489,cl_Name,0)),"Unknown"))</f>
        <v/>
      </c>
      <c r="K2489" s="37" t="str">
        <f aca="false">IF(D2489="","",IFERROR(INDEX(rt_Billable,MATCH(D2489,rt_Code,0)),"Unknown"))</f>
        <v/>
      </c>
      <c r="L2489" s="38" t="str">
        <f aca="false">IF(K2489&lt;&gt;"Yes","",IFERROR(INDEX(cr_Rate,MATCH(J2489&amp;"|"&amp;D2489,cr_Key,0)),INDEX(rt_Rate,MATCH(D2489,rt_Code,0))))</f>
        <v/>
      </c>
      <c r="M2489" s="25" t="str">
        <f aca="false">IF(L2489="","",ROUND(N(E2489)*L2489,2))</f>
        <v/>
      </c>
      <c r="N2489" s="39" t="str">
        <f aca="false">IF(OR(A2489="",B2489=""),"",SUMIFS(tl_Hours,tl_StaffID,I2489,tl_Date,A2489))</f>
        <v/>
      </c>
      <c r="O2489" s="40" t="str">
        <f aca="false">IF(A2489&amp;B2489&amp;D2489="","",IF(OR(A2489="",B2489="",D2489="",E2489=""),"Incomplete",IF(K2489="Unknown","Unknown code",IF(AND(K2489="Yes",C2489=""),"Billable, needs client",IF(N2489&gt;MaxDayHours,"Over "&amp;MaxDayHours&amp;" hours that day","")))))</f>
        <v/>
      </c>
    </row>
    <row r="2490" customFormat="false" ht="15" hidden="false" customHeight="false" outlineLevel="0" collapsed="false">
      <c r="A2490" s="31"/>
      <c r="B2490" s="32"/>
      <c r="C2490" s="32"/>
      <c r="D2490" s="33"/>
      <c r="E2490" s="34"/>
      <c r="F2490" s="32"/>
      <c r="G2490" s="35" t="str">
        <f aca="false">IF(A2490="","",A2490+7-WEEKDAY(A2490))</f>
        <v/>
      </c>
      <c r="H2490" s="36" t="str">
        <f aca="false">IF(A2490="","",DATE(YEAR(A2490),MONTH(A2490),1))</f>
        <v/>
      </c>
      <c r="I2490" s="37" t="str">
        <f aca="false">IF(B2490="","",IFERROR(INDEX(st_ID,MATCH(B2490,st_Name,0)),"Unknown"))</f>
        <v/>
      </c>
      <c r="J2490" s="37" t="str">
        <f aca="false">IF(C2490="","",IFERROR(INDEX(cl_Code,MATCH(C2490,cl_Name,0)),"Unknown"))</f>
        <v/>
      </c>
      <c r="K2490" s="37" t="str">
        <f aca="false">IF(D2490="","",IFERROR(INDEX(rt_Billable,MATCH(D2490,rt_Code,0)),"Unknown"))</f>
        <v/>
      </c>
      <c r="L2490" s="38" t="str">
        <f aca="false">IF(K2490&lt;&gt;"Yes","",IFERROR(INDEX(cr_Rate,MATCH(J2490&amp;"|"&amp;D2490,cr_Key,0)),INDEX(rt_Rate,MATCH(D2490,rt_Code,0))))</f>
        <v/>
      </c>
      <c r="M2490" s="25" t="str">
        <f aca="false">IF(L2490="","",ROUND(N(E2490)*L2490,2))</f>
        <v/>
      </c>
      <c r="N2490" s="39" t="str">
        <f aca="false">IF(OR(A2490="",B2490=""),"",SUMIFS(tl_Hours,tl_StaffID,I2490,tl_Date,A2490))</f>
        <v/>
      </c>
      <c r="O2490" s="40" t="str">
        <f aca="false">IF(A2490&amp;B2490&amp;D2490="","",IF(OR(A2490="",B2490="",D2490="",E2490=""),"Incomplete",IF(K2490="Unknown","Unknown code",IF(AND(K2490="Yes",C2490=""),"Billable, needs client",IF(N2490&gt;MaxDayHours,"Over "&amp;MaxDayHours&amp;" hours that day","")))))</f>
        <v/>
      </c>
    </row>
    <row r="2491" customFormat="false" ht="15" hidden="false" customHeight="false" outlineLevel="0" collapsed="false">
      <c r="A2491" s="31"/>
      <c r="B2491" s="32"/>
      <c r="C2491" s="32"/>
      <c r="D2491" s="33"/>
      <c r="E2491" s="34"/>
      <c r="F2491" s="32"/>
      <c r="G2491" s="35" t="str">
        <f aca="false">IF(A2491="","",A2491+7-WEEKDAY(A2491))</f>
        <v/>
      </c>
      <c r="H2491" s="36" t="str">
        <f aca="false">IF(A2491="","",DATE(YEAR(A2491),MONTH(A2491),1))</f>
        <v/>
      </c>
      <c r="I2491" s="37" t="str">
        <f aca="false">IF(B2491="","",IFERROR(INDEX(st_ID,MATCH(B2491,st_Name,0)),"Unknown"))</f>
        <v/>
      </c>
      <c r="J2491" s="37" t="str">
        <f aca="false">IF(C2491="","",IFERROR(INDEX(cl_Code,MATCH(C2491,cl_Name,0)),"Unknown"))</f>
        <v/>
      </c>
      <c r="K2491" s="37" t="str">
        <f aca="false">IF(D2491="","",IFERROR(INDEX(rt_Billable,MATCH(D2491,rt_Code,0)),"Unknown"))</f>
        <v/>
      </c>
      <c r="L2491" s="38" t="str">
        <f aca="false">IF(K2491&lt;&gt;"Yes","",IFERROR(INDEX(cr_Rate,MATCH(J2491&amp;"|"&amp;D2491,cr_Key,0)),INDEX(rt_Rate,MATCH(D2491,rt_Code,0))))</f>
        <v/>
      </c>
      <c r="M2491" s="25" t="str">
        <f aca="false">IF(L2491="","",ROUND(N(E2491)*L2491,2))</f>
        <v/>
      </c>
      <c r="N2491" s="39" t="str">
        <f aca="false">IF(OR(A2491="",B2491=""),"",SUMIFS(tl_Hours,tl_StaffID,I2491,tl_Date,A2491))</f>
        <v/>
      </c>
      <c r="O2491" s="40" t="str">
        <f aca="false">IF(A2491&amp;B2491&amp;D2491="","",IF(OR(A2491="",B2491="",D2491="",E2491=""),"Incomplete",IF(K2491="Unknown","Unknown code",IF(AND(K2491="Yes",C2491=""),"Billable, needs client",IF(N2491&gt;MaxDayHours,"Over "&amp;MaxDayHours&amp;" hours that day","")))))</f>
        <v/>
      </c>
    </row>
    <row r="2492" customFormat="false" ht="15" hidden="false" customHeight="false" outlineLevel="0" collapsed="false">
      <c r="A2492" s="31"/>
      <c r="B2492" s="32"/>
      <c r="C2492" s="32"/>
      <c r="D2492" s="33"/>
      <c r="E2492" s="34"/>
      <c r="F2492" s="32"/>
      <c r="G2492" s="35" t="str">
        <f aca="false">IF(A2492="","",A2492+7-WEEKDAY(A2492))</f>
        <v/>
      </c>
      <c r="H2492" s="36" t="str">
        <f aca="false">IF(A2492="","",DATE(YEAR(A2492),MONTH(A2492),1))</f>
        <v/>
      </c>
      <c r="I2492" s="37" t="str">
        <f aca="false">IF(B2492="","",IFERROR(INDEX(st_ID,MATCH(B2492,st_Name,0)),"Unknown"))</f>
        <v/>
      </c>
      <c r="J2492" s="37" t="str">
        <f aca="false">IF(C2492="","",IFERROR(INDEX(cl_Code,MATCH(C2492,cl_Name,0)),"Unknown"))</f>
        <v/>
      </c>
      <c r="K2492" s="37" t="str">
        <f aca="false">IF(D2492="","",IFERROR(INDEX(rt_Billable,MATCH(D2492,rt_Code,0)),"Unknown"))</f>
        <v/>
      </c>
      <c r="L2492" s="38" t="str">
        <f aca="false">IF(K2492&lt;&gt;"Yes","",IFERROR(INDEX(cr_Rate,MATCH(J2492&amp;"|"&amp;D2492,cr_Key,0)),INDEX(rt_Rate,MATCH(D2492,rt_Code,0))))</f>
        <v/>
      </c>
      <c r="M2492" s="25" t="str">
        <f aca="false">IF(L2492="","",ROUND(N(E2492)*L2492,2))</f>
        <v/>
      </c>
      <c r="N2492" s="39" t="str">
        <f aca="false">IF(OR(A2492="",B2492=""),"",SUMIFS(tl_Hours,tl_StaffID,I2492,tl_Date,A2492))</f>
        <v/>
      </c>
      <c r="O2492" s="40" t="str">
        <f aca="false">IF(A2492&amp;B2492&amp;D2492="","",IF(OR(A2492="",B2492="",D2492="",E2492=""),"Incomplete",IF(K2492="Unknown","Unknown code",IF(AND(K2492="Yes",C2492=""),"Billable, needs client",IF(N2492&gt;MaxDayHours,"Over "&amp;MaxDayHours&amp;" hours that day","")))))</f>
        <v/>
      </c>
    </row>
    <row r="2493" customFormat="false" ht="15" hidden="false" customHeight="false" outlineLevel="0" collapsed="false">
      <c r="A2493" s="31"/>
      <c r="B2493" s="32"/>
      <c r="C2493" s="32"/>
      <c r="D2493" s="33"/>
      <c r="E2493" s="34"/>
      <c r="F2493" s="32"/>
      <c r="G2493" s="35" t="str">
        <f aca="false">IF(A2493="","",A2493+7-WEEKDAY(A2493))</f>
        <v/>
      </c>
      <c r="H2493" s="36" t="str">
        <f aca="false">IF(A2493="","",DATE(YEAR(A2493),MONTH(A2493),1))</f>
        <v/>
      </c>
      <c r="I2493" s="37" t="str">
        <f aca="false">IF(B2493="","",IFERROR(INDEX(st_ID,MATCH(B2493,st_Name,0)),"Unknown"))</f>
        <v/>
      </c>
      <c r="J2493" s="37" t="str">
        <f aca="false">IF(C2493="","",IFERROR(INDEX(cl_Code,MATCH(C2493,cl_Name,0)),"Unknown"))</f>
        <v/>
      </c>
      <c r="K2493" s="37" t="str">
        <f aca="false">IF(D2493="","",IFERROR(INDEX(rt_Billable,MATCH(D2493,rt_Code,0)),"Unknown"))</f>
        <v/>
      </c>
      <c r="L2493" s="38" t="str">
        <f aca="false">IF(K2493&lt;&gt;"Yes","",IFERROR(INDEX(cr_Rate,MATCH(J2493&amp;"|"&amp;D2493,cr_Key,0)),INDEX(rt_Rate,MATCH(D2493,rt_Code,0))))</f>
        <v/>
      </c>
      <c r="M2493" s="25" t="str">
        <f aca="false">IF(L2493="","",ROUND(N(E2493)*L2493,2))</f>
        <v/>
      </c>
      <c r="N2493" s="39" t="str">
        <f aca="false">IF(OR(A2493="",B2493=""),"",SUMIFS(tl_Hours,tl_StaffID,I2493,tl_Date,A2493))</f>
        <v/>
      </c>
      <c r="O2493" s="40" t="str">
        <f aca="false">IF(A2493&amp;B2493&amp;D2493="","",IF(OR(A2493="",B2493="",D2493="",E2493=""),"Incomplete",IF(K2493="Unknown","Unknown code",IF(AND(K2493="Yes",C2493=""),"Billable, needs client",IF(N2493&gt;MaxDayHours,"Over "&amp;MaxDayHours&amp;" hours that day","")))))</f>
        <v/>
      </c>
    </row>
    <row r="2494" customFormat="false" ht="15" hidden="false" customHeight="false" outlineLevel="0" collapsed="false">
      <c r="A2494" s="31"/>
      <c r="B2494" s="32"/>
      <c r="C2494" s="32"/>
      <c r="D2494" s="33"/>
      <c r="E2494" s="34"/>
      <c r="F2494" s="32"/>
      <c r="G2494" s="35" t="str">
        <f aca="false">IF(A2494="","",A2494+7-WEEKDAY(A2494))</f>
        <v/>
      </c>
      <c r="H2494" s="36" t="str">
        <f aca="false">IF(A2494="","",DATE(YEAR(A2494),MONTH(A2494),1))</f>
        <v/>
      </c>
      <c r="I2494" s="37" t="str">
        <f aca="false">IF(B2494="","",IFERROR(INDEX(st_ID,MATCH(B2494,st_Name,0)),"Unknown"))</f>
        <v/>
      </c>
      <c r="J2494" s="37" t="str">
        <f aca="false">IF(C2494="","",IFERROR(INDEX(cl_Code,MATCH(C2494,cl_Name,0)),"Unknown"))</f>
        <v/>
      </c>
      <c r="K2494" s="37" t="str">
        <f aca="false">IF(D2494="","",IFERROR(INDEX(rt_Billable,MATCH(D2494,rt_Code,0)),"Unknown"))</f>
        <v/>
      </c>
      <c r="L2494" s="38" t="str">
        <f aca="false">IF(K2494&lt;&gt;"Yes","",IFERROR(INDEX(cr_Rate,MATCH(J2494&amp;"|"&amp;D2494,cr_Key,0)),INDEX(rt_Rate,MATCH(D2494,rt_Code,0))))</f>
        <v/>
      </c>
      <c r="M2494" s="25" t="str">
        <f aca="false">IF(L2494="","",ROUND(N(E2494)*L2494,2))</f>
        <v/>
      </c>
      <c r="N2494" s="39" t="str">
        <f aca="false">IF(OR(A2494="",B2494=""),"",SUMIFS(tl_Hours,tl_StaffID,I2494,tl_Date,A2494))</f>
        <v/>
      </c>
      <c r="O2494" s="40" t="str">
        <f aca="false">IF(A2494&amp;B2494&amp;D2494="","",IF(OR(A2494="",B2494="",D2494="",E2494=""),"Incomplete",IF(K2494="Unknown","Unknown code",IF(AND(K2494="Yes",C2494=""),"Billable, needs client",IF(N2494&gt;MaxDayHours,"Over "&amp;MaxDayHours&amp;" hours that day","")))))</f>
        <v/>
      </c>
    </row>
    <row r="2495" customFormat="false" ht="15" hidden="false" customHeight="false" outlineLevel="0" collapsed="false">
      <c r="A2495" s="31"/>
      <c r="B2495" s="32"/>
      <c r="C2495" s="32"/>
      <c r="D2495" s="33"/>
      <c r="E2495" s="34"/>
      <c r="F2495" s="32"/>
      <c r="G2495" s="35" t="str">
        <f aca="false">IF(A2495="","",A2495+7-WEEKDAY(A2495))</f>
        <v/>
      </c>
      <c r="H2495" s="36" t="str">
        <f aca="false">IF(A2495="","",DATE(YEAR(A2495),MONTH(A2495),1))</f>
        <v/>
      </c>
      <c r="I2495" s="37" t="str">
        <f aca="false">IF(B2495="","",IFERROR(INDEX(st_ID,MATCH(B2495,st_Name,0)),"Unknown"))</f>
        <v/>
      </c>
      <c r="J2495" s="37" t="str">
        <f aca="false">IF(C2495="","",IFERROR(INDEX(cl_Code,MATCH(C2495,cl_Name,0)),"Unknown"))</f>
        <v/>
      </c>
      <c r="K2495" s="37" t="str">
        <f aca="false">IF(D2495="","",IFERROR(INDEX(rt_Billable,MATCH(D2495,rt_Code,0)),"Unknown"))</f>
        <v/>
      </c>
      <c r="L2495" s="38" t="str">
        <f aca="false">IF(K2495&lt;&gt;"Yes","",IFERROR(INDEX(cr_Rate,MATCH(J2495&amp;"|"&amp;D2495,cr_Key,0)),INDEX(rt_Rate,MATCH(D2495,rt_Code,0))))</f>
        <v/>
      </c>
      <c r="M2495" s="25" t="str">
        <f aca="false">IF(L2495="","",ROUND(N(E2495)*L2495,2))</f>
        <v/>
      </c>
      <c r="N2495" s="39" t="str">
        <f aca="false">IF(OR(A2495="",B2495=""),"",SUMIFS(tl_Hours,tl_StaffID,I2495,tl_Date,A2495))</f>
        <v/>
      </c>
      <c r="O2495" s="40" t="str">
        <f aca="false">IF(A2495&amp;B2495&amp;D2495="","",IF(OR(A2495="",B2495="",D2495="",E2495=""),"Incomplete",IF(K2495="Unknown","Unknown code",IF(AND(K2495="Yes",C2495=""),"Billable, needs client",IF(N2495&gt;MaxDayHours,"Over "&amp;MaxDayHours&amp;" hours that day","")))))</f>
        <v/>
      </c>
    </row>
    <row r="2496" customFormat="false" ht="15" hidden="false" customHeight="false" outlineLevel="0" collapsed="false">
      <c r="A2496" s="31"/>
      <c r="B2496" s="32"/>
      <c r="C2496" s="32"/>
      <c r="D2496" s="33"/>
      <c r="E2496" s="34"/>
      <c r="F2496" s="32"/>
      <c r="G2496" s="35" t="str">
        <f aca="false">IF(A2496="","",A2496+7-WEEKDAY(A2496))</f>
        <v/>
      </c>
      <c r="H2496" s="36" t="str">
        <f aca="false">IF(A2496="","",DATE(YEAR(A2496),MONTH(A2496),1))</f>
        <v/>
      </c>
      <c r="I2496" s="37" t="str">
        <f aca="false">IF(B2496="","",IFERROR(INDEX(st_ID,MATCH(B2496,st_Name,0)),"Unknown"))</f>
        <v/>
      </c>
      <c r="J2496" s="37" t="str">
        <f aca="false">IF(C2496="","",IFERROR(INDEX(cl_Code,MATCH(C2496,cl_Name,0)),"Unknown"))</f>
        <v/>
      </c>
      <c r="K2496" s="37" t="str">
        <f aca="false">IF(D2496="","",IFERROR(INDEX(rt_Billable,MATCH(D2496,rt_Code,0)),"Unknown"))</f>
        <v/>
      </c>
      <c r="L2496" s="38" t="str">
        <f aca="false">IF(K2496&lt;&gt;"Yes","",IFERROR(INDEX(cr_Rate,MATCH(J2496&amp;"|"&amp;D2496,cr_Key,0)),INDEX(rt_Rate,MATCH(D2496,rt_Code,0))))</f>
        <v/>
      </c>
      <c r="M2496" s="25" t="str">
        <f aca="false">IF(L2496="","",ROUND(N(E2496)*L2496,2))</f>
        <v/>
      </c>
      <c r="N2496" s="39" t="str">
        <f aca="false">IF(OR(A2496="",B2496=""),"",SUMIFS(tl_Hours,tl_StaffID,I2496,tl_Date,A2496))</f>
        <v/>
      </c>
      <c r="O2496" s="40" t="str">
        <f aca="false">IF(A2496&amp;B2496&amp;D2496="","",IF(OR(A2496="",B2496="",D2496="",E2496=""),"Incomplete",IF(K2496="Unknown","Unknown code",IF(AND(K2496="Yes",C2496=""),"Billable, needs client",IF(N2496&gt;MaxDayHours,"Over "&amp;MaxDayHours&amp;" hours that day","")))))</f>
        <v/>
      </c>
    </row>
    <row r="2497" customFormat="false" ht="15" hidden="false" customHeight="false" outlineLevel="0" collapsed="false">
      <c r="A2497" s="31"/>
      <c r="B2497" s="32"/>
      <c r="C2497" s="32"/>
      <c r="D2497" s="33"/>
      <c r="E2497" s="34"/>
      <c r="F2497" s="32"/>
      <c r="G2497" s="35" t="str">
        <f aca="false">IF(A2497="","",A2497+7-WEEKDAY(A2497))</f>
        <v/>
      </c>
      <c r="H2497" s="36" t="str">
        <f aca="false">IF(A2497="","",DATE(YEAR(A2497),MONTH(A2497),1))</f>
        <v/>
      </c>
      <c r="I2497" s="37" t="str">
        <f aca="false">IF(B2497="","",IFERROR(INDEX(st_ID,MATCH(B2497,st_Name,0)),"Unknown"))</f>
        <v/>
      </c>
      <c r="J2497" s="37" t="str">
        <f aca="false">IF(C2497="","",IFERROR(INDEX(cl_Code,MATCH(C2497,cl_Name,0)),"Unknown"))</f>
        <v/>
      </c>
      <c r="K2497" s="37" t="str">
        <f aca="false">IF(D2497="","",IFERROR(INDEX(rt_Billable,MATCH(D2497,rt_Code,0)),"Unknown"))</f>
        <v/>
      </c>
      <c r="L2497" s="38" t="str">
        <f aca="false">IF(K2497&lt;&gt;"Yes","",IFERROR(INDEX(cr_Rate,MATCH(J2497&amp;"|"&amp;D2497,cr_Key,0)),INDEX(rt_Rate,MATCH(D2497,rt_Code,0))))</f>
        <v/>
      </c>
      <c r="M2497" s="25" t="str">
        <f aca="false">IF(L2497="","",ROUND(N(E2497)*L2497,2))</f>
        <v/>
      </c>
      <c r="N2497" s="39" t="str">
        <f aca="false">IF(OR(A2497="",B2497=""),"",SUMIFS(tl_Hours,tl_StaffID,I2497,tl_Date,A2497))</f>
        <v/>
      </c>
      <c r="O2497" s="40" t="str">
        <f aca="false">IF(A2497&amp;B2497&amp;D2497="","",IF(OR(A2497="",B2497="",D2497="",E2497=""),"Incomplete",IF(K2497="Unknown","Unknown code",IF(AND(K2497="Yes",C2497=""),"Billable, needs client",IF(N2497&gt;MaxDayHours,"Over "&amp;MaxDayHours&amp;" hours that day","")))))</f>
        <v/>
      </c>
    </row>
    <row r="2498" customFormat="false" ht="15" hidden="false" customHeight="false" outlineLevel="0" collapsed="false">
      <c r="A2498" s="31"/>
      <c r="B2498" s="32"/>
      <c r="C2498" s="32"/>
      <c r="D2498" s="33"/>
      <c r="E2498" s="34"/>
      <c r="F2498" s="32"/>
      <c r="G2498" s="35" t="str">
        <f aca="false">IF(A2498="","",A2498+7-WEEKDAY(A2498))</f>
        <v/>
      </c>
      <c r="H2498" s="36" t="str">
        <f aca="false">IF(A2498="","",DATE(YEAR(A2498),MONTH(A2498),1))</f>
        <v/>
      </c>
      <c r="I2498" s="37" t="str">
        <f aca="false">IF(B2498="","",IFERROR(INDEX(st_ID,MATCH(B2498,st_Name,0)),"Unknown"))</f>
        <v/>
      </c>
      <c r="J2498" s="37" t="str">
        <f aca="false">IF(C2498="","",IFERROR(INDEX(cl_Code,MATCH(C2498,cl_Name,0)),"Unknown"))</f>
        <v/>
      </c>
      <c r="K2498" s="37" t="str">
        <f aca="false">IF(D2498="","",IFERROR(INDEX(rt_Billable,MATCH(D2498,rt_Code,0)),"Unknown"))</f>
        <v/>
      </c>
      <c r="L2498" s="38" t="str">
        <f aca="false">IF(K2498&lt;&gt;"Yes","",IFERROR(INDEX(cr_Rate,MATCH(J2498&amp;"|"&amp;D2498,cr_Key,0)),INDEX(rt_Rate,MATCH(D2498,rt_Code,0))))</f>
        <v/>
      </c>
      <c r="M2498" s="25" t="str">
        <f aca="false">IF(L2498="","",ROUND(N(E2498)*L2498,2))</f>
        <v/>
      </c>
      <c r="N2498" s="39" t="str">
        <f aca="false">IF(OR(A2498="",B2498=""),"",SUMIFS(tl_Hours,tl_StaffID,I2498,tl_Date,A2498))</f>
        <v/>
      </c>
      <c r="O2498" s="40" t="str">
        <f aca="false">IF(A2498&amp;B2498&amp;D2498="","",IF(OR(A2498="",B2498="",D2498="",E2498=""),"Incomplete",IF(K2498="Unknown","Unknown code",IF(AND(K2498="Yes",C2498=""),"Billable, needs client",IF(N2498&gt;MaxDayHours,"Over "&amp;MaxDayHours&amp;" hours that day","")))))</f>
        <v/>
      </c>
    </row>
    <row r="2499" customFormat="false" ht="15" hidden="false" customHeight="false" outlineLevel="0" collapsed="false">
      <c r="A2499" s="31"/>
      <c r="B2499" s="32"/>
      <c r="C2499" s="32"/>
      <c r="D2499" s="33"/>
      <c r="E2499" s="34"/>
      <c r="F2499" s="32"/>
      <c r="G2499" s="35" t="str">
        <f aca="false">IF(A2499="","",A2499+7-WEEKDAY(A2499))</f>
        <v/>
      </c>
      <c r="H2499" s="36" t="str">
        <f aca="false">IF(A2499="","",DATE(YEAR(A2499),MONTH(A2499),1))</f>
        <v/>
      </c>
      <c r="I2499" s="37" t="str">
        <f aca="false">IF(B2499="","",IFERROR(INDEX(st_ID,MATCH(B2499,st_Name,0)),"Unknown"))</f>
        <v/>
      </c>
      <c r="J2499" s="37" t="str">
        <f aca="false">IF(C2499="","",IFERROR(INDEX(cl_Code,MATCH(C2499,cl_Name,0)),"Unknown"))</f>
        <v/>
      </c>
      <c r="K2499" s="37" t="str">
        <f aca="false">IF(D2499="","",IFERROR(INDEX(rt_Billable,MATCH(D2499,rt_Code,0)),"Unknown"))</f>
        <v/>
      </c>
      <c r="L2499" s="38" t="str">
        <f aca="false">IF(K2499&lt;&gt;"Yes","",IFERROR(INDEX(cr_Rate,MATCH(J2499&amp;"|"&amp;D2499,cr_Key,0)),INDEX(rt_Rate,MATCH(D2499,rt_Code,0))))</f>
        <v/>
      </c>
      <c r="M2499" s="25" t="str">
        <f aca="false">IF(L2499="","",ROUND(N(E2499)*L2499,2))</f>
        <v/>
      </c>
      <c r="N2499" s="39" t="str">
        <f aca="false">IF(OR(A2499="",B2499=""),"",SUMIFS(tl_Hours,tl_StaffID,I2499,tl_Date,A2499))</f>
        <v/>
      </c>
      <c r="O2499" s="40" t="str">
        <f aca="false">IF(A2499&amp;B2499&amp;D2499="","",IF(OR(A2499="",B2499="",D2499="",E2499=""),"Incomplete",IF(K2499="Unknown","Unknown code",IF(AND(K2499="Yes",C2499=""),"Billable, needs client",IF(N2499&gt;MaxDayHours,"Over "&amp;MaxDayHours&amp;" hours that day","")))))</f>
        <v/>
      </c>
    </row>
    <row r="2500" customFormat="false" ht="15" hidden="false" customHeight="false" outlineLevel="0" collapsed="false">
      <c r="A2500" s="31"/>
      <c r="B2500" s="32"/>
      <c r="C2500" s="32"/>
      <c r="D2500" s="33"/>
      <c r="E2500" s="34"/>
      <c r="F2500" s="32"/>
      <c r="G2500" s="35" t="str">
        <f aca="false">IF(A2500="","",A2500+7-WEEKDAY(A2500))</f>
        <v/>
      </c>
      <c r="H2500" s="36" t="str">
        <f aca="false">IF(A2500="","",DATE(YEAR(A2500),MONTH(A2500),1))</f>
        <v/>
      </c>
      <c r="I2500" s="37" t="str">
        <f aca="false">IF(B2500="","",IFERROR(INDEX(st_ID,MATCH(B2500,st_Name,0)),"Unknown"))</f>
        <v/>
      </c>
      <c r="J2500" s="37" t="str">
        <f aca="false">IF(C2500="","",IFERROR(INDEX(cl_Code,MATCH(C2500,cl_Name,0)),"Unknown"))</f>
        <v/>
      </c>
      <c r="K2500" s="37" t="str">
        <f aca="false">IF(D2500="","",IFERROR(INDEX(rt_Billable,MATCH(D2500,rt_Code,0)),"Unknown"))</f>
        <v/>
      </c>
      <c r="L2500" s="38" t="str">
        <f aca="false">IF(K2500&lt;&gt;"Yes","",IFERROR(INDEX(cr_Rate,MATCH(J2500&amp;"|"&amp;D2500,cr_Key,0)),INDEX(rt_Rate,MATCH(D2500,rt_Code,0))))</f>
        <v/>
      </c>
      <c r="M2500" s="25" t="str">
        <f aca="false">IF(L2500="","",ROUND(N(E2500)*L2500,2))</f>
        <v/>
      </c>
      <c r="N2500" s="39" t="str">
        <f aca="false">IF(OR(A2500="",B2500=""),"",SUMIFS(tl_Hours,tl_StaffID,I2500,tl_Date,A2500))</f>
        <v/>
      </c>
      <c r="O2500" s="40" t="str">
        <f aca="false">IF(A2500&amp;B2500&amp;D2500="","",IF(OR(A2500="",B2500="",D2500="",E2500=""),"Incomplete",IF(K2500="Unknown","Unknown code",IF(AND(K2500="Yes",C2500=""),"Billable, needs client",IF(N2500&gt;MaxDayHours,"Over "&amp;MaxDayHours&amp;" hours that day","")))))</f>
        <v/>
      </c>
    </row>
    <row r="2501" customFormat="false" ht="15" hidden="false" customHeight="false" outlineLevel="0" collapsed="false">
      <c r="A2501" s="31"/>
      <c r="B2501" s="32"/>
      <c r="C2501" s="32"/>
      <c r="D2501" s="33"/>
      <c r="E2501" s="34"/>
      <c r="F2501" s="32"/>
      <c r="G2501" s="35" t="str">
        <f aca="false">IF(A2501="","",A2501+7-WEEKDAY(A2501))</f>
        <v/>
      </c>
      <c r="H2501" s="36" t="str">
        <f aca="false">IF(A2501="","",DATE(YEAR(A2501),MONTH(A2501),1))</f>
        <v/>
      </c>
      <c r="I2501" s="37" t="str">
        <f aca="false">IF(B2501="","",IFERROR(INDEX(st_ID,MATCH(B2501,st_Name,0)),"Unknown"))</f>
        <v/>
      </c>
      <c r="J2501" s="37" t="str">
        <f aca="false">IF(C2501="","",IFERROR(INDEX(cl_Code,MATCH(C2501,cl_Name,0)),"Unknown"))</f>
        <v/>
      </c>
      <c r="K2501" s="37" t="str">
        <f aca="false">IF(D2501="","",IFERROR(INDEX(rt_Billable,MATCH(D2501,rt_Code,0)),"Unknown"))</f>
        <v/>
      </c>
      <c r="L2501" s="38" t="str">
        <f aca="false">IF(K2501&lt;&gt;"Yes","",IFERROR(INDEX(cr_Rate,MATCH(J2501&amp;"|"&amp;D2501,cr_Key,0)),INDEX(rt_Rate,MATCH(D2501,rt_Code,0))))</f>
        <v/>
      </c>
      <c r="M2501" s="25" t="str">
        <f aca="false">IF(L2501="","",ROUND(N(E2501)*L2501,2))</f>
        <v/>
      </c>
      <c r="N2501" s="39" t="str">
        <f aca="false">IF(OR(A2501="",B2501=""),"",SUMIFS(tl_Hours,tl_StaffID,I2501,tl_Date,A2501))</f>
        <v/>
      </c>
      <c r="O2501" s="40" t="str">
        <f aca="false">IF(A2501&amp;B2501&amp;D2501="","",IF(OR(A2501="",B2501="",D2501="",E2501=""),"Incomplete",IF(K2501="Unknown","Unknown code",IF(AND(K2501="Yes",C2501=""),"Billable, needs client",IF(N2501&gt;MaxDayHours,"Over "&amp;MaxDayHours&amp;" hours that day","")))))</f>
        <v/>
      </c>
    </row>
    <row r="2502" customFormat="false" ht="15" hidden="false" customHeight="false" outlineLevel="0" collapsed="false">
      <c r="A2502" s="31"/>
      <c r="B2502" s="32"/>
      <c r="C2502" s="32"/>
      <c r="D2502" s="33"/>
      <c r="E2502" s="34"/>
      <c r="F2502" s="32"/>
      <c r="G2502" s="35" t="str">
        <f aca="false">IF(A2502="","",A2502+7-WEEKDAY(A2502))</f>
        <v/>
      </c>
      <c r="H2502" s="36" t="str">
        <f aca="false">IF(A2502="","",DATE(YEAR(A2502),MONTH(A2502),1))</f>
        <v/>
      </c>
      <c r="I2502" s="37" t="str">
        <f aca="false">IF(B2502="","",IFERROR(INDEX(st_ID,MATCH(B2502,st_Name,0)),"Unknown"))</f>
        <v/>
      </c>
      <c r="J2502" s="37" t="str">
        <f aca="false">IF(C2502="","",IFERROR(INDEX(cl_Code,MATCH(C2502,cl_Name,0)),"Unknown"))</f>
        <v/>
      </c>
      <c r="K2502" s="37" t="str">
        <f aca="false">IF(D2502="","",IFERROR(INDEX(rt_Billable,MATCH(D2502,rt_Code,0)),"Unknown"))</f>
        <v/>
      </c>
      <c r="L2502" s="38" t="str">
        <f aca="false">IF(K2502&lt;&gt;"Yes","",IFERROR(INDEX(cr_Rate,MATCH(J2502&amp;"|"&amp;D2502,cr_Key,0)),INDEX(rt_Rate,MATCH(D2502,rt_Code,0))))</f>
        <v/>
      </c>
      <c r="M2502" s="25" t="str">
        <f aca="false">IF(L2502="","",ROUND(N(E2502)*L2502,2))</f>
        <v/>
      </c>
      <c r="N2502" s="39" t="str">
        <f aca="false">IF(OR(A2502="",B2502=""),"",SUMIFS(tl_Hours,tl_StaffID,I2502,tl_Date,A2502))</f>
        <v/>
      </c>
      <c r="O2502" s="40" t="str">
        <f aca="false">IF(A2502&amp;B2502&amp;D2502="","",IF(OR(A2502="",B2502="",D2502="",E2502=""),"Incomplete",IF(K2502="Unknown","Unknown code",IF(AND(K2502="Yes",C2502=""),"Billable, needs client",IF(N2502&gt;MaxDayHours,"Over "&amp;MaxDayHours&amp;" hours that day","")))))</f>
        <v/>
      </c>
    </row>
    <row r="2503" customFormat="false" ht="15" hidden="false" customHeight="false" outlineLevel="0" collapsed="false">
      <c r="A2503" s="31"/>
      <c r="B2503" s="32"/>
      <c r="C2503" s="32"/>
      <c r="D2503" s="33"/>
      <c r="E2503" s="34"/>
      <c r="F2503" s="32"/>
      <c r="G2503" s="35" t="str">
        <f aca="false">IF(A2503="","",A2503+7-WEEKDAY(A2503))</f>
        <v/>
      </c>
      <c r="H2503" s="36" t="str">
        <f aca="false">IF(A2503="","",DATE(YEAR(A2503),MONTH(A2503),1))</f>
        <v/>
      </c>
      <c r="I2503" s="37" t="str">
        <f aca="false">IF(B2503="","",IFERROR(INDEX(st_ID,MATCH(B2503,st_Name,0)),"Unknown"))</f>
        <v/>
      </c>
      <c r="J2503" s="37" t="str">
        <f aca="false">IF(C2503="","",IFERROR(INDEX(cl_Code,MATCH(C2503,cl_Name,0)),"Unknown"))</f>
        <v/>
      </c>
      <c r="K2503" s="37" t="str">
        <f aca="false">IF(D2503="","",IFERROR(INDEX(rt_Billable,MATCH(D2503,rt_Code,0)),"Unknown"))</f>
        <v/>
      </c>
      <c r="L2503" s="38" t="str">
        <f aca="false">IF(K2503&lt;&gt;"Yes","",IFERROR(INDEX(cr_Rate,MATCH(J2503&amp;"|"&amp;D2503,cr_Key,0)),INDEX(rt_Rate,MATCH(D2503,rt_Code,0))))</f>
        <v/>
      </c>
      <c r="M2503" s="25" t="str">
        <f aca="false">IF(L2503="","",ROUND(N(E2503)*L2503,2))</f>
        <v/>
      </c>
      <c r="N2503" s="39" t="str">
        <f aca="false">IF(OR(A2503="",B2503=""),"",SUMIFS(tl_Hours,tl_StaffID,I2503,tl_Date,A2503))</f>
        <v/>
      </c>
      <c r="O2503" s="40" t="str">
        <f aca="false">IF(A2503&amp;B2503&amp;D2503="","",IF(OR(A2503="",B2503="",D2503="",E2503=""),"Incomplete",IF(K2503="Unknown","Unknown code",IF(AND(K2503="Yes",C2503=""),"Billable, needs client",IF(N2503&gt;MaxDayHours,"Over "&amp;MaxDayHours&amp;" hours that day","")))))</f>
        <v/>
      </c>
    </row>
    <row r="2504" customFormat="false" ht="15" hidden="false" customHeight="false" outlineLevel="0" collapsed="false">
      <c r="A2504" s="31"/>
      <c r="B2504" s="32"/>
      <c r="C2504" s="32"/>
      <c r="D2504" s="33"/>
      <c r="E2504" s="34"/>
      <c r="F2504" s="32"/>
      <c r="G2504" s="35" t="str">
        <f aca="false">IF(A2504="","",A2504+7-WEEKDAY(A2504))</f>
        <v/>
      </c>
      <c r="H2504" s="36" t="str">
        <f aca="false">IF(A2504="","",DATE(YEAR(A2504),MONTH(A2504),1))</f>
        <v/>
      </c>
      <c r="I2504" s="37" t="str">
        <f aca="false">IF(B2504="","",IFERROR(INDEX(st_ID,MATCH(B2504,st_Name,0)),"Unknown"))</f>
        <v/>
      </c>
      <c r="J2504" s="37" t="str">
        <f aca="false">IF(C2504="","",IFERROR(INDEX(cl_Code,MATCH(C2504,cl_Name,0)),"Unknown"))</f>
        <v/>
      </c>
      <c r="K2504" s="37" t="str">
        <f aca="false">IF(D2504="","",IFERROR(INDEX(rt_Billable,MATCH(D2504,rt_Code,0)),"Unknown"))</f>
        <v/>
      </c>
      <c r="L2504" s="38" t="str">
        <f aca="false">IF(K2504&lt;&gt;"Yes","",IFERROR(INDEX(cr_Rate,MATCH(J2504&amp;"|"&amp;D2504,cr_Key,0)),INDEX(rt_Rate,MATCH(D2504,rt_Code,0))))</f>
        <v/>
      </c>
      <c r="M2504" s="25" t="str">
        <f aca="false">IF(L2504="","",ROUND(N(E2504)*L2504,2))</f>
        <v/>
      </c>
      <c r="N2504" s="39" t="str">
        <f aca="false">IF(OR(A2504="",B2504=""),"",SUMIFS(tl_Hours,tl_StaffID,I2504,tl_Date,A2504))</f>
        <v/>
      </c>
      <c r="O2504" s="40" t="str">
        <f aca="false">IF(A2504&amp;B2504&amp;D2504="","",IF(OR(A2504="",B2504="",D2504="",E2504=""),"Incomplete",IF(K2504="Unknown","Unknown code",IF(AND(K2504="Yes",C2504=""),"Billable, needs client",IF(N2504&gt;MaxDayHours,"Over "&amp;MaxDayHours&amp;" hours that day","")))))</f>
        <v/>
      </c>
    </row>
    <row r="2505" customFormat="false" ht="15" hidden="false" customHeight="false" outlineLevel="0" collapsed="false">
      <c r="A2505" s="31"/>
      <c r="B2505" s="32"/>
      <c r="C2505" s="32"/>
      <c r="D2505" s="33"/>
      <c r="E2505" s="34"/>
      <c r="F2505" s="32"/>
      <c r="G2505" s="35" t="str">
        <f aca="false">IF(A2505="","",A2505+7-WEEKDAY(A2505))</f>
        <v/>
      </c>
      <c r="H2505" s="36" t="str">
        <f aca="false">IF(A2505="","",DATE(YEAR(A2505),MONTH(A2505),1))</f>
        <v/>
      </c>
      <c r="I2505" s="37" t="str">
        <f aca="false">IF(B2505="","",IFERROR(INDEX(st_ID,MATCH(B2505,st_Name,0)),"Unknown"))</f>
        <v/>
      </c>
      <c r="J2505" s="37" t="str">
        <f aca="false">IF(C2505="","",IFERROR(INDEX(cl_Code,MATCH(C2505,cl_Name,0)),"Unknown"))</f>
        <v/>
      </c>
      <c r="K2505" s="37" t="str">
        <f aca="false">IF(D2505="","",IFERROR(INDEX(rt_Billable,MATCH(D2505,rt_Code,0)),"Unknown"))</f>
        <v/>
      </c>
      <c r="L2505" s="38" t="str">
        <f aca="false">IF(K2505&lt;&gt;"Yes","",IFERROR(INDEX(cr_Rate,MATCH(J2505&amp;"|"&amp;D2505,cr_Key,0)),INDEX(rt_Rate,MATCH(D2505,rt_Code,0))))</f>
        <v/>
      </c>
      <c r="M2505" s="25" t="str">
        <f aca="false">IF(L2505="","",ROUND(N(E2505)*L2505,2))</f>
        <v/>
      </c>
      <c r="N2505" s="39" t="str">
        <f aca="false">IF(OR(A2505="",B2505=""),"",SUMIFS(tl_Hours,tl_StaffID,I2505,tl_Date,A2505))</f>
        <v/>
      </c>
      <c r="O2505" s="40" t="str">
        <f aca="false">IF(A2505&amp;B2505&amp;D2505="","",IF(OR(A2505="",B2505="",D2505="",E2505=""),"Incomplete",IF(K2505="Unknown","Unknown code",IF(AND(K2505="Yes",C2505=""),"Billable, needs client",IF(N2505&gt;MaxDayHours,"Over "&amp;MaxDayHours&amp;" hours that day","")))))</f>
        <v/>
      </c>
    </row>
    <row r="2506" customFormat="false" ht="15" hidden="false" customHeight="false" outlineLevel="0" collapsed="false">
      <c r="A2506" s="31"/>
      <c r="B2506" s="32"/>
      <c r="C2506" s="32"/>
      <c r="D2506" s="33"/>
      <c r="E2506" s="34"/>
      <c r="F2506" s="32"/>
      <c r="G2506" s="35" t="str">
        <f aca="false">IF(A2506="","",A2506+7-WEEKDAY(A2506))</f>
        <v/>
      </c>
      <c r="H2506" s="36" t="str">
        <f aca="false">IF(A2506="","",DATE(YEAR(A2506),MONTH(A2506),1))</f>
        <v/>
      </c>
      <c r="I2506" s="37" t="str">
        <f aca="false">IF(B2506="","",IFERROR(INDEX(st_ID,MATCH(B2506,st_Name,0)),"Unknown"))</f>
        <v/>
      </c>
      <c r="J2506" s="37" t="str">
        <f aca="false">IF(C2506="","",IFERROR(INDEX(cl_Code,MATCH(C2506,cl_Name,0)),"Unknown"))</f>
        <v/>
      </c>
      <c r="K2506" s="37" t="str">
        <f aca="false">IF(D2506="","",IFERROR(INDEX(rt_Billable,MATCH(D2506,rt_Code,0)),"Unknown"))</f>
        <v/>
      </c>
      <c r="L2506" s="38" t="str">
        <f aca="false">IF(K2506&lt;&gt;"Yes","",IFERROR(INDEX(cr_Rate,MATCH(J2506&amp;"|"&amp;D2506,cr_Key,0)),INDEX(rt_Rate,MATCH(D2506,rt_Code,0))))</f>
        <v/>
      </c>
      <c r="M2506" s="25" t="str">
        <f aca="false">IF(L2506="","",ROUND(N(E2506)*L2506,2))</f>
        <v/>
      </c>
      <c r="N2506" s="39" t="str">
        <f aca="false">IF(OR(A2506="",B2506=""),"",SUMIFS(tl_Hours,tl_StaffID,I2506,tl_Date,A2506))</f>
        <v/>
      </c>
      <c r="O2506" s="40" t="str">
        <f aca="false">IF(A2506&amp;B2506&amp;D2506="","",IF(OR(A2506="",B2506="",D2506="",E2506=""),"Incomplete",IF(K2506="Unknown","Unknown code",IF(AND(K2506="Yes",C2506=""),"Billable, needs client",IF(N2506&gt;MaxDayHours,"Over "&amp;MaxDayHours&amp;" hours that day","")))))</f>
        <v/>
      </c>
    </row>
    <row r="2507" customFormat="false" ht="15" hidden="false" customHeight="false" outlineLevel="0" collapsed="false">
      <c r="A2507" s="31"/>
      <c r="B2507" s="32"/>
      <c r="C2507" s="32"/>
      <c r="D2507" s="33"/>
      <c r="E2507" s="34"/>
      <c r="F2507" s="32"/>
      <c r="G2507" s="35" t="str">
        <f aca="false">IF(A2507="","",A2507+7-WEEKDAY(A2507))</f>
        <v/>
      </c>
      <c r="H2507" s="36" t="str">
        <f aca="false">IF(A2507="","",DATE(YEAR(A2507),MONTH(A2507),1))</f>
        <v/>
      </c>
      <c r="I2507" s="37" t="str">
        <f aca="false">IF(B2507="","",IFERROR(INDEX(st_ID,MATCH(B2507,st_Name,0)),"Unknown"))</f>
        <v/>
      </c>
      <c r="J2507" s="37" t="str">
        <f aca="false">IF(C2507="","",IFERROR(INDEX(cl_Code,MATCH(C2507,cl_Name,0)),"Unknown"))</f>
        <v/>
      </c>
      <c r="K2507" s="37" t="str">
        <f aca="false">IF(D2507="","",IFERROR(INDEX(rt_Billable,MATCH(D2507,rt_Code,0)),"Unknown"))</f>
        <v/>
      </c>
      <c r="L2507" s="38" t="str">
        <f aca="false">IF(K2507&lt;&gt;"Yes","",IFERROR(INDEX(cr_Rate,MATCH(J2507&amp;"|"&amp;D2507,cr_Key,0)),INDEX(rt_Rate,MATCH(D2507,rt_Code,0))))</f>
        <v/>
      </c>
      <c r="M2507" s="25" t="str">
        <f aca="false">IF(L2507="","",ROUND(N(E2507)*L2507,2))</f>
        <v/>
      </c>
      <c r="N2507" s="39" t="str">
        <f aca="false">IF(OR(A2507="",B2507=""),"",SUMIFS(tl_Hours,tl_StaffID,I2507,tl_Date,A2507))</f>
        <v/>
      </c>
      <c r="O2507" s="40" t="str">
        <f aca="false">IF(A2507&amp;B2507&amp;D2507="","",IF(OR(A2507="",B2507="",D2507="",E2507=""),"Incomplete",IF(K2507="Unknown","Unknown code",IF(AND(K2507="Yes",C2507=""),"Billable, needs client",IF(N2507&gt;MaxDayHours,"Over "&amp;MaxDayHours&amp;" hours that day","")))))</f>
        <v/>
      </c>
    </row>
    <row r="2508" customFormat="false" ht="15" hidden="false" customHeight="false" outlineLevel="0" collapsed="false">
      <c r="A2508" s="31"/>
      <c r="B2508" s="32"/>
      <c r="C2508" s="32"/>
      <c r="D2508" s="33"/>
      <c r="E2508" s="34"/>
      <c r="F2508" s="32"/>
      <c r="G2508" s="35" t="str">
        <f aca="false">IF(A2508="","",A2508+7-WEEKDAY(A2508))</f>
        <v/>
      </c>
      <c r="H2508" s="36" t="str">
        <f aca="false">IF(A2508="","",DATE(YEAR(A2508),MONTH(A2508),1))</f>
        <v/>
      </c>
      <c r="I2508" s="37" t="str">
        <f aca="false">IF(B2508="","",IFERROR(INDEX(st_ID,MATCH(B2508,st_Name,0)),"Unknown"))</f>
        <v/>
      </c>
      <c r="J2508" s="37" t="str">
        <f aca="false">IF(C2508="","",IFERROR(INDEX(cl_Code,MATCH(C2508,cl_Name,0)),"Unknown"))</f>
        <v/>
      </c>
      <c r="K2508" s="37" t="str">
        <f aca="false">IF(D2508="","",IFERROR(INDEX(rt_Billable,MATCH(D2508,rt_Code,0)),"Unknown"))</f>
        <v/>
      </c>
      <c r="L2508" s="38" t="str">
        <f aca="false">IF(K2508&lt;&gt;"Yes","",IFERROR(INDEX(cr_Rate,MATCH(J2508&amp;"|"&amp;D2508,cr_Key,0)),INDEX(rt_Rate,MATCH(D2508,rt_Code,0))))</f>
        <v/>
      </c>
      <c r="M2508" s="25" t="str">
        <f aca="false">IF(L2508="","",ROUND(N(E2508)*L2508,2))</f>
        <v/>
      </c>
      <c r="N2508" s="39" t="str">
        <f aca="false">IF(OR(A2508="",B2508=""),"",SUMIFS(tl_Hours,tl_StaffID,I2508,tl_Date,A2508))</f>
        <v/>
      </c>
      <c r="O2508" s="40" t="str">
        <f aca="false">IF(A2508&amp;B2508&amp;D2508="","",IF(OR(A2508="",B2508="",D2508="",E2508=""),"Incomplete",IF(K2508="Unknown","Unknown code",IF(AND(K2508="Yes",C2508=""),"Billable, needs client",IF(N2508&gt;MaxDayHours,"Over "&amp;MaxDayHours&amp;" hours that day","")))))</f>
        <v/>
      </c>
    </row>
    <row r="2509" customFormat="false" ht="15" hidden="false" customHeight="false" outlineLevel="0" collapsed="false">
      <c r="A2509" s="31"/>
      <c r="B2509" s="32"/>
      <c r="C2509" s="32"/>
      <c r="D2509" s="33"/>
      <c r="E2509" s="34"/>
      <c r="F2509" s="32"/>
      <c r="G2509" s="35" t="str">
        <f aca="false">IF(A2509="","",A2509+7-WEEKDAY(A2509))</f>
        <v/>
      </c>
      <c r="H2509" s="36" t="str">
        <f aca="false">IF(A2509="","",DATE(YEAR(A2509),MONTH(A2509),1))</f>
        <v/>
      </c>
      <c r="I2509" s="37" t="str">
        <f aca="false">IF(B2509="","",IFERROR(INDEX(st_ID,MATCH(B2509,st_Name,0)),"Unknown"))</f>
        <v/>
      </c>
      <c r="J2509" s="37" t="str">
        <f aca="false">IF(C2509="","",IFERROR(INDEX(cl_Code,MATCH(C2509,cl_Name,0)),"Unknown"))</f>
        <v/>
      </c>
      <c r="K2509" s="37" t="str">
        <f aca="false">IF(D2509="","",IFERROR(INDEX(rt_Billable,MATCH(D2509,rt_Code,0)),"Unknown"))</f>
        <v/>
      </c>
      <c r="L2509" s="38" t="str">
        <f aca="false">IF(K2509&lt;&gt;"Yes","",IFERROR(INDEX(cr_Rate,MATCH(J2509&amp;"|"&amp;D2509,cr_Key,0)),INDEX(rt_Rate,MATCH(D2509,rt_Code,0))))</f>
        <v/>
      </c>
      <c r="M2509" s="25" t="str">
        <f aca="false">IF(L2509="","",ROUND(N(E2509)*L2509,2))</f>
        <v/>
      </c>
      <c r="N2509" s="39" t="str">
        <f aca="false">IF(OR(A2509="",B2509=""),"",SUMIFS(tl_Hours,tl_StaffID,I2509,tl_Date,A2509))</f>
        <v/>
      </c>
      <c r="O2509" s="40" t="str">
        <f aca="false">IF(A2509&amp;B2509&amp;D2509="","",IF(OR(A2509="",B2509="",D2509="",E2509=""),"Incomplete",IF(K2509="Unknown","Unknown code",IF(AND(K2509="Yes",C2509=""),"Billable, needs client",IF(N2509&gt;MaxDayHours,"Over "&amp;MaxDayHours&amp;" hours that day","")))))</f>
        <v/>
      </c>
    </row>
    <row r="2510" customFormat="false" ht="15" hidden="false" customHeight="false" outlineLevel="0" collapsed="false">
      <c r="A2510" s="31"/>
      <c r="B2510" s="32"/>
      <c r="C2510" s="32"/>
      <c r="D2510" s="33"/>
      <c r="E2510" s="34"/>
      <c r="F2510" s="32"/>
      <c r="G2510" s="35" t="str">
        <f aca="false">IF(A2510="","",A2510+7-WEEKDAY(A2510))</f>
        <v/>
      </c>
      <c r="H2510" s="36" t="str">
        <f aca="false">IF(A2510="","",DATE(YEAR(A2510),MONTH(A2510),1))</f>
        <v/>
      </c>
      <c r="I2510" s="37" t="str">
        <f aca="false">IF(B2510="","",IFERROR(INDEX(st_ID,MATCH(B2510,st_Name,0)),"Unknown"))</f>
        <v/>
      </c>
      <c r="J2510" s="37" t="str">
        <f aca="false">IF(C2510="","",IFERROR(INDEX(cl_Code,MATCH(C2510,cl_Name,0)),"Unknown"))</f>
        <v/>
      </c>
      <c r="K2510" s="37" t="str">
        <f aca="false">IF(D2510="","",IFERROR(INDEX(rt_Billable,MATCH(D2510,rt_Code,0)),"Unknown"))</f>
        <v/>
      </c>
      <c r="L2510" s="38" t="str">
        <f aca="false">IF(K2510&lt;&gt;"Yes","",IFERROR(INDEX(cr_Rate,MATCH(J2510&amp;"|"&amp;D2510,cr_Key,0)),INDEX(rt_Rate,MATCH(D2510,rt_Code,0))))</f>
        <v/>
      </c>
      <c r="M2510" s="25" t="str">
        <f aca="false">IF(L2510="","",ROUND(N(E2510)*L2510,2))</f>
        <v/>
      </c>
      <c r="N2510" s="39" t="str">
        <f aca="false">IF(OR(A2510="",B2510=""),"",SUMIFS(tl_Hours,tl_StaffID,I2510,tl_Date,A2510))</f>
        <v/>
      </c>
      <c r="O2510" s="40" t="str">
        <f aca="false">IF(A2510&amp;B2510&amp;D2510="","",IF(OR(A2510="",B2510="",D2510="",E2510=""),"Incomplete",IF(K2510="Unknown","Unknown code",IF(AND(K2510="Yes",C2510=""),"Billable, needs client",IF(N2510&gt;MaxDayHours,"Over "&amp;MaxDayHours&amp;" hours that day","")))))</f>
        <v/>
      </c>
    </row>
    <row r="2511" customFormat="false" ht="15" hidden="false" customHeight="false" outlineLevel="0" collapsed="false">
      <c r="A2511" s="31"/>
      <c r="B2511" s="32"/>
      <c r="C2511" s="32"/>
      <c r="D2511" s="33"/>
      <c r="E2511" s="34"/>
      <c r="F2511" s="32"/>
      <c r="G2511" s="35" t="str">
        <f aca="false">IF(A2511="","",A2511+7-WEEKDAY(A2511))</f>
        <v/>
      </c>
      <c r="H2511" s="36" t="str">
        <f aca="false">IF(A2511="","",DATE(YEAR(A2511),MONTH(A2511),1))</f>
        <v/>
      </c>
      <c r="I2511" s="37" t="str">
        <f aca="false">IF(B2511="","",IFERROR(INDEX(st_ID,MATCH(B2511,st_Name,0)),"Unknown"))</f>
        <v/>
      </c>
      <c r="J2511" s="37" t="str">
        <f aca="false">IF(C2511="","",IFERROR(INDEX(cl_Code,MATCH(C2511,cl_Name,0)),"Unknown"))</f>
        <v/>
      </c>
      <c r="K2511" s="37" t="str">
        <f aca="false">IF(D2511="","",IFERROR(INDEX(rt_Billable,MATCH(D2511,rt_Code,0)),"Unknown"))</f>
        <v/>
      </c>
      <c r="L2511" s="38" t="str">
        <f aca="false">IF(K2511&lt;&gt;"Yes","",IFERROR(INDEX(cr_Rate,MATCH(J2511&amp;"|"&amp;D2511,cr_Key,0)),INDEX(rt_Rate,MATCH(D2511,rt_Code,0))))</f>
        <v/>
      </c>
      <c r="M2511" s="25" t="str">
        <f aca="false">IF(L2511="","",ROUND(N(E2511)*L2511,2))</f>
        <v/>
      </c>
      <c r="N2511" s="39" t="str">
        <f aca="false">IF(OR(A2511="",B2511=""),"",SUMIFS(tl_Hours,tl_StaffID,I2511,tl_Date,A2511))</f>
        <v/>
      </c>
      <c r="O2511" s="40" t="str">
        <f aca="false">IF(A2511&amp;B2511&amp;D2511="","",IF(OR(A2511="",B2511="",D2511="",E2511=""),"Incomplete",IF(K2511="Unknown","Unknown code",IF(AND(K2511="Yes",C2511=""),"Billable, needs client",IF(N2511&gt;MaxDayHours,"Over "&amp;MaxDayHours&amp;" hours that day","")))))</f>
        <v/>
      </c>
    </row>
    <row r="2512" customFormat="false" ht="15" hidden="false" customHeight="false" outlineLevel="0" collapsed="false">
      <c r="A2512" s="31"/>
      <c r="B2512" s="32"/>
      <c r="C2512" s="32"/>
      <c r="D2512" s="33"/>
      <c r="E2512" s="34"/>
      <c r="F2512" s="32"/>
      <c r="G2512" s="35" t="str">
        <f aca="false">IF(A2512="","",A2512+7-WEEKDAY(A2512))</f>
        <v/>
      </c>
      <c r="H2512" s="36" t="str">
        <f aca="false">IF(A2512="","",DATE(YEAR(A2512),MONTH(A2512),1))</f>
        <v/>
      </c>
      <c r="I2512" s="37" t="str">
        <f aca="false">IF(B2512="","",IFERROR(INDEX(st_ID,MATCH(B2512,st_Name,0)),"Unknown"))</f>
        <v/>
      </c>
      <c r="J2512" s="37" t="str">
        <f aca="false">IF(C2512="","",IFERROR(INDEX(cl_Code,MATCH(C2512,cl_Name,0)),"Unknown"))</f>
        <v/>
      </c>
      <c r="K2512" s="37" t="str">
        <f aca="false">IF(D2512="","",IFERROR(INDEX(rt_Billable,MATCH(D2512,rt_Code,0)),"Unknown"))</f>
        <v/>
      </c>
      <c r="L2512" s="38" t="str">
        <f aca="false">IF(K2512&lt;&gt;"Yes","",IFERROR(INDEX(cr_Rate,MATCH(J2512&amp;"|"&amp;D2512,cr_Key,0)),INDEX(rt_Rate,MATCH(D2512,rt_Code,0))))</f>
        <v/>
      </c>
      <c r="M2512" s="25" t="str">
        <f aca="false">IF(L2512="","",ROUND(N(E2512)*L2512,2))</f>
        <v/>
      </c>
      <c r="N2512" s="39" t="str">
        <f aca="false">IF(OR(A2512="",B2512=""),"",SUMIFS(tl_Hours,tl_StaffID,I2512,tl_Date,A2512))</f>
        <v/>
      </c>
      <c r="O2512" s="40" t="str">
        <f aca="false">IF(A2512&amp;B2512&amp;D2512="","",IF(OR(A2512="",B2512="",D2512="",E2512=""),"Incomplete",IF(K2512="Unknown","Unknown code",IF(AND(K2512="Yes",C2512=""),"Billable, needs client",IF(N2512&gt;MaxDayHours,"Over "&amp;MaxDayHours&amp;" hours that day","")))))</f>
        <v/>
      </c>
    </row>
    <row r="2513" customFormat="false" ht="15" hidden="false" customHeight="false" outlineLevel="0" collapsed="false">
      <c r="A2513" s="31"/>
      <c r="B2513" s="32"/>
      <c r="C2513" s="32"/>
      <c r="D2513" s="33"/>
      <c r="E2513" s="34"/>
      <c r="F2513" s="32"/>
      <c r="G2513" s="35" t="str">
        <f aca="false">IF(A2513="","",A2513+7-WEEKDAY(A2513))</f>
        <v/>
      </c>
      <c r="H2513" s="36" t="str">
        <f aca="false">IF(A2513="","",DATE(YEAR(A2513),MONTH(A2513),1))</f>
        <v/>
      </c>
      <c r="I2513" s="37" t="str">
        <f aca="false">IF(B2513="","",IFERROR(INDEX(st_ID,MATCH(B2513,st_Name,0)),"Unknown"))</f>
        <v/>
      </c>
      <c r="J2513" s="37" t="str">
        <f aca="false">IF(C2513="","",IFERROR(INDEX(cl_Code,MATCH(C2513,cl_Name,0)),"Unknown"))</f>
        <v/>
      </c>
      <c r="K2513" s="37" t="str">
        <f aca="false">IF(D2513="","",IFERROR(INDEX(rt_Billable,MATCH(D2513,rt_Code,0)),"Unknown"))</f>
        <v/>
      </c>
      <c r="L2513" s="38" t="str">
        <f aca="false">IF(K2513&lt;&gt;"Yes","",IFERROR(INDEX(cr_Rate,MATCH(J2513&amp;"|"&amp;D2513,cr_Key,0)),INDEX(rt_Rate,MATCH(D2513,rt_Code,0))))</f>
        <v/>
      </c>
      <c r="M2513" s="25" t="str">
        <f aca="false">IF(L2513="","",ROUND(N(E2513)*L2513,2))</f>
        <v/>
      </c>
      <c r="N2513" s="39" t="str">
        <f aca="false">IF(OR(A2513="",B2513=""),"",SUMIFS(tl_Hours,tl_StaffID,I2513,tl_Date,A2513))</f>
        <v/>
      </c>
      <c r="O2513" s="40" t="str">
        <f aca="false">IF(A2513&amp;B2513&amp;D2513="","",IF(OR(A2513="",B2513="",D2513="",E2513=""),"Incomplete",IF(K2513="Unknown","Unknown code",IF(AND(K2513="Yes",C2513=""),"Billable, needs client",IF(N2513&gt;MaxDayHours,"Over "&amp;MaxDayHours&amp;" hours that day","")))))</f>
        <v/>
      </c>
    </row>
    <row r="2514" customFormat="false" ht="15" hidden="false" customHeight="false" outlineLevel="0" collapsed="false">
      <c r="A2514" s="31"/>
      <c r="B2514" s="32"/>
      <c r="C2514" s="32"/>
      <c r="D2514" s="33"/>
      <c r="E2514" s="34"/>
      <c r="F2514" s="32"/>
      <c r="G2514" s="35" t="str">
        <f aca="false">IF(A2514="","",A2514+7-WEEKDAY(A2514))</f>
        <v/>
      </c>
      <c r="H2514" s="36" t="str">
        <f aca="false">IF(A2514="","",DATE(YEAR(A2514),MONTH(A2514),1))</f>
        <v/>
      </c>
      <c r="I2514" s="37" t="str">
        <f aca="false">IF(B2514="","",IFERROR(INDEX(st_ID,MATCH(B2514,st_Name,0)),"Unknown"))</f>
        <v/>
      </c>
      <c r="J2514" s="37" t="str">
        <f aca="false">IF(C2514="","",IFERROR(INDEX(cl_Code,MATCH(C2514,cl_Name,0)),"Unknown"))</f>
        <v/>
      </c>
      <c r="K2514" s="37" t="str">
        <f aca="false">IF(D2514="","",IFERROR(INDEX(rt_Billable,MATCH(D2514,rt_Code,0)),"Unknown"))</f>
        <v/>
      </c>
      <c r="L2514" s="38" t="str">
        <f aca="false">IF(K2514&lt;&gt;"Yes","",IFERROR(INDEX(cr_Rate,MATCH(J2514&amp;"|"&amp;D2514,cr_Key,0)),INDEX(rt_Rate,MATCH(D2514,rt_Code,0))))</f>
        <v/>
      </c>
      <c r="M2514" s="25" t="str">
        <f aca="false">IF(L2514="","",ROUND(N(E2514)*L2514,2))</f>
        <v/>
      </c>
      <c r="N2514" s="39" t="str">
        <f aca="false">IF(OR(A2514="",B2514=""),"",SUMIFS(tl_Hours,tl_StaffID,I2514,tl_Date,A2514))</f>
        <v/>
      </c>
      <c r="O2514" s="40" t="str">
        <f aca="false">IF(A2514&amp;B2514&amp;D2514="","",IF(OR(A2514="",B2514="",D2514="",E2514=""),"Incomplete",IF(K2514="Unknown","Unknown code",IF(AND(K2514="Yes",C2514=""),"Billable, needs client",IF(N2514&gt;MaxDayHours,"Over "&amp;MaxDayHours&amp;" hours that day","")))))</f>
        <v/>
      </c>
    </row>
    <row r="2515" customFormat="false" ht="15" hidden="false" customHeight="false" outlineLevel="0" collapsed="false">
      <c r="A2515" s="31"/>
      <c r="B2515" s="32"/>
      <c r="C2515" s="32"/>
      <c r="D2515" s="33"/>
      <c r="E2515" s="34"/>
      <c r="F2515" s="32"/>
      <c r="G2515" s="35" t="str">
        <f aca="false">IF(A2515="","",A2515+7-WEEKDAY(A2515))</f>
        <v/>
      </c>
      <c r="H2515" s="36" t="str">
        <f aca="false">IF(A2515="","",DATE(YEAR(A2515),MONTH(A2515),1))</f>
        <v/>
      </c>
      <c r="I2515" s="37" t="str">
        <f aca="false">IF(B2515="","",IFERROR(INDEX(st_ID,MATCH(B2515,st_Name,0)),"Unknown"))</f>
        <v/>
      </c>
      <c r="J2515" s="37" t="str">
        <f aca="false">IF(C2515="","",IFERROR(INDEX(cl_Code,MATCH(C2515,cl_Name,0)),"Unknown"))</f>
        <v/>
      </c>
      <c r="K2515" s="37" t="str">
        <f aca="false">IF(D2515="","",IFERROR(INDEX(rt_Billable,MATCH(D2515,rt_Code,0)),"Unknown"))</f>
        <v/>
      </c>
      <c r="L2515" s="38" t="str">
        <f aca="false">IF(K2515&lt;&gt;"Yes","",IFERROR(INDEX(cr_Rate,MATCH(J2515&amp;"|"&amp;D2515,cr_Key,0)),INDEX(rt_Rate,MATCH(D2515,rt_Code,0))))</f>
        <v/>
      </c>
      <c r="M2515" s="25" t="str">
        <f aca="false">IF(L2515="","",ROUND(N(E2515)*L2515,2))</f>
        <v/>
      </c>
      <c r="N2515" s="39" t="str">
        <f aca="false">IF(OR(A2515="",B2515=""),"",SUMIFS(tl_Hours,tl_StaffID,I2515,tl_Date,A2515))</f>
        <v/>
      </c>
      <c r="O2515" s="40" t="str">
        <f aca="false">IF(A2515&amp;B2515&amp;D2515="","",IF(OR(A2515="",B2515="",D2515="",E2515=""),"Incomplete",IF(K2515="Unknown","Unknown code",IF(AND(K2515="Yes",C2515=""),"Billable, needs client",IF(N2515&gt;MaxDayHours,"Over "&amp;MaxDayHours&amp;" hours that day","")))))</f>
        <v/>
      </c>
    </row>
    <row r="2516" customFormat="false" ht="15" hidden="false" customHeight="false" outlineLevel="0" collapsed="false">
      <c r="A2516" s="31"/>
      <c r="B2516" s="32"/>
      <c r="C2516" s="32"/>
      <c r="D2516" s="33"/>
      <c r="E2516" s="34"/>
      <c r="F2516" s="32"/>
      <c r="G2516" s="35" t="str">
        <f aca="false">IF(A2516="","",A2516+7-WEEKDAY(A2516))</f>
        <v/>
      </c>
      <c r="H2516" s="36" t="str">
        <f aca="false">IF(A2516="","",DATE(YEAR(A2516),MONTH(A2516),1))</f>
        <v/>
      </c>
      <c r="I2516" s="37" t="str">
        <f aca="false">IF(B2516="","",IFERROR(INDEX(st_ID,MATCH(B2516,st_Name,0)),"Unknown"))</f>
        <v/>
      </c>
      <c r="J2516" s="37" t="str">
        <f aca="false">IF(C2516="","",IFERROR(INDEX(cl_Code,MATCH(C2516,cl_Name,0)),"Unknown"))</f>
        <v/>
      </c>
      <c r="K2516" s="37" t="str">
        <f aca="false">IF(D2516="","",IFERROR(INDEX(rt_Billable,MATCH(D2516,rt_Code,0)),"Unknown"))</f>
        <v/>
      </c>
      <c r="L2516" s="38" t="str">
        <f aca="false">IF(K2516&lt;&gt;"Yes","",IFERROR(INDEX(cr_Rate,MATCH(J2516&amp;"|"&amp;D2516,cr_Key,0)),INDEX(rt_Rate,MATCH(D2516,rt_Code,0))))</f>
        <v/>
      </c>
      <c r="M2516" s="25" t="str">
        <f aca="false">IF(L2516="","",ROUND(N(E2516)*L2516,2))</f>
        <v/>
      </c>
      <c r="N2516" s="39" t="str">
        <f aca="false">IF(OR(A2516="",B2516=""),"",SUMIFS(tl_Hours,tl_StaffID,I2516,tl_Date,A2516))</f>
        <v/>
      </c>
      <c r="O2516" s="40" t="str">
        <f aca="false">IF(A2516&amp;B2516&amp;D2516="","",IF(OR(A2516="",B2516="",D2516="",E2516=""),"Incomplete",IF(K2516="Unknown","Unknown code",IF(AND(K2516="Yes",C2516=""),"Billable, needs client",IF(N2516&gt;MaxDayHours,"Over "&amp;MaxDayHours&amp;" hours that day","")))))</f>
        <v/>
      </c>
    </row>
    <row r="2517" customFormat="false" ht="15" hidden="false" customHeight="false" outlineLevel="0" collapsed="false">
      <c r="A2517" s="31"/>
      <c r="B2517" s="32"/>
      <c r="C2517" s="32"/>
      <c r="D2517" s="33"/>
      <c r="E2517" s="34"/>
      <c r="F2517" s="32"/>
      <c r="G2517" s="35" t="str">
        <f aca="false">IF(A2517="","",A2517+7-WEEKDAY(A2517))</f>
        <v/>
      </c>
      <c r="H2517" s="36" t="str">
        <f aca="false">IF(A2517="","",DATE(YEAR(A2517),MONTH(A2517),1))</f>
        <v/>
      </c>
      <c r="I2517" s="37" t="str">
        <f aca="false">IF(B2517="","",IFERROR(INDEX(st_ID,MATCH(B2517,st_Name,0)),"Unknown"))</f>
        <v/>
      </c>
      <c r="J2517" s="37" t="str">
        <f aca="false">IF(C2517="","",IFERROR(INDEX(cl_Code,MATCH(C2517,cl_Name,0)),"Unknown"))</f>
        <v/>
      </c>
      <c r="K2517" s="37" t="str">
        <f aca="false">IF(D2517="","",IFERROR(INDEX(rt_Billable,MATCH(D2517,rt_Code,0)),"Unknown"))</f>
        <v/>
      </c>
      <c r="L2517" s="38" t="str">
        <f aca="false">IF(K2517&lt;&gt;"Yes","",IFERROR(INDEX(cr_Rate,MATCH(J2517&amp;"|"&amp;D2517,cr_Key,0)),INDEX(rt_Rate,MATCH(D2517,rt_Code,0))))</f>
        <v/>
      </c>
      <c r="M2517" s="25" t="str">
        <f aca="false">IF(L2517="","",ROUND(N(E2517)*L2517,2))</f>
        <v/>
      </c>
      <c r="N2517" s="39" t="str">
        <f aca="false">IF(OR(A2517="",B2517=""),"",SUMIFS(tl_Hours,tl_StaffID,I2517,tl_Date,A2517))</f>
        <v/>
      </c>
      <c r="O2517" s="40" t="str">
        <f aca="false">IF(A2517&amp;B2517&amp;D2517="","",IF(OR(A2517="",B2517="",D2517="",E2517=""),"Incomplete",IF(K2517="Unknown","Unknown code",IF(AND(K2517="Yes",C2517=""),"Billable, needs client",IF(N2517&gt;MaxDayHours,"Over "&amp;MaxDayHours&amp;" hours that day","")))))</f>
        <v/>
      </c>
    </row>
    <row r="2518" customFormat="false" ht="15" hidden="false" customHeight="false" outlineLevel="0" collapsed="false">
      <c r="A2518" s="31"/>
      <c r="B2518" s="32"/>
      <c r="C2518" s="32"/>
      <c r="D2518" s="33"/>
      <c r="E2518" s="34"/>
      <c r="F2518" s="32"/>
      <c r="G2518" s="35" t="str">
        <f aca="false">IF(A2518="","",A2518+7-WEEKDAY(A2518))</f>
        <v/>
      </c>
      <c r="H2518" s="36" t="str">
        <f aca="false">IF(A2518="","",DATE(YEAR(A2518),MONTH(A2518),1))</f>
        <v/>
      </c>
      <c r="I2518" s="37" t="str">
        <f aca="false">IF(B2518="","",IFERROR(INDEX(st_ID,MATCH(B2518,st_Name,0)),"Unknown"))</f>
        <v/>
      </c>
      <c r="J2518" s="37" t="str">
        <f aca="false">IF(C2518="","",IFERROR(INDEX(cl_Code,MATCH(C2518,cl_Name,0)),"Unknown"))</f>
        <v/>
      </c>
      <c r="K2518" s="37" t="str">
        <f aca="false">IF(D2518="","",IFERROR(INDEX(rt_Billable,MATCH(D2518,rt_Code,0)),"Unknown"))</f>
        <v/>
      </c>
      <c r="L2518" s="38" t="str">
        <f aca="false">IF(K2518&lt;&gt;"Yes","",IFERROR(INDEX(cr_Rate,MATCH(J2518&amp;"|"&amp;D2518,cr_Key,0)),INDEX(rt_Rate,MATCH(D2518,rt_Code,0))))</f>
        <v/>
      </c>
      <c r="M2518" s="25" t="str">
        <f aca="false">IF(L2518="","",ROUND(N(E2518)*L2518,2))</f>
        <v/>
      </c>
      <c r="N2518" s="39" t="str">
        <f aca="false">IF(OR(A2518="",B2518=""),"",SUMIFS(tl_Hours,tl_StaffID,I2518,tl_Date,A2518))</f>
        <v/>
      </c>
      <c r="O2518" s="40" t="str">
        <f aca="false">IF(A2518&amp;B2518&amp;D2518="","",IF(OR(A2518="",B2518="",D2518="",E2518=""),"Incomplete",IF(K2518="Unknown","Unknown code",IF(AND(K2518="Yes",C2518=""),"Billable, needs client",IF(N2518&gt;MaxDayHours,"Over "&amp;MaxDayHours&amp;" hours that day","")))))</f>
        <v/>
      </c>
    </row>
    <row r="2519" customFormat="false" ht="15" hidden="false" customHeight="false" outlineLevel="0" collapsed="false">
      <c r="A2519" s="31"/>
      <c r="B2519" s="32"/>
      <c r="C2519" s="32"/>
      <c r="D2519" s="33"/>
      <c r="E2519" s="34"/>
      <c r="F2519" s="32"/>
      <c r="G2519" s="35" t="str">
        <f aca="false">IF(A2519="","",A2519+7-WEEKDAY(A2519))</f>
        <v/>
      </c>
      <c r="H2519" s="36" t="str">
        <f aca="false">IF(A2519="","",DATE(YEAR(A2519),MONTH(A2519),1))</f>
        <v/>
      </c>
      <c r="I2519" s="37" t="str">
        <f aca="false">IF(B2519="","",IFERROR(INDEX(st_ID,MATCH(B2519,st_Name,0)),"Unknown"))</f>
        <v/>
      </c>
      <c r="J2519" s="37" t="str">
        <f aca="false">IF(C2519="","",IFERROR(INDEX(cl_Code,MATCH(C2519,cl_Name,0)),"Unknown"))</f>
        <v/>
      </c>
      <c r="K2519" s="37" t="str">
        <f aca="false">IF(D2519="","",IFERROR(INDEX(rt_Billable,MATCH(D2519,rt_Code,0)),"Unknown"))</f>
        <v/>
      </c>
      <c r="L2519" s="38" t="str">
        <f aca="false">IF(K2519&lt;&gt;"Yes","",IFERROR(INDEX(cr_Rate,MATCH(J2519&amp;"|"&amp;D2519,cr_Key,0)),INDEX(rt_Rate,MATCH(D2519,rt_Code,0))))</f>
        <v/>
      </c>
      <c r="M2519" s="25" t="str">
        <f aca="false">IF(L2519="","",ROUND(N(E2519)*L2519,2))</f>
        <v/>
      </c>
      <c r="N2519" s="39" t="str">
        <f aca="false">IF(OR(A2519="",B2519=""),"",SUMIFS(tl_Hours,tl_StaffID,I2519,tl_Date,A2519))</f>
        <v/>
      </c>
      <c r="O2519" s="40" t="str">
        <f aca="false">IF(A2519&amp;B2519&amp;D2519="","",IF(OR(A2519="",B2519="",D2519="",E2519=""),"Incomplete",IF(K2519="Unknown","Unknown code",IF(AND(K2519="Yes",C2519=""),"Billable, needs client",IF(N2519&gt;MaxDayHours,"Over "&amp;MaxDayHours&amp;" hours that day","")))))</f>
        <v/>
      </c>
    </row>
    <row r="2520" customFormat="false" ht="15" hidden="false" customHeight="false" outlineLevel="0" collapsed="false">
      <c r="A2520" s="31"/>
      <c r="B2520" s="32"/>
      <c r="C2520" s="32"/>
      <c r="D2520" s="33"/>
      <c r="E2520" s="34"/>
      <c r="F2520" s="32"/>
      <c r="G2520" s="35" t="str">
        <f aca="false">IF(A2520="","",A2520+7-WEEKDAY(A2520))</f>
        <v/>
      </c>
      <c r="H2520" s="36" t="str">
        <f aca="false">IF(A2520="","",DATE(YEAR(A2520),MONTH(A2520),1))</f>
        <v/>
      </c>
      <c r="I2520" s="37" t="str">
        <f aca="false">IF(B2520="","",IFERROR(INDEX(st_ID,MATCH(B2520,st_Name,0)),"Unknown"))</f>
        <v/>
      </c>
      <c r="J2520" s="37" t="str">
        <f aca="false">IF(C2520="","",IFERROR(INDEX(cl_Code,MATCH(C2520,cl_Name,0)),"Unknown"))</f>
        <v/>
      </c>
      <c r="K2520" s="37" t="str">
        <f aca="false">IF(D2520="","",IFERROR(INDEX(rt_Billable,MATCH(D2520,rt_Code,0)),"Unknown"))</f>
        <v/>
      </c>
      <c r="L2520" s="38" t="str">
        <f aca="false">IF(K2520&lt;&gt;"Yes","",IFERROR(INDEX(cr_Rate,MATCH(J2520&amp;"|"&amp;D2520,cr_Key,0)),INDEX(rt_Rate,MATCH(D2520,rt_Code,0))))</f>
        <v/>
      </c>
      <c r="M2520" s="25" t="str">
        <f aca="false">IF(L2520="","",ROUND(N(E2520)*L2520,2))</f>
        <v/>
      </c>
      <c r="N2520" s="39" t="str">
        <f aca="false">IF(OR(A2520="",B2520=""),"",SUMIFS(tl_Hours,tl_StaffID,I2520,tl_Date,A2520))</f>
        <v/>
      </c>
      <c r="O2520" s="40" t="str">
        <f aca="false">IF(A2520&amp;B2520&amp;D2520="","",IF(OR(A2520="",B2520="",D2520="",E2520=""),"Incomplete",IF(K2520="Unknown","Unknown code",IF(AND(K2520="Yes",C2520=""),"Billable, needs client",IF(N2520&gt;MaxDayHours,"Over "&amp;MaxDayHours&amp;" hours that day","")))))</f>
        <v/>
      </c>
    </row>
    <row r="2521" customFormat="false" ht="15" hidden="false" customHeight="false" outlineLevel="0" collapsed="false">
      <c r="A2521" s="31"/>
      <c r="B2521" s="32"/>
      <c r="C2521" s="32"/>
      <c r="D2521" s="33"/>
      <c r="E2521" s="34"/>
      <c r="F2521" s="32"/>
      <c r="G2521" s="35" t="str">
        <f aca="false">IF(A2521="","",A2521+7-WEEKDAY(A2521))</f>
        <v/>
      </c>
      <c r="H2521" s="36" t="str">
        <f aca="false">IF(A2521="","",DATE(YEAR(A2521),MONTH(A2521),1))</f>
        <v/>
      </c>
      <c r="I2521" s="37" t="str">
        <f aca="false">IF(B2521="","",IFERROR(INDEX(st_ID,MATCH(B2521,st_Name,0)),"Unknown"))</f>
        <v/>
      </c>
      <c r="J2521" s="37" t="str">
        <f aca="false">IF(C2521="","",IFERROR(INDEX(cl_Code,MATCH(C2521,cl_Name,0)),"Unknown"))</f>
        <v/>
      </c>
      <c r="K2521" s="37" t="str">
        <f aca="false">IF(D2521="","",IFERROR(INDEX(rt_Billable,MATCH(D2521,rt_Code,0)),"Unknown"))</f>
        <v/>
      </c>
      <c r="L2521" s="38" t="str">
        <f aca="false">IF(K2521&lt;&gt;"Yes","",IFERROR(INDEX(cr_Rate,MATCH(J2521&amp;"|"&amp;D2521,cr_Key,0)),INDEX(rt_Rate,MATCH(D2521,rt_Code,0))))</f>
        <v/>
      </c>
      <c r="M2521" s="25" t="str">
        <f aca="false">IF(L2521="","",ROUND(N(E2521)*L2521,2))</f>
        <v/>
      </c>
      <c r="N2521" s="39" t="str">
        <f aca="false">IF(OR(A2521="",B2521=""),"",SUMIFS(tl_Hours,tl_StaffID,I2521,tl_Date,A2521))</f>
        <v/>
      </c>
      <c r="O2521" s="40" t="str">
        <f aca="false">IF(A2521&amp;B2521&amp;D2521="","",IF(OR(A2521="",B2521="",D2521="",E2521=""),"Incomplete",IF(K2521="Unknown","Unknown code",IF(AND(K2521="Yes",C2521=""),"Billable, needs client",IF(N2521&gt;MaxDayHours,"Over "&amp;MaxDayHours&amp;" hours that day","")))))</f>
        <v/>
      </c>
    </row>
    <row r="2522" customFormat="false" ht="15" hidden="false" customHeight="false" outlineLevel="0" collapsed="false">
      <c r="A2522" s="31"/>
      <c r="B2522" s="32"/>
      <c r="C2522" s="32"/>
      <c r="D2522" s="33"/>
      <c r="E2522" s="34"/>
      <c r="F2522" s="32"/>
      <c r="G2522" s="35" t="str">
        <f aca="false">IF(A2522="","",A2522+7-WEEKDAY(A2522))</f>
        <v/>
      </c>
      <c r="H2522" s="36" t="str">
        <f aca="false">IF(A2522="","",DATE(YEAR(A2522),MONTH(A2522),1))</f>
        <v/>
      </c>
      <c r="I2522" s="37" t="str">
        <f aca="false">IF(B2522="","",IFERROR(INDEX(st_ID,MATCH(B2522,st_Name,0)),"Unknown"))</f>
        <v/>
      </c>
      <c r="J2522" s="37" t="str">
        <f aca="false">IF(C2522="","",IFERROR(INDEX(cl_Code,MATCH(C2522,cl_Name,0)),"Unknown"))</f>
        <v/>
      </c>
      <c r="K2522" s="37" t="str">
        <f aca="false">IF(D2522="","",IFERROR(INDEX(rt_Billable,MATCH(D2522,rt_Code,0)),"Unknown"))</f>
        <v/>
      </c>
      <c r="L2522" s="38" t="str">
        <f aca="false">IF(K2522&lt;&gt;"Yes","",IFERROR(INDEX(cr_Rate,MATCH(J2522&amp;"|"&amp;D2522,cr_Key,0)),INDEX(rt_Rate,MATCH(D2522,rt_Code,0))))</f>
        <v/>
      </c>
      <c r="M2522" s="25" t="str">
        <f aca="false">IF(L2522="","",ROUND(N(E2522)*L2522,2))</f>
        <v/>
      </c>
      <c r="N2522" s="39" t="str">
        <f aca="false">IF(OR(A2522="",B2522=""),"",SUMIFS(tl_Hours,tl_StaffID,I2522,tl_Date,A2522))</f>
        <v/>
      </c>
      <c r="O2522" s="40" t="str">
        <f aca="false">IF(A2522&amp;B2522&amp;D2522="","",IF(OR(A2522="",B2522="",D2522="",E2522=""),"Incomplete",IF(K2522="Unknown","Unknown code",IF(AND(K2522="Yes",C2522=""),"Billable, needs client",IF(N2522&gt;MaxDayHours,"Over "&amp;MaxDayHours&amp;" hours that day","")))))</f>
        <v/>
      </c>
    </row>
    <row r="2523" customFormat="false" ht="15" hidden="false" customHeight="false" outlineLevel="0" collapsed="false">
      <c r="A2523" s="31"/>
      <c r="B2523" s="32"/>
      <c r="C2523" s="32"/>
      <c r="D2523" s="33"/>
      <c r="E2523" s="34"/>
      <c r="F2523" s="32"/>
      <c r="G2523" s="35" t="str">
        <f aca="false">IF(A2523="","",A2523+7-WEEKDAY(A2523))</f>
        <v/>
      </c>
      <c r="H2523" s="36" t="str">
        <f aca="false">IF(A2523="","",DATE(YEAR(A2523),MONTH(A2523),1))</f>
        <v/>
      </c>
      <c r="I2523" s="37" t="str">
        <f aca="false">IF(B2523="","",IFERROR(INDEX(st_ID,MATCH(B2523,st_Name,0)),"Unknown"))</f>
        <v/>
      </c>
      <c r="J2523" s="37" t="str">
        <f aca="false">IF(C2523="","",IFERROR(INDEX(cl_Code,MATCH(C2523,cl_Name,0)),"Unknown"))</f>
        <v/>
      </c>
      <c r="K2523" s="37" t="str">
        <f aca="false">IF(D2523="","",IFERROR(INDEX(rt_Billable,MATCH(D2523,rt_Code,0)),"Unknown"))</f>
        <v/>
      </c>
      <c r="L2523" s="38" t="str">
        <f aca="false">IF(K2523&lt;&gt;"Yes","",IFERROR(INDEX(cr_Rate,MATCH(J2523&amp;"|"&amp;D2523,cr_Key,0)),INDEX(rt_Rate,MATCH(D2523,rt_Code,0))))</f>
        <v/>
      </c>
      <c r="M2523" s="25" t="str">
        <f aca="false">IF(L2523="","",ROUND(N(E2523)*L2523,2))</f>
        <v/>
      </c>
      <c r="N2523" s="39" t="str">
        <f aca="false">IF(OR(A2523="",B2523=""),"",SUMIFS(tl_Hours,tl_StaffID,I2523,tl_Date,A2523))</f>
        <v/>
      </c>
      <c r="O2523" s="40" t="str">
        <f aca="false">IF(A2523&amp;B2523&amp;D2523="","",IF(OR(A2523="",B2523="",D2523="",E2523=""),"Incomplete",IF(K2523="Unknown","Unknown code",IF(AND(K2523="Yes",C2523=""),"Billable, needs client",IF(N2523&gt;MaxDayHours,"Over "&amp;MaxDayHours&amp;" hours that day","")))))</f>
        <v/>
      </c>
    </row>
    <row r="2524" customFormat="false" ht="15" hidden="false" customHeight="false" outlineLevel="0" collapsed="false">
      <c r="A2524" s="31"/>
      <c r="B2524" s="32"/>
      <c r="C2524" s="32"/>
      <c r="D2524" s="33"/>
      <c r="E2524" s="34"/>
      <c r="F2524" s="32"/>
      <c r="G2524" s="35" t="str">
        <f aca="false">IF(A2524="","",A2524+7-WEEKDAY(A2524))</f>
        <v/>
      </c>
      <c r="H2524" s="36" t="str">
        <f aca="false">IF(A2524="","",DATE(YEAR(A2524),MONTH(A2524),1))</f>
        <v/>
      </c>
      <c r="I2524" s="37" t="str">
        <f aca="false">IF(B2524="","",IFERROR(INDEX(st_ID,MATCH(B2524,st_Name,0)),"Unknown"))</f>
        <v/>
      </c>
      <c r="J2524" s="37" t="str">
        <f aca="false">IF(C2524="","",IFERROR(INDEX(cl_Code,MATCH(C2524,cl_Name,0)),"Unknown"))</f>
        <v/>
      </c>
      <c r="K2524" s="37" t="str">
        <f aca="false">IF(D2524="","",IFERROR(INDEX(rt_Billable,MATCH(D2524,rt_Code,0)),"Unknown"))</f>
        <v/>
      </c>
      <c r="L2524" s="38" t="str">
        <f aca="false">IF(K2524&lt;&gt;"Yes","",IFERROR(INDEX(cr_Rate,MATCH(J2524&amp;"|"&amp;D2524,cr_Key,0)),INDEX(rt_Rate,MATCH(D2524,rt_Code,0))))</f>
        <v/>
      </c>
      <c r="M2524" s="25" t="str">
        <f aca="false">IF(L2524="","",ROUND(N(E2524)*L2524,2))</f>
        <v/>
      </c>
      <c r="N2524" s="39" t="str">
        <f aca="false">IF(OR(A2524="",B2524=""),"",SUMIFS(tl_Hours,tl_StaffID,I2524,tl_Date,A2524))</f>
        <v/>
      </c>
      <c r="O2524" s="40" t="str">
        <f aca="false">IF(A2524&amp;B2524&amp;D2524="","",IF(OR(A2524="",B2524="",D2524="",E2524=""),"Incomplete",IF(K2524="Unknown","Unknown code",IF(AND(K2524="Yes",C2524=""),"Billable, needs client",IF(N2524&gt;MaxDayHours,"Over "&amp;MaxDayHours&amp;" hours that day","")))))</f>
        <v/>
      </c>
    </row>
    <row r="2525" customFormat="false" ht="15" hidden="false" customHeight="false" outlineLevel="0" collapsed="false">
      <c r="A2525" s="31"/>
      <c r="B2525" s="32"/>
      <c r="C2525" s="32"/>
      <c r="D2525" s="33"/>
      <c r="E2525" s="34"/>
      <c r="F2525" s="32"/>
      <c r="G2525" s="35" t="str">
        <f aca="false">IF(A2525="","",A2525+7-WEEKDAY(A2525))</f>
        <v/>
      </c>
      <c r="H2525" s="36" t="str">
        <f aca="false">IF(A2525="","",DATE(YEAR(A2525),MONTH(A2525),1))</f>
        <v/>
      </c>
      <c r="I2525" s="37" t="str">
        <f aca="false">IF(B2525="","",IFERROR(INDEX(st_ID,MATCH(B2525,st_Name,0)),"Unknown"))</f>
        <v/>
      </c>
      <c r="J2525" s="37" t="str">
        <f aca="false">IF(C2525="","",IFERROR(INDEX(cl_Code,MATCH(C2525,cl_Name,0)),"Unknown"))</f>
        <v/>
      </c>
      <c r="K2525" s="37" t="str">
        <f aca="false">IF(D2525="","",IFERROR(INDEX(rt_Billable,MATCH(D2525,rt_Code,0)),"Unknown"))</f>
        <v/>
      </c>
      <c r="L2525" s="38" t="str">
        <f aca="false">IF(K2525&lt;&gt;"Yes","",IFERROR(INDEX(cr_Rate,MATCH(J2525&amp;"|"&amp;D2525,cr_Key,0)),INDEX(rt_Rate,MATCH(D2525,rt_Code,0))))</f>
        <v/>
      </c>
      <c r="M2525" s="25" t="str">
        <f aca="false">IF(L2525="","",ROUND(N(E2525)*L2525,2))</f>
        <v/>
      </c>
      <c r="N2525" s="39" t="str">
        <f aca="false">IF(OR(A2525="",B2525=""),"",SUMIFS(tl_Hours,tl_StaffID,I2525,tl_Date,A2525))</f>
        <v/>
      </c>
      <c r="O2525" s="40" t="str">
        <f aca="false">IF(A2525&amp;B2525&amp;D2525="","",IF(OR(A2525="",B2525="",D2525="",E2525=""),"Incomplete",IF(K2525="Unknown","Unknown code",IF(AND(K2525="Yes",C2525=""),"Billable, needs client",IF(N2525&gt;MaxDayHours,"Over "&amp;MaxDayHours&amp;" hours that day","")))))</f>
        <v/>
      </c>
    </row>
    <row r="2526" customFormat="false" ht="15" hidden="false" customHeight="false" outlineLevel="0" collapsed="false">
      <c r="A2526" s="31"/>
      <c r="B2526" s="32"/>
      <c r="C2526" s="32"/>
      <c r="D2526" s="33"/>
      <c r="E2526" s="34"/>
      <c r="F2526" s="32"/>
      <c r="G2526" s="35" t="str">
        <f aca="false">IF(A2526="","",A2526+7-WEEKDAY(A2526))</f>
        <v/>
      </c>
      <c r="H2526" s="36" t="str">
        <f aca="false">IF(A2526="","",DATE(YEAR(A2526),MONTH(A2526),1))</f>
        <v/>
      </c>
      <c r="I2526" s="37" t="str">
        <f aca="false">IF(B2526="","",IFERROR(INDEX(st_ID,MATCH(B2526,st_Name,0)),"Unknown"))</f>
        <v/>
      </c>
      <c r="J2526" s="37" t="str">
        <f aca="false">IF(C2526="","",IFERROR(INDEX(cl_Code,MATCH(C2526,cl_Name,0)),"Unknown"))</f>
        <v/>
      </c>
      <c r="K2526" s="37" t="str">
        <f aca="false">IF(D2526="","",IFERROR(INDEX(rt_Billable,MATCH(D2526,rt_Code,0)),"Unknown"))</f>
        <v/>
      </c>
      <c r="L2526" s="38" t="str">
        <f aca="false">IF(K2526&lt;&gt;"Yes","",IFERROR(INDEX(cr_Rate,MATCH(J2526&amp;"|"&amp;D2526,cr_Key,0)),INDEX(rt_Rate,MATCH(D2526,rt_Code,0))))</f>
        <v/>
      </c>
      <c r="M2526" s="25" t="str">
        <f aca="false">IF(L2526="","",ROUND(N(E2526)*L2526,2))</f>
        <v/>
      </c>
      <c r="N2526" s="39" t="str">
        <f aca="false">IF(OR(A2526="",B2526=""),"",SUMIFS(tl_Hours,tl_StaffID,I2526,tl_Date,A2526))</f>
        <v/>
      </c>
      <c r="O2526" s="40" t="str">
        <f aca="false">IF(A2526&amp;B2526&amp;D2526="","",IF(OR(A2526="",B2526="",D2526="",E2526=""),"Incomplete",IF(K2526="Unknown","Unknown code",IF(AND(K2526="Yes",C2526=""),"Billable, needs client",IF(N2526&gt;MaxDayHours,"Over "&amp;MaxDayHours&amp;" hours that day","")))))</f>
        <v/>
      </c>
    </row>
    <row r="2527" customFormat="false" ht="15" hidden="false" customHeight="false" outlineLevel="0" collapsed="false">
      <c r="A2527" s="31"/>
      <c r="B2527" s="32"/>
      <c r="C2527" s="32"/>
      <c r="D2527" s="33"/>
      <c r="E2527" s="34"/>
      <c r="F2527" s="32"/>
      <c r="G2527" s="35" t="str">
        <f aca="false">IF(A2527="","",A2527+7-WEEKDAY(A2527))</f>
        <v/>
      </c>
      <c r="H2527" s="36" t="str">
        <f aca="false">IF(A2527="","",DATE(YEAR(A2527),MONTH(A2527),1))</f>
        <v/>
      </c>
      <c r="I2527" s="37" t="str">
        <f aca="false">IF(B2527="","",IFERROR(INDEX(st_ID,MATCH(B2527,st_Name,0)),"Unknown"))</f>
        <v/>
      </c>
      <c r="J2527" s="37" t="str">
        <f aca="false">IF(C2527="","",IFERROR(INDEX(cl_Code,MATCH(C2527,cl_Name,0)),"Unknown"))</f>
        <v/>
      </c>
      <c r="K2527" s="37" t="str">
        <f aca="false">IF(D2527="","",IFERROR(INDEX(rt_Billable,MATCH(D2527,rt_Code,0)),"Unknown"))</f>
        <v/>
      </c>
      <c r="L2527" s="38" t="str">
        <f aca="false">IF(K2527&lt;&gt;"Yes","",IFERROR(INDEX(cr_Rate,MATCH(J2527&amp;"|"&amp;D2527,cr_Key,0)),INDEX(rt_Rate,MATCH(D2527,rt_Code,0))))</f>
        <v/>
      </c>
      <c r="M2527" s="25" t="str">
        <f aca="false">IF(L2527="","",ROUND(N(E2527)*L2527,2))</f>
        <v/>
      </c>
      <c r="N2527" s="39" t="str">
        <f aca="false">IF(OR(A2527="",B2527=""),"",SUMIFS(tl_Hours,tl_StaffID,I2527,tl_Date,A2527))</f>
        <v/>
      </c>
      <c r="O2527" s="40" t="str">
        <f aca="false">IF(A2527&amp;B2527&amp;D2527="","",IF(OR(A2527="",B2527="",D2527="",E2527=""),"Incomplete",IF(K2527="Unknown","Unknown code",IF(AND(K2527="Yes",C2527=""),"Billable, needs client",IF(N2527&gt;MaxDayHours,"Over "&amp;MaxDayHours&amp;" hours that day","")))))</f>
        <v/>
      </c>
    </row>
    <row r="2528" customFormat="false" ht="15" hidden="false" customHeight="false" outlineLevel="0" collapsed="false">
      <c r="A2528" s="31"/>
      <c r="B2528" s="32"/>
      <c r="C2528" s="32"/>
      <c r="D2528" s="33"/>
      <c r="E2528" s="34"/>
      <c r="F2528" s="32"/>
      <c r="G2528" s="35" t="str">
        <f aca="false">IF(A2528="","",A2528+7-WEEKDAY(A2528))</f>
        <v/>
      </c>
      <c r="H2528" s="36" t="str">
        <f aca="false">IF(A2528="","",DATE(YEAR(A2528),MONTH(A2528),1))</f>
        <v/>
      </c>
      <c r="I2528" s="37" t="str">
        <f aca="false">IF(B2528="","",IFERROR(INDEX(st_ID,MATCH(B2528,st_Name,0)),"Unknown"))</f>
        <v/>
      </c>
      <c r="J2528" s="37" t="str">
        <f aca="false">IF(C2528="","",IFERROR(INDEX(cl_Code,MATCH(C2528,cl_Name,0)),"Unknown"))</f>
        <v/>
      </c>
      <c r="K2528" s="37" t="str">
        <f aca="false">IF(D2528="","",IFERROR(INDEX(rt_Billable,MATCH(D2528,rt_Code,0)),"Unknown"))</f>
        <v/>
      </c>
      <c r="L2528" s="38" t="str">
        <f aca="false">IF(K2528&lt;&gt;"Yes","",IFERROR(INDEX(cr_Rate,MATCH(J2528&amp;"|"&amp;D2528,cr_Key,0)),INDEX(rt_Rate,MATCH(D2528,rt_Code,0))))</f>
        <v/>
      </c>
      <c r="M2528" s="25" t="str">
        <f aca="false">IF(L2528="","",ROUND(N(E2528)*L2528,2))</f>
        <v/>
      </c>
      <c r="N2528" s="39" t="str">
        <f aca="false">IF(OR(A2528="",B2528=""),"",SUMIFS(tl_Hours,tl_StaffID,I2528,tl_Date,A2528))</f>
        <v/>
      </c>
      <c r="O2528" s="40" t="str">
        <f aca="false">IF(A2528&amp;B2528&amp;D2528="","",IF(OR(A2528="",B2528="",D2528="",E2528=""),"Incomplete",IF(K2528="Unknown","Unknown code",IF(AND(K2528="Yes",C2528=""),"Billable, needs client",IF(N2528&gt;MaxDayHours,"Over "&amp;MaxDayHours&amp;" hours that day","")))))</f>
        <v/>
      </c>
    </row>
    <row r="2529" customFormat="false" ht="15" hidden="false" customHeight="false" outlineLevel="0" collapsed="false">
      <c r="A2529" s="31"/>
      <c r="B2529" s="32"/>
      <c r="C2529" s="32"/>
      <c r="D2529" s="33"/>
      <c r="E2529" s="34"/>
      <c r="F2529" s="32"/>
      <c r="G2529" s="35" t="str">
        <f aca="false">IF(A2529="","",A2529+7-WEEKDAY(A2529))</f>
        <v/>
      </c>
      <c r="H2529" s="36" t="str">
        <f aca="false">IF(A2529="","",DATE(YEAR(A2529),MONTH(A2529),1))</f>
        <v/>
      </c>
      <c r="I2529" s="37" t="str">
        <f aca="false">IF(B2529="","",IFERROR(INDEX(st_ID,MATCH(B2529,st_Name,0)),"Unknown"))</f>
        <v/>
      </c>
      <c r="J2529" s="37" t="str">
        <f aca="false">IF(C2529="","",IFERROR(INDEX(cl_Code,MATCH(C2529,cl_Name,0)),"Unknown"))</f>
        <v/>
      </c>
      <c r="K2529" s="37" t="str">
        <f aca="false">IF(D2529="","",IFERROR(INDEX(rt_Billable,MATCH(D2529,rt_Code,0)),"Unknown"))</f>
        <v/>
      </c>
      <c r="L2529" s="38" t="str">
        <f aca="false">IF(K2529&lt;&gt;"Yes","",IFERROR(INDEX(cr_Rate,MATCH(J2529&amp;"|"&amp;D2529,cr_Key,0)),INDEX(rt_Rate,MATCH(D2529,rt_Code,0))))</f>
        <v/>
      </c>
      <c r="M2529" s="25" t="str">
        <f aca="false">IF(L2529="","",ROUND(N(E2529)*L2529,2))</f>
        <v/>
      </c>
      <c r="N2529" s="39" t="str">
        <f aca="false">IF(OR(A2529="",B2529=""),"",SUMIFS(tl_Hours,tl_StaffID,I2529,tl_Date,A2529))</f>
        <v/>
      </c>
      <c r="O2529" s="40" t="str">
        <f aca="false">IF(A2529&amp;B2529&amp;D2529="","",IF(OR(A2529="",B2529="",D2529="",E2529=""),"Incomplete",IF(K2529="Unknown","Unknown code",IF(AND(K2529="Yes",C2529=""),"Billable, needs client",IF(N2529&gt;MaxDayHours,"Over "&amp;MaxDayHours&amp;" hours that day","")))))</f>
        <v/>
      </c>
    </row>
    <row r="2530" customFormat="false" ht="15" hidden="false" customHeight="false" outlineLevel="0" collapsed="false">
      <c r="A2530" s="31"/>
      <c r="B2530" s="32"/>
      <c r="C2530" s="32"/>
      <c r="D2530" s="33"/>
      <c r="E2530" s="34"/>
      <c r="F2530" s="32"/>
      <c r="G2530" s="35" t="str">
        <f aca="false">IF(A2530="","",A2530+7-WEEKDAY(A2530))</f>
        <v/>
      </c>
      <c r="H2530" s="36" t="str">
        <f aca="false">IF(A2530="","",DATE(YEAR(A2530),MONTH(A2530),1))</f>
        <v/>
      </c>
      <c r="I2530" s="37" t="str">
        <f aca="false">IF(B2530="","",IFERROR(INDEX(st_ID,MATCH(B2530,st_Name,0)),"Unknown"))</f>
        <v/>
      </c>
      <c r="J2530" s="37" t="str">
        <f aca="false">IF(C2530="","",IFERROR(INDEX(cl_Code,MATCH(C2530,cl_Name,0)),"Unknown"))</f>
        <v/>
      </c>
      <c r="K2530" s="37" t="str">
        <f aca="false">IF(D2530="","",IFERROR(INDEX(rt_Billable,MATCH(D2530,rt_Code,0)),"Unknown"))</f>
        <v/>
      </c>
      <c r="L2530" s="38" t="str">
        <f aca="false">IF(K2530&lt;&gt;"Yes","",IFERROR(INDEX(cr_Rate,MATCH(J2530&amp;"|"&amp;D2530,cr_Key,0)),INDEX(rt_Rate,MATCH(D2530,rt_Code,0))))</f>
        <v/>
      </c>
      <c r="M2530" s="25" t="str">
        <f aca="false">IF(L2530="","",ROUND(N(E2530)*L2530,2))</f>
        <v/>
      </c>
      <c r="N2530" s="39" t="str">
        <f aca="false">IF(OR(A2530="",B2530=""),"",SUMIFS(tl_Hours,tl_StaffID,I2530,tl_Date,A2530))</f>
        <v/>
      </c>
      <c r="O2530" s="40" t="str">
        <f aca="false">IF(A2530&amp;B2530&amp;D2530="","",IF(OR(A2530="",B2530="",D2530="",E2530=""),"Incomplete",IF(K2530="Unknown","Unknown code",IF(AND(K2530="Yes",C2530=""),"Billable, needs client",IF(N2530&gt;MaxDayHours,"Over "&amp;MaxDayHours&amp;" hours that day","")))))</f>
        <v/>
      </c>
    </row>
    <row r="2531" customFormat="false" ht="15" hidden="false" customHeight="false" outlineLevel="0" collapsed="false">
      <c r="A2531" s="31"/>
      <c r="B2531" s="32"/>
      <c r="C2531" s="32"/>
      <c r="D2531" s="33"/>
      <c r="E2531" s="34"/>
      <c r="F2531" s="32"/>
      <c r="G2531" s="35" t="str">
        <f aca="false">IF(A2531="","",A2531+7-WEEKDAY(A2531))</f>
        <v/>
      </c>
      <c r="H2531" s="36" t="str">
        <f aca="false">IF(A2531="","",DATE(YEAR(A2531),MONTH(A2531),1))</f>
        <v/>
      </c>
      <c r="I2531" s="37" t="str">
        <f aca="false">IF(B2531="","",IFERROR(INDEX(st_ID,MATCH(B2531,st_Name,0)),"Unknown"))</f>
        <v/>
      </c>
      <c r="J2531" s="37" t="str">
        <f aca="false">IF(C2531="","",IFERROR(INDEX(cl_Code,MATCH(C2531,cl_Name,0)),"Unknown"))</f>
        <v/>
      </c>
      <c r="K2531" s="37" t="str">
        <f aca="false">IF(D2531="","",IFERROR(INDEX(rt_Billable,MATCH(D2531,rt_Code,0)),"Unknown"))</f>
        <v/>
      </c>
      <c r="L2531" s="38" t="str">
        <f aca="false">IF(K2531&lt;&gt;"Yes","",IFERROR(INDEX(cr_Rate,MATCH(J2531&amp;"|"&amp;D2531,cr_Key,0)),INDEX(rt_Rate,MATCH(D2531,rt_Code,0))))</f>
        <v/>
      </c>
      <c r="M2531" s="25" t="str">
        <f aca="false">IF(L2531="","",ROUND(N(E2531)*L2531,2))</f>
        <v/>
      </c>
      <c r="N2531" s="39" t="str">
        <f aca="false">IF(OR(A2531="",B2531=""),"",SUMIFS(tl_Hours,tl_StaffID,I2531,tl_Date,A2531))</f>
        <v/>
      </c>
      <c r="O2531" s="40" t="str">
        <f aca="false">IF(A2531&amp;B2531&amp;D2531="","",IF(OR(A2531="",B2531="",D2531="",E2531=""),"Incomplete",IF(K2531="Unknown","Unknown code",IF(AND(K2531="Yes",C2531=""),"Billable, needs client",IF(N2531&gt;MaxDayHours,"Over "&amp;MaxDayHours&amp;" hours that day","")))))</f>
        <v/>
      </c>
    </row>
    <row r="2532" customFormat="false" ht="15" hidden="false" customHeight="false" outlineLevel="0" collapsed="false">
      <c r="A2532" s="31"/>
      <c r="B2532" s="32"/>
      <c r="C2532" s="32"/>
      <c r="D2532" s="33"/>
      <c r="E2532" s="34"/>
      <c r="F2532" s="32"/>
      <c r="G2532" s="35" t="str">
        <f aca="false">IF(A2532="","",A2532+7-WEEKDAY(A2532))</f>
        <v/>
      </c>
      <c r="H2532" s="36" t="str">
        <f aca="false">IF(A2532="","",DATE(YEAR(A2532),MONTH(A2532),1))</f>
        <v/>
      </c>
      <c r="I2532" s="37" t="str">
        <f aca="false">IF(B2532="","",IFERROR(INDEX(st_ID,MATCH(B2532,st_Name,0)),"Unknown"))</f>
        <v/>
      </c>
      <c r="J2532" s="37" t="str">
        <f aca="false">IF(C2532="","",IFERROR(INDEX(cl_Code,MATCH(C2532,cl_Name,0)),"Unknown"))</f>
        <v/>
      </c>
      <c r="K2532" s="37" t="str">
        <f aca="false">IF(D2532="","",IFERROR(INDEX(rt_Billable,MATCH(D2532,rt_Code,0)),"Unknown"))</f>
        <v/>
      </c>
      <c r="L2532" s="38" t="str">
        <f aca="false">IF(K2532&lt;&gt;"Yes","",IFERROR(INDEX(cr_Rate,MATCH(J2532&amp;"|"&amp;D2532,cr_Key,0)),INDEX(rt_Rate,MATCH(D2532,rt_Code,0))))</f>
        <v/>
      </c>
      <c r="M2532" s="25" t="str">
        <f aca="false">IF(L2532="","",ROUND(N(E2532)*L2532,2))</f>
        <v/>
      </c>
      <c r="N2532" s="39" t="str">
        <f aca="false">IF(OR(A2532="",B2532=""),"",SUMIFS(tl_Hours,tl_StaffID,I2532,tl_Date,A2532))</f>
        <v/>
      </c>
      <c r="O2532" s="40" t="str">
        <f aca="false">IF(A2532&amp;B2532&amp;D2532="","",IF(OR(A2532="",B2532="",D2532="",E2532=""),"Incomplete",IF(K2532="Unknown","Unknown code",IF(AND(K2532="Yes",C2532=""),"Billable, needs client",IF(N2532&gt;MaxDayHours,"Over "&amp;MaxDayHours&amp;" hours that day","")))))</f>
        <v/>
      </c>
    </row>
    <row r="2533" customFormat="false" ht="15" hidden="false" customHeight="false" outlineLevel="0" collapsed="false">
      <c r="A2533" s="31"/>
      <c r="B2533" s="32"/>
      <c r="C2533" s="32"/>
      <c r="D2533" s="33"/>
      <c r="E2533" s="34"/>
      <c r="F2533" s="32"/>
      <c r="G2533" s="35" t="str">
        <f aca="false">IF(A2533="","",A2533+7-WEEKDAY(A2533))</f>
        <v/>
      </c>
      <c r="H2533" s="36" t="str">
        <f aca="false">IF(A2533="","",DATE(YEAR(A2533),MONTH(A2533),1))</f>
        <v/>
      </c>
      <c r="I2533" s="37" t="str">
        <f aca="false">IF(B2533="","",IFERROR(INDEX(st_ID,MATCH(B2533,st_Name,0)),"Unknown"))</f>
        <v/>
      </c>
      <c r="J2533" s="37" t="str">
        <f aca="false">IF(C2533="","",IFERROR(INDEX(cl_Code,MATCH(C2533,cl_Name,0)),"Unknown"))</f>
        <v/>
      </c>
      <c r="K2533" s="37" t="str">
        <f aca="false">IF(D2533="","",IFERROR(INDEX(rt_Billable,MATCH(D2533,rt_Code,0)),"Unknown"))</f>
        <v/>
      </c>
      <c r="L2533" s="38" t="str">
        <f aca="false">IF(K2533&lt;&gt;"Yes","",IFERROR(INDEX(cr_Rate,MATCH(J2533&amp;"|"&amp;D2533,cr_Key,0)),INDEX(rt_Rate,MATCH(D2533,rt_Code,0))))</f>
        <v/>
      </c>
      <c r="M2533" s="25" t="str">
        <f aca="false">IF(L2533="","",ROUND(N(E2533)*L2533,2))</f>
        <v/>
      </c>
      <c r="N2533" s="39" t="str">
        <f aca="false">IF(OR(A2533="",B2533=""),"",SUMIFS(tl_Hours,tl_StaffID,I2533,tl_Date,A2533))</f>
        <v/>
      </c>
      <c r="O2533" s="40" t="str">
        <f aca="false">IF(A2533&amp;B2533&amp;D2533="","",IF(OR(A2533="",B2533="",D2533="",E2533=""),"Incomplete",IF(K2533="Unknown","Unknown code",IF(AND(K2533="Yes",C2533=""),"Billable, needs client",IF(N2533&gt;MaxDayHours,"Over "&amp;MaxDayHours&amp;" hours that day","")))))</f>
        <v/>
      </c>
    </row>
    <row r="2534" customFormat="false" ht="15" hidden="false" customHeight="false" outlineLevel="0" collapsed="false">
      <c r="A2534" s="31"/>
      <c r="B2534" s="32"/>
      <c r="C2534" s="32"/>
      <c r="D2534" s="33"/>
      <c r="E2534" s="34"/>
      <c r="F2534" s="32"/>
      <c r="G2534" s="35" t="str">
        <f aca="false">IF(A2534="","",A2534+7-WEEKDAY(A2534))</f>
        <v/>
      </c>
      <c r="H2534" s="36" t="str">
        <f aca="false">IF(A2534="","",DATE(YEAR(A2534),MONTH(A2534),1))</f>
        <v/>
      </c>
      <c r="I2534" s="37" t="str">
        <f aca="false">IF(B2534="","",IFERROR(INDEX(st_ID,MATCH(B2534,st_Name,0)),"Unknown"))</f>
        <v/>
      </c>
      <c r="J2534" s="37" t="str">
        <f aca="false">IF(C2534="","",IFERROR(INDEX(cl_Code,MATCH(C2534,cl_Name,0)),"Unknown"))</f>
        <v/>
      </c>
      <c r="K2534" s="37" t="str">
        <f aca="false">IF(D2534="","",IFERROR(INDEX(rt_Billable,MATCH(D2534,rt_Code,0)),"Unknown"))</f>
        <v/>
      </c>
      <c r="L2534" s="38" t="str">
        <f aca="false">IF(K2534&lt;&gt;"Yes","",IFERROR(INDEX(cr_Rate,MATCH(J2534&amp;"|"&amp;D2534,cr_Key,0)),INDEX(rt_Rate,MATCH(D2534,rt_Code,0))))</f>
        <v/>
      </c>
      <c r="M2534" s="25" t="str">
        <f aca="false">IF(L2534="","",ROUND(N(E2534)*L2534,2))</f>
        <v/>
      </c>
      <c r="N2534" s="39" t="str">
        <f aca="false">IF(OR(A2534="",B2534=""),"",SUMIFS(tl_Hours,tl_StaffID,I2534,tl_Date,A2534))</f>
        <v/>
      </c>
      <c r="O2534" s="40" t="str">
        <f aca="false">IF(A2534&amp;B2534&amp;D2534="","",IF(OR(A2534="",B2534="",D2534="",E2534=""),"Incomplete",IF(K2534="Unknown","Unknown code",IF(AND(K2534="Yes",C2534=""),"Billable, needs client",IF(N2534&gt;MaxDayHours,"Over "&amp;MaxDayHours&amp;" hours that day","")))))</f>
        <v/>
      </c>
    </row>
    <row r="2535" customFormat="false" ht="15" hidden="false" customHeight="false" outlineLevel="0" collapsed="false">
      <c r="A2535" s="31"/>
      <c r="B2535" s="32"/>
      <c r="C2535" s="32"/>
      <c r="D2535" s="33"/>
      <c r="E2535" s="34"/>
      <c r="F2535" s="32"/>
      <c r="G2535" s="35" t="str">
        <f aca="false">IF(A2535="","",A2535+7-WEEKDAY(A2535))</f>
        <v/>
      </c>
      <c r="H2535" s="36" t="str">
        <f aca="false">IF(A2535="","",DATE(YEAR(A2535),MONTH(A2535),1))</f>
        <v/>
      </c>
      <c r="I2535" s="37" t="str">
        <f aca="false">IF(B2535="","",IFERROR(INDEX(st_ID,MATCH(B2535,st_Name,0)),"Unknown"))</f>
        <v/>
      </c>
      <c r="J2535" s="37" t="str">
        <f aca="false">IF(C2535="","",IFERROR(INDEX(cl_Code,MATCH(C2535,cl_Name,0)),"Unknown"))</f>
        <v/>
      </c>
      <c r="K2535" s="37" t="str">
        <f aca="false">IF(D2535="","",IFERROR(INDEX(rt_Billable,MATCH(D2535,rt_Code,0)),"Unknown"))</f>
        <v/>
      </c>
      <c r="L2535" s="38" t="str">
        <f aca="false">IF(K2535&lt;&gt;"Yes","",IFERROR(INDEX(cr_Rate,MATCH(J2535&amp;"|"&amp;D2535,cr_Key,0)),INDEX(rt_Rate,MATCH(D2535,rt_Code,0))))</f>
        <v/>
      </c>
      <c r="M2535" s="25" t="str">
        <f aca="false">IF(L2535="","",ROUND(N(E2535)*L2535,2))</f>
        <v/>
      </c>
      <c r="N2535" s="39" t="str">
        <f aca="false">IF(OR(A2535="",B2535=""),"",SUMIFS(tl_Hours,tl_StaffID,I2535,tl_Date,A2535))</f>
        <v/>
      </c>
      <c r="O2535" s="40" t="str">
        <f aca="false">IF(A2535&amp;B2535&amp;D2535="","",IF(OR(A2535="",B2535="",D2535="",E2535=""),"Incomplete",IF(K2535="Unknown","Unknown code",IF(AND(K2535="Yes",C2535=""),"Billable, needs client",IF(N2535&gt;MaxDayHours,"Over "&amp;MaxDayHours&amp;" hours that day","")))))</f>
        <v/>
      </c>
    </row>
    <row r="2536" customFormat="false" ht="15" hidden="false" customHeight="false" outlineLevel="0" collapsed="false">
      <c r="A2536" s="31"/>
      <c r="B2536" s="32"/>
      <c r="C2536" s="32"/>
      <c r="D2536" s="33"/>
      <c r="E2536" s="34"/>
      <c r="F2536" s="32"/>
      <c r="G2536" s="35" t="str">
        <f aca="false">IF(A2536="","",A2536+7-WEEKDAY(A2536))</f>
        <v/>
      </c>
      <c r="H2536" s="36" t="str">
        <f aca="false">IF(A2536="","",DATE(YEAR(A2536),MONTH(A2536),1))</f>
        <v/>
      </c>
      <c r="I2536" s="37" t="str">
        <f aca="false">IF(B2536="","",IFERROR(INDEX(st_ID,MATCH(B2536,st_Name,0)),"Unknown"))</f>
        <v/>
      </c>
      <c r="J2536" s="37" t="str">
        <f aca="false">IF(C2536="","",IFERROR(INDEX(cl_Code,MATCH(C2536,cl_Name,0)),"Unknown"))</f>
        <v/>
      </c>
      <c r="K2536" s="37" t="str">
        <f aca="false">IF(D2536="","",IFERROR(INDEX(rt_Billable,MATCH(D2536,rt_Code,0)),"Unknown"))</f>
        <v/>
      </c>
      <c r="L2536" s="38" t="str">
        <f aca="false">IF(K2536&lt;&gt;"Yes","",IFERROR(INDEX(cr_Rate,MATCH(J2536&amp;"|"&amp;D2536,cr_Key,0)),INDEX(rt_Rate,MATCH(D2536,rt_Code,0))))</f>
        <v/>
      </c>
      <c r="M2536" s="25" t="str">
        <f aca="false">IF(L2536="","",ROUND(N(E2536)*L2536,2))</f>
        <v/>
      </c>
      <c r="N2536" s="39" t="str">
        <f aca="false">IF(OR(A2536="",B2536=""),"",SUMIFS(tl_Hours,tl_StaffID,I2536,tl_Date,A2536))</f>
        <v/>
      </c>
      <c r="O2536" s="40" t="str">
        <f aca="false">IF(A2536&amp;B2536&amp;D2536="","",IF(OR(A2536="",B2536="",D2536="",E2536=""),"Incomplete",IF(K2536="Unknown","Unknown code",IF(AND(K2536="Yes",C2536=""),"Billable, needs client",IF(N2536&gt;MaxDayHours,"Over "&amp;MaxDayHours&amp;" hours that day","")))))</f>
        <v/>
      </c>
    </row>
    <row r="2537" customFormat="false" ht="15" hidden="false" customHeight="false" outlineLevel="0" collapsed="false">
      <c r="A2537" s="31"/>
      <c r="B2537" s="32"/>
      <c r="C2537" s="32"/>
      <c r="D2537" s="33"/>
      <c r="E2537" s="34"/>
      <c r="F2537" s="32"/>
      <c r="G2537" s="35" t="str">
        <f aca="false">IF(A2537="","",A2537+7-WEEKDAY(A2537))</f>
        <v/>
      </c>
      <c r="H2537" s="36" t="str">
        <f aca="false">IF(A2537="","",DATE(YEAR(A2537),MONTH(A2537),1))</f>
        <v/>
      </c>
      <c r="I2537" s="37" t="str">
        <f aca="false">IF(B2537="","",IFERROR(INDEX(st_ID,MATCH(B2537,st_Name,0)),"Unknown"))</f>
        <v/>
      </c>
      <c r="J2537" s="37" t="str">
        <f aca="false">IF(C2537="","",IFERROR(INDEX(cl_Code,MATCH(C2537,cl_Name,0)),"Unknown"))</f>
        <v/>
      </c>
      <c r="K2537" s="37" t="str">
        <f aca="false">IF(D2537="","",IFERROR(INDEX(rt_Billable,MATCH(D2537,rt_Code,0)),"Unknown"))</f>
        <v/>
      </c>
      <c r="L2537" s="38" t="str">
        <f aca="false">IF(K2537&lt;&gt;"Yes","",IFERROR(INDEX(cr_Rate,MATCH(J2537&amp;"|"&amp;D2537,cr_Key,0)),INDEX(rt_Rate,MATCH(D2537,rt_Code,0))))</f>
        <v/>
      </c>
      <c r="M2537" s="25" t="str">
        <f aca="false">IF(L2537="","",ROUND(N(E2537)*L2537,2))</f>
        <v/>
      </c>
      <c r="N2537" s="39" t="str">
        <f aca="false">IF(OR(A2537="",B2537=""),"",SUMIFS(tl_Hours,tl_StaffID,I2537,tl_Date,A2537))</f>
        <v/>
      </c>
      <c r="O2537" s="40" t="str">
        <f aca="false">IF(A2537&amp;B2537&amp;D2537="","",IF(OR(A2537="",B2537="",D2537="",E2537=""),"Incomplete",IF(K2537="Unknown","Unknown code",IF(AND(K2537="Yes",C2537=""),"Billable, needs client",IF(N2537&gt;MaxDayHours,"Over "&amp;MaxDayHours&amp;" hours that day","")))))</f>
        <v/>
      </c>
    </row>
    <row r="2538" customFormat="false" ht="15" hidden="false" customHeight="false" outlineLevel="0" collapsed="false">
      <c r="A2538" s="31"/>
      <c r="B2538" s="32"/>
      <c r="C2538" s="32"/>
      <c r="D2538" s="33"/>
      <c r="E2538" s="34"/>
      <c r="F2538" s="32"/>
      <c r="G2538" s="35" t="str">
        <f aca="false">IF(A2538="","",A2538+7-WEEKDAY(A2538))</f>
        <v/>
      </c>
      <c r="H2538" s="36" t="str">
        <f aca="false">IF(A2538="","",DATE(YEAR(A2538),MONTH(A2538),1))</f>
        <v/>
      </c>
      <c r="I2538" s="37" t="str">
        <f aca="false">IF(B2538="","",IFERROR(INDEX(st_ID,MATCH(B2538,st_Name,0)),"Unknown"))</f>
        <v/>
      </c>
      <c r="J2538" s="37" t="str">
        <f aca="false">IF(C2538="","",IFERROR(INDEX(cl_Code,MATCH(C2538,cl_Name,0)),"Unknown"))</f>
        <v/>
      </c>
      <c r="K2538" s="37" t="str">
        <f aca="false">IF(D2538="","",IFERROR(INDEX(rt_Billable,MATCH(D2538,rt_Code,0)),"Unknown"))</f>
        <v/>
      </c>
      <c r="L2538" s="38" t="str">
        <f aca="false">IF(K2538&lt;&gt;"Yes","",IFERROR(INDEX(cr_Rate,MATCH(J2538&amp;"|"&amp;D2538,cr_Key,0)),INDEX(rt_Rate,MATCH(D2538,rt_Code,0))))</f>
        <v/>
      </c>
      <c r="M2538" s="25" t="str">
        <f aca="false">IF(L2538="","",ROUND(N(E2538)*L2538,2))</f>
        <v/>
      </c>
      <c r="N2538" s="39" t="str">
        <f aca="false">IF(OR(A2538="",B2538=""),"",SUMIFS(tl_Hours,tl_StaffID,I2538,tl_Date,A2538))</f>
        <v/>
      </c>
      <c r="O2538" s="40" t="str">
        <f aca="false">IF(A2538&amp;B2538&amp;D2538="","",IF(OR(A2538="",B2538="",D2538="",E2538=""),"Incomplete",IF(K2538="Unknown","Unknown code",IF(AND(K2538="Yes",C2538=""),"Billable, needs client",IF(N2538&gt;MaxDayHours,"Over "&amp;MaxDayHours&amp;" hours that day","")))))</f>
        <v/>
      </c>
    </row>
    <row r="2539" customFormat="false" ht="15" hidden="false" customHeight="false" outlineLevel="0" collapsed="false">
      <c r="A2539" s="31"/>
      <c r="B2539" s="32"/>
      <c r="C2539" s="32"/>
      <c r="D2539" s="33"/>
      <c r="E2539" s="34"/>
      <c r="F2539" s="32"/>
      <c r="G2539" s="35" t="str">
        <f aca="false">IF(A2539="","",A2539+7-WEEKDAY(A2539))</f>
        <v/>
      </c>
      <c r="H2539" s="36" t="str">
        <f aca="false">IF(A2539="","",DATE(YEAR(A2539),MONTH(A2539),1))</f>
        <v/>
      </c>
      <c r="I2539" s="37" t="str">
        <f aca="false">IF(B2539="","",IFERROR(INDEX(st_ID,MATCH(B2539,st_Name,0)),"Unknown"))</f>
        <v/>
      </c>
      <c r="J2539" s="37" t="str">
        <f aca="false">IF(C2539="","",IFERROR(INDEX(cl_Code,MATCH(C2539,cl_Name,0)),"Unknown"))</f>
        <v/>
      </c>
      <c r="K2539" s="37" t="str">
        <f aca="false">IF(D2539="","",IFERROR(INDEX(rt_Billable,MATCH(D2539,rt_Code,0)),"Unknown"))</f>
        <v/>
      </c>
      <c r="L2539" s="38" t="str">
        <f aca="false">IF(K2539&lt;&gt;"Yes","",IFERROR(INDEX(cr_Rate,MATCH(J2539&amp;"|"&amp;D2539,cr_Key,0)),INDEX(rt_Rate,MATCH(D2539,rt_Code,0))))</f>
        <v/>
      </c>
      <c r="M2539" s="25" t="str">
        <f aca="false">IF(L2539="","",ROUND(N(E2539)*L2539,2))</f>
        <v/>
      </c>
      <c r="N2539" s="39" t="str">
        <f aca="false">IF(OR(A2539="",B2539=""),"",SUMIFS(tl_Hours,tl_StaffID,I2539,tl_Date,A2539))</f>
        <v/>
      </c>
      <c r="O2539" s="40" t="str">
        <f aca="false">IF(A2539&amp;B2539&amp;D2539="","",IF(OR(A2539="",B2539="",D2539="",E2539=""),"Incomplete",IF(K2539="Unknown","Unknown code",IF(AND(K2539="Yes",C2539=""),"Billable, needs client",IF(N2539&gt;MaxDayHours,"Over "&amp;MaxDayHours&amp;" hours that day","")))))</f>
        <v/>
      </c>
    </row>
    <row r="2540" customFormat="false" ht="15" hidden="false" customHeight="false" outlineLevel="0" collapsed="false">
      <c r="A2540" s="31"/>
      <c r="B2540" s="32"/>
      <c r="C2540" s="32"/>
      <c r="D2540" s="33"/>
      <c r="E2540" s="34"/>
      <c r="F2540" s="32"/>
      <c r="G2540" s="35" t="str">
        <f aca="false">IF(A2540="","",A2540+7-WEEKDAY(A2540))</f>
        <v/>
      </c>
      <c r="H2540" s="36" t="str">
        <f aca="false">IF(A2540="","",DATE(YEAR(A2540),MONTH(A2540),1))</f>
        <v/>
      </c>
      <c r="I2540" s="37" t="str">
        <f aca="false">IF(B2540="","",IFERROR(INDEX(st_ID,MATCH(B2540,st_Name,0)),"Unknown"))</f>
        <v/>
      </c>
      <c r="J2540" s="37" t="str">
        <f aca="false">IF(C2540="","",IFERROR(INDEX(cl_Code,MATCH(C2540,cl_Name,0)),"Unknown"))</f>
        <v/>
      </c>
      <c r="K2540" s="37" t="str">
        <f aca="false">IF(D2540="","",IFERROR(INDEX(rt_Billable,MATCH(D2540,rt_Code,0)),"Unknown"))</f>
        <v/>
      </c>
      <c r="L2540" s="38" t="str">
        <f aca="false">IF(K2540&lt;&gt;"Yes","",IFERROR(INDEX(cr_Rate,MATCH(J2540&amp;"|"&amp;D2540,cr_Key,0)),INDEX(rt_Rate,MATCH(D2540,rt_Code,0))))</f>
        <v/>
      </c>
      <c r="M2540" s="25" t="str">
        <f aca="false">IF(L2540="","",ROUND(N(E2540)*L2540,2))</f>
        <v/>
      </c>
      <c r="N2540" s="39" t="str">
        <f aca="false">IF(OR(A2540="",B2540=""),"",SUMIFS(tl_Hours,tl_StaffID,I2540,tl_Date,A2540))</f>
        <v/>
      </c>
      <c r="O2540" s="40" t="str">
        <f aca="false">IF(A2540&amp;B2540&amp;D2540="","",IF(OR(A2540="",B2540="",D2540="",E2540=""),"Incomplete",IF(K2540="Unknown","Unknown code",IF(AND(K2540="Yes",C2540=""),"Billable, needs client",IF(N2540&gt;MaxDayHours,"Over "&amp;MaxDayHours&amp;" hours that day","")))))</f>
        <v/>
      </c>
    </row>
    <row r="2541" customFormat="false" ht="15" hidden="false" customHeight="false" outlineLevel="0" collapsed="false">
      <c r="A2541" s="31"/>
      <c r="B2541" s="32"/>
      <c r="C2541" s="32"/>
      <c r="D2541" s="33"/>
      <c r="E2541" s="34"/>
      <c r="F2541" s="32"/>
      <c r="G2541" s="35" t="str">
        <f aca="false">IF(A2541="","",A2541+7-WEEKDAY(A2541))</f>
        <v/>
      </c>
      <c r="H2541" s="36" t="str">
        <f aca="false">IF(A2541="","",DATE(YEAR(A2541),MONTH(A2541),1))</f>
        <v/>
      </c>
      <c r="I2541" s="37" t="str">
        <f aca="false">IF(B2541="","",IFERROR(INDEX(st_ID,MATCH(B2541,st_Name,0)),"Unknown"))</f>
        <v/>
      </c>
      <c r="J2541" s="37" t="str">
        <f aca="false">IF(C2541="","",IFERROR(INDEX(cl_Code,MATCH(C2541,cl_Name,0)),"Unknown"))</f>
        <v/>
      </c>
      <c r="K2541" s="37" t="str">
        <f aca="false">IF(D2541="","",IFERROR(INDEX(rt_Billable,MATCH(D2541,rt_Code,0)),"Unknown"))</f>
        <v/>
      </c>
      <c r="L2541" s="38" t="str">
        <f aca="false">IF(K2541&lt;&gt;"Yes","",IFERROR(INDEX(cr_Rate,MATCH(J2541&amp;"|"&amp;D2541,cr_Key,0)),INDEX(rt_Rate,MATCH(D2541,rt_Code,0))))</f>
        <v/>
      </c>
      <c r="M2541" s="25" t="str">
        <f aca="false">IF(L2541="","",ROUND(N(E2541)*L2541,2))</f>
        <v/>
      </c>
      <c r="N2541" s="39" t="str">
        <f aca="false">IF(OR(A2541="",B2541=""),"",SUMIFS(tl_Hours,tl_StaffID,I2541,tl_Date,A2541))</f>
        <v/>
      </c>
      <c r="O2541" s="40" t="str">
        <f aca="false">IF(A2541&amp;B2541&amp;D2541="","",IF(OR(A2541="",B2541="",D2541="",E2541=""),"Incomplete",IF(K2541="Unknown","Unknown code",IF(AND(K2541="Yes",C2541=""),"Billable, needs client",IF(N2541&gt;MaxDayHours,"Over "&amp;MaxDayHours&amp;" hours that day","")))))</f>
        <v/>
      </c>
    </row>
    <row r="2542" customFormat="false" ht="15" hidden="false" customHeight="false" outlineLevel="0" collapsed="false">
      <c r="A2542" s="31"/>
      <c r="B2542" s="32"/>
      <c r="C2542" s="32"/>
      <c r="D2542" s="33"/>
      <c r="E2542" s="34"/>
      <c r="F2542" s="32"/>
      <c r="G2542" s="35" t="str">
        <f aca="false">IF(A2542="","",A2542+7-WEEKDAY(A2542))</f>
        <v/>
      </c>
      <c r="H2542" s="36" t="str">
        <f aca="false">IF(A2542="","",DATE(YEAR(A2542),MONTH(A2542),1))</f>
        <v/>
      </c>
      <c r="I2542" s="37" t="str">
        <f aca="false">IF(B2542="","",IFERROR(INDEX(st_ID,MATCH(B2542,st_Name,0)),"Unknown"))</f>
        <v/>
      </c>
      <c r="J2542" s="37" t="str">
        <f aca="false">IF(C2542="","",IFERROR(INDEX(cl_Code,MATCH(C2542,cl_Name,0)),"Unknown"))</f>
        <v/>
      </c>
      <c r="K2542" s="37" t="str">
        <f aca="false">IF(D2542="","",IFERROR(INDEX(rt_Billable,MATCH(D2542,rt_Code,0)),"Unknown"))</f>
        <v/>
      </c>
      <c r="L2542" s="38" t="str">
        <f aca="false">IF(K2542&lt;&gt;"Yes","",IFERROR(INDEX(cr_Rate,MATCH(J2542&amp;"|"&amp;D2542,cr_Key,0)),INDEX(rt_Rate,MATCH(D2542,rt_Code,0))))</f>
        <v/>
      </c>
      <c r="M2542" s="25" t="str">
        <f aca="false">IF(L2542="","",ROUND(N(E2542)*L2542,2))</f>
        <v/>
      </c>
      <c r="N2542" s="39" t="str">
        <f aca="false">IF(OR(A2542="",B2542=""),"",SUMIFS(tl_Hours,tl_StaffID,I2542,tl_Date,A2542))</f>
        <v/>
      </c>
      <c r="O2542" s="40" t="str">
        <f aca="false">IF(A2542&amp;B2542&amp;D2542="","",IF(OR(A2542="",B2542="",D2542="",E2542=""),"Incomplete",IF(K2542="Unknown","Unknown code",IF(AND(K2542="Yes",C2542=""),"Billable, needs client",IF(N2542&gt;MaxDayHours,"Over "&amp;MaxDayHours&amp;" hours that day","")))))</f>
        <v/>
      </c>
    </row>
    <row r="2543" customFormat="false" ht="15" hidden="false" customHeight="false" outlineLevel="0" collapsed="false">
      <c r="A2543" s="31"/>
      <c r="B2543" s="32"/>
      <c r="C2543" s="32"/>
      <c r="D2543" s="33"/>
      <c r="E2543" s="34"/>
      <c r="F2543" s="32"/>
      <c r="G2543" s="35" t="str">
        <f aca="false">IF(A2543="","",A2543+7-WEEKDAY(A2543))</f>
        <v/>
      </c>
      <c r="H2543" s="36" t="str">
        <f aca="false">IF(A2543="","",DATE(YEAR(A2543),MONTH(A2543),1))</f>
        <v/>
      </c>
      <c r="I2543" s="37" t="str">
        <f aca="false">IF(B2543="","",IFERROR(INDEX(st_ID,MATCH(B2543,st_Name,0)),"Unknown"))</f>
        <v/>
      </c>
      <c r="J2543" s="37" t="str">
        <f aca="false">IF(C2543="","",IFERROR(INDEX(cl_Code,MATCH(C2543,cl_Name,0)),"Unknown"))</f>
        <v/>
      </c>
      <c r="K2543" s="37" t="str">
        <f aca="false">IF(D2543="","",IFERROR(INDEX(rt_Billable,MATCH(D2543,rt_Code,0)),"Unknown"))</f>
        <v/>
      </c>
      <c r="L2543" s="38" t="str">
        <f aca="false">IF(K2543&lt;&gt;"Yes","",IFERROR(INDEX(cr_Rate,MATCH(J2543&amp;"|"&amp;D2543,cr_Key,0)),INDEX(rt_Rate,MATCH(D2543,rt_Code,0))))</f>
        <v/>
      </c>
      <c r="M2543" s="25" t="str">
        <f aca="false">IF(L2543="","",ROUND(N(E2543)*L2543,2))</f>
        <v/>
      </c>
      <c r="N2543" s="39" t="str">
        <f aca="false">IF(OR(A2543="",B2543=""),"",SUMIFS(tl_Hours,tl_StaffID,I2543,tl_Date,A2543))</f>
        <v/>
      </c>
      <c r="O2543" s="40" t="str">
        <f aca="false">IF(A2543&amp;B2543&amp;D2543="","",IF(OR(A2543="",B2543="",D2543="",E2543=""),"Incomplete",IF(K2543="Unknown","Unknown code",IF(AND(K2543="Yes",C2543=""),"Billable, needs client",IF(N2543&gt;MaxDayHours,"Over "&amp;MaxDayHours&amp;" hours that day","")))))</f>
        <v/>
      </c>
    </row>
    <row r="2544" customFormat="false" ht="15" hidden="false" customHeight="false" outlineLevel="0" collapsed="false">
      <c r="A2544" s="31"/>
      <c r="B2544" s="32"/>
      <c r="C2544" s="32"/>
      <c r="D2544" s="33"/>
      <c r="E2544" s="34"/>
      <c r="F2544" s="32"/>
      <c r="G2544" s="35" t="str">
        <f aca="false">IF(A2544="","",A2544+7-WEEKDAY(A2544))</f>
        <v/>
      </c>
      <c r="H2544" s="36" t="str">
        <f aca="false">IF(A2544="","",DATE(YEAR(A2544),MONTH(A2544),1))</f>
        <v/>
      </c>
      <c r="I2544" s="37" t="str">
        <f aca="false">IF(B2544="","",IFERROR(INDEX(st_ID,MATCH(B2544,st_Name,0)),"Unknown"))</f>
        <v/>
      </c>
      <c r="J2544" s="37" t="str">
        <f aca="false">IF(C2544="","",IFERROR(INDEX(cl_Code,MATCH(C2544,cl_Name,0)),"Unknown"))</f>
        <v/>
      </c>
      <c r="K2544" s="37" t="str">
        <f aca="false">IF(D2544="","",IFERROR(INDEX(rt_Billable,MATCH(D2544,rt_Code,0)),"Unknown"))</f>
        <v/>
      </c>
      <c r="L2544" s="38" t="str">
        <f aca="false">IF(K2544&lt;&gt;"Yes","",IFERROR(INDEX(cr_Rate,MATCH(J2544&amp;"|"&amp;D2544,cr_Key,0)),INDEX(rt_Rate,MATCH(D2544,rt_Code,0))))</f>
        <v/>
      </c>
      <c r="M2544" s="25" t="str">
        <f aca="false">IF(L2544="","",ROUND(N(E2544)*L2544,2))</f>
        <v/>
      </c>
      <c r="N2544" s="39" t="str">
        <f aca="false">IF(OR(A2544="",B2544=""),"",SUMIFS(tl_Hours,tl_StaffID,I2544,tl_Date,A2544))</f>
        <v/>
      </c>
      <c r="O2544" s="40" t="str">
        <f aca="false">IF(A2544&amp;B2544&amp;D2544="","",IF(OR(A2544="",B2544="",D2544="",E2544=""),"Incomplete",IF(K2544="Unknown","Unknown code",IF(AND(K2544="Yes",C2544=""),"Billable, needs client",IF(N2544&gt;MaxDayHours,"Over "&amp;MaxDayHours&amp;" hours that day","")))))</f>
        <v/>
      </c>
    </row>
    <row r="2545" customFormat="false" ht="15" hidden="false" customHeight="false" outlineLevel="0" collapsed="false">
      <c r="A2545" s="31"/>
      <c r="B2545" s="32"/>
      <c r="C2545" s="32"/>
      <c r="D2545" s="33"/>
      <c r="E2545" s="34"/>
      <c r="F2545" s="32"/>
      <c r="G2545" s="35" t="str">
        <f aca="false">IF(A2545="","",A2545+7-WEEKDAY(A2545))</f>
        <v/>
      </c>
      <c r="H2545" s="36" t="str">
        <f aca="false">IF(A2545="","",DATE(YEAR(A2545),MONTH(A2545),1))</f>
        <v/>
      </c>
      <c r="I2545" s="37" t="str">
        <f aca="false">IF(B2545="","",IFERROR(INDEX(st_ID,MATCH(B2545,st_Name,0)),"Unknown"))</f>
        <v/>
      </c>
      <c r="J2545" s="37" t="str">
        <f aca="false">IF(C2545="","",IFERROR(INDEX(cl_Code,MATCH(C2545,cl_Name,0)),"Unknown"))</f>
        <v/>
      </c>
      <c r="K2545" s="37" t="str">
        <f aca="false">IF(D2545="","",IFERROR(INDEX(rt_Billable,MATCH(D2545,rt_Code,0)),"Unknown"))</f>
        <v/>
      </c>
      <c r="L2545" s="38" t="str">
        <f aca="false">IF(K2545&lt;&gt;"Yes","",IFERROR(INDEX(cr_Rate,MATCH(J2545&amp;"|"&amp;D2545,cr_Key,0)),INDEX(rt_Rate,MATCH(D2545,rt_Code,0))))</f>
        <v/>
      </c>
      <c r="M2545" s="25" t="str">
        <f aca="false">IF(L2545="","",ROUND(N(E2545)*L2545,2))</f>
        <v/>
      </c>
      <c r="N2545" s="39" t="str">
        <f aca="false">IF(OR(A2545="",B2545=""),"",SUMIFS(tl_Hours,tl_StaffID,I2545,tl_Date,A2545))</f>
        <v/>
      </c>
      <c r="O2545" s="40" t="str">
        <f aca="false">IF(A2545&amp;B2545&amp;D2545="","",IF(OR(A2545="",B2545="",D2545="",E2545=""),"Incomplete",IF(K2545="Unknown","Unknown code",IF(AND(K2545="Yes",C2545=""),"Billable, needs client",IF(N2545&gt;MaxDayHours,"Over "&amp;MaxDayHours&amp;" hours that day","")))))</f>
        <v/>
      </c>
    </row>
    <row r="2546" customFormat="false" ht="15" hidden="false" customHeight="false" outlineLevel="0" collapsed="false">
      <c r="A2546" s="31"/>
      <c r="B2546" s="32"/>
      <c r="C2546" s="32"/>
      <c r="D2546" s="33"/>
      <c r="E2546" s="34"/>
      <c r="F2546" s="32"/>
      <c r="G2546" s="35" t="str">
        <f aca="false">IF(A2546="","",A2546+7-WEEKDAY(A2546))</f>
        <v/>
      </c>
      <c r="H2546" s="36" t="str">
        <f aca="false">IF(A2546="","",DATE(YEAR(A2546),MONTH(A2546),1))</f>
        <v/>
      </c>
      <c r="I2546" s="37" t="str">
        <f aca="false">IF(B2546="","",IFERROR(INDEX(st_ID,MATCH(B2546,st_Name,0)),"Unknown"))</f>
        <v/>
      </c>
      <c r="J2546" s="37" t="str">
        <f aca="false">IF(C2546="","",IFERROR(INDEX(cl_Code,MATCH(C2546,cl_Name,0)),"Unknown"))</f>
        <v/>
      </c>
      <c r="K2546" s="37" t="str">
        <f aca="false">IF(D2546="","",IFERROR(INDEX(rt_Billable,MATCH(D2546,rt_Code,0)),"Unknown"))</f>
        <v/>
      </c>
      <c r="L2546" s="38" t="str">
        <f aca="false">IF(K2546&lt;&gt;"Yes","",IFERROR(INDEX(cr_Rate,MATCH(J2546&amp;"|"&amp;D2546,cr_Key,0)),INDEX(rt_Rate,MATCH(D2546,rt_Code,0))))</f>
        <v/>
      </c>
      <c r="M2546" s="25" t="str">
        <f aca="false">IF(L2546="","",ROUND(N(E2546)*L2546,2))</f>
        <v/>
      </c>
      <c r="N2546" s="39" t="str">
        <f aca="false">IF(OR(A2546="",B2546=""),"",SUMIFS(tl_Hours,tl_StaffID,I2546,tl_Date,A2546))</f>
        <v/>
      </c>
      <c r="O2546" s="40" t="str">
        <f aca="false">IF(A2546&amp;B2546&amp;D2546="","",IF(OR(A2546="",B2546="",D2546="",E2546=""),"Incomplete",IF(K2546="Unknown","Unknown code",IF(AND(K2546="Yes",C2546=""),"Billable, needs client",IF(N2546&gt;MaxDayHours,"Over "&amp;MaxDayHours&amp;" hours that day","")))))</f>
        <v/>
      </c>
    </row>
    <row r="2547" customFormat="false" ht="15" hidden="false" customHeight="false" outlineLevel="0" collapsed="false">
      <c r="A2547" s="31"/>
      <c r="B2547" s="32"/>
      <c r="C2547" s="32"/>
      <c r="D2547" s="33"/>
      <c r="E2547" s="34"/>
      <c r="F2547" s="32"/>
      <c r="G2547" s="35" t="str">
        <f aca="false">IF(A2547="","",A2547+7-WEEKDAY(A2547))</f>
        <v/>
      </c>
      <c r="H2547" s="36" t="str">
        <f aca="false">IF(A2547="","",DATE(YEAR(A2547),MONTH(A2547),1))</f>
        <v/>
      </c>
      <c r="I2547" s="37" t="str">
        <f aca="false">IF(B2547="","",IFERROR(INDEX(st_ID,MATCH(B2547,st_Name,0)),"Unknown"))</f>
        <v/>
      </c>
      <c r="J2547" s="37" t="str">
        <f aca="false">IF(C2547="","",IFERROR(INDEX(cl_Code,MATCH(C2547,cl_Name,0)),"Unknown"))</f>
        <v/>
      </c>
      <c r="K2547" s="37" t="str">
        <f aca="false">IF(D2547="","",IFERROR(INDEX(rt_Billable,MATCH(D2547,rt_Code,0)),"Unknown"))</f>
        <v/>
      </c>
      <c r="L2547" s="38" t="str">
        <f aca="false">IF(K2547&lt;&gt;"Yes","",IFERROR(INDEX(cr_Rate,MATCH(J2547&amp;"|"&amp;D2547,cr_Key,0)),INDEX(rt_Rate,MATCH(D2547,rt_Code,0))))</f>
        <v/>
      </c>
      <c r="M2547" s="25" t="str">
        <f aca="false">IF(L2547="","",ROUND(N(E2547)*L2547,2))</f>
        <v/>
      </c>
      <c r="N2547" s="39" t="str">
        <f aca="false">IF(OR(A2547="",B2547=""),"",SUMIFS(tl_Hours,tl_StaffID,I2547,tl_Date,A2547))</f>
        <v/>
      </c>
      <c r="O2547" s="40" t="str">
        <f aca="false">IF(A2547&amp;B2547&amp;D2547="","",IF(OR(A2547="",B2547="",D2547="",E2547=""),"Incomplete",IF(K2547="Unknown","Unknown code",IF(AND(K2547="Yes",C2547=""),"Billable, needs client",IF(N2547&gt;MaxDayHours,"Over "&amp;MaxDayHours&amp;" hours that day","")))))</f>
        <v/>
      </c>
    </row>
    <row r="2548" customFormat="false" ht="15" hidden="false" customHeight="false" outlineLevel="0" collapsed="false">
      <c r="A2548" s="31"/>
      <c r="B2548" s="32"/>
      <c r="C2548" s="32"/>
      <c r="D2548" s="33"/>
      <c r="E2548" s="34"/>
      <c r="F2548" s="32"/>
      <c r="G2548" s="35" t="str">
        <f aca="false">IF(A2548="","",A2548+7-WEEKDAY(A2548))</f>
        <v/>
      </c>
      <c r="H2548" s="36" t="str">
        <f aca="false">IF(A2548="","",DATE(YEAR(A2548),MONTH(A2548),1))</f>
        <v/>
      </c>
      <c r="I2548" s="37" t="str">
        <f aca="false">IF(B2548="","",IFERROR(INDEX(st_ID,MATCH(B2548,st_Name,0)),"Unknown"))</f>
        <v/>
      </c>
      <c r="J2548" s="37" t="str">
        <f aca="false">IF(C2548="","",IFERROR(INDEX(cl_Code,MATCH(C2548,cl_Name,0)),"Unknown"))</f>
        <v/>
      </c>
      <c r="K2548" s="37" t="str">
        <f aca="false">IF(D2548="","",IFERROR(INDEX(rt_Billable,MATCH(D2548,rt_Code,0)),"Unknown"))</f>
        <v/>
      </c>
      <c r="L2548" s="38" t="str">
        <f aca="false">IF(K2548&lt;&gt;"Yes","",IFERROR(INDEX(cr_Rate,MATCH(J2548&amp;"|"&amp;D2548,cr_Key,0)),INDEX(rt_Rate,MATCH(D2548,rt_Code,0))))</f>
        <v/>
      </c>
      <c r="M2548" s="25" t="str">
        <f aca="false">IF(L2548="","",ROUND(N(E2548)*L2548,2))</f>
        <v/>
      </c>
      <c r="N2548" s="39" t="str">
        <f aca="false">IF(OR(A2548="",B2548=""),"",SUMIFS(tl_Hours,tl_StaffID,I2548,tl_Date,A2548))</f>
        <v/>
      </c>
      <c r="O2548" s="40" t="str">
        <f aca="false">IF(A2548&amp;B2548&amp;D2548="","",IF(OR(A2548="",B2548="",D2548="",E2548=""),"Incomplete",IF(K2548="Unknown","Unknown code",IF(AND(K2548="Yes",C2548=""),"Billable, needs client",IF(N2548&gt;MaxDayHours,"Over "&amp;MaxDayHours&amp;" hours that day","")))))</f>
        <v/>
      </c>
    </row>
    <row r="2549" customFormat="false" ht="15" hidden="false" customHeight="false" outlineLevel="0" collapsed="false">
      <c r="A2549" s="31"/>
      <c r="B2549" s="32"/>
      <c r="C2549" s="32"/>
      <c r="D2549" s="33"/>
      <c r="E2549" s="34"/>
      <c r="F2549" s="32"/>
      <c r="G2549" s="35" t="str">
        <f aca="false">IF(A2549="","",A2549+7-WEEKDAY(A2549))</f>
        <v/>
      </c>
      <c r="H2549" s="36" t="str">
        <f aca="false">IF(A2549="","",DATE(YEAR(A2549),MONTH(A2549),1))</f>
        <v/>
      </c>
      <c r="I2549" s="37" t="str">
        <f aca="false">IF(B2549="","",IFERROR(INDEX(st_ID,MATCH(B2549,st_Name,0)),"Unknown"))</f>
        <v/>
      </c>
      <c r="J2549" s="37" t="str">
        <f aca="false">IF(C2549="","",IFERROR(INDEX(cl_Code,MATCH(C2549,cl_Name,0)),"Unknown"))</f>
        <v/>
      </c>
      <c r="K2549" s="37" t="str">
        <f aca="false">IF(D2549="","",IFERROR(INDEX(rt_Billable,MATCH(D2549,rt_Code,0)),"Unknown"))</f>
        <v/>
      </c>
      <c r="L2549" s="38" t="str">
        <f aca="false">IF(K2549&lt;&gt;"Yes","",IFERROR(INDEX(cr_Rate,MATCH(J2549&amp;"|"&amp;D2549,cr_Key,0)),INDEX(rt_Rate,MATCH(D2549,rt_Code,0))))</f>
        <v/>
      </c>
      <c r="M2549" s="25" t="str">
        <f aca="false">IF(L2549="","",ROUND(N(E2549)*L2549,2))</f>
        <v/>
      </c>
      <c r="N2549" s="39" t="str">
        <f aca="false">IF(OR(A2549="",B2549=""),"",SUMIFS(tl_Hours,tl_StaffID,I2549,tl_Date,A2549))</f>
        <v/>
      </c>
      <c r="O2549" s="40" t="str">
        <f aca="false">IF(A2549&amp;B2549&amp;D2549="","",IF(OR(A2549="",B2549="",D2549="",E2549=""),"Incomplete",IF(K2549="Unknown","Unknown code",IF(AND(K2549="Yes",C2549=""),"Billable, needs client",IF(N2549&gt;MaxDayHours,"Over "&amp;MaxDayHours&amp;" hours that day","")))))</f>
        <v/>
      </c>
    </row>
    <row r="2550" customFormat="false" ht="15" hidden="false" customHeight="false" outlineLevel="0" collapsed="false">
      <c r="A2550" s="31"/>
      <c r="B2550" s="32"/>
      <c r="C2550" s="32"/>
      <c r="D2550" s="33"/>
      <c r="E2550" s="34"/>
      <c r="F2550" s="32"/>
      <c r="G2550" s="35" t="str">
        <f aca="false">IF(A2550="","",A2550+7-WEEKDAY(A2550))</f>
        <v/>
      </c>
      <c r="H2550" s="36" t="str">
        <f aca="false">IF(A2550="","",DATE(YEAR(A2550),MONTH(A2550),1))</f>
        <v/>
      </c>
      <c r="I2550" s="37" t="str">
        <f aca="false">IF(B2550="","",IFERROR(INDEX(st_ID,MATCH(B2550,st_Name,0)),"Unknown"))</f>
        <v/>
      </c>
      <c r="J2550" s="37" t="str">
        <f aca="false">IF(C2550="","",IFERROR(INDEX(cl_Code,MATCH(C2550,cl_Name,0)),"Unknown"))</f>
        <v/>
      </c>
      <c r="K2550" s="37" t="str">
        <f aca="false">IF(D2550="","",IFERROR(INDEX(rt_Billable,MATCH(D2550,rt_Code,0)),"Unknown"))</f>
        <v/>
      </c>
      <c r="L2550" s="38" t="str">
        <f aca="false">IF(K2550&lt;&gt;"Yes","",IFERROR(INDEX(cr_Rate,MATCH(J2550&amp;"|"&amp;D2550,cr_Key,0)),INDEX(rt_Rate,MATCH(D2550,rt_Code,0))))</f>
        <v/>
      </c>
      <c r="M2550" s="25" t="str">
        <f aca="false">IF(L2550="","",ROUND(N(E2550)*L2550,2))</f>
        <v/>
      </c>
      <c r="N2550" s="39" t="str">
        <f aca="false">IF(OR(A2550="",B2550=""),"",SUMIFS(tl_Hours,tl_StaffID,I2550,tl_Date,A2550))</f>
        <v/>
      </c>
      <c r="O2550" s="40" t="str">
        <f aca="false">IF(A2550&amp;B2550&amp;D2550="","",IF(OR(A2550="",B2550="",D2550="",E2550=""),"Incomplete",IF(K2550="Unknown","Unknown code",IF(AND(K2550="Yes",C2550=""),"Billable, needs client",IF(N2550&gt;MaxDayHours,"Over "&amp;MaxDayHours&amp;" hours that day","")))))</f>
        <v/>
      </c>
    </row>
    <row r="2551" customFormat="false" ht="15" hidden="false" customHeight="false" outlineLevel="0" collapsed="false">
      <c r="A2551" s="31"/>
      <c r="B2551" s="32"/>
      <c r="C2551" s="32"/>
      <c r="D2551" s="33"/>
      <c r="E2551" s="34"/>
      <c r="F2551" s="32"/>
      <c r="G2551" s="35" t="str">
        <f aca="false">IF(A2551="","",A2551+7-WEEKDAY(A2551))</f>
        <v/>
      </c>
      <c r="H2551" s="36" t="str">
        <f aca="false">IF(A2551="","",DATE(YEAR(A2551),MONTH(A2551),1))</f>
        <v/>
      </c>
      <c r="I2551" s="37" t="str">
        <f aca="false">IF(B2551="","",IFERROR(INDEX(st_ID,MATCH(B2551,st_Name,0)),"Unknown"))</f>
        <v/>
      </c>
      <c r="J2551" s="37" t="str">
        <f aca="false">IF(C2551="","",IFERROR(INDEX(cl_Code,MATCH(C2551,cl_Name,0)),"Unknown"))</f>
        <v/>
      </c>
      <c r="K2551" s="37" t="str">
        <f aca="false">IF(D2551="","",IFERROR(INDEX(rt_Billable,MATCH(D2551,rt_Code,0)),"Unknown"))</f>
        <v/>
      </c>
      <c r="L2551" s="38" t="str">
        <f aca="false">IF(K2551&lt;&gt;"Yes","",IFERROR(INDEX(cr_Rate,MATCH(J2551&amp;"|"&amp;D2551,cr_Key,0)),INDEX(rt_Rate,MATCH(D2551,rt_Code,0))))</f>
        <v/>
      </c>
      <c r="M2551" s="25" t="str">
        <f aca="false">IF(L2551="","",ROUND(N(E2551)*L2551,2))</f>
        <v/>
      </c>
      <c r="N2551" s="39" t="str">
        <f aca="false">IF(OR(A2551="",B2551=""),"",SUMIFS(tl_Hours,tl_StaffID,I2551,tl_Date,A2551))</f>
        <v/>
      </c>
      <c r="O2551" s="40" t="str">
        <f aca="false">IF(A2551&amp;B2551&amp;D2551="","",IF(OR(A2551="",B2551="",D2551="",E2551=""),"Incomplete",IF(K2551="Unknown","Unknown code",IF(AND(K2551="Yes",C2551=""),"Billable, needs client",IF(N2551&gt;MaxDayHours,"Over "&amp;MaxDayHours&amp;" hours that day","")))))</f>
        <v/>
      </c>
    </row>
    <row r="2552" customFormat="false" ht="15" hidden="false" customHeight="false" outlineLevel="0" collapsed="false">
      <c r="A2552" s="31"/>
      <c r="B2552" s="32"/>
      <c r="C2552" s="32"/>
      <c r="D2552" s="33"/>
      <c r="E2552" s="34"/>
      <c r="F2552" s="32"/>
      <c r="G2552" s="35" t="str">
        <f aca="false">IF(A2552="","",A2552+7-WEEKDAY(A2552))</f>
        <v/>
      </c>
      <c r="H2552" s="36" t="str">
        <f aca="false">IF(A2552="","",DATE(YEAR(A2552),MONTH(A2552),1))</f>
        <v/>
      </c>
      <c r="I2552" s="37" t="str">
        <f aca="false">IF(B2552="","",IFERROR(INDEX(st_ID,MATCH(B2552,st_Name,0)),"Unknown"))</f>
        <v/>
      </c>
      <c r="J2552" s="37" t="str">
        <f aca="false">IF(C2552="","",IFERROR(INDEX(cl_Code,MATCH(C2552,cl_Name,0)),"Unknown"))</f>
        <v/>
      </c>
      <c r="K2552" s="37" t="str">
        <f aca="false">IF(D2552="","",IFERROR(INDEX(rt_Billable,MATCH(D2552,rt_Code,0)),"Unknown"))</f>
        <v/>
      </c>
      <c r="L2552" s="38" t="str">
        <f aca="false">IF(K2552&lt;&gt;"Yes","",IFERROR(INDEX(cr_Rate,MATCH(J2552&amp;"|"&amp;D2552,cr_Key,0)),INDEX(rt_Rate,MATCH(D2552,rt_Code,0))))</f>
        <v/>
      </c>
      <c r="M2552" s="25" t="str">
        <f aca="false">IF(L2552="","",ROUND(N(E2552)*L2552,2))</f>
        <v/>
      </c>
      <c r="N2552" s="39" t="str">
        <f aca="false">IF(OR(A2552="",B2552=""),"",SUMIFS(tl_Hours,tl_StaffID,I2552,tl_Date,A2552))</f>
        <v/>
      </c>
      <c r="O2552" s="40" t="str">
        <f aca="false">IF(A2552&amp;B2552&amp;D2552="","",IF(OR(A2552="",B2552="",D2552="",E2552=""),"Incomplete",IF(K2552="Unknown","Unknown code",IF(AND(K2552="Yes",C2552=""),"Billable, needs client",IF(N2552&gt;MaxDayHours,"Over "&amp;MaxDayHours&amp;" hours that day","")))))</f>
        <v/>
      </c>
    </row>
    <row r="2553" customFormat="false" ht="15" hidden="false" customHeight="false" outlineLevel="0" collapsed="false">
      <c r="A2553" s="31"/>
      <c r="B2553" s="32"/>
      <c r="C2553" s="32"/>
      <c r="D2553" s="33"/>
      <c r="E2553" s="34"/>
      <c r="F2553" s="32"/>
      <c r="G2553" s="35" t="str">
        <f aca="false">IF(A2553="","",A2553+7-WEEKDAY(A2553))</f>
        <v/>
      </c>
      <c r="H2553" s="36" t="str">
        <f aca="false">IF(A2553="","",DATE(YEAR(A2553),MONTH(A2553),1))</f>
        <v/>
      </c>
      <c r="I2553" s="37" t="str">
        <f aca="false">IF(B2553="","",IFERROR(INDEX(st_ID,MATCH(B2553,st_Name,0)),"Unknown"))</f>
        <v/>
      </c>
      <c r="J2553" s="37" t="str">
        <f aca="false">IF(C2553="","",IFERROR(INDEX(cl_Code,MATCH(C2553,cl_Name,0)),"Unknown"))</f>
        <v/>
      </c>
      <c r="K2553" s="37" t="str">
        <f aca="false">IF(D2553="","",IFERROR(INDEX(rt_Billable,MATCH(D2553,rt_Code,0)),"Unknown"))</f>
        <v/>
      </c>
      <c r="L2553" s="38" t="str">
        <f aca="false">IF(K2553&lt;&gt;"Yes","",IFERROR(INDEX(cr_Rate,MATCH(J2553&amp;"|"&amp;D2553,cr_Key,0)),INDEX(rt_Rate,MATCH(D2553,rt_Code,0))))</f>
        <v/>
      </c>
      <c r="M2553" s="25" t="str">
        <f aca="false">IF(L2553="","",ROUND(N(E2553)*L2553,2))</f>
        <v/>
      </c>
      <c r="N2553" s="39" t="str">
        <f aca="false">IF(OR(A2553="",B2553=""),"",SUMIFS(tl_Hours,tl_StaffID,I2553,tl_Date,A2553))</f>
        <v/>
      </c>
      <c r="O2553" s="40" t="str">
        <f aca="false">IF(A2553&amp;B2553&amp;D2553="","",IF(OR(A2553="",B2553="",D2553="",E2553=""),"Incomplete",IF(K2553="Unknown","Unknown code",IF(AND(K2553="Yes",C2553=""),"Billable, needs client",IF(N2553&gt;MaxDayHours,"Over "&amp;MaxDayHours&amp;" hours that day","")))))</f>
        <v/>
      </c>
    </row>
    <row r="2554" customFormat="false" ht="15" hidden="false" customHeight="false" outlineLevel="0" collapsed="false">
      <c r="A2554" s="31"/>
      <c r="B2554" s="32"/>
      <c r="C2554" s="32"/>
      <c r="D2554" s="33"/>
      <c r="E2554" s="34"/>
      <c r="F2554" s="32"/>
      <c r="G2554" s="35" t="str">
        <f aca="false">IF(A2554="","",A2554+7-WEEKDAY(A2554))</f>
        <v/>
      </c>
      <c r="H2554" s="36" t="str">
        <f aca="false">IF(A2554="","",DATE(YEAR(A2554),MONTH(A2554),1))</f>
        <v/>
      </c>
      <c r="I2554" s="37" t="str">
        <f aca="false">IF(B2554="","",IFERROR(INDEX(st_ID,MATCH(B2554,st_Name,0)),"Unknown"))</f>
        <v/>
      </c>
      <c r="J2554" s="37" t="str">
        <f aca="false">IF(C2554="","",IFERROR(INDEX(cl_Code,MATCH(C2554,cl_Name,0)),"Unknown"))</f>
        <v/>
      </c>
      <c r="K2554" s="37" t="str">
        <f aca="false">IF(D2554="","",IFERROR(INDEX(rt_Billable,MATCH(D2554,rt_Code,0)),"Unknown"))</f>
        <v/>
      </c>
      <c r="L2554" s="38" t="str">
        <f aca="false">IF(K2554&lt;&gt;"Yes","",IFERROR(INDEX(cr_Rate,MATCH(J2554&amp;"|"&amp;D2554,cr_Key,0)),INDEX(rt_Rate,MATCH(D2554,rt_Code,0))))</f>
        <v/>
      </c>
      <c r="M2554" s="25" t="str">
        <f aca="false">IF(L2554="","",ROUND(N(E2554)*L2554,2))</f>
        <v/>
      </c>
      <c r="N2554" s="39" t="str">
        <f aca="false">IF(OR(A2554="",B2554=""),"",SUMIFS(tl_Hours,tl_StaffID,I2554,tl_Date,A2554))</f>
        <v/>
      </c>
      <c r="O2554" s="40" t="str">
        <f aca="false">IF(A2554&amp;B2554&amp;D2554="","",IF(OR(A2554="",B2554="",D2554="",E2554=""),"Incomplete",IF(K2554="Unknown","Unknown code",IF(AND(K2554="Yes",C2554=""),"Billable, needs client",IF(N2554&gt;MaxDayHours,"Over "&amp;MaxDayHours&amp;" hours that day","")))))</f>
        <v/>
      </c>
    </row>
    <row r="2555" customFormat="false" ht="15" hidden="false" customHeight="false" outlineLevel="0" collapsed="false">
      <c r="A2555" s="31"/>
      <c r="B2555" s="32"/>
      <c r="C2555" s="32"/>
      <c r="D2555" s="33"/>
      <c r="E2555" s="34"/>
      <c r="F2555" s="32"/>
      <c r="G2555" s="35" t="str">
        <f aca="false">IF(A2555="","",A2555+7-WEEKDAY(A2555))</f>
        <v/>
      </c>
      <c r="H2555" s="36" t="str">
        <f aca="false">IF(A2555="","",DATE(YEAR(A2555),MONTH(A2555),1))</f>
        <v/>
      </c>
      <c r="I2555" s="37" t="str">
        <f aca="false">IF(B2555="","",IFERROR(INDEX(st_ID,MATCH(B2555,st_Name,0)),"Unknown"))</f>
        <v/>
      </c>
      <c r="J2555" s="37" t="str">
        <f aca="false">IF(C2555="","",IFERROR(INDEX(cl_Code,MATCH(C2555,cl_Name,0)),"Unknown"))</f>
        <v/>
      </c>
      <c r="K2555" s="37" t="str">
        <f aca="false">IF(D2555="","",IFERROR(INDEX(rt_Billable,MATCH(D2555,rt_Code,0)),"Unknown"))</f>
        <v/>
      </c>
      <c r="L2555" s="38" t="str">
        <f aca="false">IF(K2555&lt;&gt;"Yes","",IFERROR(INDEX(cr_Rate,MATCH(J2555&amp;"|"&amp;D2555,cr_Key,0)),INDEX(rt_Rate,MATCH(D2555,rt_Code,0))))</f>
        <v/>
      </c>
      <c r="M2555" s="25" t="str">
        <f aca="false">IF(L2555="","",ROUND(N(E2555)*L2555,2))</f>
        <v/>
      </c>
      <c r="N2555" s="39" t="str">
        <f aca="false">IF(OR(A2555="",B2555=""),"",SUMIFS(tl_Hours,tl_StaffID,I2555,tl_Date,A2555))</f>
        <v/>
      </c>
      <c r="O2555" s="40" t="str">
        <f aca="false">IF(A2555&amp;B2555&amp;D2555="","",IF(OR(A2555="",B2555="",D2555="",E2555=""),"Incomplete",IF(K2555="Unknown","Unknown code",IF(AND(K2555="Yes",C2555=""),"Billable, needs client",IF(N2555&gt;MaxDayHours,"Over "&amp;MaxDayHours&amp;" hours that day","")))))</f>
        <v/>
      </c>
    </row>
    <row r="2556" customFormat="false" ht="15" hidden="false" customHeight="false" outlineLevel="0" collapsed="false">
      <c r="A2556" s="31"/>
      <c r="B2556" s="32"/>
      <c r="C2556" s="32"/>
      <c r="D2556" s="33"/>
      <c r="E2556" s="34"/>
      <c r="F2556" s="32"/>
      <c r="G2556" s="35" t="str">
        <f aca="false">IF(A2556="","",A2556+7-WEEKDAY(A2556))</f>
        <v/>
      </c>
      <c r="H2556" s="36" t="str">
        <f aca="false">IF(A2556="","",DATE(YEAR(A2556),MONTH(A2556),1))</f>
        <v/>
      </c>
      <c r="I2556" s="37" t="str">
        <f aca="false">IF(B2556="","",IFERROR(INDEX(st_ID,MATCH(B2556,st_Name,0)),"Unknown"))</f>
        <v/>
      </c>
      <c r="J2556" s="37" t="str">
        <f aca="false">IF(C2556="","",IFERROR(INDEX(cl_Code,MATCH(C2556,cl_Name,0)),"Unknown"))</f>
        <v/>
      </c>
      <c r="K2556" s="37" t="str">
        <f aca="false">IF(D2556="","",IFERROR(INDEX(rt_Billable,MATCH(D2556,rt_Code,0)),"Unknown"))</f>
        <v/>
      </c>
      <c r="L2556" s="38" t="str">
        <f aca="false">IF(K2556&lt;&gt;"Yes","",IFERROR(INDEX(cr_Rate,MATCH(J2556&amp;"|"&amp;D2556,cr_Key,0)),INDEX(rt_Rate,MATCH(D2556,rt_Code,0))))</f>
        <v/>
      </c>
      <c r="M2556" s="25" t="str">
        <f aca="false">IF(L2556="","",ROUND(N(E2556)*L2556,2))</f>
        <v/>
      </c>
      <c r="N2556" s="39" t="str">
        <f aca="false">IF(OR(A2556="",B2556=""),"",SUMIFS(tl_Hours,tl_StaffID,I2556,tl_Date,A2556))</f>
        <v/>
      </c>
      <c r="O2556" s="40" t="str">
        <f aca="false">IF(A2556&amp;B2556&amp;D2556="","",IF(OR(A2556="",B2556="",D2556="",E2556=""),"Incomplete",IF(K2556="Unknown","Unknown code",IF(AND(K2556="Yes",C2556=""),"Billable, needs client",IF(N2556&gt;MaxDayHours,"Over "&amp;MaxDayHours&amp;" hours that day","")))))</f>
        <v/>
      </c>
    </row>
    <row r="2557" customFormat="false" ht="15" hidden="false" customHeight="false" outlineLevel="0" collapsed="false">
      <c r="A2557" s="31"/>
      <c r="B2557" s="32"/>
      <c r="C2557" s="32"/>
      <c r="D2557" s="33"/>
      <c r="E2557" s="34"/>
      <c r="F2557" s="32"/>
      <c r="G2557" s="35" t="str">
        <f aca="false">IF(A2557="","",A2557+7-WEEKDAY(A2557))</f>
        <v/>
      </c>
      <c r="H2557" s="36" t="str">
        <f aca="false">IF(A2557="","",DATE(YEAR(A2557),MONTH(A2557),1))</f>
        <v/>
      </c>
      <c r="I2557" s="37" t="str">
        <f aca="false">IF(B2557="","",IFERROR(INDEX(st_ID,MATCH(B2557,st_Name,0)),"Unknown"))</f>
        <v/>
      </c>
      <c r="J2557" s="37" t="str">
        <f aca="false">IF(C2557="","",IFERROR(INDEX(cl_Code,MATCH(C2557,cl_Name,0)),"Unknown"))</f>
        <v/>
      </c>
      <c r="K2557" s="37" t="str">
        <f aca="false">IF(D2557="","",IFERROR(INDEX(rt_Billable,MATCH(D2557,rt_Code,0)),"Unknown"))</f>
        <v/>
      </c>
      <c r="L2557" s="38" t="str">
        <f aca="false">IF(K2557&lt;&gt;"Yes","",IFERROR(INDEX(cr_Rate,MATCH(J2557&amp;"|"&amp;D2557,cr_Key,0)),INDEX(rt_Rate,MATCH(D2557,rt_Code,0))))</f>
        <v/>
      </c>
      <c r="M2557" s="25" t="str">
        <f aca="false">IF(L2557="","",ROUND(N(E2557)*L2557,2))</f>
        <v/>
      </c>
      <c r="N2557" s="39" t="str">
        <f aca="false">IF(OR(A2557="",B2557=""),"",SUMIFS(tl_Hours,tl_StaffID,I2557,tl_Date,A2557))</f>
        <v/>
      </c>
      <c r="O2557" s="40" t="str">
        <f aca="false">IF(A2557&amp;B2557&amp;D2557="","",IF(OR(A2557="",B2557="",D2557="",E2557=""),"Incomplete",IF(K2557="Unknown","Unknown code",IF(AND(K2557="Yes",C2557=""),"Billable, needs client",IF(N2557&gt;MaxDayHours,"Over "&amp;MaxDayHours&amp;" hours that day","")))))</f>
        <v/>
      </c>
    </row>
    <row r="2558" customFormat="false" ht="15" hidden="false" customHeight="false" outlineLevel="0" collapsed="false">
      <c r="A2558" s="31"/>
      <c r="B2558" s="32"/>
      <c r="C2558" s="32"/>
      <c r="D2558" s="33"/>
      <c r="E2558" s="34"/>
      <c r="F2558" s="32"/>
      <c r="G2558" s="35" t="str">
        <f aca="false">IF(A2558="","",A2558+7-WEEKDAY(A2558))</f>
        <v/>
      </c>
      <c r="H2558" s="36" t="str">
        <f aca="false">IF(A2558="","",DATE(YEAR(A2558),MONTH(A2558),1))</f>
        <v/>
      </c>
      <c r="I2558" s="37" t="str">
        <f aca="false">IF(B2558="","",IFERROR(INDEX(st_ID,MATCH(B2558,st_Name,0)),"Unknown"))</f>
        <v/>
      </c>
      <c r="J2558" s="37" t="str">
        <f aca="false">IF(C2558="","",IFERROR(INDEX(cl_Code,MATCH(C2558,cl_Name,0)),"Unknown"))</f>
        <v/>
      </c>
      <c r="K2558" s="37" t="str">
        <f aca="false">IF(D2558="","",IFERROR(INDEX(rt_Billable,MATCH(D2558,rt_Code,0)),"Unknown"))</f>
        <v/>
      </c>
      <c r="L2558" s="38" t="str">
        <f aca="false">IF(K2558&lt;&gt;"Yes","",IFERROR(INDEX(cr_Rate,MATCH(J2558&amp;"|"&amp;D2558,cr_Key,0)),INDEX(rt_Rate,MATCH(D2558,rt_Code,0))))</f>
        <v/>
      </c>
      <c r="M2558" s="25" t="str">
        <f aca="false">IF(L2558="","",ROUND(N(E2558)*L2558,2))</f>
        <v/>
      </c>
      <c r="N2558" s="39" t="str">
        <f aca="false">IF(OR(A2558="",B2558=""),"",SUMIFS(tl_Hours,tl_StaffID,I2558,tl_Date,A2558))</f>
        <v/>
      </c>
      <c r="O2558" s="40" t="str">
        <f aca="false">IF(A2558&amp;B2558&amp;D2558="","",IF(OR(A2558="",B2558="",D2558="",E2558=""),"Incomplete",IF(K2558="Unknown","Unknown code",IF(AND(K2558="Yes",C2558=""),"Billable, needs client",IF(N2558&gt;MaxDayHours,"Over "&amp;MaxDayHours&amp;" hours that day","")))))</f>
        <v/>
      </c>
    </row>
    <row r="2559" customFormat="false" ht="15" hidden="false" customHeight="false" outlineLevel="0" collapsed="false">
      <c r="A2559" s="31"/>
      <c r="B2559" s="32"/>
      <c r="C2559" s="32"/>
      <c r="D2559" s="33"/>
      <c r="E2559" s="34"/>
      <c r="F2559" s="32"/>
      <c r="G2559" s="35" t="str">
        <f aca="false">IF(A2559="","",A2559+7-WEEKDAY(A2559))</f>
        <v/>
      </c>
      <c r="H2559" s="36" t="str">
        <f aca="false">IF(A2559="","",DATE(YEAR(A2559),MONTH(A2559),1))</f>
        <v/>
      </c>
      <c r="I2559" s="37" t="str">
        <f aca="false">IF(B2559="","",IFERROR(INDEX(st_ID,MATCH(B2559,st_Name,0)),"Unknown"))</f>
        <v/>
      </c>
      <c r="J2559" s="37" t="str">
        <f aca="false">IF(C2559="","",IFERROR(INDEX(cl_Code,MATCH(C2559,cl_Name,0)),"Unknown"))</f>
        <v/>
      </c>
      <c r="K2559" s="37" t="str">
        <f aca="false">IF(D2559="","",IFERROR(INDEX(rt_Billable,MATCH(D2559,rt_Code,0)),"Unknown"))</f>
        <v/>
      </c>
      <c r="L2559" s="38" t="str">
        <f aca="false">IF(K2559&lt;&gt;"Yes","",IFERROR(INDEX(cr_Rate,MATCH(J2559&amp;"|"&amp;D2559,cr_Key,0)),INDEX(rt_Rate,MATCH(D2559,rt_Code,0))))</f>
        <v/>
      </c>
      <c r="M2559" s="25" t="str">
        <f aca="false">IF(L2559="","",ROUND(N(E2559)*L2559,2))</f>
        <v/>
      </c>
      <c r="N2559" s="39" t="str">
        <f aca="false">IF(OR(A2559="",B2559=""),"",SUMIFS(tl_Hours,tl_StaffID,I2559,tl_Date,A2559))</f>
        <v/>
      </c>
      <c r="O2559" s="40" t="str">
        <f aca="false">IF(A2559&amp;B2559&amp;D2559="","",IF(OR(A2559="",B2559="",D2559="",E2559=""),"Incomplete",IF(K2559="Unknown","Unknown code",IF(AND(K2559="Yes",C2559=""),"Billable, needs client",IF(N2559&gt;MaxDayHours,"Over "&amp;MaxDayHours&amp;" hours that day","")))))</f>
        <v/>
      </c>
    </row>
    <row r="2560" customFormat="false" ht="15" hidden="false" customHeight="false" outlineLevel="0" collapsed="false">
      <c r="A2560" s="31"/>
      <c r="B2560" s="32"/>
      <c r="C2560" s="32"/>
      <c r="D2560" s="33"/>
      <c r="E2560" s="34"/>
      <c r="F2560" s="32"/>
      <c r="G2560" s="35" t="str">
        <f aca="false">IF(A2560="","",A2560+7-WEEKDAY(A2560))</f>
        <v/>
      </c>
      <c r="H2560" s="36" t="str">
        <f aca="false">IF(A2560="","",DATE(YEAR(A2560),MONTH(A2560),1))</f>
        <v/>
      </c>
      <c r="I2560" s="37" t="str">
        <f aca="false">IF(B2560="","",IFERROR(INDEX(st_ID,MATCH(B2560,st_Name,0)),"Unknown"))</f>
        <v/>
      </c>
      <c r="J2560" s="37" t="str">
        <f aca="false">IF(C2560="","",IFERROR(INDEX(cl_Code,MATCH(C2560,cl_Name,0)),"Unknown"))</f>
        <v/>
      </c>
      <c r="K2560" s="37" t="str">
        <f aca="false">IF(D2560="","",IFERROR(INDEX(rt_Billable,MATCH(D2560,rt_Code,0)),"Unknown"))</f>
        <v/>
      </c>
      <c r="L2560" s="38" t="str">
        <f aca="false">IF(K2560&lt;&gt;"Yes","",IFERROR(INDEX(cr_Rate,MATCH(J2560&amp;"|"&amp;D2560,cr_Key,0)),INDEX(rt_Rate,MATCH(D2560,rt_Code,0))))</f>
        <v/>
      </c>
      <c r="M2560" s="25" t="str">
        <f aca="false">IF(L2560="","",ROUND(N(E2560)*L2560,2))</f>
        <v/>
      </c>
      <c r="N2560" s="39" t="str">
        <f aca="false">IF(OR(A2560="",B2560=""),"",SUMIFS(tl_Hours,tl_StaffID,I2560,tl_Date,A2560))</f>
        <v/>
      </c>
      <c r="O2560" s="40" t="str">
        <f aca="false">IF(A2560&amp;B2560&amp;D2560="","",IF(OR(A2560="",B2560="",D2560="",E2560=""),"Incomplete",IF(K2560="Unknown","Unknown code",IF(AND(K2560="Yes",C2560=""),"Billable, needs client",IF(N2560&gt;MaxDayHours,"Over "&amp;MaxDayHours&amp;" hours that day","")))))</f>
        <v/>
      </c>
    </row>
    <row r="2561" customFormat="false" ht="15" hidden="false" customHeight="false" outlineLevel="0" collapsed="false">
      <c r="A2561" s="31"/>
      <c r="B2561" s="32"/>
      <c r="C2561" s="32"/>
      <c r="D2561" s="33"/>
      <c r="E2561" s="34"/>
      <c r="F2561" s="32"/>
      <c r="G2561" s="35" t="str">
        <f aca="false">IF(A2561="","",A2561+7-WEEKDAY(A2561))</f>
        <v/>
      </c>
      <c r="H2561" s="36" t="str">
        <f aca="false">IF(A2561="","",DATE(YEAR(A2561),MONTH(A2561),1))</f>
        <v/>
      </c>
      <c r="I2561" s="37" t="str">
        <f aca="false">IF(B2561="","",IFERROR(INDEX(st_ID,MATCH(B2561,st_Name,0)),"Unknown"))</f>
        <v/>
      </c>
      <c r="J2561" s="37" t="str">
        <f aca="false">IF(C2561="","",IFERROR(INDEX(cl_Code,MATCH(C2561,cl_Name,0)),"Unknown"))</f>
        <v/>
      </c>
      <c r="K2561" s="37" t="str">
        <f aca="false">IF(D2561="","",IFERROR(INDEX(rt_Billable,MATCH(D2561,rt_Code,0)),"Unknown"))</f>
        <v/>
      </c>
      <c r="L2561" s="38" t="str">
        <f aca="false">IF(K2561&lt;&gt;"Yes","",IFERROR(INDEX(cr_Rate,MATCH(J2561&amp;"|"&amp;D2561,cr_Key,0)),INDEX(rt_Rate,MATCH(D2561,rt_Code,0))))</f>
        <v/>
      </c>
      <c r="M2561" s="25" t="str">
        <f aca="false">IF(L2561="","",ROUND(N(E2561)*L2561,2))</f>
        <v/>
      </c>
      <c r="N2561" s="39" t="str">
        <f aca="false">IF(OR(A2561="",B2561=""),"",SUMIFS(tl_Hours,tl_StaffID,I2561,tl_Date,A2561))</f>
        <v/>
      </c>
      <c r="O2561" s="40" t="str">
        <f aca="false">IF(A2561&amp;B2561&amp;D2561="","",IF(OR(A2561="",B2561="",D2561="",E2561=""),"Incomplete",IF(K2561="Unknown","Unknown code",IF(AND(K2561="Yes",C2561=""),"Billable, needs client",IF(N2561&gt;MaxDayHours,"Over "&amp;MaxDayHours&amp;" hours that day","")))))</f>
        <v/>
      </c>
    </row>
    <row r="2562" customFormat="false" ht="15" hidden="false" customHeight="false" outlineLevel="0" collapsed="false">
      <c r="A2562" s="31"/>
      <c r="B2562" s="32"/>
      <c r="C2562" s="32"/>
      <c r="D2562" s="33"/>
      <c r="E2562" s="34"/>
      <c r="F2562" s="32"/>
      <c r="G2562" s="35" t="str">
        <f aca="false">IF(A2562="","",A2562+7-WEEKDAY(A2562))</f>
        <v/>
      </c>
      <c r="H2562" s="36" t="str">
        <f aca="false">IF(A2562="","",DATE(YEAR(A2562),MONTH(A2562),1))</f>
        <v/>
      </c>
      <c r="I2562" s="37" t="str">
        <f aca="false">IF(B2562="","",IFERROR(INDEX(st_ID,MATCH(B2562,st_Name,0)),"Unknown"))</f>
        <v/>
      </c>
      <c r="J2562" s="37" t="str">
        <f aca="false">IF(C2562="","",IFERROR(INDEX(cl_Code,MATCH(C2562,cl_Name,0)),"Unknown"))</f>
        <v/>
      </c>
      <c r="K2562" s="37" t="str">
        <f aca="false">IF(D2562="","",IFERROR(INDEX(rt_Billable,MATCH(D2562,rt_Code,0)),"Unknown"))</f>
        <v/>
      </c>
      <c r="L2562" s="38" t="str">
        <f aca="false">IF(K2562&lt;&gt;"Yes","",IFERROR(INDEX(cr_Rate,MATCH(J2562&amp;"|"&amp;D2562,cr_Key,0)),INDEX(rt_Rate,MATCH(D2562,rt_Code,0))))</f>
        <v/>
      </c>
      <c r="M2562" s="25" t="str">
        <f aca="false">IF(L2562="","",ROUND(N(E2562)*L2562,2))</f>
        <v/>
      </c>
      <c r="N2562" s="39" t="str">
        <f aca="false">IF(OR(A2562="",B2562=""),"",SUMIFS(tl_Hours,tl_StaffID,I2562,tl_Date,A2562))</f>
        <v/>
      </c>
      <c r="O2562" s="40" t="str">
        <f aca="false">IF(A2562&amp;B2562&amp;D2562="","",IF(OR(A2562="",B2562="",D2562="",E2562=""),"Incomplete",IF(K2562="Unknown","Unknown code",IF(AND(K2562="Yes",C2562=""),"Billable, needs client",IF(N2562&gt;MaxDayHours,"Over "&amp;MaxDayHours&amp;" hours that day","")))))</f>
        <v/>
      </c>
    </row>
    <row r="2563" customFormat="false" ht="15" hidden="false" customHeight="false" outlineLevel="0" collapsed="false">
      <c r="A2563" s="31"/>
      <c r="B2563" s="32"/>
      <c r="C2563" s="32"/>
      <c r="D2563" s="33"/>
      <c r="E2563" s="34"/>
      <c r="F2563" s="32"/>
      <c r="G2563" s="35" t="str">
        <f aca="false">IF(A2563="","",A2563+7-WEEKDAY(A2563))</f>
        <v/>
      </c>
      <c r="H2563" s="36" t="str">
        <f aca="false">IF(A2563="","",DATE(YEAR(A2563),MONTH(A2563),1))</f>
        <v/>
      </c>
      <c r="I2563" s="37" t="str">
        <f aca="false">IF(B2563="","",IFERROR(INDEX(st_ID,MATCH(B2563,st_Name,0)),"Unknown"))</f>
        <v/>
      </c>
      <c r="J2563" s="37" t="str">
        <f aca="false">IF(C2563="","",IFERROR(INDEX(cl_Code,MATCH(C2563,cl_Name,0)),"Unknown"))</f>
        <v/>
      </c>
      <c r="K2563" s="37" t="str">
        <f aca="false">IF(D2563="","",IFERROR(INDEX(rt_Billable,MATCH(D2563,rt_Code,0)),"Unknown"))</f>
        <v/>
      </c>
      <c r="L2563" s="38" t="str">
        <f aca="false">IF(K2563&lt;&gt;"Yes","",IFERROR(INDEX(cr_Rate,MATCH(J2563&amp;"|"&amp;D2563,cr_Key,0)),INDEX(rt_Rate,MATCH(D2563,rt_Code,0))))</f>
        <v/>
      </c>
      <c r="M2563" s="25" t="str">
        <f aca="false">IF(L2563="","",ROUND(N(E2563)*L2563,2))</f>
        <v/>
      </c>
      <c r="N2563" s="39" t="str">
        <f aca="false">IF(OR(A2563="",B2563=""),"",SUMIFS(tl_Hours,tl_StaffID,I2563,tl_Date,A2563))</f>
        <v/>
      </c>
      <c r="O2563" s="40" t="str">
        <f aca="false">IF(A2563&amp;B2563&amp;D2563="","",IF(OR(A2563="",B2563="",D2563="",E2563=""),"Incomplete",IF(K2563="Unknown","Unknown code",IF(AND(K2563="Yes",C2563=""),"Billable, needs client",IF(N2563&gt;MaxDayHours,"Over "&amp;MaxDayHours&amp;" hours that day","")))))</f>
        <v/>
      </c>
    </row>
    <row r="2564" customFormat="false" ht="15" hidden="false" customHeight="false" outlineLevel="0" collapsed="false">
      <c r="A2564" s="31"/>
      <c r="B2564" s="32"/>
      <c r="C2564" s="32"/>
      <c r="D2564" s="33"/>
      <c r="E2564" s="34"/>
      <c r="F2564" s="32"/>
      <c r="G2564" s="35" t="str">
        <f aca="false">IF(A2564="","",A2564+7-WEEKDAY(A2564))</f>
        <v/>
      </c>
      <c r="H2564" s="36" t="str">
        <f aca="false">IF(A2564="","",DATE(YEAR(A2564),MONTH(A2564),1))</f>
        <v/>
      </c>
      <c r="I2564" s="37" t="str">
        <f aca="false">IF(B2564="","",IFERROR(INDEX(st_ID,MATCH(B2564,st_Name,0)),"Unknown"))</f>
        <v/>
      </c>
      <c r="J2564" s="37" t="str">
        <f aca="false">IF(C2564="","",IFERROR(INDEX(cl_Code,MATCH(C2564,cl_Name,0)),"Unknown"))</f>
        <v/>
      </c>
      <c r="K2564" s="37" t="str">
        <f aca="false">IF(D2564="","",IFERROR(INDEX(rt_Billable,MATCH(D2564,rt_Code,0)),"Unknown"))</f>
        <v/>
      </c>
      <c r="L2564" s="38" t="str">
        <f aca="false">IF(K2564&lt;&gt;"Yes","",IFERROR(INDEX(cr_Rate,MATCH(J2564&amp;"|"&amp;D2564,cr_Key,0)),INDEX(rt_Rate,MATCH(D2564,rt_Code,0))))</f>
        <v/>
      </c>
      <c r="M2564" s="25" t="str">
        <f aca="false">IF(L2564="","",ROUND(N(E2564)*L2564,2))</f>
        <v/>
      </c>
      <c r="N2564" s="39" t="str">
        <f aca="false">IF(OR(A2564="",B2564=""),"",SUMIFS(tl_Hours,tl_StaffID,I2564,tl_Date,A2564))</f>
        <v/>
      </c>
      <c r="O2564" s="40" t="str">
        <f aca="false">IF(A2564&amp;B2564&amp;D2564="","",IF(OR(A2564="",B2564="",D2564="",E2564=""),"Incomplete",IF(K2564="Unknown","Unknown code",IF(AND(K2564="Yes",C2564=""),"Billable, needs client",IF(N2564&gt;MaxDayHours,"Over "&amp;MaxDayHours&amp;" hours that day","")))))</f>
        <v/>
      </c>
    </row>
    <row r="2565" customFormat="false" ht="15" hidden="false" customHeight="false" outlineLevel="0" collapsed="false">
      <c r="A2565" s="31"/>
      <c r="B2565" s="32"/>
      <c r="C2565" s="32"/>
      <c r="D2565" s="33"/>
      <c r="E2565" s="34"/>
      <c r="F2565" s="32"/>
      <c r="G2565" s="35" t="str">
        <f aca="false">IF(A2565="","",A2565+7-WEEKDAY(A2565))</f>
        <v/>
      </c>
      <c r="H2565" s="36" t="str">
        <f aca="false">IF(A2565="","",DATE(YEAR(A2565),MONTH(A2565),1))</f>
        <v/>
      </c>
      <c r="I2565" s="37" t="str">
        <f aca="false">IF(B2565="","",IFERROR(INDEX(st_ID,MATCH(B2565,st_Name,0)),"Unknown"))</f>
        <v/>
      </c>
      <c r="J2565" s="37" t="str">
        <f aca="false">IF(C2565="","",IFERROR(INDEX(cl_Code,MATCH(C2565,cl_Name,0)),"Unknown"))</f>
        <v/>
      </c>
      <c r="K2565" s="37" t="str">
        <f aca="false">IF(D2565="","",IFERROR(INDEX(rt_Billable,MATCH(D2565,rt_Code,0)),"Unknown"))</f>
        <v/>
      </c>
      <c r="L2565" s="38" t="str">
        <f aca="false">IF(K2565&lt;&gt;"Yes","",IFERROR(INDEX(cr_Rate,MATCH(J2565&amp;"|"&amp;D2565,cr_Key,0)),INDEX(rt_Rate,MATCH(D2565,rt_Code,0))))</f>
        <v/>
      </c>
      <c r="M2565" s="25" t="str">
        <f aca="false">IF(L2565="","",ROUND(N(E2565)*L2565,2))</f>
        <v/>
      </c>
      <c r="N2565" s="39" t="str">
        <f aca="false">IF(OR(A2565="",B2565=""),"",SUMIFS(tl_Hours,tl_StaffID,I2565,tl_Date,A2565))</f>
        <v/>
      </c>
      <c r="O2565" s="40" t="str">
        <f aca="false">IF(A2565&amp;B2565&amp;D2565="","",IF(OR(A2565="",B2565="",D2565="",E2565=""),"Incomplete",IF(K2565="Unknown","Unknown code",IF(AND(K2565="Yes",C2565=""),"Billable, needs client",IF(N2565&gt;MaxDayHours,"Over "&amp;MaxDayHours&amp;" hours that day","")))))</f>
        <v/>
      </c>
    </row>
    <row r="2566" customFormat="false" ht="15" hidden="false" customHeight="false" outlineLevel="0" collapsed="false">
      <c r="A2566" s="31"/>
      <c r="B2566" s="32"/>
      <c r="C2566" s="32"/>
      <c r="D2566" s="33"/>
      <c r="E2566" s="34"/>
      <c r="F2566" s="32"/>
      <c r="G2566" s="35" t="str">
        <f aca="false">IF(A2566="","",A2566+7-WEEKDAY(A2566))</f>
        <v/>
      </c>
      <c r="H2566" s="36" t="str">
        <f aca="false">IF(A2566="","",DATE(YEAR(A2566),MONTH(A2566),1))</f>
        <v/>
      </c>
      <c r="I2566" s="37" t="str">
        <f aca="false">IF(B2566="","",IFERROR(INDEX(st_ID,MATCH(B2566,st_Name,0)),"Unknown"))</f>
        <v/>
      </c>
      <c r="J2566" s="37" t="str">
        <f aca="false">IF(C2566="","",IFERROR(INDEX(cl_Code,MATCH(C2566,cl_Name,0)),"Unknown"))</f>
        <v/>
      </c>
      <c r="K2566" s="37" t="str">
        <f aca="false">IF(D2566="","",IFERROR(INDEX(rt_Billable,MATCH(D2566,rt_Code,0)),"Unknown"))</f>
        <v/>
      </c>
      <c r="L2566" s="38" t="str">
        <f aca="false">IF(K2566&lt;&gt;"Yes","",IFERROR(INDEX(cr_Rate,MATCH(J2566&amp;"|"&amp;D2566,cr_Key,0)),INDEX(rt_Rate,MATCH(D2566,rt_Code,0))))</f>
        <v/>
      </c>
      <c r="M2566" s="25" t="str">
        <f aca="false">IF(L2566="","",ROUND(N(E2566)*L2566,2))</f>
        <v/>
      </c>
      <c r="N2566" s="39" t="str">
        <f aca="false">IF(OR(A2566="",B2566=""),"",SUMIFS(tl_Hours,tl_StaffID,I2566,tl_Date,A2566))</f>
        <v/>
      </c>
      <c r="O2566" s="40" t="str">
        <f aca="false">IF(A2566&amp;B2566&amp;D2566="","",IF(OR(A2566="",B2566="",D2566="",E2566=""),"Incomplete",IF(K2566="Unknown","Unknown code",IF(AND(K2566="Yes",C2566=""),"Billable, needs client",IF(N2566&gt;MaxDayHours,"Over "&amp;MaxDayHours&amp;" hours that day","")))))</f>
        <v/>
      </c>
    </row>
    <row r="2567" customFormat="false" ht="15" hidden="false" customHeight="false" outlineLevel="0" collapsed="false">
      <c r="A2567" s="31"/>
      <c r="B2567" s="32"/>
      <c r="C2567" s="32"/>
      <c r="D2567" s="33"/>
      <c r="E2567" s="34"/>
      <c r="F2567" s="32"/>
      <c r="G2567" s="35" t="str">
        <f aca="false">IF(A2567="","",A2567+7-WEEKDAY(A2567))</f>
        <v/>
      </c>
      <c r="H2567" s="36" t="str">
        <f aca="false">IF(A2567="","",DATE(YEAR(A2567),MONTH(A2567),1))</f>
        <v/>
      </c>
      <c r="I2567" s="37" t="str">
        <f aca="false">IF(B2567="","",IFERROR(INDEX(st_ID,MATCH(B2567,st_Name,0)),"Unknown"))</f>
        <v/>
      </c>
      <c r="J2567" s="37" t="str">
        <f aca="false">IF(C2567="","",IFERROR(INDEX(cl_Code,MATCH(C2567,cl_Name,0)),"Unknown"))</f>
        <v/>
      </c>
      <c r="K2567" s="37" t="str">
        <f aca="false">IF(D2567="","",IFERROR(INDEX(rt_Billable,MATCH(D2567,rt_Code,0)),"Unknown"))</f>
        <v/>
      </c>
      <c r="L2567" s="38" t="str">
        <f aca="false">IF(K2567&lt;&gt;"Yes","",IFERROR(INDEX(cr_Rate,MATCH(J2567&amp;"|"&amp;D2567,cr_Key,0)),INDEX(rt_Rate,MATCH(D2567,rt_Code,0))))</f>
        <v/>
      </c>
      <c r="M2567" s="25" t="str">
        <f aca="false">IF(L2567="","",ROUND(N(E2567)*L2567,2))</f>
        <v/>
      </c>
      <c r="N2567" s="39" t="str">
        <f aca="false">IF(OR(A2567="",B2567=""),"",SUMIFS(tl_Hours,tl_StaffID,I2567,tl_Date,A2567))</f>
        <v/>
      </c>
      <c r="O2567" s="40" t="str">
        <f aca="false">IF(A2567&amp;B2567&amp;D2567="","",IF(OR(A2567="",B2567="",D2567="",E2567=""),"Incomplete",IF(K2567="Unknown","Unknown code",IF(AND(K2567="Yes",C2567=""),"Billable, needs client",IF(N2567&gt;MaxDayHours,"Over "&amp;MaxDayHours&amp;" hours that day","")))))</f>
        <v/>
      </c>
    </row>
    <row r="2568" customFormat="false" ht="15" hidden="false" customHeight="false" outlineLevel="0" collapsed="false">
      <c r="A2568" s="31"/>
      <c r="B2568" s="32"/>
      <c r="C2568" s="32"/>
      <c r="D2568" s="33"/>
      <c r="E2568" s="34"/>
      <c r="F2568" s="32"/>
      <c r="G2568" s="35" t="str">
        <f aca="false">IF(A2568="","",A2568+7-WEEKDAY(A2568))</f>
        <v/>
      </c>
      <c r="H2568" s="36" t="str">
        <f aca="false">IF(A2568="","",DATE(YEAR(A2568),MONTH(A2568),1))</f>
        <v/>
      </c>
      <c r="I2568" s="37" t="str">
        <f aca="false">IF(B2568="","",IFERROR(INDEX(st_ID,MATCH(B2568,st_Name,0)),"Unknown"))</f>
        <v/>
      </c>
      <c r="J2568" s="37" t="str">
        <f aca="false">IF(C2568="","",IFERROR(INDEX(cl_Code,MATCH(C2568,cl_Name,0)),"Unknown"))</f>
        <v/>
      </c>
      <c r="K2568" s="37" t="str">
        <f aca="false">IF(D2568="","",IFERROR(INDEX(rt_Billable,MATCH(D2568,rt_Code,0)),"Unknown"))</f>
        <v/>
      </c>
      <c r="L2568" s="38" t="str">
        <f aca="false">IF(K2568&lt;&gt;"Yes","",IFERROR(INDEX(cr_Rate,MATCH(J2568&amp;"|"&amp;D2568,cr_Key,0)),INDEX(rt_Rate,MATCH(D2568,rt_Code,0))))</f>
        <v/>
      </c>
      <c r="M2568" s="25" t="str">
        <f aca="false">IF(L2568="","",ROUND(N(E2568)*L2568,2))</f>
        <v/>
      </c>
      <c r="N2568" s="39" t="str">
        <f aca="false">IF(OR(A2568="",B2568=""),"",SUMIFS(tl_Hours,tl_StaffID,I2568,tl_Date,A2568))</f>
        <v/>
      </c>
      <c r="O2568" s="40" t="str">
        <f aca="false">IF(A2568&amp;B2568&amp;D2568="","",IF(OR(A2568="",B2568="",D2568="",E2568=""),"Incomplete",IF(K2568="Unknown","Unknown code",IF(AND(K2568="Yes",C2568=""),"Billable, needs client",IF(N2568&gt;MaxDayHours,"Over "&amp;MaxDayHours&amp;" hours that day","")))))</f>
        <v/>
      </c>
    </row>
    <row r="2569" customFormat="false" ht="15" hidden="false" customHeight="false" outlineLevel="0" collapsed="false">
      <c r="A2569" s="31"/>
      <c r="B2569" s="32"/>
      <c r="C2569" s="32"/>
      <c r="D2569" s="33"/>
      <c r="E2569" s="34"/>
      <c r="F2569" s="32"/>
      <c r="G2569" s="35" t="str">
        <f aca="false">IF(A2569="","",A2569+7-WEEKDAY(A2569))</f>
        <v/>
      </c>
      <c r="H2569" s="36" t="str">
        <f aca="false">IF(A2569="","",DATE(YEAR(A2569),MONTH(A2569),1))</f>
        <v/>
      </c>
      <c r="I2569" s="37" t="str">
        <f aca="false">IF(B2569="","",IFERROR(INDEX(st_ID,MATCH(B2569,st_Name,0)),"Unknown"))</f>
        <v/>
      </c>
      <c r="J2569" s="37" t="str">
        <f aca="false">IF(C2569="","",IFERROR(INDEX(cl_Code,MATCH(C2569,cl_Name,0)),"Unknown"))</f>
        <v/>
      </c>
      <c r="K2569" s="37" t="str">
        <f aca="false">IF(D2569="","",IFERROR(INDEX(rt_Billable,MATCH(D2569,rt_Code,0)),"Unknown"))</f>
        <v/>
      </c>
      <c r="L2569" s="38" t="str">
        <f aca="false">IF(K2569&lt;&gt;"Yes","",IFERROR(INDEX(cr_Rate,MATCH(J2569&amp;"|"&amp;D2569,cr_Key,0)),INDEX(rt_Rate,MATCH(D2569,rt_Code,0))))</f>
        <v/>
      </c>
      <c r="M2569" s="25" t="str">
        <f aca="false">IF(L2569="","",ROUND(N(E2569)*L2569,2))</f>
        <v/>
      </c>
      <c r="N2569" s="39" t="str">
        <f aca="false">IF(OR(A2569="",B2569=""),"",SUMIFS(tl_Hours,tl_StaffID,I2569,tl_Date,A2569))</f>
        <v/>
      </c>
      <c r="O2569" s="40" t="str">
        <f aca="false">IF(A2569&amp;B2569&amp;D2569="","",IF(OR(A2569="",B2569="",D2569="",E2569=""),"Incomplete",IF(K2569="Unknown","Unknown code",IF(AND(K2569="Yes",C2569=""),"Billable, needs client",IF(N2569&gt;MaxDayHours,"Over "&amp;MaxDayHours&amp;" hours that day","")))))</f>
        <v/>
      </c>
    </row>
    <row r="2570" customFormat="false" ht="15" hidden="false" customHeight="false" outlineLevel="0" collapsed="false">
      <c r="A2570" s="31"/>
      <c r="B2570" s="32"/>
      <c r="C2570" s="32"/>
      <c r="D2570" s="33"/>
      <c r="E2570" s="34"/>
      <c r="F2570" s="32"/>
      <c r="G2570" s="35" t="str">
        <f aca="false">IF(A2570="","",A2570+7-WEEKDAY(A2570))</f>
        <v/>
      </c>
      <c r="H2570" s="36" t="str">
        <f aca="false">IF(A2570="","",DATE(YEAR(A2570),MONTH(A2570),1))</f>
        <v/>
      </c>
      <c r="I2570" s="37" t="str">
        <f aca="false">IF(B2570="","",IFERROR(INDEX(st_ID,MATCH(B2570,st_Name,0)),"Unknown"))</f>
        <v/>
      </c>
      <c r="J2570" s="37" t="str">
        <f aca="false">IF(C2570="","",IFERROR(INDEX(cl_Code,MATCH(C2570,cl_Name,0)),"Unknown"))</f>
        <v/>
      </c>
      <c r="K2570" s="37" t="str">
        <f aca="false">IF(D2570="","",IFERROR(INDEX(rt_Billable,MATCH(D2570,rt_Code,0)),"Unknown"))</f>
        <v/>
      </c>
      <c r="L2570" s="38" t="str">
        <f aca="false">IF(K2570&lt;&gt;"Yes","",IFERROR(INDEX(cr_Rate,MATCH(J2570&amp;"|"&amp;D2570,cr_Key,0)),INDEX(rt_Rate,MATCH(D2570,rt_Code,0))))</f>
        <v/>
      </c>
      <c r="M2570" s="25" t="str">
        <f aca="false">IF(L2570="","",ROUND(N(E2570)*L2570,2))</f>
        <v/>
      </c>
      <c r="N2570" s="39" t="str">
        <f aca="false">IF(OR(A2570="",B2570=""),"",SUMIFS(tl_Hours,tl_StaffID,I2570,tl_Date,A2570))</f>
        <v/>
      </c>
      <c r="O2570" s="40" t="str">
        <f aca="false">IF(A2570&amp;B2570&amp;D2570="","",IF(OR(A2570="",B2570="",D2570="",E2570=""),"Incomplete",IF(K2570="Unknown","Unknown code",IF(AND(K2570="Yes",C2570=""),"Billable, needs client",IF(N2570&gt;MaxDayHours,"Over "&amp;MaxDayHours&amp;" hours that day","")))))</f>
        <v/>
      </c>
    </row>
    <row r="2571" customFormat="false" ht="15" hidden="false" customHeight="false" outlineLevel="0" collapsed="false">
      <c r="A2571" s="31"/>
      <c r="B2571" s="32"/>
      <c r="C2571" s="32"/>
      <c r="D2571" s="33"/>
      <c r="E2571" s="34"/>
      <c r="F2571" s="32"/>
      <c r="G2571" s="35" t="str">
        <f aca="false">IF(A2571="","",A2571+7-WEEKDAY(A2571))</f>
        <v/>
      </c>
      <c r="H2571" s="36" t="str">
        <f aca="false">IF(A2571="","",DATE(YEAR(A2571),MONTH(A2571),1))</f>
        <v/>
      </c>
      <c r="I2571" s="37" t="str">
        <f aca="false">IF(B2571="","",IFERROR(INDEX(st_ID,MATCH(B2571,st_Name,0)),"Unknown"))</f>
        <v/>
      </c>
      <c r="J2571" s="37" t="str">
        <f aca="false">IF(C2571="","",IFERROR(INDEX(cl_Code,MATCH(C2571,cl_Name,0)),"Unknown"))</f>
        <v/>
      </c>
      <c r="K2571" s="37" t="str">
        <f aca="false">IF(D2571="","",IFERROR(INDEX(rt_Billable,MATCH(D2571,rt_Code,0)),"Unknown"))</f>
        <v/>
      </c>
      <c r="L2571" s="38" t="str">
        <f aca="false">IF(K2571&lt;&gt;"Yes","",IFERROR(INDEX(cr_Rate,MATCH(J2571&amp;"|"&amp;D2571,cr_Key,0)),INDEX(rt_Rate,MATCH(D2571,rt_Code,0))))</f>
        <v/>
      </c>
      <c r="M2571" s="25" t="str">
        <f aca="false">IF(L2571="","",ROUND(N(E2571)*L2571,2))</f>
        <v/>
      </c>
      <c r="N2571" s="39" t="str">
        <f aca="false">IF(OR(A2571="",B2571=""),"",SUMIFS(tl_Hours,tl_StaffID,I2571,tl_Date,A2571))</f>
        <v/>
      </c>
      <c r="O2571" s="40" t="str">
        <f aca="false">IF(A2571&amp;B2571&amp;D2571="","",IF(OR(A2571="",B2571="",D2571="",E2571=""),"Incomplete",IF(K2571="Unknown","Unknown code",IF(AND(K2571="Yes",C2571=""),"Billable, needs client",IF(N2571&gt;MaxDayHours,"Over "&amp;MaxDayHours&amp;" hours that day","")))))</f>
        <v/>
      </c>
    </row>
    <row r="2572" customFormat="false" ht="15" hidden="false" customHeight="false" outlineLevel="0" collapsed="false">
      <c r="A2572" s="31"/>
      <c r="B2572" s="32"/>
      <c r="C2572" s="32"/>
      <c r="D2572" s="33"/>
      <c r="E2572" s="34"/>
      <c r="F2572" s="32"/>
      <c r="G2572" s="35" t="str">
        <f aca="false">IF(A2572="","",A2572+7-WEEKDAY(A2572))</f>
        <v/>
      </c>
      <c r="H2572" s="36" t="str">
        <f aca="false">IF(A2572="","",DATE(YEAR(A2572),MONTH(A2572),1))</f>
        <v/>
      </c>
      <c r="I2572" s="37" t="str">
        <f aca="false">IF(B2572="","",IFERROR(INDEX(st_ID,MATCH(B2572,st_Name,0)),"Unknown"))</f>
        <v/>
      </c>
      <c r="J2572" s="37" t="str">
        <f aca="false">IF(C2572="","",IFERROR(INDEX(cl_Code,MATCH(C2572,cl_Name,0)),"Unknown"))</f>
        <v/>
      </c>
      <c r="K2572" s="37" t="str">
        <f aca="false">IF(D2572="","",IFERROR(INDEX(rt_Billable,MATCH(D2572,rt_Code,0)),"Unknown"))</f>
        <v/>
      </c>
      <c r="L2572" s="38" t="str">
        <f aca="false">IF(K2572&lt;&gt;"Yes","",IFERROR(INDEX(cr_Rate,MATCH(J2572&amp;"|"&amp;D2572,cr_Key,0)),INDEX(rt_Rate,MATCH(D2572,rt_Code,0))))</f>
        <v/>
      </c>
      <c r="M2572" s="25" t="str">
        <f aca="false">IF(L2572="","",ROUND(N(E2572)*L2572,2))</f>
        <v/>
      </c>
      <c r="N2572" s="39" t="str">
        <f aca="false">IF(OR(A2572="",B2572=""),"",SUMIFS(tl_Hours,tl_StaffID,I2572,tl_Date,A2572))</f>
        <v/>
      </c>
      <c r="O2572" s="40" t="str">
        <f aca="false">IF(A2572&amp;B2572&amp;D2572="","",IF(OR(A2572="",B2572="",D2572="",E2572=""),"Incomplete",IF(K2572="Unknown","Unknown code",IF(AND(K2572="Yes",C2572=""),"Billable, needs client",IF(N2572&gt;MaxDayHours,"Over "&amp;MaxDayHours&amp;" hours that day","")))))</f>
        <v/>
      </c>
    </row>
    <row r="2573" customFormat="false" ht="15" hidden="false" customHeight="false" outlineLevel="0" collapsed="false">
      <c r="A2573" s="31"/>
      <c r="B2573" s="32"/>
      <c r="C2573" s="32"/>
      <c r="D2573" s="33"/>
      <c r="E2573" s="34"/>
      <c r="F2573" s="32"/>
      <c r="G2573" s="35" t="str">
        <f aca="false">IF(A2573="","",A2573+7-WEEKDAY(A2573))</f>
        <v/>
      </c>
      <c r="H2573" s="36" t="str">
        <f aca="false">IF(A2573="","",DATE(YEAR(A2573),MONTH(A2573),1))</f>
        <v/>
      </c>
      <c r="I2573" s="37" t="str">
        <f aca="false">IF(B2573="","",IFERROR(INDEX(st_ID,MATCH(B2573,st_Name,0)),"Unknown"))</f>
        <v/>
      </c>
      <c r="J2573" s="37" t="str">
        <f aca="false">IF(C2573="","",IFERROR(INDEX(cl_Code,MATCH(C2573,cl_Name,0)),"Unknown"))</f>
        <v/>
      </c>
      <c r="K2573" s="37" t="str">
        <f aca="false">IF(D2573="","",IFERROR(INDEX(rt_Billable,MATCH(D2573,rt_Code,0)),"Unknown"))</f>
        <v/>
      </c>
      <c r="L2573" s="38" t="str">
        <f aca="false">IF(K2573&lt;&gt;"Yes","",IFERROR(INDEX(cr_Rate,MATCH(J2573&amp;"|"&amp;D2573,cr_Key,0)),INDEX(rt_Rate,MATCH(D2573,rt_Code,0))))</f>
        <v/>
      </c>
      <c r="M2573" s="25" t="str">
        <f aca="false">IF(L2573="","",ROUND(N(E2573)*L2573,2))</f>
        <v/>
      </c>
      <c r="N2573" s="39" t="str">
        <f aca="false">IF(OR(A2573="",B2573=""),"",SUMIFS(tl_Hours,tl_StaffID,I2573,tl_Date,A2573))</f>
        <v/>
      </c>
      <c r="O2573" s="40" t="str">
        <f aca="false">IF(A2573&amp;B2573&amp;D2573="","",IF(OR(A2573="",B2573="",D2573="",E2573=""),"Incomplete",IF(K2573="Unknown","Unknown code",IF(AND(K2573="Yes",C2573=""),"Billable, needs client",IF(N2573&gt;MaxDayHours,"Over "&amp;MaxDayHours&amp;" hours that day","")))))</f>
        <v/>
      </c>
    </row>
    <row r="2574" customFormat="false" ht="15" hidden="false" customHeight="false" outlineLevel="0" collapsed="false">
      <c r="A2574" s="31"/>
      <c r="B2574" s="32"/>
      <c r="C2574" s="32"/>
      <c r="D2574" s="33"/>
      <c r="E2574" s="34"/>
      <c r="F2574" s="32"/>
      <c r="G2574" s="35" t="str">
        <f aca="false">IF(A2574="","",A2574+7-WEEKDAY(A2574))</f>
        <v/>
      </c>
      <c r="H2574" s="36" t="str">
        <f aca="false">IF(A2574="","",DATE(YEAR(A2574),MONTH(A2574),1))</f>
        <v/>
      </c>
      <c r="I2574" s="37" t="str">
        <f aca="false">IF(B2574="","",IFERROR(INDEX(st_ID,MATCH(B2574,st_Name,0)),"Unknown"))</f>
        <v/>
      </c>
      <c r="J2574" s="37" t="str">
        <f aca="false">IF(C2574="","",IFERROR(INDEX(cl_Code,MATCH(C2574,cl_Name,0)),"Unknown"))</f>
        <v/>
      </c>
      <c r="K2574" s="37" t="str">
        <f aca="false">IF(D2574="","",IFERROR(INDEX(rt_Billable,MATCH(D2574,rt_Code,0)),"Unknown"))</f>
        <v/>
      </c>
      <c r="L2574" s="38" t="str">
        <f aca="false">IF(K2574&lt;&gt;"Yes","",IFERROR(INDEX(cr_Rate,MATCH(J2574&amp;"|"&amp;D2574,cr_Key,0)),INDEX(rt_Rate,MATCH(D2574,rt_Code,0))))</f>
        <v/>
      </c>
      <c r="M2574" s="25" t="str">
        <f aca="false">IF(L2574="","",ROUND(N(E2574)*L2574,2))</f>
        <v/>
      </c>
      <c r="N2574" s="39" t="str">
        <f aca="false">IF(OR(A2574="",B2574=""),"",SUMIFS(tl_Hours,tl_StaffID,I2574,tl_Date,A2574))</f>
        <v/>
      </c>
      <c r="O2574" s="40" t="str">
        <f aca="false">IF(A2574&amp;B2574&amp;D2574="","",IF(OR(A2574="",B2574="",D2574="",E2574=""),"Incomplete",IF(K2574="Unknown","Unknown code",IF(AND(K2574="Yes",C2574=""),"Billable, needs client",IF(N2574&gt;MaxDayHours,"Over "&amp;MaxDayHours&amp;" hours that day","")))))</f>
        <v/>
      </c>
    </row>
    <row r="2575" customFormat="false" ht="15" hidden="false" customHeight="false" outlineLevel="0" collapsed="false">
      <c r="A2575" s="31"/>
      <c r="B2575" s="32"/>
      <c r="C2575" s="32"/>
      <c r="D2575" s="33"/>
      <c r="E2575" s="34"/>
      <c r="F2575" s="32"/>
      <c r="G2575" s="35" t="str">
        <f aca="false">IF(A2575="","",A2575+7-WEEKDAY(A2575))</f>
        <v/>
      </c>
      <c r="H2575" s="36" t="str">
        <f aca="false">IF(A2575="","",DATE(YEAR(A2575),MONTH(A2575),1))</f>
        <v/>
      </c>
      <c r="I2575" s="37" t="str">
        <f aca="false">IF(B2575="","",IFERROR(INDEX(st_ID,MATCH(B2575,st_Name,0)),"Unknown"))</f>
        <v/>
      </c>
      <c r="J2575" s="37" t="str">
        <f aca="false">IF(C2575="","",IFERROR(INDEX(cl_Code,MATCH(C2575,cl_Name,0)),"Unknown"))</f>
        <v/>
      </c>
      <c r="K2575" s="37" t="str">
        <f aca="false">IF(D2575="","",IFERROR(INDEX(rt_Billable,MATCH(D2575,rt_Code,0)),"Unknown"))</f>
        <v/>
      </c>
      <c r="L2575" s="38" t="str">
        <f aca="false">IF(K2575&lt;&gt;"Yes","",IFERROR(INDEX(cr_Rate,MATCH(J2575&amp;"|"&amp;D2575,cr_Key,0)),INDEX(rt_Rate,MATCH(D2575,rt_Code,0))))</f>
        <v/>
      </c>
      <c r="M2575" s="25" t="str">
        <f aca="false">IF(L2575="","",ROUND(N(E2575)*L2575,2))</f>
        <v/>
      </c>
      <c r="N2575" s="39" t="str">
        <f aca="false">IF(OR(A2575="",B2575=""),"",SUMIFS(tl_Hours,tl_StaffID,I2575,tl_Date,A2575))</f>
        <v/>
      </c>
      <c r="O2575" s="40" t="str">
        <f aca="false">IF(A2575&amp;B2575&amp;D2575="","",IF(OR(A2575="",B2575="",D2575="",E2575=""),"Incomplete",IF(K2575="Unknown","Unknown code",IF(AND(K2575="Yes",C2575=""),"Billable, needs client",IF(N2575&gt;MaxDayHours,"Over "&amp;MaxDayHours&amp;" hours that day","")))))</f>
        <v/>
      </c>
    </row>
    <row r="2576" customFormat="false" ht="15" hidden="false" customHeight="false" outlineLevel="0" collapsed="false">
      <c r="A2576" s="31"/>
      <c r="B2576" s="32"/>
      <c r="C2576" s="32"/>
      <c r="D2576" s="33"/>
      <c r="E2576" s="34"/>
      <c r="F2576" s="32"/>
      <c r="G2576" s="35" t="str">
        <f aca="false">IF(A2576="","",A2576+7-WEEKDAY(A2576))</f>
        <v/>
      </c>
      <c r="H2576" s="36" t="str">
        <f aca="false">IF(A2576="","",DATE(YEAR(A2576),MONTH(A2576),1))</f>
        <v/>
      </c>
      <c r="I2576" s="37" t="str">
        <f aca="false">IF(B2576="","",IFERROR(INDEX(st_ID,MATCH(B2576,st_Name,0)),"Unknown"))</f>
        <v/>
      </c>
      <c r="J2576" s="37" t="str">
        <f aca="false">IF(C2576="","",IFERROR(INDEX(cl_Code,MATCH(C2576,cl_Name,0)),"Unknown"))</f>
        <v/>
      </c>
      <c r="K2576" s="37" t="str">
        <f aca="false">IF(D2576="","",IFERROR(INDEX(rt_Billable,MATCH(D2576,rt_Code,0)),"Unknown"))</f>
        <v/>
      </c>
      <c r="L2576" s="38" t="str">
        <f aca="false">IF(K2576&lt;&gt;"Yes","",IFERROR(INDEX(cr_Rate,MATCH(J2576&amp;"|"&amp;D2576,cr_Key,0)),INDEX(rt_Rate,MATCH(D2576,rt_Code,0))))</f>
        <v/>
      </c>
      <c r="M2576" s="25" t="str">
        <f aca="false">IF(L2576="","",ROUND(N(E2576)*L2576,2))</f>
        <v/>
      </c>
      <c r="N2576" s="39" t="str">
        <f aca="false">IF(OR(A2576="",B2576=""),"",SUMIFS(tl_Hours,tl_StaffID,I2576,tl_Date,A2576))</f>
        <v/>
      </c>
      <c r="O2576" s="40" t="str">
        <f aca="false">IF(A2576&amp;B2576&amp;D2576="","",IF(OR(A2576="",B2576="",D2576="",E2576=""),"Incomplete",IF(K2576="Unknown","Unknown code",IF(AND(K2576="Yes",C2576=""),"Billable, needs client",IF(N2576&gt;MaxDayHours,"Over "&amp;MaxDayHours&amp;" hours that day","")))))</f>
        <v/>
      </c>
    </row>
    <row r="2577" customFormat="false" ht="15" hidden="false" customHeight="false" outlineLevel="0" collapsed="false">
      <c r="A2577" s="31"/>
      <c r="B2577" s="32"/>
      <c r="C2577" s="32"/>
      <c r="D2577" s="33"/>
      <c r="E2577" s="34"/>
      <c r="F2577" s="32"/>
      <c r="G2577" s="35" t="str">
        <f aca="false">IF(A2577="","",A2577+7-WEEKDAY(A2577))</f>
        <v/>
      </c>
      <c r="H2577" s="36" t="str">
        <f aca="false">IF(A2577="","",DATE(YEAR(A2577),MONTH(A2577),1))</f>
        <v/>
      </c>
      <c r="I2577" s="37" t="str">
        <f aca="false">IF(B2577="","",IFERROR(INDEX(st_ID,MATCH(B2577,st_Name,0)),"Unknown"))</f>
        <v/>
      </c>
      <c r="J2577" s="37" t="str">
        <f aca="false">IF(C2577="","",IFERROR(INDEX(cl_Code,MATCH(C2577,cl_Name,0)),"Unknown"))</f>
        <v/>
      </c>
      <c r="K2577" s="37" t="str">
        <f aca="false">IF(D2577="","",IFERROR(INDEX(rt_Billable,MATCH(D2577,rt_Code,0)),"Unknown"))</f>
        <v/>
      </c>
      <c r="L2577" s="38" t="str">
        <f aca="false">IF(K2577&lt;&gt;"Yes","",IFERROR(INDEX(cr_Rate,MATCH(J2577&amp;"|"&amp;D2577,cr_Key,0)),INDEX(rt_Rate,MATCH(D2577,rt_Code,0))))</f>
        <v/>
      </c>
      <c r="M2577" s="25" t="str">
        <f aca="false">IF(L2577="","",ROUND(N(E2577)*L2577,2))</f>
        <v/>
      </c>
      <c r="N2577" s="39" t="str">
        <f aca="false">IF(OR(A2577="",B2577=""),"",SUMIFS(tl_Hours,tl_StaffID,I2577,tl_Date,A2577))</f>
        <v/>
      </c>
      <c r="O2577" s="40" t="str">
        <f aca="false">IF(A2577&amp;B2577&amp;D2577="","",IF(OR(A2577="",B2577="",D2577="",E2577=""),"Incomplete",IF(K2577="Unknown","Unknown code",IF(AND(K2577="Yes",C2577=""),"Billable, needs client",IF(N2577&gt;MaxDayHours,"Over "&amp;MaxDayHours&amp;" hours that day","")))))</f>
        <v/>
      </c>
    </row>
    <row r="2578" customFormat="false" ht="15" hidden="false" customHeight="false" outlineLevel="0" collapsed="false">
      <c r="A2578" s="31"/>
      <c r="B2578" s="32"/>
      <c r="C2578" s="32"/>
      <c r="D2578" s="33"/>
      <c r="E2578" s="34"/>
      <c r="F2578" s="32"/>
      <c r="G2578" s="35" t="str">
        <f aca="false">IF(A2578="","",A2578+7-WEEKDAY(A2578))</f>
        <v/>
      </c>
      <c r="H2578" s="36" t="str">
        <f aca="false">IF(A2578="","",DATE(YEAR(A2578),MONTH(A2578),1))</f>
        <v/>
      </c>
      <c r="I2578" s="37" t="str">
        <f aca="false">IF(B2578="","",IFERROR(INDEX(st_ID,MATCH(B2578,st_Name,0)),"Unknown"))</f>
        <v/>
      </c>
      <c r="J2578" s="37" t="str">
        <f aca="false">IF(C2578="","",IFERROR(INDEX(cl_Code,MATCH(C2578,cl_Name,0)),"Unknown"))</f>
        <v/>
      </c>
      <c r="K2578" s="37" t="str">
        <f aca="false">IF(D2578="","",IFERROR(INDEX(rt_Billable,MATCH(D2578,rt_Code,0)),"Unknown"))</f>
        <v/>
      </c>
      <c r="L2578" s="38" t="str">
        <f aca="false">IF(K2578&lt;&gt;"Yes","",IFERROR(INDEX(cr_Rate,MATCH(J2578&amp;"|"&amp;D2578,cr_Key,0)),INDEX(rt_Rate,MATCH(D2578,rt_Code,0))))</f>
        <v/>
      </c>
      <c r="M2578" s="25" t="str">
        <f aca="false">IF(L2578="","",ROUND(N(E2578)*L2578,2))</f>
        <v/>
      </c>
      <c r="N2578" s="39" t="str">
        <f aca="false">IF(OR(A2578="",B2578=""),"",SUMIFS(tl_Hours,tl_StaffID,I2578,tl_Date,A2578))</f>
        <v/>
      </c>
      <c r="O2578" s="40" t="str">
        <f aca="false">IF(A2578&amp;B2578&amp;D2578="","",IF(OR(A2578="",B2578="",D2578="",E2578=""),"Incomplete",IF(K2578="Unknown","Unknown code",IF(AND(K2578="Yes",C2578=""),"Billable, needs client",IF(N2578&gt;MaxDayHours,"Over "&amp;MaxDayHours&amp;" hours that day","")))))</f>
        <v/>
      </c>
    </row>
    <row r="2579" customFormat="false" ht="15" hidden="false" customHeight="false" outlineLevel="0" collapsed="false">
      <c r="A2579" s="31"/>
      <c r="B2579" s="32"/>
      <c r="C2579" s="32"/>
      <c r="D2579" s="33"/>
      <c r="E2579" s="34"/>
      <c r="F2579" s="32"/>
      <c r="G2579" s="35" t="str">
        <f aca="false">IF(A2579="","",A2579+7-WEEKDAY(A2579))</f>
        <v/>
      </c>
      <c r="H2579" s="36" t="str">
        <f aca="false">IF(A2579="","",DATE(YEAR(A2579),MONTH(A2579),1))</f>
        <v/>
      </c>
      <c r="I2579" s="37" t="str">
        <f aca="false">IF(B2579="","",IFERROR(INDEX(st_ID,MATCH(B2579,st_Name,0)),"Unknown"))</f>
        <v/>
      </c>
      <c r="J2579" s="37" t="str">
        <f aca="false">IF(C2579="","",IFERROR(INDEX(cl_Code,MATCH(C2579,cl_Name,0)),"Unknown"))</f>
        <v/>
      </c>
      <c r="K2579" s="37" t="str">
        <f aca="false">IF(D2579="","",IFERROR(INDEX(rt_Billable,MATCH(D2579,rt_Code,0)),"Unknown"))</f>
        <v/>
      </c>
      <c r="L2579" s="38" t="str">
        <f aca="false">IF(K2579&lt;&gt;"Yes","",IFERROR(INDEX(cr_Rate,MATCH(J2579&amp;"|"&amp;D2579,cr_Key,0)),INDEX(rt_Rate,MATCH(D2579,rt_Code,0))))</f>
        <v/>
      </c>
      <c r="M2579" s="25" t="str">
        <f aca="false">IF(L2579="","",ROUND(N(E2579)*L2579,2))</f>
        <v/>
      </c>
      <c r="N2579" s="39" t="str">
        <f aca="false">IF(OR(A2579="",B2579=""),"",SUMIFS(tl_Hours,tl_StaffID,I2579,tl_Date,A2579))</f>
        <v/>
      </c>
      <c r="O2579" s="40" t="str">
        <f aca="false">IF(A2579&amp;B2579&amp;D2579="","",IF(OR(A2579="",B2579="",D2579="",E2579=""),"Incomplete",IF(K2579="Unknown","Unknown code",IF(AND(K2579="Yes",C2579=""),"Billable, needs client",IF(N2579&gt;MaxDayHours,"Over "&amp;MaxDayHours&amp;" hours that day","")))))</f>
        <v/>
      </c>
    </row>
    <row r="2580" customFormat="false" ht="15" hidden="false" customHeight="false" outlineLevel="0" collapsed="false">
      <c r="A2580" s="31"/>
      <c r="B2580" s="32"/>
      <c r="C2580" s="32"/>
      <c r="D2580" s="33"/>
      <c r="E2580" s="34"/>
      <c r="F2580" s="32"/>
      <c r="G2580" s="35" t="str">
        <f aca="false">IF(A2580="","",A2580+7-WEEKDAY(A2580))</f>
        <v/>
      </c>
      <c r="H2580" s="36" t="str">
        <f aca="false">IF(A2580="","",DATE(YEAR(A2580),MONTH(A2580),1))</f>
        <v/>
      </c>
      <c r="I2580" s="37" t="str">
        <f aca="false">IF(B2580="","",IFERROR(INDEX(st_ID,MATCH(B2580,st_Name,0)),"Unknown"))</f>
        <v/>
      </c>
      <c r="J2580" s="37" t="str">
        <f aca="false">IF(C2580="","",IFERROR(INDEX(cl_Code,MATCH(C2580,cl_Name,0)),"Unknown"))</f>
        <v/>
      </c>
      <c r="K2580" s="37" t="str">
        <f aca="false">IF(D2580="","",IFERROR(INDEX(rt_Billable,MATCH(D2580,rt_Code,0)),"Unknown"))</f>
        <v/>
      </c>
      <c r="L2580" s="38" t="str">
        <f aca="false">IF(K2580&lt;&gt;"Yes","",IFERROR(INDEX(cr_Rate,MATCH(J2580&amp;"|"&amp;D2580,cr_Key,0)),INDEX(rt_Rate,MATCH(D2580,rt_Code,0))))</f>
        <v/>
      </c>
      <c r="M2580" s="25" t="str">
        <f aca="false">IF(L2580="","",ROUND(N(E2580)*L2580,2))</f>
        <v/>
      </c>
      <c r="N2580" s="39" t="str">
        <f aca="false">IF(OR(A2580="",B2580=""),"",SUMIFS(tl_Hours,tl_StaffID,I2580,tl_Date,A2580))</f>
        <v/>
      </c>
      <c r="O2580" s="40" t="str">
        <f aca="false">IF(A2580&amp;B2580&amp;D2580="","",IF(OR(A2580="",B2580="",D2580="",E2580=""),"Incomplete",IF(K2580="Unknown","Unknown code",IF(AND(K2580="Yes",C2580=""),"Billable, needs client",IF(N2580&gt;MaxDayHours,"Over "&amp;MaxDayHours&amp;" hours that day","")))))</f>
        <v/>
      </c>
    </row>
    <row r="2581" customFormat="false" ht="15" hidden="false" customHeight="false" outlineLevel="0" collapsed="false">
      <c r="A2581" s="31"/>
      <c r="B2581" s="32"/>
      <c r="C2581" s="32"/>
      <c r="D2581" s="33"/>
      <c r="E2581" s="34"/>
      <c r="F2581" s="32"/>
      <c r="G2581" s="35" t="str">
        <f aca="false">IF(A2581="","",A2581+7-WEEKDAY(A2581))</f>
        <v/>
      </c>
      <c r="H2581" s="36" t="str">
        <f aca="false">IF(A2581="","",DATE(YEAR(A2581),MONTH(A2581),1))</f>
        <v/>
      </c>
      <c r="I2581" s="37" t="str">
        <f aca="false">IF(B2581="","",IFERROR(INDEX(st_ID,MATCH(B2581,st_Name,0)),"Unknown"))</f>
        <v/>
      </c>
      <c r="J2581" s="37" t="str">
        <f aca="false">IF(C2581="","",IFERROR(INDEX(cl_Code,MATCH(C2581,cl_Name,0)),"Unknown"))</f>
        <v/>
      </c>
      <c r="K2581" s="37" t="str">
        <f aca="false">IF(D2581="","",IFERROR(INDEX(rt_Billable,MATCH(D2581,rt_Code,0)),"Unknown"))</f>
        <v/>
      </c>
      <c r="L2581" s="38" t="str">
        <f aca="false">IF(K2581&lt;&gt;"Yes","",IFERROR(INDEX(cr_Rate,MATCH(J2581&amp;"|"&amp;D2581,cr_Key,0)),INDEX(rt_Rate,MATCH(D2581,rt_Code,0))))</f>
        <v/>
      </c>
      <c r="M2581" s="25" t="str">
        <f aca="false">IF(L2581="","",ROUND(N(E2581)*L2581,2))</f>
        <v/>
      </c>
      <c r="N2581" s="39" t="str">
        <f aca="false">IF(OR(A2581="",B2581=""),"",SUMIFS(tl_Hours,tl_StaffID,I2581,tl_Date,A2581))</f>
        <v/>
      </c>
      <c r="O2581" s="40" t="str">
        <f aca="false">IF(A2581&amp;B2581&amp;D2581="","",IF(OR(A2581="",B2581="",D2581="",E2581=""),"Incomplete",IF(K2581="Unknown","Unknown code",IF(AND(K2581="Yes",C2581=""),"Billable, needs client",IF(N2581&gt;MaxDayHours,"Over "&amp;MaxDayHours&amp;" hours that day","")))))</f>
        <v/>
      </c>
    </row>
    <row r="2582" customFormat="false" ht="15" hidden="false" customHeight="false" outlineLevel="0" collapsed="false">
      <c r="A2582" s="31"/>
      <c r="B2582" s="32"/>
      <c r="C2582" s="32"/>
      <c r="D2582" s="33"/>
      <c r="E2582" s="34"/>
      <c r="F2582" s="32"/>
      <c r="G2582" s="35" t="str">
        <f aca="false">IF(A2582="","",A2582+7-WEEKDAY(A2582))</f>
        <v/>
      </c>
      <c r="H2582" s="36" t="str">
        <f aca="false">IF(A2582="","",DATE(YEAR(A2582),MONTH(A2582),1))</f>
        <v/>
      </c>
      <c r="I2582" s="37" t="str">
        <f aca="false">IF(B2582="","",IFERROR(INDEX(st_ID,MATCH(B2582,st_Name,0)),"Unknown"))</f>
        <v/>
      </c>
      <c r="J2582" s="37" t="str">
        <f aca="false">IF(C2582="","",IFERROR(INDEX(cl_Code,MATCH(C2582,cl_Name,0)),"Unknown"))</f>
        <v/>
      </c>
      <c r="K2582" s="37" t="str">
        <f aca="false">IF(D2582="","",IFERROR(INDEX(rt_Billable,MATCH(D2582,rt_Code,0)),"Unknown"))</f>
        <v/>
      </c>
      <c r="L2582" s="38" t="str">
        <f aca="false">IF(K2582&lt;&gt;"Yes","",IFERROR(INDEX(cr_Rate,MATCH(J2582&amp;"|"&amp;D2582,cr_Key,0)),INDEX(rt_Rate,MATCH(D2582,rt_Code,0))))</f>
        <v/>
      </c>
      <c r="M2582" s="25" t="str">
        <f aca="false">IF(L2582="","",ROUND(N(E2582)*L2582,2))</f>
        <v/>
      </c>
      <c r="N2582" s="39" t="str">
        <f aca="false">IF(OR(A2582="",B2582=""),"",SUMIFS(tl_Hours,tl_StaffID,I2582,tl_Date,A2582))</f>
        <v/>
      </c>
      <c r="O2582" s="40" t="str">
        <f aca="false">IF(A2582&amp;B2582&amp;D2582="","",IF(OR(A2582="",B2582="",D2582="",E2582=""),"Incomplete",IF(K2582="Unknown","Unknown code",IF(AND(K2582="Yes",C2582=""),"Billable, needs client",IF(N2582&gt;MaxDayHours,"Over "&amp;MaxDayHours&amp;" hours that day","")))))</f>
        <v/>
      </c>
    </row>
    <row r="2583" customFormat="false" ht="15" hidden="false" customHeight="false" outlineLevel="0" collapsed="false">
      <c r="A2583" s="31"/>
      <c r="B2583" s="32"/>
      <c r="C2583" s="32"/>
      <c r="D2583" s="33"/>
      <c r="E2583" s="34"/>
      <c r="F2583" s="32"/>
      <c r="G2583" s="35" t="str">
        <f aca="false">IF(A2583="","",A2583+7-WEEKDAY(A2583))</f>
        <v/>
      </c>
      <c r="H2583" s="36" t="str">
        <f aca="false">IF(A2583="","",DATE(YEAR(A2583),MONTH(A2583),1))</f>
        <v/>
      </c>
      <c r="I2583" s="37" t="str">
        <f aca="false">IF(B2583="","",IFERROR(INDEX(st_ID,MATCH(B2583,st_Name,0)),"Unknown"))</f>
        <v/>
      </c>
      <c r="J2583" s="37" t="str">
        <f aca="false">IF(C2583="","",IFERROR(INDEX(cl_Code,MATCH(C2583,cl_Name,0)),"Unknown"))</f>
        <v/>
      </c>
      <c r="K2583" s="37" t="str">
        <f aca="false">IF(D2583="","",IFERROR(INDEX(rt_Billable,MATCH(D2583,rt_Code,0)),"Unknown"))</f>
        <v/>
      </c>
      <c r="L2583" s="38" t="str">
        <f aca="false">IF(K2583&lt;&gt;"Yes","",IFERROR(INDEX(cr_Rate,MATCH(J2583&amp;"|"&amp;D2583,cr_Key,0)),INDEX(rt_Rate,MATCH(D2583,rt_Code,0))))</f>
        <v/>
      </c>
      <c r="M2583" s="25" t="str">
        <f aca="false">IF(L2583="","",ROUND(N(E2583)*L2583,2))</f>
        <v/>
      </c>
      <c r="N2583" s="39" t="str">
        <f aca="false">IF(OR(A2583="",B2583=""),"",SUMIFS(tl_Hours,tl_StaffID,I2583,tl_Date,A2583))</f>
        <v/>
      </c>
      <c r="O2583" s="40" t="str">
        <f aca="false">IF(A2583&amp;B2583&amp;D2583="","",IF(OR(A2583="",B2583="",D2583="",E2583=""),"Incomplete",IF(K2583="Unknown","Unknown code",IF(AND(K2583="Yes",C2583=""),"Billable, needs client",IF(N2583&gt;MaxDayHours,"Over "&amp;MaxDayHours&amp;" hours that day","")))))</f>
        <v/>
      </c>
    </row>
    <row r="2584" customFormat="false" ht="15" hidden="false" customHeight="false" outlineLevel="0" collapsed="false">
      <c r="A2584" s="31"/>
      <c r="B2584" s="32"/>
      <c r="C2584" s="32"/>
      <c r="D2584" s="33"/>
      <c r="E2584" s="34"/>
      <c r="F2584" s="32"/>
      <c r="G2584" s="35" t="str">
        <f aca="false">IF(A2584="","",A2584+7-WEEKDAY(A2584))</f>
        <v/>
      </c>
      <c r="H2584" s="36" t="str">
        <f aca="false">IF(A2584="","",DATE(YEAR(A2584),MONTH(A2584),1))</f>
        <v/>
      </c>
      <c r="I2584" s="37" t="str">
        <f aca="false">IF(B2584="","",IFERROR(INDEX(st_ID,MATCH(B2584,st_Name,0)),"Unknown"))</f>
        <v/>
      </c>
      <c r="J2584" s="37" t="str">
        <f aca="false">IF(C2584="","",IFERROR(INDEX(cl_Code,MATCH(C2584,cl_Name,0)),"Unknown"))</f>
        <v/>
      </c>
      <c r="K2584" s="37" t="str">
        <f aca="false">IF(D2584="","",IFERROR(INDEX(rt_Billable,MATCH(D2584,rt_Code,0)),"Unknown"))</f>
        <v/>
      </c>
      <c r="L2584" s="38" t="str">
        <f aca="false">IF(K2584&lt;&gt;"Yes","",IFERROR(INDEX(cr_Rate,MATCH(J2584&amp;"|"&amp;D2584,cr_Key,0)),INDEX(rt_Rate,MATCH(D2584,rt_Code,0))))</f>
        <v/>
      </c>
      <c r="M2584" s="25" t="str">
        <f aca="false">IF(L2584="","",ROUND(N(E2584)*L2584,2))</f>
        <v/>
      </c>
      <c r="N2584" s="39" t="str">
        <f aca="false">IF(OR(A2584="",B2584=""),"",SUMIFS(tl_Hours,tl_StaffID,I2584,tl_Date,A2584))</f>
        <v/>
      </c>
      <c r="O2584" s="40" t="str">
        <f aca="false">IF(A2584&amp;B2584&amp;D2584="","",IF(OR(A2584="",B2584="",D2584="",E2584=""),"Incomplete",IF(K2584="Unknown","Unknown code",IF(AND(K2584="Yes",C2584=""),"Billable, needs client",IF(N2584&gt;MaxDayHours,"Over "&amp;MaxDayHours&amp;" hours that day","")))))</f>
        <v/>
      </c>
    </row>
    <row r="2585" customFormat="false" ht="15" hidden="false" customHeight="false" outlineLevel="0" collapsed="false">
      <c r="A2585" s="31"/>
      <c r="B2585" s="32"/>
      <c r="C2585" s="32"/>
      <c r="D2585" s="33"/>
      <c r="E2585" s="34"/>
      <c r="F2585" s="32"/>
      <c r="G2585" s="35" t="str">
        <f aca="false">IF(A2585="","",A2585+7-WEEKDAY(A2585))</f>
        <v/>
      </c>
      <c r="H2585" s="36" t="str">
        <f aca="false">IF(A2585="","",DATE(YEAR(A2585),MONTH(A2585),1))</f>
        <v/>
      </c>
      <c r="I2585" s="37" t="str">
        <f aca="false">IF(B2585="","",IFERROR(INDEX(st_ID,MATCH(B2585,st_Name,0)),"Unknown"))</f>
        <v/>
      </c>
      <c r="J2585" s="37" t="str">
        <f aca="false">IF(C2585="","",IFERROR(INDEX(cl_Code,MATCH(C2585,cl_Name,0)),"Unknown"))</f>
        <v/>
      </c>
      <c r="K2585" s="37" t="str">
        <f aca="false">IF(D2585="","",IFERROR(INDEX(rt_Billable,MATCH(D2585,rt_Code,0)),"Unknown"))</f>
        <v/>
      </c>
      <c r="L2585" s="38" t="str">
        <f aca="false">IF(K2585&lt;&gt;"Yes","",IFERROR(INDEX(cr_Rate,MATCH(J2585&amp;"|"&amp;D2585,cr_Key,0)),INDEX(rt_Rate,MATCH(D2585,rt_Code,0))))</f>
        <v/>
      </c>
      <c r="M2585" s="25" t="str">
        <f aca="false">IF(L2585="","",ROUND(N(E2585)*L2585,2))</f>
        <v/>
      </c>
      <c r="N2585" s="39" t="str">
        <f aca="false">IF(OR(A2585="",B2585=""),"",SUMIFS(tl_Hours,tl_StaffID,I2585,tl_Date,A2585))</f>
        <v/>
      </c>
      <c r="O2585" s="40" t="str">
        <f aca="false">IF(A2585&amp;B2585&amp;D2585="","",IF(OR(A2585="",B2585="",D2585="",E2585=""),"Incomplete",IF(K2585="Unknown","Unknown code",IF(AND(K2585="Yes",C2585=""),"Billable, needs client",IF(N2585&gt;MaxDayHours,"Over "&amp;MaxDayHours&amp;" hours that day","")))))</f>
        <v/>
      </c>
    </row>
    <row r="2586" customFormat="false" ht="15" hidden="false" customHeight="false" outlineLevel="0" collapsed="false">
      <c r="A2586" s="31"/>
      <c r="B2586" s="32"/>
      <c r="C2586" s="32"/>
      <c r="D2586" s="33"/>
      <c r="E2586" s="34"/>
      <c r="F2586" s="32"/>
      <c r="G2586" s="35" t="str">
        <f aca="false">IF(A2586="","",A2586+7-WEEKDAY(A2586))</f>
        <v/>
      </c>
      <c r="H2586" s="36" t="str">
        <f aca="false">IF(A2586="","",DATE(YEAR(A2586),MONTH(A2586),1))</f>
        <v/>
      </c>
      <c r="I2586" s="37" t="str">
        <f aca="false">IF(B2586="","",IFERROR(INDEX(st_ID,MATCH(B2586,st_Name,0)),"Unknown"))</f>
        <v/>
      </c>
      <c r="J2586" s="37" t="str">
        <f aca="false">IF(C2586="","",IFERROR(INDEX(cl_Code,MATCH(C2586,cl_Name,0)),"Unknown"))</f>
        <v/>
      </c>
      <c r="K2586" s="37" t="str">
        <f aca="false">IF(D2586="","",IFERROR(INDEX(rt_Billable,MATCH(D2586,rt_Code,0)),"Unknown"))</f>
        <v/>
      </c>
      <c r="L2586" s="38" t="str">
        <f aca="false">IF(K2586&lt;&gt;"Yes","",IFERROR(INDEX(cr_Rate,MATCH(J2586&amp;"|"&amp;D2586,cr_Key,0)),INDEX(rt_Rate,MATCH(D2586,rt_Code,0))))</f>
        <v/>
      </c>
      <c r="M2586" s="25" t="str">
        <f aca="false">IF(L2586="","",ROUND(N(E2586)*L2586,2))</f>
        <v/>
      </c>
      <c r="N2586" s="39" t="str">
        <f aca="false">IF(OR(A2586="",B2586=""),"",SUMIFS(tl_Hours,tl_StaffID,I2586,tl_Date,A2586))</f>
        <v/>
      </c>
      <c r="O2586" s="40" t="str">
        <f aca="false">IF(A2586&amp;B2586&amp;D2586="","",IF(OR(A2586="",B2586="",D2586="",E2586=""),"Incomplete",IF(K2586="Unknown","Unknown code",IF(AND(K2586="Yes",C2586=""),"Billable, needs client",IF(N2586&gt;MaxDayHours,"Over "&amp;MaxDayHours&amp;" hours that day","")))))</f>
        <v/>
      </c>
    </row>
    <row r="2587" customFormat="false" ht="15" hidden="false" customHeight="false" outlineLevel="0" collapsed="false">
      <c r="A2587" s="31"/>
      <c r="B2587" s="32"/>
      <c r="C2587" s="32"/>
      <c r="D2587" s="33"/>
      <c r="E2587" s="34"/>
      <c r="F2587" s="32"/>
      <c r="G2587" s="35" t="str">
        <f aca="false">IF(A2587="","",A2587+7-WEEKDAY(A2587))</f>
        <v/>
      </c>
      <c r="H2587" s="36" t="str">
        <f aca="false">IF(A2587="","",DATE(YEAR(A2587),MONTH(A2587),1))</f>
        <v/>
      </c>
      <c r="I2587" s="37" t="str">
        <f aca="false">IF(B2587="","",IFERROR(INDEX(st_ID,MATCH(B2587,st_Name,0)),"Unknown"))</f>
        <v/>
      </c>
      <c r="J2587" s="37" t="str">
        <f aca="false">IF(C2587="","",IFERROR(INDEX(cl_Code,MATCH(C2587,cl_Name,0)),"Unknown"))</f>
        <v/>
      </c>
      <c r="K2587" s="37" t="str">
        <f aca="false">IF(D2587="","",IFERROR(INDEX(rt_Billable,MATCH(D2587,rt_Code,0)),"Unknown"))</f>
        <v/>
      </c>
      <c r="L2587" s="38" t="str">
        <f aca="false">IF(K2587&lt;&gt;"Yes","",IFERROR(INDEX(cr_Rate,MATCH(J2587&amp;"|"&amp;D2587,cr_Key,0)),INDEX(rt_Rate,MATCH(D2587,rt_Code,0))))</f>
        <v/>
      </c>
      <c r="M2587" s="25" t="str">
        <f aca="false">IF(L2587="","",ROUND(N(E2587)*L2587,2))</f>
        <v/>
      </c>
      <c r="N2587" s="39" t="str">
        <f aca="false">IF(OR(A2587="",B2587=""),"",SUMIFS(tl_Hours,tl_StaffID,I2587,tl_Date,A2587))</f>
        <v/>
      </c>
      <c r="O2587" s="40" t="str">
        <f aca="false">IF(A2587&amp;B2587&amp;D2587="","",IF(OR(A2587="",B2587="",D2587="",E2587=""),"Incomplete",IF(K2587="Unknown","Unknown code",IF(AND(K2587="Yes",C2587=""),"Billable, needs client",IF(N2587&gt;MaxDayHours,"Over "&amp;MaxDayHours&amp;" hours that day","")))))</f>
        <v/>
      </c>
    </row>
    <row r="2588" customFormat="false" ht="15" hidden="false" customHeight="false" outlineLevel="0" collapsed="false">
      <c r="A2588" s="31"/>
      <c r="B2588" s="32"/>
      <c r="C2588" s="32"/>
      <c r="D2588" s="33"/>
      <c r="E2588" s="34"/>
      <c r="F2588" s="32"/>
      <c r="G2588" s="35" t="str">
        <f aca="false">IF(A2588="","",A2588+7-WEEKDAY(A2588))</f>
        <v/>
      </c>
      <c r="H2588" s="36" t="str">
        <f aca="false">IF(A2588="","",DATE(YEAR(A2588),MONTH(A2588),1))</f>
        <v/>
      </c>
      <c r="I2588" s="37" t="str">
        <f aca="false">IF(B2588="","",IFERROR(INDEX(st_ID,MATCH(B2588,st_Name,0)),"Unknown"))</f>
        <v/>
      </c>
      <c r="J2588" s="37" t="str">
        <f aca="false">IF(C2588="","",IFERROR(INDEX(cl_Code,MATCH(C2588,cl_Name,0)),"Unknown"))</f>
        <v/>
      </c>
      <c r="K2588" s="37" t="str">
        <f aca="false">IF(D2588="","",IFERROR(INDEX(rt_Billable,MATCH(D2588,rt_Code,0)),"Unknown"))</f>
        <v/>
      </c>
      <c r="L2588" s="38" t="str">
        <f aca="false">IF(K2588&lt;&gt;"Yes","",IFERROR(INDEX(cr_Rate,MATCH(J2588&amp;"|"&amp;D2588,cr_Key,0)),INDEX(rt_Rate,MATCH(D2588,rt_Code,0))))</f>
        <v/>
      </c>
      <c r="M2588" s="25" t="str">
        <f aca="false">IF(L2588="","",ROUND(N(E2588)*L2588,2))</f>
        <v/>
      </c>
      <c r="N2588" s="39" t="str">
        <f aca="false">IF(OR(A2588="",B2588=""),"",SUMIFS(tl_Hours,tl_StaffID,I2588,tl_Date,A2588))</f>
        <v/>
      </c>
      <c r="O2588" s="40" t="str">
        <f aca="false">IF(A2588&amp;B2588&amp;D2588="","",IF(OR(A2588="",B2588="",D2588="",E2588=""),"Incomplete",IF(K2588="Unknown","Unknown code",IF(AND(K2588="Yes",C2588=""),"Billable, needs client",IF(N2588&gt;MaxDayHours,"Over "&amp;MaxDayHours&amp;" hours that day","")))))</f>
        <v/>
      </c>
    </row>
    <row r="2589" customFormat="false" ht="15" hidden="false" customHeight="false" outlineLevel="0" collapsed="false">
      <c r="A2589" s="31"/>
      <c r="B2589" s="32"/>
      <c r="C2589" s="32"/>
      <c r="D2589" s="33"/>
      <c r="E2589" s="34"/>
      <c r="F2589" s="32"/>
      <c r="G2589" s="35" t="str">
        <f aca="false">IF(A2589="","",A2589+7-WEEKDAY(A2589))</f>
        <v/>
      </c>
      <c r="H2589" s="36" t="str">
        <f aca="false">IF(A2589="","",DATE(YEAR(A2589),MONTH(A2589),1))</f>
        <v/>
      </c>
      <c r="I2589" s="37" t="str">
        <f aca="false">IF(B2589="","",IFERROR(INDEX(st_ID,MATCH(B2589,st_Name,0)),"Unknown"))</f>
        <v/>
      </c>
      <c r="J2589" s="37" t="str">
        <f aca="false">IF(C2589="","",IFERROR(INDEX(cl_Code,MATCH(C2589,cl_Name,0)),"Unknown"))</f>
        <v/>
      </c>
      <c r="K2589" s="37" t="str">
        <f aca="false">IF(D2589="","",IFERROR(INDEX(rt_Billable,MATCH(D2589,rt_Code,0)),"Unknown"))</f>
        <v/>
      </c>
      <c r="L2589" s="38" t="str">
        <f aca="false">IF(K2589&lt;&gt;"Yes","",IFERROR(INDEX(cr_Rate,MATCH(J2589&amp;"|"&amp;D2589,cr_Key,0)),INDEX(rt_Rate,MATCH(D2589,rt_Code,0))))</f>
        <v/>
      </c>
      <c r="M2589" s="25" t="str">
        <f aca="false">IF(L2589="","",ROUND(N(E2589)*L2589,2))</f>
        <v/>
      </c>
      <c r="N2589" s="39" t="str">
        <f aca="false">IF(OR(A2589="",B2589=""),"",SUMIFS(tl_Hours,tl_StaffID,I2589,tl_Date,A2589))</f>
        <v/>
      </c>
      <c r="O2589" s="40" t="str">
        <f aca="false">IF(A2589&amp;B2589&amp;D2589="","",IF(OR(A2589="",B2589="",D2589="",E2589=""),"Incomplete",IF(K2589="Unknown","Unknown code",IF(AND(K2589="Yes",C2589=""),"Billable, needs client",IF(N2589&gt;MaxDayHours,"Over "&amp;MaxDayHours&amp;" hours that day","")))))</f>
        <v/>
      </c>
    </row>
    <row r="2590" customFormat="false" ht="15" hidden="false" customHeight="false" outlineLevel="0" collapsed="false">
      <c r="A2590" s="31"/>
      <c r="B2590" s="32"/>
      <c r="C2590" s="32"/>
      <c r="D2590" s="33"/>
      <c r="E2590" s="34"/>
      <c r="F2590" s="32"/>
      <c r="G2590" s="35" t="str">
        <f aca="false">IF(A2590="","",A2590+7-WEEKDAY(A2590))</f>
        <v/>
      </c>
      <c r="H2590" s="36" t="str">
        <f aca="false">IF(A2590="","",DATE(YEAR(A2590),MONTH(A2590),1))</f>
        <v/>
      </c>
      <c r="I2590" s="37" t="str">
        <f aca="false">IF(B2590="","",IFERROR(INDEX(st_ID,MATCH(B2590,st_Name,0)),"Unknown"))</f>
        <v/>
      </c>
      <c r="J2590" s="37" t="str">
        <f aca="false">IF(C2590="","",IFERROR(INDEX(cl_Code,MATCH(C2590,cl_Name,0)),"Unknown"))</f>
        <v/>
      </c>
      <c r="K2590" s="37" t="str">
        <f aca="false">IF(D2590="","",IFERROR(INDEX(rt_Billable,MATCH(D2590,rt_Code,0)),"Unknown"))</f>
        <v/>
      </c>
      <c r="L2590" s="38" t="str">
        <f aca="false">IF(K2590&lt;&gt;"Yes","",IFERROR(INDEX(cr_Rate,MATCH(J2590&amp;"|"&amp;D2590,cr_Key,0)),INDEX(rt_Rate,MATCH(D2590,rt_Code,0))))</f>
        <v/>
      </c>
      <c r="M2590" s="25" t="str">
        <f aca="false">IF(L2590="","",ROUND(N(E2590)*L2590,2))</f>
        <v/>
      </c>
      <c r="N2590" s="39" t="str">
        <f aca="false">IF(OR(A2590="",B2590=""),"",SUMIFS(tl_Hours,tl_StaffID,I2590,tl_Date,A2590))</f>
        <v/>
      </c>
      <c r="O2590" s="40" t="str">
        <f aca="false">IF(A2590&amp;B2590&amp;D2590="","",IF(OR(A2590="",B2590="",D2590="",E2590=""),"Incomplete",IF(K2590="Unknown","Unknown code",IF(AND(K2590="Yes",C2590=""),"Billable, needs client",IF(N2590&gt;MaxDayHours,"Over "&amp;MaxDayHours&amp;" hours that day","")))))</f>
        <v/>
      </c>
    </row>
    <row r="2591" customFormat="false" ht="15" hidden="false" customHeight="false" outlineLevel="0" collapsed="false">
      <c r="A2591" s="31"/>
      <c r="B2591" s="32"/>
      <c r="C2591" s="32"/>
      <c r="D2591" s="33"/>
      <c r="E2591" s="34"/>
      <c r="F2591" s="32"/>
      <c r="G2591" s="35" t="str">
        <f aca="false">IF(A2591="","",A2591+7-WEEKDAY(A2591))</f>
        <v/>
      </c>
      <c r="H2591" s="36" t="str">
        <f aca="false">IF(A2591="","",DATE(YEAR(A2591),MONTH(A2591),1))</f>
        <v/>
      </c>
      <c r="I2591" s="37" t="str">
        <f aca="false">IF(B2591="","",IFERROR(INDEX(st_ID,MATCH(B2591,st_Name,0)),"Unknown"))</f>
        <v/>
      </c>
      <c r="J2591" s="37" t="str">
        <f aca="false">IF(C2591="","",IFERROR(INDEX(cl_Code,MATCH(C2591,cl_Name,0)),"Unknown"))</f>
        <v/>
      </c>
      <c r="K2591" s="37" t="str">
        <f aca="false">IF(D2591="","",IFERROR(INDEX(rt_Billable,MATCH(D2591,rt_Code,0)),"Unknown"))</f>
        <v/>
      </c>
      <c r="L2591" s="38" t="str">
        <f aca="false">IF(K2591&lt;&gt;"Yes","",IFERROR(INDEX(cr_Rate,MATCH(J2591&amp;"|"&amp;D2591,cr_Key,0)),INDEX(rt_Rate,MATCH(D2591,rt_Code,0))))</f>
        <v/>
      </c>
      <c r="M2591" s="25" t="str">
        <f aca="false">IF(L2591="","",ROUND(N(E2591)*L2591,2))</f>
        <v/>
      </c>
      <c r="N2591" s="39" t="str">
        <f aca="false">IF(OR(A2591="",B2591=""),"",SUMIFS(tl_Hours,tl_StaffID,I2591,tl_Date,A2591))</f>
        <v/>
      </c>
      <c r="O2591" s="40" t="str">
        <f aca="false">IF(A2591&amp;B2591&amp;D2591="","",IF(OR(A2591="",B2591="",D2591="",E2591=""),"Incomplete",IF(K2591="Unknown","Unknown code",IF(AND(K2591="Yes",C2591=""),"Billable, needs client",IF(N2591&gt;MaxDayHours,"Over "&amp;MaxDayHours&amp;" hours that day","")))))</f>
        <v/>
      </c>
    </row>
    <row r="2592" customFormat="false" ht="15" hidden="false" customHeight="false" outlineLevel="0" collapsed="false">
      <c r="A2592" s="31"/>
      <c r="B2592" s="32"/>
      <c r="C2592" s="32"/>
      <c r="D2592" s="33"/>
      <c r="E2592" s="34"/>
      <c r="F2592" s="32"/>
      <c r="G2592" s="35" t="str">
        <f aca="false">IF(A2592="","",A2592+7-WEEKDAY(A2592))</f>
        <v/>
      </c>
      <c r="H2592" s="36" t="str">
        <f aca="false">IF(A2592="","",DATE(YEAR(A2592),MONTH(A2592),1))</f>
        <v/>
      </c>
      <c r="I2592" s="37" t="str">
        <f aca="false">IF(B2592="","",IFERROR(INDEX(st_ID,MATCH(B2592,st_Name,0)),"Unknown"))</f>
        <v/>
      </c>
      <c r="J2592" s="37" t="str">
        <f aca="false">IF(C2592="","",IFERROR(INDEX(cl_Code,MATCH(C2592,cl_Name,0)),"Unknown"))</f>
        <v/>
      </c>
      <c r="K2592" s="37" t="str">
        <f aca="false">IF(D2592="","",IFERROR(INDEX(rt_Billable,MATCH(D2592,rt_Code,0)),"Unknown"))</f>
        <v/>
      </c>
      <c r="L2592" s="38" t="str">
        <f aca="false">IF(K2592&lt;&gt;"Yes","",IFERROR(INDEX(cr_Rate,MATCH(J2592&amp;"|"&amp;D2592,cr_Key,0)),INDEX(rt_Rate,MATCH(D2592,rt_Code,0))))</f>
        <v/>
      </c>
      <c r="M2592" s="25" t="str">
        <f aca="false">IF(L2592="","",ROUND(N(E2592)*L2592,2))</f>
        <v/>
      </c>
      <c r="N2592" s="39" t="str">
        <f aca="false">IF(OR(A2592="",B2592=""),"",SUMIFS(tl_Hours,tl_StaffID,I2592,tl_Date,A2592))</f>
        <v/>
      </c>
      <c r="O2592" s="40" t="str">
        <f aca="false">IF(A2592&amp;B2592&amp;D2592="","",IF(OR(A2592="",B2592="",D2592="",E2592=""),"Incomplete",IF(K2592="Unknown","Unknown code",IF(AND(K2592="Yes",C2592=""),"Billable, needs client",IF(N2592&gt;MaxDayHours,"Over "&amp;MaxDayHours&amp;" hours that day","")))))</f>
        <v/>
      </c>
    </row>
    <row r="2593" customFormat="false" ht="15" hidden="false" customHeight="false" outlineLevel="0" collapsed="false">
      <c r="A2593" s="31"/>
      <c r="B2593" s="32"/>
      <c r="C2593" s="32"/>
      <c r="D2593" s="33"/>
      <c r="E2593" s="34"/>
      <c r="F2593" s="32"/>
      <c r="G2593" s="35" t="str">
        <f aca="false">IF(A2593="","",A2593+7-WEEKDAY(A2593))</f>
        <v/>
      </c>
      <c r="H2593" s="36" t="str">
        <f aca="false">IF(A2593="","",DATE(YEAR(A2593),MONTH(A2593),1))</f>
        <v/>
      </c>
      <c r="I2593" s="37" t="str">
        <f aca="false">IF(B2593="","",IFERROR(INDEX(st_ID,MATCH(B2593,st_Name,0)),"Unknown"))</f>
        <v/>
      </c>
      <c r="J2593" s="37" t="str">
        <f aca="false">IF(C2593="","",IFERROR(INDEX(cl_Code,MATCH(C2593,cl_Name,0)),"Unknown"))</f>
        <v/>
      </c>
      <c r="K2593" s="37" t="str">
        <f aca="false">IF(D2593="","",IFERROR(INDEX(rt_Billable,MATCH(D2593,rt_Code,0)),"Unknown"))</f>
        <v/>
      </c>
      <c r="L2593" s="38" t="str">
        <f aca="false">IF(K2593&lt;&gt;"Yes","",IFERROR(INDEX(cr_Rate,MATCH(J2593&amp;"|"&amp;D2593,cr_Key,0)),INDEX(rt_Rate,MATCH(D2593,rt_Code,0))))</f>
        <v/>
      </c>
      <c r="M2593" s="25" t="str">
        <f aca="false">IF(L2593="","",ROUND(N(E2593)*L2593,2))</f>
        <v/>
      </c>
      <c r="N2593" s="39" t="str">
        <f aca="false">IF(OR(A2593="",B2593=""),"",SUMIFS(tl_Hours,tl_StaffID,I2593,tl_Date,A2593))</f>
        <v/>
      </c>
      <c r="O2593" s="40" t="str">
        <f aca="false">IF(A2593&amp;B2593&amp;D2593="","",IF(OR(A2593="",B2593="",D2593="",E2593=""),"Incomplete",IF(K2593="Unknown","Unknown code",IF(AND(K2593="Yes",C2593=""),"Billable, needs client",IF(N2593&gt;MaxDayHours,"Over "&amp;MaxDayHours&amp;" hours that day","")))))</f>
        <v/>
      </c>
    </row>
    <row r="2594" customFormat="false" ht="15" hidden="false" customHeight="false" outlineLevel="0" collapsed="false">
      <c r="A2594" s="31"/>
      <c r="B2594" s="32"/>
      <c r="C2594" s="32"/>
      <c r="D2594" s="33"/>
      <c r="E2594" s="34"/>
      <c r="F2594" s="32"/>
      <c r="G2594" s="35" t="str">
        <f aca="false">IF(A2594="","",A2594+7-WEEKDAY(A2594))</f>
        <v/>
      </c>
      <c r="H2594" s="36" t="str">
        <f aca="false">IF(A2594="","",DATE(YEAR(A2594),MONTH(A2594),1))</f>
        <v/>
      </c>
      <c r="I2594" s="37" t="str">
        <f aca="false">IF(B2594="","",IFERROR(INDEX(st_ID,MATCH(B2594,st_Name,0)),"Unknown"))</f>
        <v/>
      </c>
      <c r="J2594" s="37" t="str">
        <f aca="false">IF(C2594="","",IFERROR(INDEX(cl_Code,MATCH(C2594,cl_Name,0)),"Unknown"))</f>
        <v/>
      </c>
      <c r="K2594" s="37" t="str">
        <f aca="false">IF(D2594="","",IFERROR(INDEX(rt_Billable,MATCH(D2594,rt_Code,0)),"Unknown"))</f>
        <v/>
      </c>
      <c r="L2594" s="38" t="str">
        <f aca="false">IF(K2594&lt;&gt;"Yes","",IFERROR(INDEX(cr_Rate,MATCH(J2594&amp;"|"&amp;D2594,cr_Key,0)),INDEX(rt_Rate,MATCH(D2594,rt_Code,0))))</f>
        <v/>
      </c>
      <c r="M2594" s="25" t="str">
        <f aca="false">IF(L2594="","",ROUND(N(E2594)*L2594,2))</f>
        <v/>
      </c>
      <c r="N2594" s="39" t="str">
        <f aca="false">IF(OR(A2594="",B2594=""),"",SUMIFS(tl_Hours,tl_StaffID,I2594,tl_Date,A2594))</f>
        <v/>
      </c>
      <c r="O2594" s="40" t="str">
        <f aca="false">IF(A2594&amp;B2594&amp;D2594="","",IF(OR(A2594="",B2594="",D2594="",E2594=""),"Incomplete",IF(K2594="Unknown","Unknown code",IF(AND(K2594="Yes",C2594=""),"Billable, needs client",IF(N2594&gt;MaxDayHours,"Over "&amp;MaxDayHours&amp;" hours that day","")))))</f>
        <v/>
      </c>
    </row>
    <row r="2595" customFormat="false" ht="15" hidden="false" customHeight="false" outlineLevel="0" collapsed="false">
      <c r="A2595" s="31"/>
      <c r="B2595" s="32"/>
      <c r="C2595" s="32"/>
      <c r="D2595" s="33"/>
      <c r="E2595" s="34"/>
      <c r="F2595" s="32"/>
      <c r="G2595" s="35" t="str">
        <f aca="false">IF(A2595="","",A2595+7-WEEKDAY(A2595))</f>
        <v/>
      </c>
      <c r="H2595" s="36" t="str">
        <f aca="false">IF(A2595="","",DATE(YEAR(A2595),MONTH(A2595),1))</f>
        <v/>
      </c>
      <c r="I2595" s="37" t="str">
        <f aca="false">IF(B2595="","",IFERROR(INDEX(st_ID,MATCH(B2595,st_Name,0)),"Unknown"))</f>
        <v/>
      </c>
      <c r="J2595" s="37" t="str">
        <f aca="false">IF(C2595="","",IFERROR(INDEX(cl_Code,MATCH(C2595,cl_Name,0)),"Unknown"))</f>
        <v/>
      </c>
      <c r="K2595" s="37" t="str">
        <f aca="false">IF(D2595="","",IFERROR(INDEX(rt_Billable,MATCH(D2595,rt_Code,0)),"Unknown"))</f>
        <v/>
      </c>
      <c r="L2595" s="38" t="str">
        <f aca="false">IF(K2595&lt;&gt;"Yes","",IFERROR(INDEX(cr_Rate,MATCH(J2595&amp;"|"&amp;D2595,cr_Key,0)),INDEX(rt_Rate,MATCH(D2595,rt_Code,0))))</f>
        <v/>
      </c>
      <c r="M2595" s="25" t="str">
        <f aca="false">IF(L2595="","",ROUND(N(E2595)*L2595,2))</f>
        <v/>
      </c>
      <c r="N2595" s="39" t="str">
        <f aca="false">IF(OR(A2595="",B2595=""),"",SUMIFS(tl_Hours,tl_StaffID,I2595,tl_Date,A2595))</f>
        <v/>
      </c>
      <c r="O2595" s="40" t="str">
        <f aca="false">IF(A2595&amp;B2595&amp;D2595="","",IF(OR(A2595="",B2595="",D2595="",E2595=""),"Incomplete",IF(K2595="Unknown","Unknown code",IF(AND(K2595="Yes",C2595=""),"Billable, needs client",IF(N2595&gt;MaxDayHours,"Over "&amp;MaxDayHours&amp;" hours that day","")))))</f>
        <v/>
      </c>
    </row>
    <row r="2596" customFormat="false" ht="15" hidden="false" customHeight="false" outlineLevel="0" collapsed="false">
      <c r="A2596" s="31"/>
      <c r="B2596" s="32"/>
      <c r="C2596" s="32"/>
      <c r="D2596" s="33"/>
      <c r="E2596" s="34"/>
      <c r="F2596" s="32"/>
      <c r="G2596" s="35" t="str">
        <f aca="false">IF(A2596="","",A2596+7-WEEKDAY(A2596))</f>
        <v/>
      </c>
      <c r="H2596" s="36" t="str">
        <f aca="false">IF(A2596="","",DATE(YEAR(A2596),MONTH(A2596),1))</f>
        <v/>
      </c>
      <c r="I2596" s="37" t="str">
        <f aca="false">IF(B2596="","",IFERROR(INDEX(st_ID,MATCH(B2596,st_Name,0)),"Unknown"))</f>
        <v/>
      </c>
      <c r="J2596" s="37" t="str">
        <f aca="false">IF(C2596="","",IFERROR(INDEX(cl_Code,MATCH(C2596,cl_Name,0)),"Unknown"))</f>
        <v/>
      </c>
      <c r="K2596" s="37" t="str">
        <f aca="false">IF(D2596="","",IFERROR(INDEX(rt_Billable,MATCH(D2596,rt_Code,0)),"Unknown"))</f>
        <v/>
      </c>
      <c r="L2596" s="38" t="str">
        <f aca="false">IF(K2596&lt;&gt;"Yes","",IFERROR(INDEX(cr_Rate,MATCH(J2596&amp;"|"&amp;D2596,cr_Key,0)),INDEX(rt_Rate,MATCH(D2596,rt_Code,0))))</f>
        <v/>
      </c>
      <c r="M2596" s="25" t="str">
        <f aca="false">IF(L2596="","",ROUND(N(E2596)*L2596,2))</f>
        <v/>
      </c>
      <c r="N2596" s="39" t="str">
        <f aca="false">IF(OR(A2596="",B2596=""),"",SUMIFS(tl_Hours,tl_StaffID,I2596,tl_Date,A2596))</f>
        <v/>
      </c>
      <c r="O2596" s="40" t="str">
        <f aca="false">IF(A2596&amp;B2596&amp;D2596="","",IF(OR(A2596="",B2596="",D2596="",E2596=""),"Incomplete",IF(K2596="Unknown","Unknown code",IF(AND(K2596="Yes",C2596=""),"Billable, needs client",IF(N2596&gt;MaxDayHours,"Over "&amp;MaxDayHours&amp;" hours that day","")))))</f>
        <v/>
      </c>
    </row>
    <row r="2597" customFormat="false" ht="15" hidden="false" customHeight="false" outlineLevel="0" collapsed="false">
      <c r="A2597" s="31"/>
      <c r="B2597" s="32"/>
      <c r="C2597" s="32"/>
      <c r="D2597" s="33"/>
      <c r="E2597" s="34"/>
      <c r="F2597" s="32"/>
      <c r="G2597" s="35" t="str">
        <f aca="false">IF(A2597="","",A2597+7-WEEKDAY(A2597))</f>
        <v/>
      </c>
      <c r="H2597" s="36" t="str">
        <f aca="false">IF(A2597="","",DATE(YEAR(A2597),MONTH(A2597),1))</f>
        <v/>
      </c>
      <c r="I2597" s="37" t="str">
        <f aca="false">IF(B2597="","",IFERROR(INDEX(st_ID,MATCH(B2597,st_Name,0)),"Unknown"))</f>
        <v/>
      </c>
      <c r="J2597" s="37" t="str">
        <f aca="false">IF(C2597="","",IFERROR(INDEX(cl_Code,MATCH(C2597,cl_Name,0)),"Unknown"))</f>
        <v/>
      </c>
      <c r="K2597" s="37" t="str">
        <f aca="false">IF(D2597="","",IFERROR(INDEX(rt_Billable,MATCH(D2597,rt_Code,0)),"Unknown"))</f>
        <v/>
      </c>
      <c r="L2597" s="38" t="str">
        <f aca="false">IF(K2597&lt;&gt;"Yes","",IFERROR(INDEX(cr_Rate,MATCH(J2597&amp;"|"&amp;D2597,cr_Key,0)),INDEX(rt_Rate,MATCH(D2597,rt_Code,0))))</f>
        <v/>
      </c>
      <c r="M2597" s="25" t="str">
        <f aca="false">IF(L2597="","",ROUND(N(E2597)*L2597,2))</f>
        <v/>
      </c>
      <c r="N2597" s="39" t="str">
        <f aca="false">IF(OR(A2597="",B2597=""),"",SUMIFS(tl_Hours,tl_StaffID,I2597,tl_Date,A2597))</f>
        <v/>
      </c>
      <c r="O2597" s="40" t="str">
        <f aca="false">IF(A2597&amp;B2597&amp;D2597="","",IF(OR(A2597="",B2597="",D2597="",E2597=""),"Incomplete",IF(K2597="Unknown","Unknown code",IF(AND(K2597="Yes",C2597=""),"Billable, needs client",IF(N2597&gt;MaxDayHours,"Over "&amp;MaxDayHours&amp;" hours that day","")))))</f>
        <v/>
      </c>
    </row>
    <row r="2598" customFormat="false" ht="15" hidden="false" customHeight="false" outlineLevel="0" collapsed="false">
      <c r="A2598" s="31"/>
      <c r="B2598" s="32"/>
      <c r="C2598" s="32"/>
      <c r="D2598" s="33"/>
      <c r="E2598" s="34"/>
      <c r="F2598" s="32"/>
      <c r="G2598" s="35" t="str">
        <f aca="false">IF(A2598="","",A2598+7-WEEKDAY(A2598))</f>
        <v/>
      </c>
      <c r="H2598" s="36" t="str">
        <f aca="false">IF(A2598="","",DATE(YEAR(A2598),MONTH(A2598),1))</f>
        <v/>
      </c>
      <c r="I2598" s="37" t="str">
        <f aca="false">IF(B2598="","",IFERROR(INDEX(st_ID,MATCH(B2598,st_Name,0)),"Unknown"))</f>
        <v/>
      </c>
      <c r="J2598" s="37" t="str">
        <f aca="false">IF(C2598="","",IFERROR(INDEX(cl_Code,MATCH(C2598,cl_Name,0)),"Unknown"))</f>
        <v/>
      </c>
      <c r="K2598" s="37" t="str">
        <f aca="false">IF(D2598="","",IFERROR(INDEX(rt_Billable,MATCH(D2598,rt_Code,0)),"Unknown"))</f>
        <v/>
      </c>
      <c r="L2598" s="38" t="str">
        <f aca="false">IF(K2598&lt;&gt;"Yes","",IFERROR(INDEX(cr_Rate,MATCH(J2598&amp;"|"&amp;D2598,cr_Key,0)),INDEX(rt_Rate,MATCH(D2598,rt_Code,0))))</f>
        <v/>
      </c>
      <c r="M2598" s="25" t="str">
        <f aca="false">IF(L2598="","",ROUND(N(E2598)*L2598,2))</f>
        <v/>
      </c>
      <c r="N2598" s="39" t="str">
        <f aca="false">IF(OR(A2598="",B2598=""),"",SUMIFS(tl_Hours,tl_StaffID,I2598,tl_Date,A2598))</f>
        <v/>
      </c>
      <c r="O2598" s="40" t="str">
        <f aca="false">IF(A2598&amp;B2598&amp;D2598="","",IF(OR(A2598="",B2598="",D2598="",E2598=""),"Incomplete",IF(K2598="Unknown","Unknown code",IF(AND(K2598="Yes",C2598=""),"Billable, needs client",IF(N2598&gt;MaxDayHours,"Over "&amp;MaxDayHours&amp;" hours that day","")))))</f>
        <v/>
      </c>
    </row>
    <row r="2599" customFormat="false" ht="15" hidden="false" customHeight="false" outlineLevel="0" collapsed="false">
      <c r="A2599" s="31"/>
      <c r="B2599" s="32"/>
      <c r="C2599" s="32"/>
      <c r="D2599" s="33"/>
      <c r="E2599" s="34"/>
      <c r="F2599" s="32"/>
      <c r="G2599" s="35" t="str">
        <f aca="false">IF(A2599="","",A2599+7-WEEKDAY(A2599))</f>
        <v/>
      </c>
      <c r="H2599" s="36" t="str">
        <f aca="false">IF(A2599="","",DATE(YEAR(A2599),MONTH(A2599),1))</f>
        <v/>
      </c>
      <c r="I2599" s="37" t="str">
        <f aca="false">IF(B2599="","",IFERROR(INDEX(st_ID,MATCH(B2599,st_Name,0)),"Unknown"))</f>
        <v/>
      </c>
      <c r="J2599" s="37" t="str">
        <f aca="false">IF(C2599="","",IFERROR(INDEX(cl_Code,MATCH(C2599,cl_Name,0)),"Unknown"))</f>
        <v/>
      </c>
      <c r="K2599" s="37" t="str">
        <f aca="false">IF(D2599="","",IFERROR(INDEX(rt_Billable,MATCH(D2599,rt_Code,0)),"Unknown"))</f>
        <v/>
      </c>
      <c r="L2599" s="38" t="str">
        <f aca="false">IF(K2599&lt;&gt;"Yes","",IFERROR(INDEX(cr_Rate,MATCH(J2599&amp;"|"&amp;D2599,cr_Key,0)),INDEX(rt_Rate,MATCH(D2599,rt_Code,0))))</f>
        <v/>
      </c>
      <c r="M2599" s="25" t="str">
        <f aca="false">IF(L2599="","",ROUND(N(E2599)*L2599,2))</f>
        <v/>
      </c>
      <c r="N2599" s="39" t="str">
        <f aca="false">IF(OR(A2599="",B2599=""),"",SUMIFS(tl_Hours,tl_StaffID,I2599,tl_Date,A2599))</f>
        <v/>
      </c>
      <c r="O2599" s="40" t="str">
        <f aca="false">IF(A2599&amp;B2599&amp;D2599="","",IF(OR(A2599="",B2599="",D2599="",E2599=""),"Incomplete",IF(K2599="Unknown","Unknown code",IF(AND(K2599="Yes",C2599=""),"Billable, needs client",IF(N2599&gt;MaxDayHours,"Over "&amp;MaxDayHours&amp;" hours that day","")))))</f>
        <v/>
      </c>
    </row>
    <row r="2600" customFormat="false" ht="15" hidden="false" customHeight="false" outlineLevel="0" collapsed="false">
      <c r="A2600" s="31"/>
      <c r="B2600" s="32"/>
      <c r="C2600" s="32"/>
      <c r="D2600" s="33"/>
      <c r="E2600" s="34"/>
      <c r="F2600" s="32"/>
      <c r="G2600" s="35" t="str">
        <f aca="false">IF(A2600="","",A2600+7-WEEKDAY(A2600))</f>
        <v/>
      </c>
      <c r="H2600" s="36" t="str">
        <f aca="false">IF(A2600="","",DATE(YEAR(A2600),MONTH(A2600),1))</f>
        <v/>
      </c>
      <c r="I2600" s="37" t="str">
        <f aca="false">IF(B2600="","",IFERROR(INDEX(st_ID,MATCH(B2600,st_Name,0)),"Unknown"))</f>
        <v/>
      </c>
      <c r="J2600" s="37" t="str">
        <f aca="false">IF(C2600="","",IFERROR(INDEX(cl_Code,MATCH(C2600,cl_Name,0)),"Unknown"))</f>
        <v/>
      </c>
      <c r="K2600" s="37" t="str">
        <f aca="false">IF(D2600="","",IFERROR(INDEX(rt_Billable,MATCH(D2600,rt_Code,0)),"Unknown"))</f>
        <v/>
      </c>
      <c r="L2600" s="38" t="str">
        <f aca="false">IF(K2600&lt;&gt;"Yes","",IFERROR(INDEX(cr_Rate,MATCH(J2600&amp;"|"&amp;D2600,cr_Key,0)),INDEX(rt_Rate,MATCH(D2600,rt_Code,0))))</f>
        <v/>
      </c>
      <c r="M2600" s="25" t="str">
        <f aca="false">IF(L2600="","",ROUND(N(E2600)*L2600,2))</f>
        <v/>
      </c>
      <c r="N2600" s="39" t="str">
        <f aca="false">IF(OR(A2600="",B2600=""),"",SUMIFS(tl_Hours,tl_StaffID,I2600,tl_Date,A2600))</f>
        <v/>
      </c>
      <c r="O2600" s="40" t="str">
        <f aca="false">IF(A2600&amp;B2600&amp;D2600="","",IF(OR(A2600="",B2600="",D2600="",E2600=""),"Incomplete",IF(K2600="Unknown","Unknown code",IF(AND(K2600="Yes",C2600=""),"Billable, needs client",IF(N2600&gt;MaxDayHours,"Over "&amp;MaxDayHours&amp;" hours that day","")))))</f>
        <v/>
      </c>
    </row>
    <row r="2601" customFormat="false" ht="15" hidden="false" customHeight="false" outlineLevel="0" collapsed="false">
      <c r="A2601" s="31"/>
      <c r="B2601" s="32"/>
      <c r="C2601" s="32"/>
      <c r="D2601" s="33"/>
      <c r="E2601" s="34"/>
      <c r="F2601" s="32"/>
      <c r="G2601" s="35" t="str">
        <f aca="false">IF(A2601="","",A2601+7-WEEKDAY(A2601))</f>
        <v/>
      </c>
      <c r="H2601" s="36" t="str">
        <f aca="false">IF(A2601="","",DATE(YEAR(A2601),MONTH(A2601),1))</f>
        <v/>
      </c>
      <c r="I2601" s="37" t="str">
        <f aca="false">IF(B2601="","",IFERROR(INDEX(st_ID,MATCH(B2601,st_Name,0)),"Unknown"))</f>
        <v/>
      </c>
      <c r="J2601" s="37" t="str">
        <f aca="false">IF(C2601="","",IFERROR(INDEX(cl_Code,MATCH(C2601,cl_Name,0)),"Unknown"))</f>
        <v/>
      </c>
      <c r="K2601" s="37" t="str">
        <f aca="false">IF(D2601="","",IFERROR(INDEX(rt_Billable,MATCH(D2601,rt_Code,0)),"Unknown"))</f>
        <v/>
      </c>
      <c r="L2601" s="38" t="str">
        <f aca="false">IF(K2601&lt;&gt;"Yes","",IFERROR(INDEX(cr_Rate,MATCH(J2601&amp;"|"&amp;D2601,cr_Key,0)),INDEX(rt_Rate,MATCH(D2601,rt_Code,0))))</f>
        <v/>
      </c>
      <c r="M2601" s="25" t="str">
        <f aca="false">IF(L2601="","",ROUND(N(E2601)*L2601,2))</f>
        <v/>
      </c>
      <c r="N2601" s="39" t="str">
        <f aca="false">IF(OR(A2601="",B2601=""),"",SUMIFS(tl_Hours,tl_StaffID,I2601,tl_Date,A2601))</f>
        <v/>
      </c>
      <c r="O2601" s="40" t="str">
        <f aca="false">IF(A2601&amp;B2601&amp;D2601="","",IF(OR(A2601="",B2601="",D2601="",E2601=""),"Incomplete",IF(K2601="Unknown","Unknown code",IF(AND(K2601="Yes",C2601=""),"Billable, needs client",IF(N2601&gt;MaxDayHours,"Over "&amp;MaxDayHours&amp;" hours that day","")))))</f>
        <v/>
      </c>
    </row>
    <row r="2602" customFormat="false" ht="15" hidden="false" customHeight="false" outlineLevel="0" collapsed="false">
      <c r="A2602" s="31"/>
      <c r="B2602" s="32"/>
      <c r="C2602" s="32"/>
      <c r="D2602" s="33"/>
      <c r="E2602" s="34"/>
      <c r="F2602" s="32"/>
      <c r="G2602" s="35" t="str">
        <f aca="false">IF(A2602="","",A2602+7-WEEKDAY(A2602))</f>
        <v/>
      </c>
      <c r="H2602" s="36" t="str">
        <f aca="false">IF(A2602="","",DATE(YEAR(A2602),MONTH(A2602),1))</f>
        <v/>
      </c>
      <c r="I2602" s="37" t="str">
        <f aca="false">IF(B2602="","",IFERROR(INDEX(st_ID,MATCH(B2602,st_Name,0)),"Unknown"))</f>
        <v/>
      </c>
      <c r="J2602" s="37" t="str">
        <f aca="false">IF(C2602="","",IFERROR(INDEX(cl_Code,MATCH(C2602,cl_Name,0)),"Unknown"))</f>
        <v/>
      </c>
      <c r="K2602" s="37" t="str">
        <f aca="false">IF(D2602="","",IFERROR(INDEX(rt_Billable,MATCH(D2602,rt_Code,0)),"Unknown"))</f>
        <v/>
      </c>
      <c r="L2602" s="38" t="str">
        <f aca="false">IF(K2602&lt;&gt;"Yes","",IFERROR(INDEX(cr_Rate,MATCH(J2602&amp;"|"&amp;D2602,cr_Key,0)),INDEX(rt_Rate,MATCH(D2602,rt_Code,0))))</f>
        <v/>
      </c>
      <c r="M2602" s="25" t="str">
        <f aca="false">IF(L2602="","",ROUND(N(E2602)*L2602,2))</f>
        <v/>
      </c>
      <c r="N2602" s="39" t="str">
        <f aca="false">IF(OR(A2602="",B2602=""),"",SUMIFS(tl_Hours,tl_StaffID,I2602,tl_Date,A2602))</f>
        <v/>
      </c>
      <c r="O2602" s="40" t="str">
        <f aca="false">IF(A2602&amp;B2602&amp;D2602="","",IF(OR(A2602="",B2602="",D2602="",E2602=""),"Incomplete",IF(K2602="Unknown","Unknown code",IF(AND(K2602="Yes",C2602=""),"Billable, needs client",IF(N2602&gt;MaxDayHours,"Over "&amp;MaxDayHours&amp;" hours that day","")))))</f>
        <v/>
      </c>
    </row>
    <row r="2603" customFormat="false" ht="15" hidden="false" customHeight="false" outlineLevel="0" collapsed="false">
      <c r="A2603" s="31"/>
      <c r="B2603" s="32"/>
      <c r="C2603" s="32"/>
      <c r="D2603" s="33"/>
      <c r="E2603" s="34"/>
      <c r="F2603" s="32"/>
      <c r="G2603" s="35" t="str">
        <f aca="false">IF(A2603="","",A2603+7-WEEKDAY(A2603))</f>
        <v/>
      </c>
      <c r="H2603" s="36" t="str">
        <f aca="false">IF(A2603="","",DATE(YEAR(A2603),MONTH(A2603),1))</f>
        <v/>
      </c>
      <c r="I2603" s="37" t="str">
        <f aca="false">IF(B2603="","",IFERROR(INDEX(st_ID,MATCH(B2603,st_Name,0)),"Unknown"))</f>
        <v/>
      </c>
      <c r="J2603" s="37" t="str">
        <f aca="false">IF(C2603="","",IFERROR(INDEX(cl_Code,MATCH(C2603,cl_Name,0)),"Unknown"))</f>
        <v/>
      </c>
      <c r="K2603" s="37" t="str">
        <f aca="false">IF(D2603="","",IFERROR(INDEX(rt_Billable,MATCH(D2603,rt_Code,0)),"Unknown"))</f>
        <v/>
      </c>
      <c r="L2603" s="38" t="str">
        <f aca="false">IF(K2603&lt;&gt;"Yes","",IFERROR(INDEX(cr_Rate,MATCH(J2603&amp;"|"&amp;D2603,cr_Key,0)),INDEX(rt_Rate,MATCH(D2603,rt_Code,0))))</f>
        <v/>
      </c>
      <c r="M2603" s="25" t="str">
        <f aca="false">IF(L2603="","",ROUND(N(E2603)*L2603,2))</f>
        <v/>
      </c>
      <c r="N2603" s="39" t="str">
        <f aca="false">IF(OR(A2603="",B2603=""),"",SUMIFS(tl_Hours,tl_StaffID,I2603,tl_Date,A2603))</f>
        <v/>
      </c>
      <c r="O2603" s="40" t="str">
        <f aca="false">IF(A2603&amp;B2603&amp;D2603="","",IF(OR(A2603="",B2603="",D2603="",E2603=""),"Incomplete",IF(K2603="Unknown","Unknown code",IF(AND(K2603="Yes",C2603=""),"Billable, needs client",IF(N2603&gt;MaxDayHours,"Over "&amp;MaxDayHours&amp;" hours that day","")))))</f>
        <v/>
      </c>
    </row>
    <row r="2604" customFormat="false" ht="15" hidden="false" customHeight="false" outlineLevel="0" collapsed="false">
      <c r="A2604" s="31"/>
      <c r="B2604" s="32"/>
      <c r="C2604" s="32"/>
      <c r="D2604" s="33"/>
      <c r="E2604" s="34"/>
      <c r="F2604" s="32"/>
      <c r="G2604" s="35" t="str">
        <f aca="false">IF(A2604="","",A2604+7-WEEKDAY(A2604))</f>
        <v/>
      </c>
      <c r="H2604" s="36" t="str">
        <f aca="false">IF(A2604="","",DATE(YEAR(A2604),MONTH(A2604),1))</f>
        <v/>
      </c>
      <c r="I2604" s="37" t="str">
        <f aca="false">IF(B2604="","",IFERROR(INDEX(st_ID,MATCH(B2604,st_Name,0)),"Unknown"))</f>
        <v/>
      </c>
      <c r="J2604" s="37" t="str">
        <f aca="false">IF(C2604="","",IFERROR(INDEX(cl_Code,MATCH(C2604,cl_Name,0)),"Unknown"))</f>
        <v/>
      </c>
      <c r="K2604" s="37" t="str">
        <f aca="false">IF(D2604="","",IFERROR(INDEX(rt_Billable,MATCH(D2604,rt_Code,0)),"Unknown"))</f>
        <v/>
      </c>
      <c r="L2604" s="38" t="str">
        <f aca="false">IF(K2604&lt;&gt;"Yes","",IFERROR(INDEX(cr_Rate,MATCH(J2604&amp;"|"&amp;D2604,cr_Key,0)),INDEX(rt_Rate,MATCH(D2604,rt_Code,0))))</f>
        <v/>
      </c>
      <c r="M2604" s="25" t="str">
        <f aca="false">IF(L2604="","",ROUND(N(E2604)*L2604,2))</f>
        <v/>
      </c>
      <c r="N2604" s="39" t="str">
        <f aca="false">IF(OR(A2604="",B2604=""),"",SUMIFS(tl_Hours,tl_StaffID,I2604,tl_Date,A2604))</f>
        <v/>
      </c>
      <c r="O2604" s="40" t="str">
        <f aca="false">IF(A2604&amp;B2604&amp;D2604="","",IF(OR(A2604="",B2604="",D2604="",E2604=""),"Incomplete",IF(K2604="Unknown","Unknown code",IF(AND(K2604="Yes",C2604=""),"Billable, needs client",IF(N2604&gt;MaxDayHours,"Over "&amp;MaxDayHours&amp;" hours that day","")))))</f>
        <v/>
      </c>
    </row>
    <row r="2605" customFormat="false" ht="15" hidden="false" customHeight="false" outlineLevel="0" collapsed="false">
      <c r="A2605" s="31"/>
      <c r="B2605" s="32"/>
      <c r="C2605" s="32"/>
      <c r="D2605" s="33"/>
      <c r="E2605" s="34"/>
      <c r="F2605" s="32"/>
      <c r="G2605" s="35" t="str">
        <f aca="false">IF(A2605="","",A2605+7-WEEKDAY(A2605))</f>
        <v/>
      </c>
      <c r="H2605" s="36" t="str">
        <f aca="false">IF(A2605="","",DATE(YEAR(A2605),MONTH(A2605),1))</f>
        <v/>
      </c>
      <c r="I2605" s="37" t="str">
        <f aca="false">IF(B2605="","",IFERROR(INDEX(st_ID,MATCH(B2605,st_Name,0)),"Unknown"))</f>
        <v/>
      </c>
      <c r="J2605" s="37" t="str">
        <f aca="false">IF(C2605="","",IFERROR(INDEX(cl_Code,MATCH(C2605,cl_Name,0)),"Unknown"))</f>
        <v/>
      </c>
      <c r="K2605" s="37" t="str">
        <f aca="false">IF(D2605="","",IFERROR(INDEX(rt_Billable,MATCH(D2605,rt_Code,0)),"Unknown"))</f>
        <v/>
      </c>
      <c r="L2605" s="38" t="str">
        <f aca="false">IF(K2605&lt;&gt;"Yes","",IFERROR(INDEX(cr_Rate,MATCH(J2605&amp;"|"&amp;D2605,cr_Key,0)),INDEX(rt_Rate,MATCH(D2605,rt_Code,0))))</f>
        <v/>
      </c>
      <c r="M2605" s="25" t="str">
        <f aca="false">IF(L2605="","",ROUND(N(E2605)*L2605,2))</f>
        <v/>
      </c>
      <c r="N2605" s="39" t="str">
        <f aca="false">IF(OR(A2605="",B2605=""),"",SUMIFS(tl_Hours,tl_StaffID,I2605,tl_Date,A2605))</f>
        <v/>
      </c>
      <c r="O2605" s="40" t="str">
        <f aca="false">IF(A2605&amp;B2605&amp;D2605="","",IF(OR(A2605="",B2605="",D2605="",E2605=""),"Incomplete",IF(K2605="Unknown","Unknown code",IF(AND(K2605="Yes",C2605=""),"Billable, needs client",IF(N2605&gt;MaxDayHours,"Over "&amp;MaxDayHours&amp;" hours that day","")))))</f>
        <v/>
      </c>
    </row>
    <row r="2606" customFormat="false" ht="15" hidden="false" customHeight="false" outlineLevel="0" collapsed="false">
      <c r="A2606" s="31"/>
      <c r="B2606" s="32"/>
      <c r="C2606" s="32"/>
      <c r="D2606" s="33"/>
      <c r="E2606" s="34"/>
      <c r="F2606" s="32"/>
      <c r="G2606" s="35" t="str">
        <f aca="false">IF(A2606="","",A2606+7-WEEKDAY(A2606))</f>
        <v/>
      </c>
      <c r="H2606" s="36" t="str">
        <f aca="false">IF(A2606="","",DATE(YEAR(A2606),MONTH(A2606),1))</f>
        <v/>
      </c>
      <c r="I2606" s="37" t="str">
        <f aca="false">IF(B2606="","",IFERROR(INDEX(st_ID,MATCH(B2606,st_Name,0)),"Unknown"))</f>
        <v/>
      </c>
      <c r="J2606" s="37" t="str">
        <f aca="false">IF(C2606="","",IFERROR(INDEX(cl_Code,MATCH(C2606,cl_Name,0)),"Unknown"))</f>
        <v/>
      </c>
      <c r="K2606" s="37" t="str">
        <f aca="false">IF(D2606="","",IFERROR(INDEX(rt_Billable,MATCH(D2606,rt_Code,0)),"Unknown"))</f>
        <v/>
      </c>
      <c r="L2606" s="38" t="str">
        <f aca="false">IF(K2606&lt;&gt;"Yes","",IFERROR(INDEX(cr_Rate,MATCH(J2606&amp;"|"&amp;D2606,cr_Key,0)),INDEX(rt_Rate,MATCH(D2606,rt_Code,0))))</f>
        <v/>
      </c>
      <c r="M2606" s="25" t="str">
        <f aca="false">IF(L2606="","",ROUND(N(E2606)*L2606,2))</f>
        <v/>
      </c>
      <c r="N2606" s="39" t="str">
        <f aca="false">IF(OR(A2606="",B2606=""),"",SUMIFS(tl_Hours,tl_StaffID,I2606,tl_Date,A2606))</f>
        <v/>
      </c>
      <c r="O2606" s="40" t="str">
        <f aca="false">IF(A2606&amp;B2606&amp;D2606="","",IF(OR(A2606="",B2606="",D2606="",E2606=""),"Incomplete",IF(K2606="Unknown","Unknown code",IF(AND(K2606="Yes",C2606=""),"Billable, needs client",IF(N2606&gt;MaxDayHours,"Over "&amp;MaxDayHours&amp;" hours that day","")))))</f>
        <v/>
      </c>
    </row>
    <row r="2607" customFormat="false" ht="15" hidden="false" customHeight="false" outlineLevel="0" collapsed="false">
      <c r="A2607" s="31"/>
      <c r="B2607" s="32"/>
      <c r="C2607" s="32"/>
      <c r="D2607" s="33"/>
      <c r="E2607" s="34"/>
      <c r="F2607" s="32"/>
      <c r="G2607" s="35" t="str">
        <f aca="false">IF(A2607="","",A2607+7-WEEKDAY(A2607))</f>
        <v/>
      </c>
      <c r="H2607" s="36" t="str">
        <f aca="false">IF(A2607="","",DATE(YEAR(A2607),MONTH(A2607),1))</f>
        <v/>
      </c>
      <c r="I2607" s="37" t="str">
        <f aca="false">IF(B2607="","",IFERROR(INDEX(st_ID,MATCH(B2607,st_Name,0)),"Unknown"))</f>
        <v/>
      </c>
      <c r="J2607" s="37" t="str">
        <f aca="false">IF(C2607="","",IFERROR(INDEX(cl_Code,MATCH(C2607,cl_Name,0)),"Unknown"))</f>
        <v/>
      </c>
      <c r="K2607" s="37" t="str">
        <f aca="false">IF(D2607="","",IFERROR(INDEX(rt_Billable,MATCH(D2607,rt_Code,0)),"Unknown"))</f>
        <v/>
      </c>
      <c r="L2607" s="38" t="str">
        <f aca="false">IF(K2607&lt;&gt;"Yes","",IFERROR(INDEX(cr_Rate,MATCH(J2607&amp;"|"&amp;D2607,cr_Key,0)),INDEX(rt_Rate,MATCH(D2607,rt_Code,0))))</f>
        <v/>
      </c>
      <c r="M2607" s="25" t="str">
        <f aca="false">IF(L2607="","",ROUND(N(E2607)*L2607,2))</f>
        <v/>
      </c>
      <c r="N2607" s="39" t="str">
        <f aca="false">IF(OR(A2607="",B2607=""),"",SUMIFS(tl_Hours,tl_StaffID,I2607,tl_Date,A2607))</f>
        <v/>
      </c>
      <c r="O2607" s="40" t="str">
        <f aca="false">IF(A2607&amp;B2607&amp;D2607="","",IF(OR(A2607="",B2607="",D2607="",E2607=""),"Incomplete",IF(K2607="Unknown","Unknown code",IF(AND(K2607="Yes",C2607=""),"Billable, needs client",IF(N2607&gt;MaxDayHours,"Over "&amp;MaxDayHours&amp;" hours that day","")))))</f>
        <v/>
      </c>
    </row>
    <row r="2608" customFormat="false" ht="15" hidden="false" customHeight="false" outlineLevel="0" collapsed="false">
      <c r="A2608" s="31"/>
      <c r="B2608" s="32"/>
      <c r="C2608" s="32"/>
      <c r="D2608" s="33"/>
      <c r="E2608" s="34"/>
      <c r="F2608" s="32"/>
      <c r="G2608" s="35" t="str">
        <f aca="false">IF(A2608="","",A2608+7-WEEKDAY(A2608))</f>
        <v/>
      </c>
      <c r="H2608" s="36" t="str">
        <f aca="false">IF(A2608="","",DATE(YEAR(A2608),MONTH(A2608),1))</f>
        <v/>
      </c>
      <c r="I2608" s="37" t="str">
        <f aca="false">IF(B2608="","",IFERROR(INDEX(st_ID,MATCH(B2608,st_Name,0)),"Unknown"))</f>
        <v/>
      </c>
      <c r="J2608" s="37" t="str">
        <f aca="false">IF(C2608="","",IFERROR(INDEX(cl_Code,MATCH(C2608,cl_Name,0)),"Unknown"))</f>
        <v/>
      </c>
      <c r="K2608" s="37" t="str">
        <f aca="false">IF(D2608="","",IFERROR(INDEX(rt_Billable,MATCH(D2608,rt_Code,0)),"Unknown"))</f>
        <v/>
      </c>
      <c r="L2608" s="38" t="str">
        <f aca="false">IF(K2608&lt;&gt;"Yes","",IFERROR(INDEX(cr_Rate,MATCH(J2608&amp;"|"&amp;D2608,cr_Key,0)),INDEX(rt_Rate,MATCH(D2608,rt_Code,0))))</f>
        <v/>
      </c>
      <c r="M2608" s="25" t="str">
        <f aca="false">IF(L2608="","",ROUND(N(E2608)*L2608,2))</f>
        <v/>
      </c>
      <c r="N2608" s="39" t="str">
        <f aca="false">IF(OR(A2608="",B2608=""),"",SUMIFS(tl_Hours,tl_StaffID,I2608,tl_Date,A2608))</f>
        <v/>
      </c>
      <c r="O2608" s="40" t="str">
        <f aca="false">IF(A2608&amp;B2608&amp;D2608="","",IF(OR(A2608="",B2608="",D2608="",E2608=""),"Incomplete",IF(K2608="Unknown","Unknown code",IF(AND(K2608="Yes",C2608=""),"Billable, needs client",IF(N2608&gt;MaxDayHours,"Over "&amp;MaxDayHours&amp;" hours that day","")))))</f>
        <v/>
      </c>
    </row>
    <row r="2609" customFormat="false" ht="15" hidden="false" customHeight="false" outlineLevel="0" collapsed="false">
      <c r="A2609" s="31"/>
      <c r="B2609" s="32"/>
      <c r="C2609" s="32"/>
      <c r="D2609" s="33"/>
      <c r="E2609" s="34"/>
      <c r="F2609" s="32"/>
      <c r="G2609" s="35" t="str">
        <f aca="false">IF(A2609="","",A2609+7-WEEKDAY(A2609))</f>
        <v/>
      </c>
      <c r="H2609" s="36" t="str">
        <f aca="false">IF(A2609="","",DATE(YEAR(A2609),MONTH(A2609),1))</f>
        <v/>
      </c>
      <c r="I2609" s="37" t="str">
        <f aca="false">IF(B2609="","",IFERROR(INDEX(st_ID,MATCH(B2609,st_Name,0)),"Unknown"))</f>
        <v/>
      </c>
      <c r="J2609" s="37" t="str">
        <f aca="false">IF(C2609="","",IFERROR(INDEX(cl_Code,MATCH(C2609,cl_Name,0)),"Unknown"))</f>
        <v/>
      </c>
      <c r="K2609" s="37" t="str">
        <f aca="false">IF(D2609="","",IFERROR(INDEX(rt_Billable,MATCH(D2609,rt_Code,0)),"Unknown"))</f>
        <v/>
      </c>
      <c r="L2609" s="38" t="str">
        <f aca="false">IF(K2609&lt;&gt;"Yes","",IFERROR(INDEX(cr_Rate,MATCH(J2609&amp;"|"&amp;D2609,cr_Key,0)),INDEX(rt_Rate,MATCH(D2609,rt_Code,0))))</f>
        <v/>
      </c>
      <c r="M2609" s="25" t="str">
        <f aca="false">IF(L2609="","",ROUND(N(E2609)*L2609,2))</f>
        <v/>
      </c>
      <c r="N2609" s="39" t="str">
        <f aca="false">IF(OR(A2609="",B2609=""),"",SUMIFS(tl_Hours,tl_StaffID,I2609,tl_Date,A2609))</f>
        <v/>
      </c>
      <c r="O2609" s="40" t="str">
        <f aca="false">IF(A2609&amp;B2609&amp;D2609="","",IF(OR(A2609="",B2609="",D2609="",E2609=""),"Incomplete",IF(K2609="Unknown","Unknown code",IF(AND(K2609="Yes",C2609=""),"Billable, needs client",IF(N2609&gt;MaxDayHours,"Over "&amp;MaxDayHours&amp;" hours that day","")))))</f>
        <v/>
      </c>
    </row>
    <row r="2610" customFormat="false" ht="15" hidden="false" customHeight="false" outlineLevel="0" collapsed="false">
      <c r="A2610" s="31"/>
      <c r="B2610" s="32"/>
      <c r="C2610" s="32"/>
      <c r="D2610" s="33"/>
      <c r="E2610" s="34"/>
      <c r="F2610" s="32"/>
      <c r="G2610" s="35" t="str">
        <f aca="false">IF(A2610="","",A2610+7-WEEKDAY(A2610))</f>
        <v/>
      </c>
      <c r="H2610" s="36" t="str">
        <f aca="false">IF(A2610="","",DATE(YEAR(A2610),MONTH(A2610),1))</f>
        <v/>
      </c>
      <c r="I2610" s="37" t="str">
        <f aca="false">IF(B2610="","",IFERROR(INDEX(st_ID,MATCH(B2610,st_Name,0)),"Unknown"))</f>
        <v/>
      </c>
      <c r="J2610" s="37" t="str">
        <f aca="false">IF(C2610="","",IFERROR(INDEX(cl_Code,MATCH(C2610,cl_Name,0)),"Unknown"))</f>
        <v/>
      </c>
      <c r="K2610" s="37" t="str">
        <f aca="false">IF(D2610="","",IFERROR(INDEX(rt_Billable,MATCH(D2610,rt_Code,0)),"Unknown"))</f>
        <v/>
      </c>
      <c r="L2610" s="38" t="str">
        <f aca="false">IF(K2610&lt;&gt;"Yes","",IFERROR(INDEX(cr_Rate,MATCH(J2610&amp;"|"&amp;D2610,cr_Key,0)),INDEX(rt_Rate,MATCH(D2610,rt_Code,0))))</f>
        <v/>
      </c>
      <c r="M2610" s="25" t="str">
        <f aca="false">IF(L2610="","",ROUND(N(E2610)*L2610,2))</f>
        <v/>
      </c>
      <c r="N2610" s="39" t="str">
        <f aca="false">IF(OR(A2610="",B2610=""),"",SUMIFS(tl_Hours,tl_StaffID,I2610,tl_Date,A2610))</f>
        <v/>
      </c>
      <c r="O2610" s="40" t="str">
        <f aca="false">IF(A2610&amp;B2610&amp;D2610="","",IF(OR(A2610="",B2610="",D2610="",E2610=""),"Incomplete",IF(K2610="Unknown","Unknown code",IF(AND(K2610="Yes",C2610=""),"Billable, needs client",IF(N2610&gt;MaxDayHours,"Over "&amp;MaxDayHours&amp;" hours that day","")))))</f>
        <v/>
      </c>
    </row>
    <row r="2611" customFormat="false" ht="15" hidden="false" customHeight="false" outlineLevel="0" collapsed="false">
      <c r="A2611" s="31"/>
      <c r="B2611" s="32"/>
      <c r="C2611" s="32"/>
      <c r="D2611" s="33"/>
      <c r="E2611" s="34"/>
      <c r="F2611" s="32"/>
      <c r="G2611" s="35" t="str">
        <f aca="false">IF(A2611="","",A2611+7-WEEKDAY(A2611))</f>
        <v/>
      </c>
      <c r="H2611" s="36" t="str">
        <f aca="false">IF(A2611="","",DATE(YEAR(A2611),MONTH(A2611),1))</f>
        <v/>
      </c>
      <c r="I2611" s="37" t="str">
        <f aca="false">IF(B2611="","",IFERROR(INDEX(st_ID,MATCH(B2611,st_Name,0)),"Unknown"))</f>
        <v/>
      </c>
      <c r="J2611" s="37" t="str">
        <f aca="false">IF(C2611="","",IFERROR(INDEX(cl_Code,MATCH(C2611,cl_Name,0)),"Unknown"))</f>
        <v/>
      </c>
      <c r="K2611" s="37" t="str">
        <f aca="false">IF(D2611="","",IFERROR(INDEX(rt_Billable,MATCH(D2611,rt_Code,0)),"Unknown"))</f>
        <v/>
      </c>
      <c r="L2611" s="38" t="str">
        <f aca="false">IF(K2611&lt;&gt;"Yes","",IFERROR(INDEX(cr_Rate,MATCH(J2611&amp;"|"&amp;D2611,cr_Key,0)),INDEX(rt_Rate,MATCH(D2611,rt_Code,0))))</f>
        <v/>
      </c>
      <c r="M2611" s="25" t="str">
        <f aca="false">IF(L2611="","",ROUND(N(E2611)*L2611,2))</f>
        <v/>
      </c>
      <c r="N2611" s="39" t="str">
        <f aca="false">IF(OR(A2611="",B2611=""),"",SUMIFS(tl_Hours,tl_StaffID,I2611,tl_Date,A2611))</f>
        <v/>
      </c>
      <c r="O2611" s="40" t="str">
        <f aca="false">IF(A2611&amp;B2611&amp;D2611="","",IF(OR(A2611="",B2611="",D2611="",E2611=""),"Incomplete",IF(K2611="Unknown","Unknown code",IF(AND(K2611="Yes",C2611=""),"Billable, needs client",IF(N2611&gt;MaxDayHours,"Over "&amp;MaxDayHours&amp;" hours that day","")))))</f>
        <v/>
      </c>
    </row>
    <row r="2612" customFormat="false" ht="15" hidden="false" customHeight="false" outlineLevel="0" collapsed="false">
      <c r="A2612" s="31"/>
      <c r="B2612" s="32"/>
      <c r="C2612" s="32"/>
      <c r="D2612" s="33"/>
      <c r="E2612" s="34"/>
      <c r="F2612" s="32"/>
      <c r="G2612" s="35" t="str">
        <f aca="false">IF(A2612="","",A2612+7-WEEKDAY(A2612))</f>
        <v/>
      </c>
      <c r="H2612" s="36" t="str">
        <f aca="false">IF(A2612="","",DATE(YEAR(A2612),MONTH(A2612),1))</f>
        <v/>
      </c>
      <c r="I2612" s="37" t="str">
        <f aca="false">IF(B2612="","",IFERROR(INDEX(st_ID,MATCH(B2612,st_Name,0)),"Unknown"))</f>
        <v/>
      </c>
      <c r="J2612" s="37" t="str">
        <f aca="false">IF(C2612="","",IFERROR(INDEX(cl_Code,MATCH(C2612,cl_Name,0)),"Unknown"))</f>
        <v/>
      </c>
      <c r="K2612" s="37" t="str">
        <f aca="false">IF(D2612="","",IFERROR(INDEX(rt_Billable,MATCH(D2612,rt_Code,0)),"Unknown"))</f>
        <v/>
      </c>
      <c r="L2612" s="38" t="str">
        <f aca="false">IF(K2612&lt;&gt;"Yes","",IFERROR(INDEX(cr_Rate,MATCH(J2612&amp;"|"&amp;D2612,cr_Key,0)),INDEX(rt_Rate,MATCH(D2612,rt_Code,0))))</f>
        <v/>
      </c>
      <c r="M2612" s="25" t="str">
        <f aca="false">IF(L2612="","",ROUND(N(E2612)*L2612,2))</f>
        <v/>
      </c>
      <c r="N2612" s="39" t="str">
        <f aca="false">IF(OR(A2612="",B2612=""),"",SUMIFS(tl_Hours,tl_StaffID,I2612,tl_Date,A2612))</f>
        <v/>
      </c>
      <c r="O2612" s="40" t="str">
        <f aca="false">IF(A2612&amp;B2612&amp;D2612="","",IF(OR(A2612="",B2612="",D2612="",E2612=""),"Incomplete",IF(K2612="Unknown","Unknown code",IF(AND(K2612="Yes",C2612=""),"Billable, needs client",IF(N2612&gt;MaxDayHours,"Over "&amp;MaxDayHours&amp;" hours that day","")))))</f>
        <v/>
      </c>
    </row>
    <row r="2613" customFormat="false" ht="15" hidden="false" customHeight="false" outlineLevel="0" collapsed="false">
      <c r="A2613" s="31"/>
      <c r="B2613" s="32"/>
      <c r="C2613" s="32"/>
      <c r="D2613" s="33"/>
      <c r="E2613" s="34"/>
      <c r="F2613" s="32"/>
      <c r="G2613" s="35" t="str">
        <f aca="false">IF(A2613="","",A2613+7-WEEKDAY(A2613))</f>
        <v/>
      </c>
      <c r="H2613" s="36" t="str">
        <f aca="false">IF(A2613="","",DATE(YEAR(A2613),MONTH(A2613),1))</f>
        <v/>
      </c>
      <c r="I2613" s="37" t="str">
        <f aca="false">IF(B2613="","",IFERROR(INDEX(st_ID,MATCH(B2613,st_Name,0)),"Unknown"))</f>
        <v/>
      </c>
      <c r="J2613" s="37" t="str">
        <f aca="false">IF(C2613="","",IFERROR(INDEX(cl_Code,MATCH(C2613,cl_Name,0)),"Unknown"))</f>
        <v/>
      </c>
      <c r="K2613" s="37" t="str">
        <f aca="false">IF(D2613="","",IFERROR(INDEX(rt_Billable,MATCH(D2613,rt_Code,0)),"Unknown"))</f>
        <v/>
      </c>
      <c r="L2613" s="38" t="str">
        <f aca="false">IF(K2613&lt;&gt;"Yes","",IFERROR(INDEX(cr_Rate,MATCH(J2613&amp;"|"&amp;D2613,cr_Key,0)),INDEX(rt_Rate,MATCH(D2613,rt_Code,0))))</f>
        <v/>
      </c>
      <c r="M2613" s="25" t="str">
        <f aca="false">IF(L2613="","",ROUND(N(E2613)*L2613,2))</f>
        <v/>
      </c>
      <c r="N2613" s="39" t="str">
        <f aca="false">IF(OR(A2613="",B2613=""),"",SUMIFS(tl_Hours,tl_StaffID,I2613,tl_Date,A2613))</f>
        <v/>
      </c>
      <c r="O2613" s="40" t="str">
        <f aca="false">IF(A2613&amp;B2613&amp;D2613="","",IF(OR(A2613="",B2613="",D2613="",E2613=""),"Incomplete",IF(K2613="Unknown","Unknown code",IF(AND(K2613="Yes",C2613=""),"Billable, needs client",IF(N2613&gt;MaxDayHours,"Over "&amp;MaxDayHours&amp;" hours that day","")))))</f>
        <v/>
      </c>
    </row>
    <row r="2614" customFormat="false" ht="15" hidden="false" customHeight="false" outlineLevel="0" collapsed="false">
      <c r="A2614" s="31"/>
      <c r="B2614" s="32"/>
      <c r="C2614" s="32"/>
      <c r="D2614" s="33"/>
      <c r="E2614" s="34"/>
      <c r="F2614" s="32"/>
      <c r="G2614" s="35" t="str">
        <f aca="false">IF(A2614="","",A2614+7-WEEKDAY(A2614))</f>
        <v/>
      </c>
      <c r="H2614" s="36" t="str">
        <f aca="false">IF(A2614="","",DATE(YEAR(A2614),MONTH(A2614),1))</f>
        <v/>
      </c>
      <c r="I2614" s="37" t="str">
        <f aca="false">IF(B2614="","",IFERROR(INDEX(st_ID,MATCH(B2614,st_Name,0)),"Unknown"))</f>
        <v/>
      </c>
      <c r="J2614" s="37" t="str">
        <f aca="false">IF(C2614="","",IFERROR(INDEX(cl_Code,MATCH(C2614,cl_Name,0)),"Unknown"))</f>
        <v/>
      </c>
      <c r="K2614" s="37" t="str">
        <f aca="false">IF(D2614="","",IFERROR(INDEX(rt_Billable,MATCH(D2614,rt_Code,0)),"Unknown"))</f>
        <v/>
      </c>
      <c r="L2614" s="38" t="str">
        <f aca="false">IF(K2614&lt;&gt;"Yes","",IFERROR(INDEX(cr_Rate,MATCH(J2614&amp;"|"&amp;D2614,cr_Key,0)),INDEX(rt_Rate,MATCH(D2614,rt_Code,0))))</f>
        <v/>
      </c>
      <c r="M2614" s="25" t="str">
        <f aca="false">IF(L2614="","",ROUND(N(E2614)*L2614,2))</f>
        <v/>
      </c>
      <c r="N2614" s="39" t="str">
        <f aca="false">IF(OR(A2614="",B2614=""),"",SUMIFS(tl_Hours,tl_StaffID,I2614,tl_Date,A2614))</f>
        <v/>
      </c>
      <c r="O2614" s="40" t="str">
        <f aca="false">IF(A2614&amp;B2614&amp;D2614="","",IF(OR(A2614="",B2614="",D2614="",E2614=""),"Incomplete",IF(K2614="Unknown","Unknown code",IF(AND(K2614="Yes",C2614=""),"Billable, needs client",IF(N2614&gt;MaxDayHours,"Over "&amp;MaxDayHours&amp;" hours that day","")))))</f>
        <v/>
      </c>
    </row>
    <row r="2615" customFormat="false" ht="15" hidden="false" customHeight="false" outlineLevel="0" collapsed="false">
      <c r="A2615" s="31"/>
      <c r="B2615" s="32"/>
      <c r="C2615" s="32"/>
      <c r="D2615" s="33"/>
      <c r="E2615" s="34"/>
      <c r="F2615" s="32"/>
      <c r="G2615" s="35" t="str">
        <f aca="false">IF(A2615="","",A2615+7-WEEKDAY(A2615))</f>
        <v/>
      </c>
      <c r="H2615" s="36" t="str">
        <f aca="false">IF(A2615="","",DATE(YEAR(A2615),MONTH(A2615),1))</f>
        <v/>
      </c>
      <c r="I2615" s="37" t="str">
        <f aca="false">IF(B2615="","",IFERROR(INDEX(st_ID,MATCH(B2615,st_Name,0)),"Unknown"))</f>
        <v/>
      </c>
      <c r="J2615" s="37" t="str">
        <f aca="false">IF(C2615="","",IFERROR(INDEX(cl_Code,MATCH(C2615,cl_Name,0)),"Unknown"))</f>
        <v/>
      </c>
      <c r="K2615" s="37" t="str">
        <f aca="false">IF(D2615="","",IFERROR(INDEX(rt_Billable,MATCH(D2615,rt_Code,0)),"Unknown"))</f>
        <v/>
      </c>
      <c r="L2615" s="38" t="str">
        <f aca="false">IF(K2615&lt;&gt;"Yes","",IFERROR(INDEX(cr_Rate,MATCH(J2615&amp;"|"&amp;D2615,cr_Key,0)),INDEX(rt_Rate,MATCH(D2615,rt_Code,0))))</f>
        <v/>
      </c>
      <c r="M2615" s="25" t="str">
        <f aca="false">IF(L2615="","",ROUND(N(E2615)*L2615,2))</f>
        <v/>
      </c>
      <c r="N2615" s="39" t="str">
        <f aca="false">IF(OR(A2615="",B2615=""),"",SUMIFS(tl_Hours,tl_StaffID,I2615,tl_Date,A2615))</f>
        <v/>
      </c>
      <c r="O2615" s="40" t="str">
        <f aca="false">IF(A2615&amp;B2615&amp;D2615="","",IF(OR(A2615="",B2615="",D2615="",E2615=""),"Incomplete",IF(K2615="Unknown","Unknown code",IF(AND(K2615="Yes",C2615=""),"Billable, needs client",IF(N2615&gt;MaxDayHours,"Over "&amp;MaxDayHours&amp;" hours that day","")))))</f>
        <v/>
      </c>
    </row>
    <row r="2616" customFormat="false" ht="15" hidden="false" customHeight="false" outlineLevel="0" collapsed="false">
      <c r="A2616" s="31"/>
      <c r="B2616" s="32"/>
      <c r="C2616" s="32"/>
      <c r="D2616" s="33"/>
      <c r="E2616" s="34"/>
      <c r="F2616" s="32"/>
      <c r="G2616" s="35" t="str">
        <f aca="false">IF(A2616="","",A2616+7-WEEKDAY(A2616))</f>
        <v/>
      </c>
      <c r="H2616" s="36" t="str">
        <f aca="false">IF(A2616="","",DATE(YEAR(A2616),MONTH(A2616),1))</f>
        <v/>
      </c>
      <c r="I2616" s="37" t="str">
        <f aca="false">IF(B2616="","",IFERROR(INDEX(st_ID,MATCH(B2616,st_Name,0)),"Unknown"))</f>
        <v/>
      </c>
      <c r="J2616" s="37" t="str">
        <f aca="false">IF(C2616="","",IFERROR(INDEX(cl_Code,MATCH(C2616,cl_Name,0)),"Unknown"))</f>
        <v/>
      </c>
      <c r="K2616" s="37" t="str">
        <f aca="false">IF(D2616="","",IFERROR(INDEX(rt_Billable,MATCH(D2616,rt_Code,0)),"Unknown"))</f>
        <v/>
      </c>
      <c r="L2616" s="38" t="str">
        <f aca="false">IF(K2616&lt;&gt;"Yes","",IFERROR(INDEX(cr_Rate,MATCH(J2616&amp;"|"&amp;D2616,cr_Key,0)),INDEX(rt_Rate,MATCH(D2616,rt_Code,0))))</f>
        <v/>
      </c>
      <c r="M2616" s="25" t="str">
        <f aca="false">IF(L2616="","",ROUND(N(E2616)*L2616,2))</f>
        <v/>
      </c>
      <c r="N2616" s="39" t="str">
        <f aca="false">IF(OR(A2616="",B2616=""),"",SUMIFS(tl_Hours,tl_StaffID,I2616,tl_Date,A2616))</f>
        <v/>
      </c>
      <c r="O2616" s="40" t="str">
        <f aca="false">IF(A2616&amp;B2616&amp;D2616="","",IF(OR(A2616="",B2616="",D2616="",E2616=""),"Incomplete",IF(K2616="Unknown","Unknown code",IF(AND(K2616="Yes",C2616=""),"Billable, needs client",IF(N2616&gt;MaxDayHours,"Over "&amp;MaxDayHours&amp;" hours that day","")))))</f>
        <v/>
      </c>
    </row>
    <row r="2617" customFormat="false" ht="15" hidden="false" customHeight="false" outlineLevel="0" collapsed="false">
      <c r="A2617" s="31"/>
      <c r="B2617" s="32"/>
      <c r="C2617" s="32"/>
      <c r="D2617" s="33"/>
      <c r="E2617" s="34"/>
      <c r="F2617" s="32"/>
      <c r="G2617" s="35" t="str">
        <f aca="false">IF(A2617="","",A2617+7-WEEKDAY(A2617))</f>
        <v/>
      </c>
      <c r="H2617" s="36" t="str">
        <f aca="false">IF(A2617="","",DATE(YEAR(A2617),MONTH(A2617),1))</f>
        <v/>
      </c>
      <c r="I2617" s="37" t="str">
        <f aca="false">IF(B2617="","",IFERROR(INDEX(st_ID,MATCH(B2617,st_Name,0)),"Unknown"))</f>
        <v/>
      </c>
      <c r="J2617" s="37" t="str">
        <f aca="false">IF(C2617="","",IFERROR(INDEX(cl_Code,MATCH(C2617,cl_Name,0)),"Unknown"))</f>
        <v/>
      </c>
      <c r="K2617" s="37" t="str">
        <f aca="false">IF(D2617="","",IFERROR(INDEX(rt_Billable,MATCH(D2617,rt_Code,0)),"Unknown"))</f>
        <v/>
      </c>
      <c r="L2617" s="38" t="str">
        <f aca="false">IF(K2617&lt;&gt;"Yes","",IFERROR(INDEX(cr_Rate,MATCH(J2617&amp;"|"&amp;D2617,cr_Key,0)),INDEX(rt_Rate,MATCH(D2617,rt_Code,0))))</f>
        <v/>
      </c>
      <c r="M2617" s="25" t="str">
        <f aca="false">IF(L2617="","",ROUND(N(E2617)*L2617,2))</f>
        <v/>
      </c>
      <c r="N2617" s="39" t="str">
        <f aca="false">IF(OR(A2617="",B2617=""),"",SUMIFS(tl_Hours,tl_StaffID,I2617,tl_Date,A2617))</f>
        <v/>
      </c>
      <c r="O2617" s="40" t="str">
        <f aca="false">IF(A2617&amp;B2617&amp;D2617="","",IF(OR(A2617="",B2617="",D2617="",E2617=""),"Incomplete",IF(K2617="Unknown","Unknown code",IF(AND(K2617="Yes",C2617=""),"Billable, needs client",IF(N2617&gt;MaxDayHours,"Over "&amp;MaxDayHours&amp;" hours that day","")))))</f>
        <v/>
      </c>
    </row>
    <row r="2618" customFormat="false" ht="15" hidden="false" customHeight="false" outlineLevel="0" collapsed="false">
      <c r="A2618" s="31"/>
      <c r="B2618" s="32"/>
      <c r="C2618" s="32"/>
      <c r="D2618" s="33"/>
      <c r="E2618" s="34"/>
      <c r="F2618" s="32"/>
      <c r="G2618" s="35" t="str">
        <f aca="false">IF(A2618="","",A2618+7-WEEKDAY(A2618))</f>
        <v/>
      </c>
      <c r="H2618" s="36" t="str">
        <f aca="false">IF(A2618="","",DATE(YEAR(A2618),MONTH(A2618),1))</f>
        <v/>
      </c>
      <c r="I2618" s="37" t="str">
        <f aca="false">IF(B2618="","",IFERROR(INDEX(st_ID,MATCH(B2618,st_Name,0)),"Unknown"))</f>
        <v/>
      </c>
      <c r="J2618" s="37" t="str">
        <f aca="false">IF(C2618="","",IFERROR(INDEX(cl_Code,MATCH(C2618,cl_Name,0)),"Unknown"))</f>
        <v/>
      </c>
      <c r="K2618" s="37" t="str">
        <f aca="false">IF(D2618="","",IFERROR(INDEX(rt_Billable,MATCH(D2618,rt_Code,0)),"Unknown"))</f>
        <v/>
      </c>
      <c r="L2618" s="38" t="str">
        <f aca="false">IF(K2618&lt;&gt;"Yes","",IFERROR(INDEX(cr_Rate,MATCH(J2618&amp;"|"&amp;D2618,cr_Key,0)),INDEX(rt_Rate,MATCH(D2618,rt_Code,0))))</f>
        <v/>
      </c>
      <c r="M2618" s="25" t="str">
        <f aca="false">IF(L2618="","",ROUND(N(E2618)*L2618,2))</f>
        <v/>
      </c>
      <c r="N2618" s="39" t="str">
        <f aca="false">IF(OR(A2618="",B2618=""),"",SUMIFS(tl_Hours,tl_StaffID,I2618,tl_Date,A2618))</f>
        <v/>
      </c>
      <c r="O2618" s="40" t="str">
        <f aca="false">IF(A2618&amp;B2618&amp;D2618="","",IF(OR(A2618="",B2618="",D2618="",E2618=""),"Incomplete",IF(K2618="Unknown","Unknown code",IF(AND(K2618="Yes",C2618=""),"Billable, needs client",IF(N2618&gt;MaxDayHours,"Over "&amp;MaxDayHours&amp;" hours that day","")))))</f>
        <v/>
      </c>
    </row>
    <row r="2619" customFormat="false" ht="15" hidden="false" customHeight="false" outlineLevel="0" collapsed="false">
      <c r="A2619" s="31"/>
      <c r="B2619" s="32"/>
      <c r="C2619" s="32"/>
      <c r="D2619" s="33"/>
      <c r="E2619" s="34"/>
      <c r="F2619" s="32"/>
      <c r="G2619" s="35" t="str">
        <f aca="false">IF(A2619="","",A2619+7-WEEKDAY(A2619))</f>
        <v/>
      </c>
      <c r="H2619" s="36" t="str">
        <f aca="false">IF(A2619="","",DATE(YEAR(A2619),MONTH(A2619),1))</f>
        <v/>
      </c>
      <c r="I2619" s="37" t="str">
        <f aca="false">IF(B2619="","",IFERROR(INDEX(st_ID,MATCH(B2619,st_Name,0)),"Unknown"))</f>
        <v/>
      </c>
      <c r="J2619" s="37" t="str">
        <f aca="false">IF(C2619="","",IFERROR(INDEX(cl_Code,MATCH(C2619,cl_Name,0)),"Unknown"))</f>
        <v/>
      </c>
      <c r="K2619" s="37" t="str">
        <f aca="false">IF(D2619="","",IFERROR(INDEX(rt_Billable,MATCH(D2619,rt_Code,0)),"Unknown"))</f>
        <v/>
      </c>
      <c r="L2619" s="38" t="str">
        <f aca="false">IF(K2619&lt;&gt;"Yes","",IFERROR(INDEX(cr_Rate,MATCH(J2619&amp;"|"&amp;D2619,cr_Key,0)),INDEX(rt_Rate,MATCH(D2619,rt_Code,0))))</f>
        <v/>
      </c>
      <c r="M2619" s="25" t="str">
        <f aca="false">IF(L2619="","",ROUND(N(E2619)*L2619,2))</f>
        <v/>
      </c>
      <c r="N2619" s="39" t="str">
        <f aca="false">IF(OR(A2619="",B2619=""),"",SUMIFS(tl_Hours,tl_StaffID,I2619,tl_Date,A2619))</f>
        <v/>
      </c>
      <c r="O2619" s="40" t="str">
        <f aca="false">IF(A2619&amp;B2619&amp;D2619="","",IF(OR(A2619="",B2619="",D2619="",E2619=""),"Incomplete",IF(K2619="Unknown","Unknown code",IF(AND(K2619="Yes",C2619=""),"Billable, needs client",IF(N2619&gt;MaxDayHours,"Over "&amp;MaxDayHours&amp;" hours that day","")))))</f>
        <v/>
      </c>
    </row>
    <row r="2620" customFormat="false" ht="15" hidden="false" customHeight="false" outlineLevel="0" collapsed="false">
      <c r="A2620" s="31"/>
      <c r="B2620" s="32"/>
      <c r="C2620" s="32"/>
      <c r="D2620" s="33"/>
      <c r="E2620" s="34"/>
      <c r="F2620" s="32"/>
      <c r="G2620" s="35" t="str">
        <f aca="false">IF(A2620="","",A2620+7-WEEKDAY(A2620))</f>
        <v/>
      </c>
      <c r="H2620" s="36" t="str">
        <f aca="false">IF(A2620="","",DATE(YEAR(A2620),MONTH(A2620),1))</f>
        <v/>
      </c>
      <c r="I2620" s="37" t="str">
        <f aca="false">IF(B2620="","",IFERROR(INDEX(st_ID,MATCH(B2620,st_Name,0)),"Unknown"))</f>
        <v/>
      </c>
      <c r="J2620" s="37" t="str">
        <f aca="false">IF(C2620="","",IFERROR(INDEX(cl_Code,MATCH(C2620,cl_Name,0)),"Unknown"))</f>
        <v/>
      </c>
      <c r="K2620" s="37" t="str">
        <f aca="false">IF(D2620="","",IFERROR(INDEX(rt_Billable,MATCH(D2620,rt_Code,0)),"Unknown"))</f>
        <v/>
      </c>
      <c r="L2620" s="38" t="str">
        <f aca="false">IF(K2620&lt;&gt;"Yes","",IFERROR(INDEX(cr_Rate,MATCH(J2620&amp;"|"&amp;D2620,cr_Key,0)),INDEX(rt_Rate,MATCH(D2620,rt_Code,0))))</f>
        <v/>
      </c>
      <c r="M2620" s="25" t="str">
        <f aca="false">IF(L2620="","",ROUND(N(E2620)*L2620,2))</f>
        <v/>
      </c>
      <c r="N2620" s="39" t="str">
        <f aca="false">IF(OR(A2620="",B2620=""),"",SUMIFS(tl_Hours,tl_StaffID,I2620,tl_Date,A2620))</f>
        <v/>
      </c>
      <c r="O2620" s="40" t="str">
        <f aca="false">IF(A2620&amp;B2620&amp;D2620="","",IF(OR(A2620="",B2620="",D2620="",E2620=""),"Incomplete",IF(K2620="Unknown","Unknown code",IF(AND(K2620="Yes",C2620=""),"Billable, needs client",IF(N2620&gt;MaxDayHours,"Over "&amp;MaxDayHours&amp;" hours that day","")))))</f>
        <v/>
      </c>
    </row>
    <row r="2621" customFormat="false" ht="15" hidden="false" customHeight="false" outlineLevel="0" collapsed="false">
      <c r="A2621" s="31"/>
      <c r="B2621" s="32"/>
      <c r="C2621" s="32"/>
      <c r="D2621" s="33"/>
      <c r="E2621" s="34"/>
      <c r="F2621" s="32"/>
      <c r="G2621" s="35" t="str">
        <f aca="false">IF(A2621="","",A2621+7-WEEKDAY(A2621))</f>
        <v/>
      </c>
      <c r="H2621" s="36" t="str">
        <f aca="false">IF(A2621="","",DATE(YEAR(A2621),MONTH(A2621),1))</f>
        <v/>
      </c>
      <c r="I2621" s="37" t="str">
        <f aca="false">IF(B2621="","",IFERROR(INDEX(st_ID,MATCH(B2621,st_Name,0)),"Unknown"))</f>
        <v/>
      </c>
      <c r="J2621" s="37" t="str">
        <f aca="false">IF(C2621="","",IFERROR(INDEX(cl_Code,MATCH(C2621,cl_Name,0)),"Unknown"))</f>
        <v/>
      </c>
      <c r="K2621" s="37" t="str">
        <f aca="false">IF(D2621="","",IFERROR(INDEX(rt_Billable,MATCH(D2621,rt_Code,0)),"Unknown"))</f>
        <v/>
      </c>
      <c r="L2621" s="38" t="str">
        <f aca="false">IF(K2621&lt;&gt;"Yes","",IFERROR(INDEX(cr_Rate,MATCH(J2621&amp;"|"&amp;D2621,cr_Key,0)),INDEX(rt_Rate,MATCH(D2621,rt_Code,0))))</f>
        <v/>
      </c>
      <c r="M2621" s="25" t="str">
        <f aca="false">IF(L2621="","",ROUND(N(E2621)*L2621,2))</f>
        <v/>
      </c>
      <c r="N2621" s="39" t="str">
        <f aca="false">IF(OR(A2621="",B2621=""),"",SUMIFS(tl_Hours,tl_StaffID,I2621,tl_Date,A2621))</f>
        <v/>
      </c>
      <c r="O2621" s="40" t="str">
        <f aca="false">IF(A2621&amp;B2621&amp;D2621="","",IF(OR(A2621="",B2621="",D2621="",E2621=""),"Incomplete",IF(K2621="Unknown","Unknown code",IF(AND(K2621="Yes",C2621=""),"Billable, needs client",IF(N2621&gt;MaxDayHours,"Over "&amp;MaxDayHours&amp;" hours that day","")))))</f>
        <v/>
      </c>
    </row>
    <row r="2622" customFormat="false" ht="15" hidden="false" customHeight="false" outlineLevel="0" collapsed="false">
      <c r="A2622" s="31"/>
      <c r="B2622" s="32"/>
      <c r="C2622" s="32"/>
      <c r="D2622" s="33"/>
      <c r="E2622" s="34"/>
      <c r="F2622" s="32"/>
      <c r="G2622" s="35" t="str">
        <f aca="false">IF(A2622="","",A2622+7-WEEKDAY(A2622))</f>
        <v/>
      </c>
      <c r="H2622" s="36" t="str">
        <f aca="false">IF(A2622="","",DATE(YEAR(A2622),MONTH(A2622),1))</f>
        <v/>
      </c>
      <c r="I2622" s="37" t="str">
        <f aca="false">IF(B2622="","",IFERROR(INDEX(st_ID,MATCH(B2622,st_Name,0)),"Unknown"))</f>
        <v/>
      </c>
      <c r="J2622" s="37" t="str">
        <f aca="false">IF(C2622="","",IFERROR(INDEX(cl_Code,MATCH(C2622,cl_Name,0)),"Unknown"))</f>
        <v/>
      </c>
      <c r="K2622" s="37" t="str">
        <f aca="false">IF(D2622="","",IFERROR(INDEX(rt_Billable,MATCH(D2622,rt_Code,0)),"Unknown"))</f>
        <v/>
      </c>
      <c r="L2622" s="38" t="str">
        <f aca="false">IF(K2622&lt;&gt;"Yes","",IFERROR(INDEX(cr_Rate,MATCH(J2622&amp;"|"&amp;D2622,cr_Key,0)),INDEX(rt_Rate,MATCH(D2622,rt_Code,0))))</f>
        <v/>
      </c>
      <c r="M2622" s="25" t="str">
        <f aca="false">IF(L2622="","",ROUND(N(E2622)*L2622,2))</f>
        <v/>
      </c>
      <c r="N2622" s="39" t="str">
        <f aca="false">IF(OR(A2622="",B2622=""),"",SUMIFS(tl_Hours,tl_StaffID,I2622,tl_Date,A2622))</f>
        <v/>
      </c>
      <c r="O2622" s="40" t="str">
        <f aca="false">IF(A2622&amp;B2622&amp;D2622="","",IF(OR(A2622="",B2622="",D2622="",E2622=""),"Incomplete",IF(K2622="Unknown","Unknown code",IF(AND(K2622="Yes",C2622=""),"Billable, needs client",IF(N2622&gt;MaxDayHours,"Over "&amp;MaxDayHours&amp;" hours that day","")))))</f>
        <v/>
      </c>
    </row>
    <row r="2623" customFormat="false" ht="15" hidden="false" customHeight="false" outlineLevel="0" collapsed="false">
      <c r="A2623" s="31"/>
      <c r="B2623" s="32"/>
      <c r="C2623" s="32"/>
      <c r="D2623" s="33"/>
      <c r="E2623" s="34"/>
      <c r="F2623" s="32"/>
      <c r="G2623" s="35" t="str">
        <f aca="false">IF(A2623="","",A2623+7-WEEKDAY(A2623))</f>
        <v/>
      </c>
      <c r="H2623" s="36" t="str">
        <f aca="false">IF(A2623="","",DATE(YEAR(A2623),MONTH(A2623),1))</f>
        <v/>
      </c>
      <c r="I2623" s="37" t="str">
        <f aca="false">IF(B2623="","",IFERROR(INDEX(st_ID,MATCH(B2623,st_Name,0)),"Unknown"))</f>
        <v/>
      </c>
      <c r="J2623" s="37" t="str">
        <f aca="false">IF(C2623="","",IFERROR(INDEX(cl_Code,MATCH(C2623,cl_Name,0)),"Unknown"))</f>
        <v/>
      </c>
      <c r="K2623" s="37" t="str">
        <f aca="false">IF(D2623="","",IFERROR(INDEX(rt_Billable,MATCH(D2623,rt_Code,0)),"Unknown"))</f>
        <v/>
      </c>
      <c r="L2623" s="38" t="str">
        <f aca="false">IF(K2623&lt;&gt;"Yes","",IFERROR(INDEX(cr_Rate,MATCH(J2623&amp;"|"&amp;D2623,cr_Key,0)),INDEX(rt_Rate,MATCH(D2623,rt_Code,0))))</f>
        <v/>
      </c>
      <c r="M2623" s="25" t="str">
        <f aca="false">IF(L2623="","",ROUND(N(E2623)*L2623,2))</f>
        <v/>
      </c>
      <c r="N2623" s="39" t="str">
        <f aca="false">IF(OR(A2623="",B2623=""),"",SUMIFS(tl_Hours,tl_StaffID,I2623,tl_Date,A2623))</f>
        <v/>
      </c>
      <c r="O2623" s="40" t="str">
        <f aca="false">IF(A2623&amp;B2623&amp;D2623="","",IF(OR(A2623="",B2623="",D2623="",E2623=""),"Incomplete",IF(K2623="Unknown","Unknown code",IF(AND(K2623="Yes",C2623=""),"Billable, needs client",IF(N2623&gt;MaxDayHours,"Over "&amp;MaxDayHours&amp;" hours that day","")))))</f>
        <v/>
      </c>
    </row>
    <row r="2624" customFormat="false" ht="15" hidden="false" customHeight="false" outlineLevel="0" collapsed="false">
      <c r="A2624" s="31"/>
      <c r="B2624" s="32"/>
      <c r="C2624" s="32"/>
      <c r="D2624" s="33"/>
      <c r="E2624" s="34"/>
      <c r="F2624" s="32"/>
      <c r="G2624" s="35" t="str">
        <f aca="false">IF(A2624="","",A2624+7-WEEKDAY(A2624))</f>
        <v/>
      </c>
      <c r="H2624" s="36" t="str">
        <f aca="false">IF(A2624="","",DATE(YEAR(A2624),MONTH(A2624),1))</f>
        <v/>
      </c>
      <c r="I2624" s="37" t="str">
        <f aca="false">IF(B2624="","",IFERROR(INDEX(st_ID,MATCH(B2624,st_Name,0)),"Unknown"))</f>
        <v/>
      </c>
      <c r="J2624" s="37" t="str">
        <f aca="false">IF(C2624="","",IFERROR(INDEX(cl_Code,MATCH(C2624,cl_Name,0)),"Unknown"))</f>
        <v/>
      </c>
      <c r="K2624" s="37" t="str">
        <f aca="false">IF(D2624="","",IFERROR(INDEX(rt_Billable,MATCH(D2624,rt_Code,0)),"Unknown"))</f>
        <v/>
      </c>
      <c r="L2624" s="38" t="str">
        <f aca="false">IF(K2624&lt;&gt;"Yes","",IFERROR(INDEX(cr_Rate,MATCH(J2624&amp;"|"&amp;D2624,cr_Key,0)),INDEX(rt_Rate,MATCH(D2624,rt_Code,0))))</f>
        <v/>
      </c>
      <c r="M2624" s="25" t="str">
        <f aca="false">IF(L2624="","",ROUND(N(E2624)*L2624,2))</f>
        <v/>
      </c>
      <c r="N2624" s="39" t="str">
        <f aca="false">IF(OR(A2624="",B2624=""),"",SUMIFS(tl_Hours,tl_StaffID,I2624,tl_Date,A2624))</f>
        <v/>
      </c>
      <c r="O2624" s="40" t="str">
        <f aca="false">IF(A2624&amp;B2624&amp;D2624="","",IF(OR(A2624="",B2624="",D2624="",E2624=""),"Incomplete",IF(K2624="Unknown","Unknown code",IF(AND(K2624="Yes",C2624=""),"Billable, needs client",IF(N2624&gt;MaxDayHours,"Over "&amp;MaxDayHours&amp;" hours that day","")))))</f>
        <v/>
      </c>
    </row>
    <row r="2625" customFormat="false" ht="15" hidden="false" customHeight="false" outlineLevel="0" collapsed="false">
      <c r="A2625" s="31"/>
      <c r="B2625" s="32"/>
      <c r="C2625" s="32"/>
      <c r="D2625" s="33"/>
      <c r="E2625" s="34"/>
      <c r="F2625" s="32"/>
      <c r="G2625" s="35" t="str">
        <f aca="false">IF(A2625="","",A2625+7-WEEKDAY(A2625))</f>
        <v/>
      </c>
      <c r="H2625" s="36" t="str">
        <f aca="false">IF(A2625="","",DATE(YEAR(A2625),MONTH(A2625),1))</f>
        <v/>
      </c>
      <c r="I2625" s="37" t="str">
        <f aca="false">IF(B2625="","",IFERROR(INDEX(st_ID,MATCH(B2625,st_Name,0)),"Unknown"))</f>
        <v/>
      </c>
      <c r="J2625" s="37" t="str">
        <f aca="false">IF(C2625="","",IFERROR(INDEX(cl_Code,MATCH(C2625,cl_Name,0)),"Unknown"))</f>
        <v/>
      </c>
      <c r="K2625" s="37" t="str">
        <f aca="false">IF(D2625="","",IFERROR(INDEX(rt_Billable,MATCH(D2625,rt_Code,0)),"Unknown"))</f>
        <v/>
      </c>
      <c r="L2625" s="38" t="str">
        <f aca="false">IF(K2625&lt;&gt;"Yes","",IFERROR(INDEX(cr_Rate,MATCH(J2625&amp;"|"&amp;D2625,cr_Key,0)),INDEX(rt_Rate,MATCH(D2625,rt_Code,0))))</f>
        <v/>
      </c>
      <c r="M2625" s="25" t="str">
        <f aca="false">IF(L2625="","",ROUND(N(E2625)*L2625,2))</f>
        <v/>
      </c>
      <c r="N2625" s="39" t="str">
        <f aca="false">IF(OR(A2625="",B2625=""),"",SUMIFS(tl_Hours,tl_StaffID,I2625,tl_Date,A2625))</f>
        <v/>
      </c>
      <c r="O2625" s="40" t="str">
        <f aca="false">IF(A2625&amp;B2625&amp;D2625="","",IF(OR(A2625="",B2625="",D2625="",E2625=""),"Incomplete",IF(K2625="Unknown","Unknown code",IF(AND(K2625="Yes",C2625=""),"Billable, needs client",IF(N2625&gt;MaxDayHours,"Over "&amp;MaxDayHours&amp;" hours that day","")))))</f>
        <v/>
      </c>
    </row>
    <row r="2626" customFormat="false" ht="15" hidden="false" customHeight="false" outlineLevel="0" collapsed="false">
      <c r="A2626" s="31"/>
      <c r="B2626" s="32"/>
      <c r="C2626" s="32"/>
      <c r="D2626" s="33"/>
      <c r="E2626" s="34"/>
      <c r="F2626" s="32"/>
      <c r="G2626" s="35" t="str">
        <f aca="false">IF(A2626="","",A2626+7-WEEKDAY(A2626))</f>
        <v/>
      </c>
      <c r="H2626" s="36" t="str">
        <f aca="false">IF(A2626="","",DATE(YEAR(A2626),MONTH(A2626),1))</f>
        <v/>
      </c>
      <c r="I2626" s="37" t="str">
        <f aca="false">IF(B2626="","",IFERROR(INDEX(st_ID,MATCH(B2626,st_Name,0)),"Unknown"))</f>
        <v/>
      </c>
      <c r="J2626" s="37" t="str">
        <f aca="false">IF(C2626="","",IFERROR(INDEX(cl_Code,MATCH(C2626,cl_Name,0)),"Unknown"))</f>
        <v/>
      </c>
      <c r="K2626" s="37" t="str">
        <f aca="false">IF(D2626="","",IFERROR(INDEX(rt_Billable,MATCH(D2626,rt_Code,0)),"Unknown"))</f>
        <v/>
      </c>
      <c r="L2626" s="38" t="str">
        <f aca="false">IF(K2626&lt;&gt;"Yes","",IFERROR(INDEX(cr_Rate,MATCH(J2626&amp;"|"&amp;D2626,cr_Key,0)),INDEX(rt_Rate,MATCH(D2626,rt_Code,0))))</f>
        <v/>
      </c>
      <c r="M2626" s="25" t="str">
        <f aca="false">IF(L2626="","",ROUND(N(E2626)*L2626,2))</f>
        <v/>
      </c>
      <c r="N2626" s="39" t="str">
        <f aca="false">IF(OR(A2626="",B2626=""),"",SUMIFS(tl_Hours,tl_StaffID,I2626,tl_Date,A2626))</f>
        <v/>
      </c>
      <c r="O2626" s="40" t="str">
        <f aca="false">IF(A2626&amp;B2626&amp;D2626="","",IF(OR(A2626="",B2626="",D2626="",E2626=""),"Incomplete",IF(K2626="Unknown","Unknown code",IF(AND(K2626="Yes",C2626=""),"Billable, needs client",IF(N2626&gt;MaxDayHours,"Over "&amp;MaxDayHours&amp;" hours that day","")))))</f>
        <v/>
      </c>
    </row>
    <row r="2627" customFormat="false" ht="15" hidden="false" customHeight="false" outlineLevel="0" collapsed="false">
      <c r="A2627" s="31"/>
      <c r="B2627" s="32"/>
      <c r="C2627" s="32"/>
      <c r="D2627" s="33"/>
      <c r="E2627" s="34"/>
      <c r="F2627" s="32"/>
      <c r="G2627" s="35" t="str">
        <f aca="false">IF(A2627="","",A2627+7-WEEKDAY(A2627))</f>
        <v/>
      </c>
      <c r="H2627" s="36" t="str">
        <f aca="false">IF(A2627="","",DATE(YEAR(A2627),MONTH(A2627),1))</f>
        <v/>
      </c>
      <c r="I2627" s="37" t="str">
        <f aca="false">IF(B2627="","",IFERROR(INDEX(st_ID,MATCH(B2627,st_Name,0)),"Unknown"))</f>
        <v/>
      </c>
      <c r="J2627" s="37" t="str">
        <f aca="false">IF(C2627="","",IFERROR(INDEX(cl_Code,MATCH(C2627,cl_Name,0)),"Unknown"))</f>
        <v/>
      </c>
      <c r="K2627" s="37" t="str">
        <f aca="false">IF(D2627="","",IFERROR(INDEX(rt_Billable,MATCH(D2627,rt_Code,0)),"Unknown"))</f>
        <v/>
      </c>
      <c r="L2627" s="38" t="str">
        <f aca="false">IF(K2627&lt;&gt;"Yes","",IFERROR(INDEX(cr_Rate,MATCH(J2627&amp;"|"&amp;D2627,cr_Key,0)),INDEX(rt_Rate,MATCH(D2627,rt_Code,0))))</f>
        <v/>
      </c>
      <c r="M2627" s="25" t="str">
        <f aca="false">IF(L2627="","",ROUND(N(E2627)*L2627,2))</f>
        <v/>
      </c>
      <c r="N2627" s="39" t="str">
        <f aca="false">IF(OR(A2627="",B2627=""),"",SUMIFS(tl_Hours,tl_StaffID,I2627,tl_Date,A2627))</f>
        <v/>
      </c>
      <c r="O2627" s="40" t="str">
        <f aca="false">IF(A2627&amp;B2627&amp;D2627="","",IF(OR(A2627="",B2627="",D2627="",E2627=""),"Incomplete",IF(K2627="Unknown","Unknown code",IF(AND(K2627="Yes",C2627=""),"Billable, needs client",IF(N2627&gt;MaxDayHours,"Over "&amp;MaxDayHours&amp;" hours that day","")))))</f>
        <v/>
      </c>
    </row>
    <row r="2628" customFormat="false" ht="15" hidden="false" customHeight="false" outlineLevel="0" collapsed="false">
      <c r="A2628" s="31"/>
      <c r="B2628" s="32"/>
      <c r="C2628" s="32"/>
      <c r="D2628" s="33"/>
      <c r="E2628" s="34"/>
      <c r="F2628" s="32"/>
      <c r="G2628" s="35" t="str">
        <f aca="false">IF(A2628="","",A2628+7-WEEKDAY(A2628))</f>
        <v/>
      </c>
      <c r="H2628" s="36" t="str">
        <f aca="false">IF(A2628="","",DATE(YEAR(A2628),MONTH(A2628),1))</f>
        <v/>
      </c>
      <c r="I2628" s="37" t="str">
        <f aca="false">IF(B2628="","",IFERROR(INDEX(st_ID,MATCH(B2628,st_Name,0)),"Unknown"))</f>
        <v/>
      </c>
      <c r="J2628" s="37" t="str">
        <f aca="false">IF(C2628="","",IFERROR(INDEX(cl_Code,MATCH(C2628,cl_Name,0)),"Unknown"))</f>
        <v/>
      </c>
      <c r="K2628" s="37" t="str">
        <f aca="false">IF(D2628="","",IFERROR(INDEX(rt_Billable,MATCH(D2628,rt_Code,0)),"Unknown"))</f>
        <v/>
      </c>
      <c r="L2628" s="38" t="str">
        <f aca="false">IF(K2628&lt;&gt;"Yes","",IFERROR(INDEX(cr_Rate,MATCH(J2628&amp;"|"&amp;D2628,cr_Key,0)),INDEX(rt_Rate,MATCH(D2628,rt_Code,0))))</f>
        <v/>
      </c>
      <c r="M2628" s="25" t="str">
        <f aca="false">IF(L2628="","",ROUND(N(E2628)*L2628,2))</f>
        <v/>
      </c>
      <c r="N2628" s="39" t="str">
        <f aca="false">IF(OR(A2628="",B2628=""),"",SUMIFS(tl_Hours,tl_StaffID,I2628,tl_Date,A2628))</f>
        <v/>
      </c>
      <c r="O2628" s="40" t="str">
        <f aca="false">IF(A2628&amp;B2628&amp;D2628="","",IF(OR(A2628="",B2628="",D2628="",E2628=""),"Incomplete",IF(K2628="Unknown","Unknown code",IF(AND(K2628="Yes",C2628=""),"Billable, needs client",IF(N2628&gt;MaxDayHours,"Over "&amp;MaxDayHours&amp;" hours that day","")))))</f>
        <v/>
      </c>
    </row>
    <row r="2629" customFormat="false" ht="15" hidden="false" customHeight="false" outlineLevel="0" collapsed="false">
      <c r="A2629" s="31"/>
      <c r="B2629" s="32"/>
      <c r="C2629" s="32"/>
      <c r="D2629" s="33"/>
      <c r="E2629" s="34"/>
      <c r="F2629" s="32"/>
      <c r="G2629" s="35" t="str">
        <f aca="false">IF(A2629="","",A2629+7-WEEKDAY(A2629))</f>
        <v/>
      </c>
      <c r="H2629" s="36" t="str">
        <f aca="false">IF(A2629="","",DATE(YEAR(A2629),MONTH(A2629),1))</f>
        <v/>
      </c>
      <c r="I2629" s="37" t="str">
        <f aca="false">IF(B2629="","",IFERROR(INDEX(st_ID,MATCH(B2629,st_Name,0)),"Unknown"))</f>
        <v/>
      </c>
      <c r="J2629" s="37" t="str">
        <f aca="false">IF(C2629="","",IFERROR(INDEX(cl_Code,MATCH(C2629,cl_Name,0)),"Unknown"))</f>
        <v/>
      </c>
      <c r="K2629" s="37" t="str">
        <f aca="false">IF(D2629="","",IFERROR(INDEX(rt_Billable,MATCH(D2629,rt_Code,0)),"Unknown"))</f>
        <v/>
      </c>
      <c r="L2629" s="38" t="str">
        <f aca="false">IF(K2629&lt;&gt;"Yes","",IFERROR(INDEX(cr_Rate,MATCH(J2629&amp;"|"&amp;D2629,cr_Key,0)),INDEX(rt_Rate,MATCH(D2629,rt_Code,0))))</f>
        <v/>
      </c>
      <c r="M2629" s="25" t="str">
        <f aca="false">IF(L2629="","",ROUND(N(E2629)*L2629,2))</f>
        <v/>
      </c>
      <c r="N2629" s="39" t="str">
        <f aca="false">IF(OR(A2629="",B2629=""),"",SUMIFS(tl_Hours,tl_StaffID,I2629,tl_Date,A2629))</f>
        <v/>
      </c>
      <c r="O2629" s="40" t="str">
        <f aca="false">IF(A2629&amp;B2629&amp;D2629="","",IF(OR(A2629="",B2629="",D2629="",E2629=""),"Incomplete",IF(K2629="Unknown","Unknown code",IF(AND(K2629="Yes",C2629=""),"Billable, needs client",IF(N2629&gt;MaxDayHours,"Over "&amp;MaxDayHours&amp;" hours that day","")))))</f>
        <v/>
      </c>
    </row>
    <row r="2630" customFormat="false" ht="15" hidden="false" customHeight="false" outlineLevel="0" collapsed="false">
      <c r="A2630" s="31"/>
      <c r="B2630" s="32"/>
      <c r="C2630" s="32"/>
      <c r="D2630" s="33"/>
      <c r="E2630" s="34"/>
      <c r="F2630" s="32"/>
      <c r="G2630" s="35" t="str">
        <f aca="false">IF(A2630="","",A2630+7-WEEKDAY(A2630))</f>
        <v/>
      </c>
      <c r="H2630" s="36" t="str">
        <f aca="false">IF(A2630="","",DATE(YEAR(A2630),MONTH(A2630),1))</f>
        <v/>
      </c>
      <c r="I2630" s="37" t="str">
        <f aca="false">IF(B2630="","",IFERROR(INDEX(st_ID,MATCH(B2630,st_Name,0)),"Unknown"))</f>
        <v/>
      </c>
      <c r="J2630" s="37" t="str">
        <f aca="false">IF(C2630="","",IFERROR(INDEX(cl_Code,MATCH(C2630,cl_Name,0)),"Unknown"))</f>
        <v/>
      </c>
      <c r="K2630" s="37" t="str">
        <f aca="false">IF(D2630="","",IFERROR(INDEX(rt_Billable,MATCH(D2630,rt_Code,0)),"Unknown"))</f>
        <v/>
      </c>
      <c r="L2630" s="38" t="str">
        <f aca="false">IF(K2630&lt;&gt;"Yes","",IFERROR(INDEX(cr_Rate,MATCH(J2630&amp;"|"&amp;D2630,cr_Key,0)),INDEX(rt_Rate,MATCH(D2630,rt_Code,0))))</f>
        <v/>
      </c>
      <c r="M2630" s="25" t="str">
        <f aca="false">IF(L2630="","",ROUND(N(E2630)*L2630,2))</f>
        <v/>
      </c>
      <c r="N2630" s="39" t="str">
        <f aca="false">IF(OR(A2630="",B2630=""),"",SUMIFS(tl_Hours,tl_StaffID,I2630,tl_Date,A2630))</f>
        <v/>
      </c>
      <c r="O2630" s="40" t="str">
        <f aca="false">IF(A2630&amp;B2630&amp;D2630="","",IF(OR(A2630="",B2630="",D2630="",E2630=""),"Incomplete",IF(K2630="Unknown","Unknown code",IF(AND(K2630="Yes",C2630=""),"Billable, needs client",IF(N2630&gt;MaxDayHours,"Over "&amp;MaxDayHours&amp;" hours that day","")))))</f>
        <v/>
      </c>
    </row>
    <row r="2631" customFormat="false" ht="15" hidden="false" customHeight="false" outlineLevel="0" collapsed="false">
      <c r="A2631" s="31"/>
      <c r="B2631" s="32"/>
      <c r="C2631" s="32"/>
      <c r="D2631" s="33"/>
      <c r="E2631" s="34"/>
      <c r="F2631" s="32"/>
      <c r="G2631" s="35" t="str">
        <f aca="false">IF(A2631="","",A2631+7-WEEKDAY(A2631))</f>
        <v/>
      </c>
      <c r="H2631" s="36" t="str">
        <f aca="false">IF(A2631="","",DATE(YEAR(A2631),MONTH(A2631),1))</f>
        <v/>
      </c>
      <c r="I2631" s="37" t="str">
        <f aca="false">IF(B2631="","",IFERROR(INDEX(st_ID,MATCH(B2631,st_Name,0)),"Unknown"))</f>
        <v/>
      </c>
      <c r="J2631" s="37" t="str">
        <f aca="false">IF(C2631="","",IFERROR(INDEX(cl_Code,MATCH(C2631,cl_Name,0)),"Unknown"))</f>
        <v/>
      </c>
      <c r="K2631" s="37" t="str">
        <f aca="false">IF(D2631="","",IFERROR(INDEX(rt_Billable,MATCH(D2631,rt_Code,0)),"Unknown"))</f>
        <v/>
      </c>
      <c r="L2631" s="38" t="str">
        <f aca="false">IF(K2631&lt;&gt;"Yes","",IFERROR(INDEX(cr_Rate,MATCH(J2631&amp;"|"&amp;D2631,cr_Key,0)),INDEX(rt_Rate,MATCH(D2631,rt_Code,0))))</f>
        <v/>
      </c>
      <c r="M2631" s="25" t="str">
        <f aca="false">IF(L2631="","",ROUND(N(E2631)*L2631,2))</f>
        <v/>
      </c>
      <c r="N2631" s="39" t="str">
        <f aca="false">IF(OR(A2631="",B2631=""),"",SUMIFS(tl_Hours,tl_StaffID,I2631,tl_Date,A2631))</f>
        <v/>
      </c>
      <c r="O2631" s="40" t="str">
        <f aca="false">IF(A2631&amp;B2631&amp;D2631="","",IF(OR(A2631="",B2631="",D2631="",E2631=""),"Incomplete",IF(K2631="Unknown","Unknown code",IF(AND(K2631="Yes",C2631=""),"Billable, needs client",IF(N2631&gt;MaxDayHours,"Over "&amp;MaxDayHours&amp;" hours that day","")))))</f>
        <v/>
      </c>
    </row>
    <row r="2632" customFormat="false" ht="15" hidden="false" customHeight="false" outlineLevel="0" collapsed="false">
      <c r="A2632" s="31"/>
      <c r="B2632" s="32"/>
      <c r="C2632" s="32"/>
      <c r="D2632" s="33"/>
      <c r="E2632" s="34"/>
      <c r="F2632" s="32"/>
      <c r="G2632" s="35" t="str">
        <f aca="false">IF(A2632="","",A2632+7-WEEKDAY(A2632))</f>
        <v/>
      </c>
      <c r="H2632" s="36" t="str">
        <f aca="false">IF(A2632="","",DATE(YEAR(A2632),MONTH(A2632),1))</f>
        <v/>
      </c>
      <c r="I2632" s="37" t="str">
        <f aca="false">IF(B2632="","",IFERROR(INDEX(st_ID,MATCH(B2632,st_Name,0)),"Unknown"))</f>
        <v/>
      </c>
      <c r="J2632" s="37" t="str">
        <f aca="false">IF(C2632="","",IFERROR(INDEX(cl_Code,MATCH(C2632,cl_Name,0)),"Unknown"))</f>
        <v/>
      </c>
      <c r="K2632" s="37" t="str">
        <f aca="false">IF(D2632="","",IFERROR(INDEX(rt_Billable,MATCH(D2632,rt_Code,0)),"Unknown"))</f>
        <v/>
      </c>
      <c r="L2632" s="38" t="str">
        <f aca="false">IF(K2632&lt;&gt;"Yes","",IFERROR(INDEX(cr_Rate,MATCH(J2632&amp;"|"&amp;D2632,cr_Key,0)),INDEX(rt_Rate,MATCH(D2632,rt_Code,0))))</f>
        <v/>
      </c>
      <c r="M2632" s="25" t="str">
        <f aca="false">IF(L2632="","",ROUND(N(E2632)*L2632,2))</f>
        <v/>
      </c>
      <c r="N2632" s="39" t="str">
        <f aca="false">IF(OR(A2632="",B2632=""),"",SUMIFS(tl_Hours,tl_StaffID,I2632,tl_Date,A2632))</f>
        <v/>
      </c>
      <c r="O2632" s="40" t="str">
        <f aca="false">IF(A2632&amp;B2632&amp;D2632="","",IF(OR(A2632="",B2632="",D2632="",E2632=""),"Incomplete",IF(K2632="Unknown","Unknown code",IF(AND(K2632="Yes",C2632=""),"Billable, needs client",IF(N2632&gt;MaxDayHours,"Over "&amp;MaxDayHours&amp;" hours that day","")))))</f>
        <v/>
      </c>
    </row>
    <row r="2633" customFormat="false" ht="15" hidden="false" customHeight="false" outlineLevel="0" collapsed="false">
      <c r="A2633" s="31"/>
      <c r="B2633" s="32"/>
      <c r="C2633" s="32"/>
      <c r="D2633" s="33"/>
      <c r="E2633" s="34"/>
      <c r="F2633" s="32"/>
      <c r="G2633" s="35" t="str">
        <f aca="false">IF(A2633="","",A2633+7-WEEKDAY(A2633))</f>
        <v/>
      </c>
      <c r="H2633" s="36" t="str">
        <f aca="false">IF(A2633="","",DATE(YEAR(A2633),MONTH(A2633),1))</f>
        <v/>
      </c>
      <c r="I2633" s="37" t="str">
        <f aca="false">IF(B2633="","",IFERROR(INDEX(st_ID,MATCH(B2633,st_Name,0)),"Unknown"))</f>
        <v/>
      </c>
      <c r="J2633" s="37" t="str">
        <f aca="false">IF(C2633="","",IFERROR(INDEX(cl_Code,MATCH(C2633,cl_Name,0)),"Unknown"))</f>
        <v/>
      </c>
      <c r="K2633" s="37" t="str">
        <f aca="false">IF(D2633="","",IFERROR(INDEX(rt_Billable,MATCH(D2633,rt_Code,0)),"Unknown"))</f>
        <v/>
      </c>
      <c r="L2633" s="38" t="str">
        <f aca="false">IF(K2633&lt;&gt;"Yes","",IFERROR(INDEX(cr_Rate,MATCH(J2633&amp;"|"&amp;D2633,cr_Key,0)),INDEX(rt_Rate,MATCH(D2633,rt_Code,0))))</f>
        <v/>
      </c>
      <c r="M2633" s="25" t="str">
        <f aca="false">IF(L2633="","",ROUND(N(E2633)*L2633,2))</f>
        <v/>
      </c>
      <c r="N2633" s="39" t="str">
        <f aca="false">IF(OR(A2633="",B2633=""),"",SUMIFS(tl_Hours,tl_StaffID,I2633,tl_Date,A2633))</f>
        <v/>
      </c>
      <c r="O2633" s="40" t="str">
        <f aca="false">IF(A2633&amp;B2633&amp;D2633="","",IF(OR(A2633="",B2633="",D2633="",E2633=""),"Incomplete",IF(K2633="Unknown","Unknown code",IF(AND(K2633="Yes",C2633=""),"Billable, needs client",IF(N2633&gt;MaxDayHours,"Over "&amp;MaxDayHours&amp;" hours that day","")))))</f>
        <v/>
      </c>
    </row>
    <row r="2634" customFormat="false" ht="15" hidden="false" customHeight="false" outlineLevel="0" collapsed="false">
      <c r="A2634" s="31"/>
      <c r="B2634" s="32"/>
      <c r="C2634" s="32"/>
      <c r="D2634" s="33"/>
      <c r="E2634" s="34"/>
      <c r="F2634" s="32"/>
      <c r="G2634" s="35" t="str">
        <f aca="false">IF(A2634="","",A2634+7-WEEKDAY(A2634))</f>
        <v/>
      </c>
      <c r="H2634" s="36" t="str">
        <f aca="false">IF(A2634="","",DATE(YEAR(A2634),MONTH(A2634),1))</f>
        <v/>
      </c>
      <c r="I2634" s="37" t="str">
        <f aca="false">IF(B2634="","",IFERROR(INDEX(st_ID,MATCH(B2634,st_Name,0)),"Unknown"))</f>
        <v/>
      </c>
      <c r="J2634" s="37" t="str">
        <f aca="false">IF(C2634="","",IFERROR(INDEX(cl_Code,MATCH(C2634,cl_Name,0)),"Unknown"))</f>
        <v/>
      </c>
      <c r="K2634" s="37" t="str">
        <f aca="false">IF(D2634="","",IFERROR(INDEX(rt_Billable,MATCH(D2634,rt_Code,0)),"Unknown"))</f>
        <v/>
      </c>
      <c r="L2634" s="38" t="str">
        <f aca="false">IF(K2634&lt;&gt;"Yes","",IFERROR(INDEX(cr_Rate,MATCH(J2634&amp;"|"&amp;D2634,cr_Key,0)),INDEX(rt_Rate,MATCH(D2634,rt_Code,0))))</f>
        <v/>
      </c>
      <c r="M2634" s="25" t="str">
        <f aca="false">IF(L2634="","",ROUND(N(E2634)*L2634,2))</f>
        <v/>
      </c>
      <c r="N2634" s="39" t="str">
        <f aca="false">IF(OR(A2634="",B2634=""),"",SUMIFS(tl_Hours,tl_StaffID,I2634,tl_Date,A2634))</f>
        <v/>
      </c>
      <c r="O2634" s="40" t="str">
        <f aca="false">IF(A2634&amp;B2634&amp;D2634="","",IF(OR(A2634="",B2634="",D2634="",E2634=""),"Incomplete",IF(K2634="Unknown","Unknown code",IF(AND(K2634="Yes",C2634=""),"Billable, needs client",IF(N2634&gt;MaxDayHours,"Over "&amp;MaxDayHours&amp;" hours that day","")))))</f>
        <v/>
      </c>
    </row>
    <row r="2635" customFormat="false" ht="15" hidden="false" customHeight="false" outlineLevel="0" collapsed="false">
      <c r="A2635" s="31"/>
      <c r="B2635" s="32"/>
      <c r="C2635" s="32"/>
      <c r="D2635" s="33"/>
      <c r="E2635" s="34"/>
      <c r="F2635" s="32"/>
      <c r="G2635" s="35" t="str">
        <f aca="false">IF(A2635="","",A2635+7-WEEKDAY(A2635))</f>
        <v/>
      </c>
      <c r="H2635" s="36" t="str">
        <f aca="false">IF(A2635="","",DATE(YEAR(A2635),MONTH(A2635),1))</f>
        <v/>
      </c>
      <c r="I2635" s="37" t="str">
        <f aca="false">IF(B2635="","",IFERROR(INDEX(st_ID,MATCH(B2635,st_Name,0)),"Unknown"))</f>
        <v/>
      </c>
      <c r="J2635" s="37" t="str">
        <f aca="false">IF(C2635="","",IFERROR(INDEX(cl_Code,MATCH(C2635,cl_Name,0)),"Unknown"))</f>
        <v/>
      </c>
      <c r="K2635" s="37" t="str">
        <f aca="false">IF(D2635="","",IFERROR(INDEX(rt_Billable,MATCH(D2635,rt_Code,0)),"Unknown"))</f>
        <v/>
      </c>
      <c r="L2635" s="38" t="str">
        <f aca="false">IF(K2635&lt;&gt;"Yes","",IFERROR(INDEX(cr_Rate,MATCH(J2635&amp;"|"&amp;D2635,cr_Key,0)),INDEX(rt_Rate,MATCH(D2635,rt_Code,0))))</f>
        <v/>
      </c>
      <c r="M2635" s="25" t="str">
        <f aca="false">IF(L2635="","",ROUND(N(E2635)*L2635,2))</f>
        <v/>
      </c>
      <c r="N2635" s="39" t="str">
        <f aca="false">IF(OR(A2635="",B2635=""),"",SUMIFS(tl_Hours,tl_StaffID,I2635,tl_Date,A2635))</f>
        <v/>
      </c>
      <c r="O2635" s="40" t="str">
        <f aca="false">IF(A2635&amp;B2635&amp;D2635="","",IF(OR(A2635="",B2635="",D2635="",E2635=""),"Incomplete",IF(K2635="Unknown","Unknown code",IF(AND(K2635="Yes",C2635=""),"Billable, needs client",IF(N2635&gt;MaxDayHours,"Over "&amp;MaxDayHours&amp;" hours that day","")))))</f>
        <v/>
      </c>
    </row>
    <row r="2636" customFormat="false" ht="15" hidden="false" customHeight="false" outlineLevel="0" collapsed="false">
      <c r="A2636" s="31"/>
      <c r="B2636" s="32"/>
      <c r="C2636" s="32"/>
      <c r="D2636" s="33"/>
      <c r="E2636" s="34"/>
      <c r="F2636" s="32"/>
      <c r="G2636" s="35" t="str">
        <f aca="false">IF(A2636="","",A2636+7-WEEKDAY(A2636))</f>
        <v/>
      </c>
      <c r="H2636" s="36" t="str">
        <f aca="false">IF(A2636="","",DATE(YEAR(A2636),MONTH(A2636),1))</f>
        <v/>
      </c>
      <c r="I2636" s="37" t="str">
        <f aca="false">IF(B2636="","",IFERROR(INDEX(st_ID,MATCH(B2636,st_Name,0)),"Unknown"))</f>
        <v/>
      </c>
      <c r="J2636" s="37" t="str">
        <f aca="false">IF(C2636="","",IFERROR(INDEX(cl_Code,MATCH(C2636,cl_Name,0)),"Unknown"))</f>
        <v/>
      </c>
      <c r="K2636" s="37" t="str">
        <f aca="false">IF(D2636="","",IFERROR(INDEX(rt_Billable,MATCH(D2636,rt_Code,0)),"Unknown"))</f>
        <v/>
      </c>
      <c r="L2636" s="38" t="str">
        <f aca="false">IF(K2636&lt;&gt;"Yes","",IFERROR(INDEX(cr_Rate,MATCH(J2636&amp;"|"&amp;D2636,cr_Key,0)),INDEX(rt_Rate,MATCH(D2636,rt_Code,0))))</f>
        <v/>
      </c>
      <c r="M2636" s="25" t="str">
        <f aca="false">IF(L2636="","",ROUND(N(E2636)*L2636,2))</f>
        <v/>
      </c>
      <c r="N2636" s="39" t="str">
        <f aca="false">IF(OR(A2636="",B2636=""),"",SUMIFS(tl_Hours,tl_StaffID,I2636,tl_Date,A2636))</f>
        <v/>
      </c>
      <c r="O2636" s="40" t="str">
        <f aca="false">IF(A2636&amp;B2636&amp;D2636="","",IF(OR(A2636="",B2636="",D2636="",E2636=""),"Incomplete",IF(K2636="Unknown","Unknown code",IF(AND(K2636="Yes",C2636=""),"Billable, needs client",IF(N2636&gt;MaxDayHours,"Over "&amp;MaxDayHours&amp;" hours that day","")))))</f>
        <v/>
      </c>
    </row>
    <row r="2637" customFormat="false" ht="15" hidden="false" customHeight="false" outlineLevel="0" collapsed="false">
      <c r="A2637" s="31"/>
      <c r="B2637" s="32"/>
      <c r="C2637" s="32"/>
      <c r="D2637" s="33"/>
      <c r="E2637" s="34"/>
      <c r="F2637" s="32"/>
      <c r="G2637" s="35" t="str">
        <f aca="false">IF(A2637="","",A2637+7-WEEKDAY(A2637))</f>
        <v/>
      </c>
      <c r="H2637" s="36" t="str">
        <f aca="false">IF(A2637="","",DATE(YEAR(A2637),MONTH(A2637),1))</f>
        <v/>
      </c>
      <c r="I2637" s="37" t="str">
        <f aca="false">IF(B2637="","",IFERROR(INDEX(st_ID,MATCH(B2637,st_Name,0)),"Unknown"))</f>
        <v/>
      </c>
      <c r="J2637" s="37" t="str">
        <f aca="false">IF(C2637="","",IFERROR(INDEX(cl_Code,MATCH(C2637,cl_Name,0)),"Unknown"))</f>
        <v/>
      </c>
      <c r="K2637" s="37" t="str">
        <f aca="false">IF(D2637="","",IFERROR(INDEX(rt_Billable,MATCH(D2637,rt_Code,0)),"Unknown"))</f>
        <v/>
      </c>
      <c r="L2637" s="38" t="str">
        <f aca="false">IF(K2637&lt;&gt;"Yes","",IFERROR(INDEX(cr_Rate,MATCH(J2637&amp;"|"&amp;D2637,cr_Key,0)),INDEX(rt_Rate,MATCH(D2637,rt_Code,0))))</f>
        <v/>
      </c>
      <c r="M2637" s="25" t="str">
        <f aca="false">IF(L2637="","",ROUND(N(E2637)*L2637,2))</f>
        <v/>
      </c>
      <c r="N2637" s="39" t="str">
        <f aca="false">IF(OR(A2637="",B2637=""),"",SUMIFS(tl_Hours,tl_StaffID,I2637,tl_Date,A2637))</f>
        <v/>
      </c>
      <c r="O2637" s="40" t="str">
        <f aca="false">IF(A2637&amp;B2637&amp;D2637="","",IF(OR(A2637="",B2637="",D2637="",E2637=""),"Incomplete",IF(K2637="Unknown","Unknown code",IF(AND(K2637="Yes",C2637=""),"Billable, needs client",IF(N2637&gt;MaxDayHours,"Over "&amp;MaxDayHours&amp;" hours that day","")))))</f>
        <v/>
      </c>
    </row>
    <row r="2638" customFormat="false" ht="15" hidden="false" customHeight="false" outlineLevel="0" collapsed="false">
      <c r="A2638" s="31"/>
      <c r="B2638" s="32"/>
      <c r="C2638" s="32"/>
      <c r="D2638" s="33"/>
      <c r="E2638" s="34"/>
      <c r="F2638" s="32"/>
      <c r="G2638" s="35" t="str">
        <f aca="false">IF(A2638="","",A2638+7-WEEKDAY(A2638))</f>
        <v/>
      </c>
      <c r="H2638" s="36" t="str">
        <f aca="false">IF(A2638="","",DATE(YEAR(A2638),MONTH(A2638),1))</f>
        <v/>
      </c>
      <c r="I2638" s="37" t="str">
        <f aca="false">IF(B2638="","",IFERROR(INDEX(st_ID,MATCH(B2638,st_Name,0)),"Unknown"))</f>
        <v/>
      </c>
      <c r="J2638" s="37" t="str">
        <f aca="false">IF(C2638="","",IFERROR(INDEX(cl_Code,MATCH(C2638,cl_Name,0)),"Unknown"))</f>
        <v/>
      </c>
      <c r="K2638" s="37" t="str">
        <f aca="false">IF(D2638="","",IFERROR(INDEX(rt_Billable,MATCH(D2638,rt_Code,0)),"Unknown"))</f>
        <v/>
      </c>
      <c r="L2638" s="38" t="str">
        <f aca="false">IF(K2638&lt;&gt;"Yes","",IFERROR(INDEX(cr_Rate,MATCH(J2638&amp;"|"&amp;D2638,cr_Key,0)),INDEX(rt_Rate,MATCH(D2638,rt_Code,0))))</f>
        <v/>
      </c>
      <c r="M2638" s="25" t="str">
        <f aca="false">IF(L2638="","",ROUND(N(E2638)*L2638,2))</f>
        <v/>
      </c>
      <c r="N2638" s="39" t="str">
        <f aca="false">IF(OR(A2638="",B2638=""),"",SUMIFS(tl_Hours,tl_StaffID,I2638,tl_Date,A2638))</f>
        <v/>
      </c>
      <c r="O2638" s="40" t="str">
        <f aca="false">IF(A2638&amp;B2638&amp;D2638="","",IF(OR(A2638="",B2638="",D2638="",E2638=""),"Incomplete",IF(K2638="Unknown","Unknown code",IF(AND(K2638="Yes",C2638=""),"Billable, needs client",IF(N2638&gt;MaxDayHours,"Over "&amp;MaxDayHours&amp;" hours that day","")))))</f>
        <v/>
      </c>
    </row>
    <row r="2639" customFormat="false" ht="15" hidden="false" customHeight="false" outlineLevel="0" collapsed="false">
      <c r="A2639" s="31"/>
      <c r="B2639" s="32"/>
      <c r="C2639" s="32"/>
      <c r="D2639" s="33"/>
      <c r="E2639" s="34"/>
      <c r="F2639" s="32"/>
      <c r="G2639" s="35" t="str">
        <f aca="false">IF(A2639="","",A2639+7-WEEKDAY(A2639))</f>
        <v/>
      </c>
      <c r="H2639" s="36" t="str">
        <f aca="false">IF(A2639="","",DATE(YEAR(A2639),MONTH(A2639),1))</f>
        <v/>
      </c>
      <c r="I2639" s="37" t="str">
        <f aca="false">IF(B2639="","",IFERROR(INDEX(st_ID,MATCH(B2639,st_Name,0)),"Unknown"))</f>
        <v/>
      </c>
      <c r="J2639" s="37" t="str">
        <f aca="false">IF(C2639="","",IFERROR(INDEX(cl_Code,MATCH(C2639,cl_Name,0)),"Unknown"))</f>
        <v/>
      </c>
      <c r="K2639" s="37" t="str">
        <f aca="false">IF(D2639="","",IFERROR(INDEX(rt_Billable,MATCH(D2639,rt_Code,0)),"Unknown"))</f>
        <v/>
      </c>
      <c r="L2639" s="38" t="str">
        <f aca="false">IF(K2639&lt;&gt;"Yes","",IFERROR(INDEX(cr_Rate,MATCH(J2639&amp;"|"&amp;D2639,cr_Key,0)),INDEX(rt_Rate,MATCH(D2639,rt_Code,0))))</f>
        <v/>
      </c>
      <c r="M2639" s="25" t="str">
        <f aca="false">IF(L2639="","",ROUND(N(E2639)*L2639,2))</f>
        <v/>
      </c>
      <c r="N2639" s="39" t="str">
        <f aca="false">IF(OR(A2639="",B2639=""),"",SUMIFS(tl_Hours,tl_StaffID,I2639,tl_Date,A2639))</f>
        <v/>
      </c>
      <c r="O2639" s="40" t="str">
        <f aca="false">IF(A2639&amp;B2639&amp;D2639="","",IF(OR(A2639="",B2639="",D2639="",E2639=""),"Incomplete",IF(K2639="Unknown","Unknown code",IF(AND(K2639="Yes",C2639=""),"Billable, needs client",IF(N2639&gt;MaxDayHours,"Over "&amp;MaxDayHours&amp;" hours that day","")))))</f>
        <v/>
      </c>
    </row>
    <row r="2640" customFormat="false" ht="15" hidden="false" customHeight="false" outlineLevel="0" collapsed="false">
      <c r="A2640" s="31"/>
      <c r="B2640" s="32"/>
      <c r="C2640" s="32"/>
      <c r="D2640" s="33"/>
      <c r="E2640" s="34"/>
      <c r="F2640" s="32"/>
      <c r="G2640" s="35" t="str">
        <f aca="false">IF(A2640="","",A2640+7-WEEKDAY(A2640))</f>
        <v/>
      </c>
      <c r="H2640" s="36" t="str">
        <f aca="false">IF(A2640="","",DATE(YEAR(A2640),MONTH(A2640),1))</f>
        <v/>
      </c>
      <c r="I2640" s="37" t="str">
        <f aca="false">IF(B2640="","",IFERROR(INDEX(st_ID,MATCH(B2640,st_Name,0)),"Unknown"))</f>
        <v/>
      </c>
      <c r="J2640" s="37" t="str">
        <f aca="false">IF(C2640="","",IFERROR(INDEX(cl_Code,MATCH(C2640,cl_Name,0)),"Unknown"))</f>
        <v/>
      </c>
      <c r="K2640" s="37" t="str">
        <f aca="false">IF(D2640="","",IFERROR(INDEX(rt_Billable,MATCH(D2640,rt_Code,0)),"Unknown"))</f>
        <v/>
      </c>
      <c r="L2640" s="38" t="str">
        <f aca="false">IF(K2640&lt;&gt;"Yes","",IFERROR(INDEX(cr_Rate,MATCH(J2640&amp;"|"&amp;D2640,cr_Key,0)),INDEX(rt_Rate,MATCH(D2640,rt_Code,0))))</f>
        <v/>
      </c>
      <c r="M2640" s="25" t="str">
        <f aca="false">IF(L2640="","",ROUND(N(E2640)*L2640,2))</f>
        <v/>
      </c>
      <c r="N2640" s="39" t="str">
        <f aca="false">IF(OR(A2640="",B2640=""),"",SUMIFS(tl_Hours,tl_StaffID,I2640,tl_Date,A2640))</f>
        <v/>
      </c>
      <c r="O2640" s="40" t="str">
        <f aca="false">IF(A2640&amp;B2640&amp;D2640="","",IF(OR(A2640="",B2640="",D2640="",E2640=""),"Incomplete",IF(K2640="Unknown","Unknown code",IF(AND(K2640="Yes",C2640=""),"Billable, needs client",IF(N2640&gt;MaxDayHours,"Over "&amp;MaxDayHours&amp;" hours that day","")))))</f>
        <v/>
      </c>
    </row>
    <row r="2641" customFormat="false" ht="15" hidden="false" customHeight="false" outlineLevel="0" collapsed="false">
      <c r="A2641" s="31"/>
      <c r="B2641" s="32"/>
      <c r="C2641" s="32"/>
      <c r="D2641" s="33"/>
      <c r="E2641" s="34"/>
      <c r="F2641" s="32"/>
      <c r="G2641" s="35" t="str">
        <f aca="false">IF(A2641="","",A2641+7-WEEKDAY(A2641))</f>
        <v/>
      </c>
      <c r="H2641" s="36" t="str">
        <f aca="false">IF(A2641="","",DATE(YEAR(A2641),MONTH(A2641),1))</f>
        <v/>
      </c>
      <c r="I2641" s="37" t="str">
        <f aca="false">IF(B2641="","",IFERROR(INDEX(st_ID,MATCH(B2641,st_Name,0)),"Unknown"))</f>
        <v/>
      </c>
      <c r="J2641" s="37" t="str">
        <f aca="false">IF(C2641="","",IFERROR(INDEX(cl_Code,MATCH(C2641,cl_Name,0)),"Unknown"))</f>
        <v/>
      </c>
      <c r="K2641" s="37" t="str">
        <f aca="false">IF(D2641="","",IFERROR(INDEX(rt_Billable,MATCH(D2641,rt_Code,0)),"Unknown"))</f>
        <v/>
      </c>
      <c r="L2641" s="38" t="str">
        <f aca="false">IF(K2641&lt;&gt;"Yes","",IFERROR(INDEX(cr_Rate,MATCH(J2641&amp;"|"&amp;D2641,cr_Key,0)),INDEX(rt_Rate,MATCH(D2641,rt_Code,0))))</f>
        <v/>
      </c>
      <c r="M2641" s="25" t="str">
        <f aca="false">IF(L2641="","",ROUND(N(E2641)*L2641,2))</f>
        <v/>
      </c>
      <c r="N2641" s="39" t="str">
        <f aca="false">IF(OR(A2641="",B2641=""),"",SUMIFS(tl_Hours,tl_StaffID,I2641,tl_Date,A2641))</f>
        <v/>
      </c>
      <c r="O2641" s="40" t="str">
        <f aca="false">IF(A2641&amp;B2641&amp;D2641="","",IF(OR(A2641="",B2641="",D2641="",E2641=""),"Incomplete",IF(K2641="Unknown","Unknown code",IF(AND(K2641="Yes",C2641=""),"Billable, needs client",IF(N2641&gt;MaxDayHours,"Over "&amp;MaxDayHours&amp;" hours that day","")))))</f>
        <v/>
      </c>
    </row>
    <row r="2642" customFormat="false" ht="15" hidden="false" customHeight="false" outlineLevel="0" collapsed="false">
      <c r="A2642" s="31"/>
      <c r="B2642" s="32"/>
      <c r="C2642" s="32"/>
      <c r="D2642" s="33"/>
      <c r="E2642" s="34"/>
      <c r="F2642" s="32"/>
      <c r="G2642" s="35" t="str">
        <f aca="false">IF(A2642="","",A2642+7-WEEKDAY(A2642))</f>
        <v/>
      </c>
      <c r="H2642" s="36" t="str">
        <f aca="false">IF(A2642="","",DATE(YEAR(A2642),MONTH(A2642),1))</f>
        <v/>
      </c>
      <c r="I2642" s="37" t="str">
        <f aca="false">IF(B2642="","",IFERROR(INDEX(st_ID,MATCH(B2642,st_Name,0)),"Unknown"))</f>
        <v/>
      </c>
      <c r="J2642" s="37" t="str">
        <f aca="false">IF(C2642="","",IFERROR(INDEX(cl_Code,MATCH(C2642,cl_Name,0)),"Unknown"))</f>
        <v/>
      </c>
      <c r="K2642" s="37" t="str">
        <f aca="false">IF(D2642="","",IFERROR(INDEX(rt_Billable,MATCH(D2642,rt_Code,0)),"Unknown"))</f>
        <v/>
      </c>
      <c r="L2642" s="38" t="str">
        <f aca="false">IF(K2642&lt;&gt;"Yes","",IFERROR(INDEX(cr_Rate,MATCH(J2642&amp;"|"&amp;D2642,cr_Key,0)),INDEX(rt_Rate,MATCH(D2642,rt_Code,0))))</f>
        <v/>
      </c>
      <c r="M2642" s="25" t="str">
        <f aca="false">IF(L2642="","",ROUND(N(E2642)*L2642,2))</f>
        <v/>
      </c>
      <c r="N2642" s="39" t="str">
        <f aca="false">IF(OR(A2642="",B2642=""),"",SUMIFS(tl_Hours,tl_StaffID,I2642,tl_Date,A2642))</f>
        <v/>
      </c>
      <c r="O2642" s="40" t="str">
        <f aca="false">IF(A2642&amp;B2642&amp;D2642="","",IF(OR(A2642="",B2642="",D2642="",E2642=""),"Incomplete",IF(K2642="Unknown","Unknown code",IF(AND(K2642="Yes",C2642=""),"Billable, needs client",IF(N2642&gt;MaxDayHours,"Over "&amp;MaxDayHours&amp;" hours that day","")))))</f>
        <v/>
      </c>
    </row>
    <row r="2643" customFormat="false" ht="15" hidden="false" customHeight="false" outlineLevel="0" collapsed="false">
      <c r="A2643" s="31"/>
      <c r="B2643" s="32"/>
      <c r="C2643" s="32"/>
      <c r="D2643" s="33"/>
      <c r="E2643" s="34"/>
      <c r="F2643" s="32"/>
      <c r="G2643" s="35" t="str">
        <f aca="false">IF(A2643="","",A2643+7-WEEKDAY(A2643))</f>
        <v/>
      </c>
      <c r="H2643" s="36" t="str">
        <f aca="false">IF(A2643="","",DATE(YEAR(A2643),MONTH(A2643),1))</f>
        <v/>
      </c>
      <c r="I2643" s="37" t="str">
        <f aca="false">IF(B2643="","",IFERROR(INDEX(st_ID,MATCH(B2643,st_Name,0)),"Unknown"))</f>
        <v/>
      </c>
      <c r="J2643" s="37" t="str">
        <f aca="false">IF(C2643="","",IFERROR(INDEX(cl_Code,MATCH(C2643,cl_Name,0)),"Unknown"))</f>
        <v/>
      </c>
      <c r="K2643" s="37" t="str">
        <f aca="false">IF(D2643="","",IFERROR(INDEX(rt_Billable,MATCH(D2643,rt_Code,0)),"Unknown"))</f>
        <v/>
      </c>
      <c r="L2643" s="38" t="str">
        <f aca="false">IF(K2643&lt;&gt;"Yes","",IFERROR(INDEX(cr_Rate,MATCH(J2643&amp;"|"&amp;D2643,cr_Key,0)),INDEX(rt_Rate,MATCH(D2643,rt_Code,0))))</f>
        <v/>
      </c>
      <c r="M2643" s="25" t="str">
        <f aca="false">IF(L2643="","",ROUND(N(E2643)*L2643,2))</f>
        <v/>
      </c>
      <c r="N2643" s="39" t="str">
        <f aca="false">IF(OR(A2643="",B2643=""),"",SUMIFS(tl_Hours,tl_StaffID,I2643,tl_Date,A2643))</f>
        <v/>
      </c>
      <c r="O2643" s="40" t="str">
        <f aca="false">IF(A2643&amp;B2643&amp;D2643="","",IF(OR(A2643="",B2643="",D2643="",E2643=""),"Incomplete",IF(K2643="Unknown","Unknown code",IF(AND(K2643="Yes",C2643=""),"Billable, needs client",IF(N2643&gt;MaxDayHours,"Over "&amp;MaxDayHours&amp;" hours that day","")))))</f>
        <v/>
      </c>
    </row>
    <row r="2644" customFormat="false" ht="15" hidden="false" customHeight="false" outlineLevel="0" collapsed="false">
      <c r="A2644" s="31"/>
      <c r="B2644" s="32"/>
      <c r="C2644" s="32"/>
      <c r="D2644" s="33"/>
      <c r="E2644" s="34"/>
      <c r="F2644" s="32"/>
      <c r="G2644" s="35" t="str">
        <f aca="false">IF(A2644="","",A2644+7-WEEKDAY(A2644))</f>
        <v/>
      </c>
      <c r="H2644" s="36" t="str">
        <f aca="false">IF(A2644="","",DATE(YEAR(A2644),MONTH(A2644),1))</f>
        <v/>
      </c>
      <c r="I2644" s="37" t="str">
        <f aca="false">IF(B2644="","",IFERROR(INDEX(st_ID,MATCH(B2644,st_Name,0)),"Unknown"))</f>
        <v/>
      </c>
      <c r="J2644" s="37" t="str">
        <f aca="false">IF(C2644="","",IFERROR(INDEX(cl_Code,MATCH(C2644,cl_Name,0)),"Unknown"))</f>
        <v/>
      </c>
      <c r="K2644" s="37" t="str">
        <f aca="false">IF(D2644="","",IFERROR(INDEX(rt_Billable,MATCH(D2644,rt_Code,0)),"Unknown"))</f>
        <v/>
      </c>
      <c r="L2644" s="38" t="str">
        <f aca="false">IF(K2644&lt;&gt;"Yes","",IFERROR(INDEX(cr_Rate,MATCH(J2644&amp;"|"&amp;D2644,cr_Key,0)),INDEX(rt_Rate,MATCH(D2644,rt_Code,0))))</f>
        <v/>
      </c>
      <c r="M2644" s="25" t="str">
        <f aca="false">IF(L2644="","",ROUND(N(E2644)*L2644,2))</f>
        <v/>
      </c>
      <c r="N2644" s="39" t="str">
        <f aca="false">IF(OR(A2644="",B2644=""),"",SUMIFS(tl_Hours,tl_StaffID,I2644,tl_Date,A2644))</f>
        <v/>
      </c>
      <c r="O2644" s="40" t="str">
        <f aca="false">IF(A2644&amp;B2644&amp;D2644="","",IF(OR(A2644="",B2644="",D2644="",E2644=""),"Incomplete",IF(K2644="Unknown","Unknown code",IF(AND(K2644="Yes",C2644=""),"Billable, needs client",IF(N2644&gt;MaxDayHours,"Over "&amp;MaxDayHours&amp;" hours that day","")))))</f>
        <v/>
      </c>
    </row>
    <row r="2645" customFormat="false" ht="15" hidden="false" customHeight="false" outlineLevel="0" collapsed="false">
      <c r="A2645" s="31"/>
      <c r="B2645" s="32"/>
      <c r="C2645" s="32"/>
      <c r="D2645" s="33"/>
      <c r="E2645" s="34"/>
      <c r="F2645" s="32"/>
      <c r="G2645" s="35" t="str">
        <f aca="false">IF(A2645="","",A2645+7-WEEKDAY(A2645))</f>
        <v/>
      </c>
      <c r="H2645" s="36" t="str">
        <f aca="false">IF(A2645="","",DATE(YEAR(A2645),MONTH(A2645),1))</f>
        <v/>
      </c>
      <c r="I2645" s="37" t="str">
        <f aca="false">IF(B2645="","",IFERROR(INDEX(st_ID,MATCH(B2645,st_Name,0)),"Unknown"))</f>
        <v/>
      </c>
      <c r="J2645" s="37" t="str">
        <f aca="false">IF(C2645="","",IFERROR(INDEX(cl_Code,MATCH(C2645,cl_Name,0)),"Unknown"))</f>
        <v/>
      </c>
      <c r="K2645" s="37" t="str">
        <f aca="false">IF(D2645="","",IFERROR(INDEX(rt_Billable,MATCH(D2645,rt_Code,0)),"Unknown"))</f>
        <v/>
      </c>
      <c r="L2645" s="38" t="str">
        <f aca="false">IF(K2645&lt;&gt;"Yes","",IFERROR(INDEX(cr_Rate,MATCH(J2645&amp;"|"&amp;D2645,cr_Key,0)),INDEX(rt_Rate,MATCH(D2645,rt_Code,0))))</f>
        <v/>
      </c>
      <c r="M2645" s="25" t="str">
        <f aca="false">IF(L2645="","",ROUND(N(E2645)*L2645,2))</f>
        <v/>
      </c>
      <c r="N2645" s="39" t="str">
        <f aca="false">IF(OR(A2645="",B2645=""),"",SUMIFS(tl_Hours,tl_StaffID,I2645,tl_Date,A2645))</f>
        <v/>
      </c>
      <c r="O2645" s="40" t="str">
        <f aca="false">IF(A2645&amp;B2645&amp;D2645="","",IF(OR(A2645="",B2645="",D2645="",E2645=""),"Incomplete",IF(K2645="Unknown","Unknown code",IF(AND(K2645="Yes",C2645=""),"Billable, needs client",IF(N2645&gt;MaxDayHours,"Over "&amp;MaxDayHours&amp;" hours that day","")))))</f>
        <v/>
      </c>
    </row>
    <row r="2646" customFormat="false" ht="15" hidden="false" customHeight="false" outlineLevel="0" collapsed="false">
      <c r="A2646" s="31"/>
      <c r="B2646" s="32"/>
      <c r="C2646" s="32"/>
      <c r="D2646" s="33"/>
      <c r="E2646" s="34"/>
      <c r="F2646" s="32"/>
      <c r="G2646" s="35" t="str">
        <f aca="false">IF(A2646="","",A2646+7-WEEKDAY(A2646))</f>
        <v/>
      </c>
      <c r="H2646" s="36" t="str">
        <f aca="false">IF(A2646="","",DATE(YEAR(A2646),MONTH(A2646),1))</f>
        <v/>
      </c>
      <c r="I2646" s="37" t="str">
        <f aca="false">IF(B2646="","",IFERROR(INDEX(st_ID,MATCH(B2646,st_Name,0)),"Unknown"))</f>
        <v/>
      </c>
      <c r="J2646" s="37" t="str">
        <f aca="false">IF(C2646="","",IFERROR(INDEX(cl_Code,MATCH(C2646,cl_Name,0)),"Unknown"))</f>
        <v/>
      </c>
      <c r="K2646" s="37" t="str">
        <f aca="false">IF(D2646="","",IFERROR(INDEX(rt_Billable,MATCH(D2646,rt_Code,0)),"Unknown"))</f>
        <v/>
      </c>
      <c r="L2646" s="38" t="str">
        <f aca="false">IF(K2646&lt;&gt;"Yes","",IFERROR(INDEX(cr_Rate,MATCH(J2646&amp;"|"&amp;D2646,cr_Key,0)),INDEX(rt_Rate,MATCH(D2646,rt_Code,0))))</f>
        <v/>
      </c>
      <c r="M2646" s="25" t="str">
        <f aca="false">IF(L2646="","",ROUND(N(E2646)*L2646,2))</f>
        <v/>
      </c>
      <c r="N2646" s="39" t="str">
        <f aca="false">IF(OR(A2646="",B2646=""),"",SUMIFS(tl_Hours,tl_StaffID,I2646,tl_Date,A2646))</f>
        <v/>
      </c>
      <c r="O2646" s="40" t="str">
        <f aca="false">IF(A2646&amp;B2646&amp;D2646="","",IF(OR(A2646="",B2646="",D2646="",E2646=""),"Incomplete",IF(K2646="Unknown","Unknown code",IF(AND(K2646="Yes",C2646=""),"Billable, needs client",IF(N2646&gt;MaxDayHours,"Over "&amp;MaxDayHours&amp;" hours that day","")))))</f>
        <v/>
      </c>
    </row>
    <row r="2647" customFormat="false" ht="15" hidden="false" customHeight="false" outlineLevel="0" collapsed="false">
      <c r="A2647" s="31"/>
      <c r="B2647" s="32"/>
      <c r="C2647" s="32"/>
      <c r="D2647" s="33"/>
      <c r="E2647" s="34"/>
      <c r="F2647" s="32"/>
      <c r="G2647" s="35" t="str">
        <f aca="false">IF(A2647="","",A2647+7-WEEKDAY(A2647))</f>
        <v/>
      </c>
      <c r="H2647" s="36" t="str">
        <f aca="false">IF(A2647="","",DATE(YEAR(A2647),MONTH(A2647),1))</f>
        <v/>
      </c>
      <c r="I2647" s="37" t="str">
        <f aca="false">IF(B2647="","",IFERROR(INDEX(st_ID,MATCH(B2647,st_Name,0)),"Unknown"))</f>
        <v/>
      </c>
      <c r="J2647" s="37" t="str">
        <f aca="false">IF(C2647="","",IFERROR(INDEX(cl_Code,MATCH(C2647,cl_Name,0)),"Unknown"))</f>
        <v/>
      </c>
      <c r="K2647" s="37" t="str">
        <f aca="false">IF(D2647="","",IFERROR(INDEX(rt_Billable,MATCH(D2647,rt_Code,0)),"Unknown"))</f>
        <v/>
      </c>
      <c r="L2647" s="38" t="str">
        <f aca="false">IF(K2647&lt;&gt;"Yes","",IFERROR(INDEX(cr_Rate,MATCH(J2647&amp;"|"&amp;D2647,cr_Key,0)),INDEX(rt_Rate,MATCH(D2647,rt_Code,0))))</f>
        <v/>
      </c>
      <c r="M2647" s="25" t="str">
        <f aca="false">IF(L2647="","",ROUND(N(E2647)*L2647,2))</f>
        <v/>
      </c>
      <c r="N2647" s="39" t="str">
        <f aca="false">IF(OR(A2647="",B2647=""),"",SUMIFS(tl_Hours,tl_StaffID,I2647,tl_Date,A2647))</f>
        <v/>
      </c>
      <c r="O2647" s="40" t="str">
        <f aca="false">IF(A2647&amp;B2647&amp;D2647="","",IF(OR(A2647="",B2647="",D2647="",E2647=""),"Incomplete",IF(K2647="Unknown","Unknown code",IF(AND(K2647="Yes",C2647=""),"Billable, needs client",IF(N2647&gt;MaxDayHours,"Over "&amp;MaxDayHours&amp;" hours that day","")))))</f>
        <v/>
      </c>
    </row>
    <row r="2648" customFormat="false" ht="15" hidden="false" customHeight="false" outlineLevel="0" collapsed="false">
      <c r="A2648" s="31"/>
      <c r="B2648" s="32"/>
      <c r="C2648" s="32"/>
      <c r="D2648" s="33"/>
      <c r="E2648" s="34"/>
      <c r="F2648" s="32"/>
      <c r="G2648" s="35" t="str">
        <f aca="false">IF(A2648="","",A2648+7-WEEKDAY(A2648))</f>
        <v/>
      </c>
      <c r="H2648" s="36" t="str">
        <f aca="false">IF(A2648="","",DATE(YEAR(A2648),MONTH(A2648),1))</f>
        <v/>
      </c>
      <c r="I2648" s="37" t="str">
        <f aca="false">IF(B2648="","",IFERROR(INDEX(st_ID,MATCH(B2648,st_Name,0)),"Unknown"))</f>
        <v/>
      </c>
      <c r="J2648" s="37" t="str">
        <f aca="false">IF(C2648="","",IFERROR(INDEX(cl_Code,MATCH(C2648,cl_Name,0)),"Unknown"))</f>
        <v/>
      </c>
      <c r="K2648" s="37" t="str">
        <f aca="false">IF(D2648="","",IFERROR(INDEX(rt_Billable,MATCH(D2648,rt_Code,0)),"Unknown"))</f>
        <v/>
      </c>
      <c r="L2648" s="38" t="str">
        <f aca="false">IF(K2648&lt;&gt;"Yes","",IFERROR(INDEX(cr_Rate,MATCH(J2648&amp;"|"&amp;D2648,cr_Key,0)),INDEX(rt_Rate,MATCH(D2648,rt_Code,0))))</f>
        <v/>
      </c>
      <c r="M2648" s="25" t="str">
        <f aca="false">IF(L2648="","",ROUND(N(E2648)*L2648,2))</f>
        <v/>
      </c>
      <c r="N2648" s="39" t="str">
        <f aca="false">IF(OR(A2648="",B2648=""),"",SUMIFS(tl_Hours,tl_StaffID,I2648,tl_Date,A2648))</f>
        <v/>
      </c>
      <c r="O2648" s="40" t="str">
        <f aca="false">IF(A2648&amp;B2648&amp;D2648="","",IF(OR(A2648="",B2648="",D2648="",E2648=""),"Incomplete",IF(K2648="Unknown","Unknown code",IF(AND(K2648="Yes",C2648=""),"Billable, needs client",IF(N2648&gt;MaxDayHours,"Over "&amp;MaxDayHours&amp;" hours that day","")))))</f>
        <v/>
      </c>
    </row>
    <row r="2649" customFormat="false" ht="15" hidden="false" customHeight="false" outlineLevel="0" collapsed="false">
      <c r="A2649" s="31"/>
      <c r="B2649" s="32"/>
      <c r="C2649" s="32"/>
      <c r="D2649" s="33"/>
      <c r="E2649" s="34"/>
      <c r="F2649" s="32"/>
      <c r="G2649" s="35" t="str">
        <f aca="false">IF(A2649="","",A2649+7-WEEKDAY(A2649))</f>
        <v/>
      </c>
      <c r="H2649" s="36" t="str">
        <f aca="false">IF(A2649="","",DATE(YEAR(A2649),MONTH(A2649),1))</f>
        <v/>
      </c>
      <c r="I2649" s="37" t="str">
        <f aca="false">IF(B2649="","",IFERROR(INDEX(st_ID,MATCH(B2649,st_Name,0)),"Unknown"))</f>
        <v/>
      </c>
      <c r="J2649" s="37" t="str">
        <f aca="false">IF(C2649="","",IFERROR(INDEX(cl_Code,MATCH(C2649,cl_Name,0)),"Unknown"))</f>
        <v/>
      </c>
      <c r="K2649" s="37" t="str">
        <f aca="false">IF(D2649="","",IFERROR(INDEX(rt_Billable,MATCH(D2649,rt_Code,0)),"Unknown"))</f>
        <v/>
      </c>
      <c r="L2649" s="38" t="str">
        <f aca="false">IF(K2649&lt;&gt;"Yes","",IFERROR(INDEX(cr_Rate,MATCH(J2649&amp;"|"&amp;D2649,cr_Key,0)),INDEX(rt_Rate,MATCH(D2649,rt_Code,0))))</f>
        <v/>
      </c>
      <c r="M2649" s="25" t="str">
        <f aca="false">IF(L2649="","",ROUND(N(E2649)*L2649,2))</f>
        <v/>
      </c>
      <c r="N2649" s="39" t="str">
        <f aca="false">IF(OR(A2649="",B2649=""),"",SUMIFS(tl_Hours,tl_StaffID,I2649,tl_Date,A2649))</f>
        <v/>
      </c>
      <c r="O2649" s="40" t="str">
        <f aca="false">IF(A2649&amp;B2649&amp;D2649="","",IF(OR(A2649="",B2649="",D2649="",E2649=""),"Incomplete",IF(K2649="Unknown","Unknown code",IF(AND(K2649="Yes",C2649=""),"Billable, needs client",IF(N2649&gt;MaxDayHours,"Over "&amp;MaxDayHours&amp;" hours that day","")))))</f>
        <v/>
      </c>
    </row>
    <row r="2650" customFormat="false" ht="15" hidden="false" customHeight="false" outlineLevel="0" collapsed="false">
      <c r="A2650" s="31"/>
      <c r="B2650" s="32"/>
      <c r="C2650" s="32"/>
      <c r="D2650" s="33"/>
      <c r="E2650" s="34"/>
      <c r="F2650" s="32"/>
      <c r="G2650" s="35" t="str">
        <f aca="false">IF(A2650="","",A2650+7-WEEKDAY(A2650))</f>
        <v/>
      </c>
      <c r="H2650" s="36" t="str">
        <f aca="false">IF(A2650="","",DATE(YEAR(A2650),MONTH(A2650),1))</f>
        <v/>
      </c>
      <c r="I2650" s="37" t="str">
        <f aca="false">IF(B2650="","",IFERROR(INDEX(st_ID,MATCH(B2650,st_Name,0)),"Unknown"))</f>
        <v/>
      </c>
      <c r="J2650" s="37" t="str">
        <f aca="false">IF(C2650="","",IFERROR(INDEX(cl_Code,MATCH(C2650,cl_Name,0)),"Unknown"))</f>
        <v/>
      </c>
      <c r="K2650" s="37" t="str">
        <f aca="false">IF(D2650="","",IFERROR(INDEX(rt_Billable,MATCH(D2650,rt_Code,0)),"Unknown"))</f>
        <v/>
      </c>
      <c r="L2650" s="38" t="str">
        <f aca="false">IF(K2650&lt;&gt;"Yes","",IFERROR(INDEX(cr_Rate,MATCH(J2650&amp;"|"&amp;D2650,cr_Key,0)),INDEX(rt_Rate,MATCH(D2650,rt_Code,0))))</f>
        <v/>
      </c>
      <c r="M2650" s="25" t="str">
        <f aca="false">IF(L2650="","",ROUND(N(E2650)*L2650,2))</f>
        <v/>
      </c>
      <c r="N2650" s="39" t="str">
        <f aca="false">IF(OR(A2650="",B2650=""),"",SUMIFS(tl_Hours,tl_StaffID,I2650,tl_Date,A2650))</f>
        <v/>
      </c>
      <c r="O2650" s="40" t="str">
        <f aca="false">IF(A2650&amp;B2650&amp;D2650="","",IF(OR(A2650="",B2650="",D2650="",E2650=""),"Incomplete",IF(K2650="Unknown","Unknown code",IF(AND(K2650="Yes",C2650=""),"Billable, needs client",IF(N2650&gt;MaxDayHours,"Over "&amp;MaxDayHours&amp;" hours that day","")))))</f>
        <v/>
      </c>
    </row>
    <row r="2651" customFormat="false" ht="15" hidden="false" customHeight="false" outlineLevel="0" collapsed="false">
      <c r="A2651" s="31"/>
      <c r="B2651" s="32"/>
      <c r="C2651" s="32"/>
      <c r="D2651" s="33"/>
      <c r="E2651" s="34"/>
      <c r="F2651" s="32"/>
      <c r="G2651" s="35" t="str">
        <f aca="false">IF(A2651="","",A2651+7-WEEKDAY(A2651))</f>
        <v/>
      </c>
      <c r="H2651" s="36" t="str">
        <f aca="false">IF(A2651="","",DATE(YEAR(A2651),MONTH(A2651),1))</f>
        <v/>
      </c>
      <c r="I2651" s="37" t="str">
        <f aca="false">IF(B2651="","",IFERROR(INDEX(st_ID,MATCH(B2651,st_Name,0)),"Unknown"))</f>
        <v/>
      </c>
      <c r="J2651" s="37" t="str">
        <f aca="false">IF(C2651="","",IFERROR(INDEX(cl_Code,MATCH(C2651,cl_Name,0)),"Unknown"))</f>
        <v/>
      </c>
      <c r="K2651" s="37" t="str">
        <f aca="false">IF(D2651="","",IFERROR(INDEX(rt_Billable,MATCH(D2651,rt_Code,0)),"Unknown"))</f>
        <v/>
      </c>
      <c r="L2651" s="38" t="str">
        <f aca="false">IF(K2651&lt;&gt;"Yes","",IFERROR(INDEX(cr_Rate,MATCH(J2651&amp;"|"&amp;D2651,cr_Key,0)),INDEX(rt_Rate,MATCH(D2651,rt_Code,0))))</f>
        <v/>
      </c>
      <c r="M2651" s="25" t="str">
        <f aca="false">IF(L2651="","",ROUND(N(E2651)*L2651,2))</f>
        <v/>
      </c>
      <c r="N2651" s="39" t="str">
        <f aca="false">IF(OR(A2651="",B2651=""),"",SUMIFS(tl_Hours,tl_StaffID,I2651,tl_Date,A2651))</f>
        <v/>
      </c>
      <c r="O2651" s="40" t="str">
        <f aca="false">IF(A2651&amp;B2651&amp;D2651="","",IF(OR(A2651="",B2651="",D2651="",E2651=""),"Incomplete",IF(K2651="Unknown","Unknown code",IF(AND(K2651="Yes",C2651=""),"Billable, needs client",IF(N2651&gt;MaxDayHours,"Over "&amp;MaxDayHours&amp;" hours that day","")))))</f>
        <v/>
      </c>
    </row>
    <row r="2652" customFormat="false" ht="15" hidden="false" customHeight="false" outlineLevel="0" collapsed="false">
      <c r="A2652" s="31"/>
      <c r="B2652" s="32"/>
      <c r="C2652" s="32"/>
      <c r="D2652" s="33"/>
      <c r="E2652" s="34"/>
      <c r="F2652" s="32"/>
      <c r="G2652" s="35" t="str">
        <f aca="false">IF(A2652="","",A2652+7-WEEKDAY(A2652))</f>
        <v/>
      </c>
      <c r="H2652" s="36" t="str">
        <f aca="false">IF(A2652="","",DATE(YEAR(A2652),MONTH(A2652),1))</f>
        <v/>
      </c>
      <c r="I2652" s="37" t="str">
        <f aca="false">IF(B2652="","",IFERROR(INDEX(st_ID,MATCH(B2652,st_Name,0)),"Unknown"))</f>
        <v/>
      </c>
      <c r="J2652" s="37" t="str">
        <f aca="false">IF(C2652="","",IFERROR(INDEX(cl_Code,MATCH(C2652,cl_Name,0)),"Unknown"))</f>
        <v/>
      </c>
      <c r="K2652" s="37" t="str">
        <f aca="false">IF(D2652="","",IFERROR(INDEX(rt_Billable,MATCH(D2652,rt_Code,0)),"Unknown"))</f>
        <v/>
      </c>
      <c r="L2652" s="38" t="str">
        <f aca="false">IF(K2652&lt;&gt;"Yes","",IFERROR(INDEX(cr_Rate,MATCH(J2652&amp;"|"&amp;D2652,cr_Key,0)),INDEX(rt_Rate,MATCH(D2652,rt_Code,0))))</f>
        <v/>
      </c>
      <c r="M2652" s="25" t="str">
        <f aca="false">IF(L2652="","",ROUND(N(E2652)*L2652,2))</f>
        <v/>
      </c>
      <c r="N2652" s="39" t="str">
        <f aca="false">IF(OR(A2652="",B2652=""),"",SUMIFS(tl_Hours,tl_StaffID,I2652,tl_Date,A2652))</f>
        <v/>
      </c>
      <c r="O2652" s="40" t="str">
        <f aca="false">IF(A2652&amp;B2652&amp;D2652="","",IF(OR(A2652="",B2652="",D2652="",E2652=""),"Incomplete",IF(K2652="Unknown","Unknown code",IF(AND(K2652="Yes",C2652=""),"Billable, needs client",IF(N2652&gt;MaxDayHours,"Over "&amp;MaxDayHours&amp;" hours that day","")))))</f>
        <v/>
      </c>
    </row>
    <row r="2653" customFormat="false" ht="15" hidden="false" customHeight="false" outlineLevel="0" collapsed="false">
      <c r="A2653" s="31"/>
      <c r="B2653" s="32"/>
      <c r="C2653" s="32"/>
      <c r="D2653" s="33"/>
      <c r="E2653" s="34"/>
      <c r="F2653" s="32"/>
      <c r="G2653" s="35" t="str">
        <f aca="false">IF(A2653="","",A2653+7-WEEKDAY(A2653))</f>
        <v/>
      </c>
      <c r="H2653" s="36" t="str">
        <f aca="false">IF(A2653="","",DATE(YEAR(A2653),MONTH(A2653),1))</f>
        <v/>
      </c>
      <c r="I2653" s="37" t="str">
        <f aca="false">IF(B2653="","",IFERROR(INDEX(st_ID,MATCH(B2653,st_Name,0)),"Unknown"))</f>
        <v/>
      </c>
      <c r="J2653" s="37" t="str">
        <f aca="false">IF(C2653="","",IFERROR(INDEX(cl_Code,MATCH(C2653,cl_Name,0)),"Unknown"))</f>
        <v/>
      </c>
      <c r="K2653" s="37" t="str">
        <f aca="false">IF(D2653="","",IFERROR(INDEX(rt_Billable,MATCH(D2653,rt_Code,0)),"Unknown"))</f>
        <v/>
      </c>
      <c r="L2653" s="38" t="str">
        <f aca="false">IF(K2653&lt;&gt;"Yes","",IFERROR(INDEX(cr_Rate,MATCH(J2653&amp;"|"&amp;D2653,cr_Key,0)),INDEX(rt_Rate,MATCH(D2653,rt_Code,0))))</f>
        <v/>
      </c>
      <c r="M2653" s="25" t="str">
        <f aca="false">IF(L2653="","",ROUND(N(E2653)*L2653,2))</f>
        <v/>
      </c>
      <c r="N2653" s="39" t="str">
        <f aca="false">IF(OR(A2653="",B2653=""),"",SUMIFS(tl_Hours,tl_StaffID,I2653,tl_Date,A2653))</f>
        <v/>
      </c>
      <c r="O2653" s="40" t="str">
        <f aca="false">IF(A2653&amp;B2653&amp;D2653="","",IF(OR(A2653="",B2653="",D2653="",E2653=""),"Incomplete",IF(K2653="Unknown","Unknown code",IF(AND(K2653="Yes",C2653=""),"Billable, needs client",IF(N2653&gt;MaxDayHours,"Over "&amp;MaxDayHours&amp;" hours that day","")))))</f>
        <v/>
      </c>
    </row>
    <row r="2654" customFormat="false" ht="15" hidden="false" customHeight="false" outlineLevel="0" collapsed="false">
      <c r="A2654" s="31"/>
      <c r="B2654" s="32"/>
      <c r="C2654" s="32"/>
      <c r="D2654" s="33"/>
      <c r="E2654" s="34"/>
      <c r="F2654" s="32"/>
      <c r="G2654" s="35" t="str">
        <f aca="false">IF(A2654="","",A2654+7-WEEKDAY(A2654))</f>
        <v/>
      </c>
      <c r="H2654" s="36" t="str">
        <f aca="false">IF(A2654="","",DATE(YEAR(A2654),MONTH(A2654),1))</f>
        <v/>
      </c>
      <c r="I2654" s="37" t="str">
        <f aca="false">IF(B2654="","",IFERROR(INDEX(st_ID,MATCH(B2654,st_Name,0)),"Unknown"))</f>
        <v/>
      </c>
      <c r="J2654" s="37" t="str">
        <f aca="false">IF(C2654="","",IFERROR(INDEX(cl_Code,MATCH(C2654,cl_Name,0)),"Unknown"))</f>
        <v/>
      </c>
      <c r="K2654" s="37" t="str">
        <f aca="false">IF(D2654="","",IFERROR(INDEX(rt_Billable,MATCH(D2654,rt_Code,0)),"Unknown"))</f>
        <v/>
      </c>
      <c r="L2654" s="38" t="str">
        <f aca="false">IF(K2654&lt;&gt;"Yes","",IFERROR(INDEX(cr_Rate,MATCH(J2654&amp;"|"&amp;D2654,cr_Key,0)),INDEX(rt_Rate,MATCH(D2654,rt_Code,0))))</f>
        <v/>
      </c>
      <c r="M2654" s="25" t="str">
        <f aca="false">IF(L2654="","",ROUND(N(E2654)*L2654,2))</f>
        <v/>
      </c>
      <c r="N2654" s="39" t="str">
        <f aca="false">IF(OR(A2654="",B2654=""),"",SUMIFS(tl_Hours,tl_StaffID,I2654,tl_Date,A2654))</f>
        <v/>
      </c>
      <c r="O2654" s="40" t="str">
        <f aca="false">IF(A2654&amp;B2654&amp;D2654="","",IF(OR(A2654="",B2654="",D2654="",E2654=""),"Incomplete",IF(K2654="Unknown","Unknown code",IF(AND(K2654="Yes",C2654=""),"Billable, needs client",IF(N2654&gt;MaxDayHours,"Over "&amp;MaxDayHours&amp;" hours that day","")))))</f>
        <v/>
      </c>
    </row>
    <row r="2655" customFormat="false" ht="15" hidden="false" customHeight="false" outlineLevel="0" collapsed="false">
      <c r="A2655" s="31"/>
      <c r="B2655" s="32"/>
      <c r="C2655" s="32"/>
      <c r="D2655" s="33"/>
      <c r="E2655" s="34"/>
      <c r="F2655" s="32"/>
      <c r="G2655" s="35" t="str">
        <f aca="false">IF(A2655="","",A2655+7-WEEKDAY(A2655))</f>
        <v/>
      </c>
      <c r="H2655" s="36" t="str">
        <f aca="false">IF(A2655="","",DATE(YEAR(A2655),MONTH(A2655),1))</f>
        <v/>
      </c>
      <c r="I2655" s="37" t="str">
        <f aca="false">IF(B2655="","",IFERROR(INDEX(st_ID,MATCH(B2655,st_Name,0)),"Unknown"))</f>
        <v/>
      </c>
      <c r="J2655" s="37" t="str">
        <f aca="false">IF(C2655="","",IFERROR(INDEX(cl_Code,MATCH(C2655,cl_Name,0)),"Unknown"))</f>
        <v/>
      </c>
      <c r="K2655" s="37" t="str">
        <f aca="false">IF(D2655="","",IFERROR(INDEX(rt_Billable,MATCH(D2655,rt_Code,0)),"Unknown"))</f>
        <v/>
      </c>
      <c r="L2655" s="38" t="str">
        <f aca="false">IF(K2655&lt;&gt;"Yes","",IFERROR(INDEX(cr_Rate,MATCH(J2655&amp;"|"&amp;D2655,cr_Key,0)),INDEX(rt_Rate,MATCH(D2655,rt_Code,0))))</f>
        <v/>
      </c>
      <c r="M2655" s="25" t="str">
        <f aca="false">IF(L2655="","",ROUND(N(E2655)*L2655,2))</f>
        <v/>
      </c>
      <c r="N2655" s="39" t="str">
        <f aca="false">IF(OR(A2655="",B2655=""),"",SUMIFS(tl_Hours,tl_StaffID,I2655,tl_Date,A2655))</f>
        <v/>
      </c>
      <c r="O2655" s="40" t="str">
        <f aca="false">IF(A2655&amp;B2655&amp;D2655="","",IF(OR(A2655="",B2655="",D2655="",E2655=""),"Incomplete",IF(K2655="Unknown","Unknown code",IF(AND(K2655="Yes",C2655=""),"Billable, needs client",IF(N2655&gt;MaxDayHours,"Over "&amp;MaxDayHours&amp;" hours that day","")))))</f>
        <v/>
      </c>
    </row>
    <row r="2656" customFormat="false" ht="15" hidden="false" customHeight="false" outlineLevel="0" collapsed="false">
      <c r="A2656" s="31"/>
      <c r="B2656" s="32"/>
      <c r="C2656" s="32"/>
      <c r="D2656" s="33"/>
      <c r="E2656" s="34"/>
      <c r="F2656" s="32"/>
      <c r="G2656" s="35" t="str">
        <f aca="false">IF(A2656="","",A2656+7-WEEKDAY(A2656))</f>
        <v/>
      </c>
      <c r="H2656" s="36" t="str">
        <f aca="false">IF(A2656="","",DATE(YEAR(A2656),MONTH(A2656),1))</f>
        <v/>
      </c>
      <c r="I2656" s="37" t="str">
        <f aca="false">IF(B2656="","",IFERROR(INDEX(st_ID,MATCH(B2656,st_Name,0)),"Unknown"))</f>
        <v/>
      </c>
      <c r="J2656" s="37" t="str">
        <f aca="false">IF(C2656="","",IFERROR(INDEX(cl_Code,MATCH(C2656,cl_Name,0)),"Unknown"))</f>
        <v/>
      </c>
      <c r="K2656" s="37" t="str">
        <f aca="false">IF(D2656="","",IFERROR(INDEX(rt_Billable,MATCH(D2656,rt_Code,0)),"Unknown"))</f>
        <v/>
      </c>
      <c r="L2656" s="38" t="str">
        <f aca="false">IF(K2656&lt;&gt;"Yes","",IFERROR(INDEX(cr_Rate,MATCH(J2656&amp;"|"&amp;D2656,cr_Key,0)),INDEX(rt_Rate,MATCH(D2656,rt_Code,0))))</f>
        <v/>
      </c>
      <c r="M2656" s="25" t="str">
        <f aca="false">IF(L2656="","",ROUND(N(E2656)*L2656,2))</f>
        <v/>
      </c>
      <c r="N2656" s="39" t="str">
        <f aca="false">IF(OR(A2656="",B2656=""),"",SUMIFS(tl_Hours,tl_StaffID,I2656,tl_Date,A2656))</f>
        <v/>
      </c>
      <c r="O2656" s="40" t="str">
        <f aca="false">IF(A2656&amp;B2656&amp;D2656="","",IF(OR(A2656="",B2656="",D2656="",E2656=""),"Incomplete",IF(K2656="Unknown","Unknown code",IF(AND(K2656="Yes",C2656=""),"Billable, needs client",IF(N2656&gt;MaxDayHours,"Over "&amp;MaxDayHours&amp;" hours that day","")))))</f>
        <v/>
      </c>
    </row>
    <row r="2657" customFormat="false" ht="15" hidden="false" customHeight="false" outlineLevel="0" collapsed="false">
      <c r="A2657" s="31"/>
      <c r="B2657" s="32"/>
      <c r="C2657" s="32"/>
      <c r="D2657" s="33"/>
      <c r="E2657" s="34"/>
      <c r="F2657" s="32"/>
      <c r="G2657" s="35" t="str">
        <f aca="false">IF(A2657="","",A2657+7-WEEKDAY(A2657))</f>
        <v/>
      </c>
      <c r="H2657" s="36" t="str">
        <f aca="false">IF(A2657="","",DATE(YEAR(A2657),MONTH(A2657),1))</f>
        <v/>
      </c>
      <c r="I2657" s="37" t="str">
        <f aca="false">IF(B2657="","",IFERROR(INDEX(st_ID,MATCH(B2657,st_Name,0)),"Unknown"))</f>
        <v/>
      </c>
      <c r="J2657" s="37" t="str">
        <f aca="false">IF(C2657="","",IFERROR(INDEX(cl_Code,MATCH(C2657,cl_Name,0)),"Unknown"))</f>
        <v/>
      </c>
      <c r="K2657" s="37" t="str">
        <f aca="false">IF(D2657="","",IFERROR(INDEX(rt_Billable,MATCH(D2657,rt_Code,0)),"Unknown"))</f>
        <v/>
      </c>
      <c r="L2657" s="38" t="str">
        <f aca="false">IF(K2657&lt;&gt;"Yes","",IFERROR(INDEX(cr_Rate,MATCH(J2657&amp;"|"&amp;D2657,cr_Key,0)),INDEX(rt_Rate,MATCH(D2657,rt_Code,0))))</f>
        <v/>
      </c>
      <c r="M2657" s="25" t="str">
        <f aca="false">IF(L2657="","",ROUND(N(E2657)*L2657,2))</f>
        <v/>
      </c>
      <c r="N2657" s="39" t="str">
        <f aca="false">IF(OR(A2657="",B2657=""),"",SUMIFS(tl_Hours,tl_StaffID,I2657,tl_Date,A2657))</f>
        <v/>
      </c>
      <c r="O2657" s="40" t="str">
        <f aca="false">IF(A2657&amp;B2657&amp;D2657="","",IF(OR(A2657="",B2657="",D2657="",E2657=""),"Incomplete",IF(K2657="Unknown","Unknown code",IF(AND(K2657="Yes",C2657=""),"Billable, needs client",IF(N2657&gt;MaxDayHours,"Over "&amp;MaxDayHours&amp;" hours that day","")))))</f>
        <v/>
      </c>
    </row>
    <row r="2658" customFormat="false" ht="15" hidden="false" customHeight="false" outlineLevel="0" collapsed="false">
      <c r="A2658" s="31"/>
      <c r="B2658" s="32"/>
      <c r="C2658" s="32"/>
      <c r="D2658" s="33"/>
      <c r="E2658" s="34"/>
      <c r="F2658" s="32"/>
      <c r="G2658" s="35" t="str">
        <f aca="false">IF(A2658="","",A2658+7-WEEKDAY(A2658))</f>
        <v/>
      </c>
      <c r="H2658" s="36" t="str">
        <f aca="false">IF(A2658="","",DATE(YEAR(A2658),MONTH(A2658),1))</f>
        <v/>
      </c>
      <c r="I2658" s="37" t="str">
        <f aca="false">IF(B2658="","",IFERROR(INDEX(st_ID,MATCH(B2658,st_Name,0)),"Unknown"))</f>
        <v/>
      </c>
      <c r="J2658" s="37" t="str">
        <f aca="false">IF(C2658="","",IFERROR(INDEX(cl_Code,MATCH(C2658,cl_Name,0)),"Unknown"))</f>
        <v/>
      </c>
      <c r="K2658" s="37" t="str">
        <f aca="false">IF(D2658="","",IFERROR(INDEX(rt_Billable,MATCH(D2658,rt_Code,0)),"Unknown"))</f>
        <v/>
      </c>
      <c r="L2658" s="38" t="str">
        <f aca="false">IF(K2658&lt;&gt;"Yes","",IFERROR(INDEX(cr_Rate,MATCH(J2658&amp;"|"&amp;D2658,cr_Key,0)),INDEX(rt_Rate,MATCH(D2658,rt_Code,0))))</f>
        <v/>
      </c>
      <c r="M2658" s="25" t="str">
        <f aca="false">IF(L2658="","",ROUND(N(E2658)*L2658,2))</f>
        <v/>
      </c>
      <c r="N2658" s="39" t="str">
        <f aca="false">IF(OR(A2658="",B2658=""),"",SUMIFS(tl_Hours,tl_StaffID,I2658,tl_Date,A2658))</f>
        <v/>
      </c>
      <c r="O2658" s="40" t="str">
        <f aca="false">IF(A2658&amp;B2658&amp;D2658="","",IF(OR(A2658="",B2658="",D2658="",E2658=""),"Incomplete",IF(K2658="Unknown","Unknown code",IF(AND(K2658="Yes",C2658=""),"Billable, needs client",IF(N2658&gt;MaxDayHours,"Over "&amp;MaxDayHours&amp;" hours that day","")))))</f>
        <v/>
      </c>
    </row>
    <row r="2659" customFormat="false" ht="15" hidden="false" customHeight="false" outlineLevel="0" collapsed="false">
      <c r="A2659" s="31"/>
      <c r="B2659" s="32"/>
      <c r="C2659" s="32"/>
      <c r="D2659" s="33"/>
      <c r="E2659" s="34"/>
      <c r="F2659" s="32"/>
      <c r="G2659" s="35" t="str">
        <f aca="false">IF(A2659="","",A2659+7-WEEKDAY(A2659))</f>
        <v/>
      </c>
      <c r="H2659" s="36" t="str">
        <f aca="false">IF(A2659="","",DATE(YEAR(A2659),MONTH(A2659),1))</f>
        <v/>
      </c>
      <c r="I2659" s="37" t="str">
        <f aca="false">IF(B2659="","",IFERROR(INDEX(st_ID,MATCH(B2659,st_Name,0)),"Unknown"))</f>
        <v/>
      </c>
      <c r="J2659" s="37" t="str">
        <f aca="false">IF(C2659="","",IFERROR(INDEX(cl_Code,MATCH(C2659,cl_Name,0)),"Unknown"))</f>
        <v/>
      </c>
      <c r="K2659" s="37" t="str">
        <f aca="false">IF(D2659="","",IFERROR(INDEX(rt_Billable,MATCH(D2659,rt_Code,0)),"Unknown"))</f>
        <v/>
      </c>
      <c r="L2659" s="38" t="str">
        <f aca="false">IF(K2659&lt;&gt;"Yes","",IFERROR(INDEX(cr_Rate,MATCH(J2659&amp;"|"&amp;D2659,cr_Key,0)),INDEX(rt_Rate,MATCH(D2659,rt_Code,0))))</f>
        <v/>
      </c>
      <c r="M2659" s="25" t="str">
        <f aca="false">IF(L2659="","",ROUND(N(E2659)*L2659,2))</f>
        <v/>
      </c>
      <c r="N2659" s="39" t="str">
        <f aca="false">IF(OR(A2659="",B2659=""),"",SUMIFS(tl_Hours,tl_StaffID,I2659,tl_Date,A2659))</f>
        <v/>
      </c>
      <c r="O2659" s="40" t="str">
        <f aca="false">IF(A2659&amp;B2659&amp;D2659="","",IF(OR(A2659="",B2659="",D2659="",E2659=""),"Incomplete",IF(K2659="Unknown","Unknown code",IF(AND(K2659="Yes",C2659=""),"Billable, needs client",IF(N2659&gt;MaxDayHours,"Over "&amp;MaxDayHours&amp;" hours that day","")))))</f>
        <v/>
      </c>
    </row>
    <row r="2660" customFormat="false" ht="15" hidden="false" customHeight="false" outlineLevel="0" collapsed="false">
      <c r="A2660" s="31"/>
      <c r="B2660" s="32"/>
      <c r="C2660" s="32"/>
      <c r="D2660" s="33"/>
      <c r="E2660" s="34"/>
      <c r="F2660" s="32"/>
      <c r="G2660" s="35" t="str">
        <f aca="false">IF(A2660="","",A2660+7-WEEKDAY(A2660))</f>
        <v/>
      </c>
      <c r="H2660" s="36" t="str">
        <f aca="false">IF(A2660="","",DATE(YEAR(A2660),MONTH(A2660),1))</f>
        <v/>
      </c>
      <c r="I2660" s="37" t="str">
        <f aca="false">IF(B2660="","",IFERROR(INDEX(st_ID,MATCH(B2660,st_Name,0)),"Unknown"))</f>
        <v/>
      </c>
      <c r="J2660" s="37" t="str">
        <f aca="false">IF(C2660="","",IFERROR(INDEX(cl_Code,MATCH(C2660,cl_Name,0)),"Unknown"))</f>
        <v/>
      </c>
      <c r="K2660" s="37" t="str">
        <f aca="false">IF(D2660="","",IFERROR(INDEX(rt_Billable,MATCH(D2660,rt_Code,0)),"Unknown"))</f>
        <v/>
      </c>
      <c r="L2660" s="38" t="str">
        <f aca="false">IF(K2660&lt;&gt;"Yes","",IFERROR(INDEX(cr_Rate,MATCH(J2660&amp;"|"&amp;D2660,cr_Key,0)),INDEX(rt_Rate,MATCH(D2660,rt_Code,0))))</f>
        <v/>
      </c>
      <c r="M2660" s="25" t="str">
        <f aca="false">IF(L2660="","",ROUND(N(E2660)*L2660,2))</f>
        <v/>
      </c>
      <c r="N2660" s="39" t="str">
        <f aca="false">IF(OR(A2660="",B2660=""),"",SUMIFS(tl_Hours,tl_StaffID,I2660,tl_Date,A2660))</f>
        <v/>
      </c>
      <c r="O2660" s="40" t="str">
        <f aca="false">IF(A2660&amp;B2660&amp;D2660="","",IF(OR(A2660="",B2660="",D2660="",E2660=""),"Incomplete",IF(K2660="Unknown","Unknown code",IF(AND(K2660="Yes",C2660=""),"Billable, needs client",IF(N2660&gt;MaxDayHours,"Over "&amp;MaxDayHours&amp;" hours that day","")))))</f>
        <v/>
      </c>
    </row>
    <row r="2661" customFormat="false" ht="15" hidden="false" customHeight="false" outlineLevel="0" collapsed="false">
      <c r="A2661" s="31"/>
      <c r="B2661" s="32"/>
      <c r="C2661" s="32"/>
      <c r="D2661" s="33"/>
      <c r="E2661" s="34"/>
      <c r="F2661" s="32"/>
      <c r="G2661" s="35" t="str">
        <f aca="false">IF(A2661="","",A2661+7-WEEKDAY(A2661))</f>
        <v/>
      </c>
      <c r="H2661" s="36" t="str">
        <f aca="false">IF(A2661="","",DATE(YEAR(A2661),MONTH(A2661),1))</f>
        <v/>
      </c>
      <c r="I2661" s="37" t="str">
        <f aca="false">IF(B2661="","",IFERROR(INDEX(st_ID,MATCH(B2661,st_Name,0)),"Unknown"))</f>
        <v/>
      </c>
      <c r="J2661" s="37" t="str">
        <f aca="false">IF(C2661="","",IFERROR(INDEX(cl_Code,MATCH(C2661,cl_Name,0)),"Unknown"))</f>
        <v/>
      </c>
      <c r="K2661" s="37" t="str">
        <f aca="false">IF(D2661="","",IFERROR(INDEX(rt_Billable,MATCH(D2661,rt_Code,0)),"Unknown"))</f>
        <v/>
      </c>
      <c r="L2661" s="38" t="str">
        <f aca="false">IF(K2661&lt;&gt;"Yes","",IFERROR(INDEX(cr_Rate,MATCH(J2661&amp;"|"&amp;D2661,cr_Key,0)),INDEX(rt_Rate,MATCH(D2661,rt_Code,0))))</f>
        <v/>
      </c>
      <c r="M2661" s="25" t="str">
        <f aca="false">IF(L2661="","",ROUND(N(E2661)*L2661,2))</f>
        <v/>
      </c>
      <c r="N2661" s="39" t="str">
        <f aca="false">IF(OR(A2661="",B2661=""),"",SUMIFS(tl_Hours,tl_StaffID,I2661,tl_Date,A2661))</f>
        <v/>
      </c>
      <c r="O2661" s="40" t="str">
        <f aca="false">IF(A2661&amp;B2661&amp;D2661="","",IF(OR(A2661="",B2661="",D2661="",E2661=""),"Incomplete",IF(K2661="Unknown","Unknown code",IF(AND(K2661="Yes",C2661=""),"Billable, needs client",IF(N2661&gt;MaxDayHours,"Over "&amp;MaxDayHours&amp;" hours that day","")))))</f>
        <v/>
      </c>
    </row>
    <row r="2662" customFormat="false" ht="15" hidden="false" customHeight="false" outlineLevel="0" collapsed="false">
      <c r="A2662" s="31"/>
      <c r="B2662" s="32"/>
      <c r="C2662" s="32"/>
      <c r="D2662" s="33"/>
      <c r="E2662" s="34"/>
      <c r="F2662" s="32"/>
      <c r="G2662" s="35" t="str">
        <f aca="false">IF(A2662="","",A2662+7-WEEKDAY(A2662))</f>
        <v/>
      </c>
      <c r="H2662" s="36" t="str">
        <f aca="false">IF(A2662="","",DATE(YEAR(A2662),MONTH(A2662),1))</f>
        <v/>
      </c>
      <c r="I2662" s="37" t="str">
        <f aca="false">IF(B2662="","",IFERROR(INDEX(st_ID,MATCH(B2662,st_Name,0)),"Unknown"))</f>
        <v/>
      </c>
      <c r="J2662" s="37" t="str">
        <f aca="false">IF(C2662="","",IFERROR(INDEX(cl_Code,MATCH(C2662,cl_Name,0)),"Unknown"))</f>
        <v/>
      </c>
      <c r="K2662" s="37" t="str">
        <f aca="false">IF(D2662="","",IFERROR(INDEX(rt_Billable,MATCH(D2662,rt_Code,0)),"Unknown"))</f>
        <v/>
      </c>
      <c r="L2662" s="38" t="str">
        <f aca="false">IF(K2662&lt;&gt;"Yes","",IFERROR(INDEX(cr_Rate,MATCH(J2662&amp;"|"&amp;D2662,cr_Key,0)),INDEX(rt_Rate,MATCH(D2662,rt_Code,0))))</f>
        <v/>
      </c>
      <c r="M2662" s="25" t="str">
        <f aca="false">IF(L2662="","",ROUND(N(E2662)*L2662,2))</f>
        <v/>
      </c>
      <c r="N2662" s="39" t="str">
        <f aca="false">IF(OR(A2662="",B2662=""),"",SUMIFS(tl_Hours,tl_StaffID,I2662,tl_Date,A2662))</f>
        <v/>
      </c>
      <c r="O2662" s="40" t="str">
        <f aca="false">IF(A2662&amp;B2662&amp;D2662="","",IF(OR(A2662="",B2662="",D2662="",E2662=""),"Incomplete",IF(K2662="Unknown","Unknown code",IF(AND(K2662="Yes",C2662=""),"Billable, needs client",IF(N2662&gt;MaxDayHours,"Over "&amp;MaxDayHours&amp;" hours that day","")))))</f>
        <v/>
      </c>
    </row>
    <row r="2663" customFormat="false" ht="15" hidden="false" customHeight="false" outlineLevel="0" collapsed="false">
      <c r="A2663" s="31"/>
      <c r="B2663" s="32"/>
      <c r="C2663" s="32"/>
      <c r="D2663" s="33"/>
      <c r="E2663" s="34"/>
      <c r="F2663" s="32"/>
      <c r="G2663" s="35" t="str">
        <f aca="false">IF(A2663="","",A2663+7-WEEKDAY(A2663))</f>
        <v/>
      </c>
      <c r="H2663" s="36" t="str">
        <f aca="false">IF(A2663="","",DATE(YEAR(A2663),MONTH(A2663),1))</f>
        <v/>
      </c>
      <c r="I2663" s="37" t="str">
        <f aca="false">IF(B2663="","",IFERROR(INDEX(st_ID,MATCH(B2663,st_Name,0)),"Unknown"))</f>
        <v/>
      </c>
      <c r="J2663" s="37" t="str">
        <f aca="false">IF(C2663="","",IFERROR(INDEX(cl_Code,MATCH(C2663,cl_Name,0)),"Unknown"))</f>
        <v/>
      </c>
      <c r="K2663" s="37" t="str">
        <f aca="false">IF(D2663="","",IFERROR(INDEX(rt_Billable,MATCH(D2663,rt_Code,0)),"Unknown"))</f>
        <v/>
      </c>
      <c r="L2663" s="38" t="str">
        <f aca="false">IF(K2663&lt;&gt;"Yes","",IFERROR(INDEX(cr_Rate,MATCH(J2663&amp;"|"&amp;D2663,cr_Key,0)),INDEX(rt_Rate,MATCH(D2663,rt_Code,0))))</f>
        <v/>
      </c>
      <c r="M2663" s="25" t="str">
        <f aca="false">IF(L2663="","",ROUND(N(E2663)*L2663,2))</f>
        <v/>
      </c>
      <c r="N2663" s="39" t="str">
        <f aca="false">IF(OR(A2663="",B2663=""),"",SUMIFS(tl_Hours,tl_StaffID,I2663,tl_Date,A2663))</f>
        <v/>
      </c>
      <c r="O2663" s="40" t="str">
        <f aca="false">IF(A2663&amp;B2663&amp;D2663="","",IF(OR(A2663="",B2663="",D2663="",E2663=""),"Incomplete",IF(K2663="Unknown","Unknown code",IF(AND(K2663="Yes",C2663=""),"Billable, needs client",IF(N2663&gt;MaxDayHours,"Over "&amp;MaxDayHours&amp;" hours that day","")))))</f>
        <v/>
      </c>
    </row>
    <row r="2664" customFormat="false" ht="15" hidden="false" customHeight="false" outlineLevel="0" collapsed="false">
      <c r="A2664" s="31"/>
      <c r="B2664" s="32"/>
      <c r="C2664" s="32"/>
      <c r="D2664" s="33"/>
      <c r="E2664" s="34"/>
      <c r="F2664" s="32"/>
      <c r="G2664" s="35" t="str">
        <f aca="false">IF(A2664="","",A2664+7-WEEKDAY(A2664))</f>
        <v/>
      </c>
      <c r="H2664" s="36" t="str">
        <f aca="false">IF(A2664="","",DATE(YEAR(A2664),MONTH(A2664),1))</f>
        <v/>
      </c>
      <c r="I2664" s="37" t="str">
        <f aca="false">IF(B2664="","",IFERROR(INDEX(st_ID,MATCH(B2664,st_Name,0)),"Unknown"))</f>
        <v/>
      </c>
      <c r="J2664" s="37" t="str">
        <f aca="false">IF(C2664="","",IFERROR(INDEX(cl_Code,MATCH(C2664,cl_Name,0)),"Unknown"))</f>
        <v/>
      </c>
      <c r="K2664" s="37" t="str">
        <f aca="false">IF(D2664="","",IFERROR(INDEX(rt_Billable,MATCH(D2664,rt_Code,0)),"Unknown"))</f>
        <v/>
      </c>
      <c r="L2664" s="38" t="str">
        <f aca="false">IF(K2664&lt;&gt;"Yes","",IFERROR(INDEX(cr_Rate,MATCH(J2664&amp;"|"&amp;D2664,cr_Key,0)),INDEX(rt_Rate,MATCH(D2664,rt_Code,0))))</f>
        <v/>
      </c>
      <c r="M2664" s="25" t="str">
        <f aca="false">IF(L2664="","",ROUND(N(E2664)*L2664,2))</f>
        <v/>
      </c>
      <c r="N2664" s="39" t="str">
        <f aca="false">IF(OR(A2664="",B2664=""),"",SUMIFS(tl_Hours,tl_StaffID,I2664,tl_Date,A2664))</f>
        <v/>
      </c>
      <c r="O2664" s="40" t="str">
        <f aca="false">IF(A2664&amp;B2664&amp;D2664="","",IF(OR(A2664="",B2664="",D2664="",E2664=""),"Incomplete",IF(K2664="Unknown","Unknown code",IF(AND(K2664="Yes",C2664=""),"Billable, needs client",IF(N2664&gt;MaxDayHours,"Over "&amp;MaxDayHours&amp;" hours that day","")))))</f>
        <v/>
      </c>
    </row>
    <row r="2665" customFormat="false" ht="15" hidden="false" customHeight="false" outlineLevel="0" collapsed="false">
      <c r="A2665" s="31"/>
      <c r="B2665" s="32"/>
      <c r="C2665" s="32"/>
      <c r="D2665" s="33"/>
      <c r="E2665" s="34"/>
      <c r="F2665" s="32"/>
      <c r="G2665" s="35" t="str">
        <f aca="false">IF(A2665="","",A2665+7-WEEKDAY(A2665))</f>
        <v/>
      </c>
      <c r="H2665" s="36" t="str">
        <f aca="false">IF(A2665="","",DATE(YEAR(A2665),MONTH(A2665),1))</f>
        <v/>
      </c>
      <c r="I2665" s="37" t="str">
        <f aca="false">IF(B2665="","",IFERROR(INDEX(st_ID,MATCH(B2665,st_Name,0)),"Unknown"))</f>
        <v/>
      </c>
      <c r="J2665" s="37" t="str">
        <f aca="false">IF(C2665="","",IFERROR(INDEX(cl_Code,MATCH(C2665,cl_Name,0)),"Unknown"))</f>
        <v/>
      </c>
      <c r="K2665" s="37" t="str">
        <f aca="false">IF(D2665="","",IFERROR(INDEX(rt_Billable,MATCH(D2665,rt_Code,0)),"Unknown"))</f>
        <v/>
      </c>
      <c r="L2665" s="38" t="str">
        <f aca="false">IF(K2665&lt;&gt;"Yes","",IFERROR(INDEX(cr_Rate,MATCH(J2665&amp;"|"&amp;D2665,cr_Key,0)),INDEX(rt_Rate,MATCH(D2665,rt_Code,0))))</f>
        <v/>
      </c>
      <c r="M2665" s="25" t="str">
        <f aca="false">IF(L2665="","",ROUND(N(E2665)*L2665,2))</f>
        <v/>
      </c>
      <c r="N2665" s="39" t="str">
        <f aca="false">IF(OR(A2665="",B2665=""),"",SUMIFS(tl_Hours,tl_StaffID,I2665,tl_Date,A2665))</f>
        <v/>
      </c>
      <c r="O2665" s="40" t="str">
        <f aca="false">IF(A2665&amp;B2665&amp;D2665="","",IF(OR(A2665="",B2665="",D2665="",E2665=""),"Incomplete",IF(K2665="Unknown","Unknown code",IF(AND(K2665="Yes",C2665=""),"Billable, needs client",IF(N2665&gt;MaxDayHours,"Over "&amp;MaxDayHours&amp;" hours that day","")))))</f>
        <v/>
      </c>
    </row>
    <row r="2666" customFormat="false" ht="15" hidden="false" customHeight="false" outlineLevel="0" collapsed="false">
      <c r="A2666" s="31"/>
      <c r="B2666" s="32"/>
      <c r="C2666" s="32"/>
      <c r="D2666" s="33"/>
      <c r="E2666" s="34"/>
      <c r="F2666" s="32"/>
      <c r="G2666" s="35" t="str">
        <f aca="false">IF(A2666="","",A2666+7-WEEKDAY(A2666))</f>
        <v/>
      </c>
      <c r="H2666" s="36" t="str">
        <f aca="false">IF(A2666="","",DATE(YEAR(A2666),MONTH(A2666),1))</f>
        <v/>
      </c>
      <c r="I2666" s="37" t="str">
        <f aca="false">IF(B2666="","",IFERROR(INDEX(st_ID,MATCH(B2666,st_Name,0)),"Unknown"))</f>
        <v/>
      </c>
      <c r="J2666" s="37" t="str">
        <f aca="false">IF(C2666="","",IFERROR(INDEX(cl_Code,MATCH(C2666,cl_Name,0)),"Unknown"))</f>
        <v/>
      </c>
      <c r="K2666" s="37" t="str">
        <f aca="false">IF(D2666="","",IFERROR(INDEX(rt_Billable,MATCH(D2666,rt_Code,0)),"Unknown"))</f>
        <v/>
      </c>
      <c r="L2666" s="38" t="str">
        <f aca="false">IF(K2666&lt;&gt;"Yes","",IFERROR(INDEX(cr_Rate,MATCH(J2666&amp;"|"&amp;D2666,cr_Key,0)),INDEX(rt_Rate,MATCH(D2666,rt_Code,0))))</f>
        <v/>
      </c>
      <c r="M2666" s="25" t="str">
        <f aca="false">IF(L2666="","",ROUND(N(E2666)*L2666,2))</f>
        <v/>
      </c>
      <c r="N2666" s="39" t="str">
        <f aca="false">IF(OR(A2666="",B2666=""),"",SUMIFS(tl_Hours,tl_StaffID,I2666,tl_Date,A2666))</f>
        <v/>
      </c>
      <c r="O2666" s="40" t="str">
        <f aca="false">IF(A2666&amp;B2666&amp;D2666="","",IF(OR(A2666="",B2666="",D2666="",E2666=""),"Incomplete",IF(K2666="Unknown","Unknown code",IF(AND(K2666="Yes",C2666=""),"Billable, needs client",IF(N2666&gt;MaxDayHours,"Over "&amp;MaxDayHours&amp;" hours that day","")))))</f>
        <v/>
      </c>
    </row>
    <row r="2667" customFormat="false" ht="15" hidden="false" customHeight="false" outlineLevel="0" collapsed="false">
      <c r="A2667" s="31"/>
      <c r="B2667" s="32"/>
      <c r="C2667" s="32"/>
      <c r="D2667" s="33"/>
      <c r="E2667" s="34"/>
      <c r="F2667" s="32"/>
      <c r="G2667" s="35" t="str">
        <f aca="false">IF(A2667="","",A2667+7-WEEKDAY(A2667))</f>
        <v/>
      </c>
      <c r="H2667" s="36" t="str">
        <f aca="false">IF(A2667="","",DATE(YEAR(A2667),MONTH(A2667),1))</f>
        <v/>
      </c>
      <c r="I2667" s="37" t="str">
        <f aca="false">IF(B2667="","",IFERROR(INDEX(st_ID,MATCH(B2667,st_Name,0)),"Unknown"))</f>
        <v/>
      </c>
      <c r="J2667" s="37" t="str">
        <f aca="false">IF(C2667="","",IFERROR(INDEX(cl_Code,MATCH(C2667,cl_Name,0)),"Unknown"))</f>
        <v/>
      </c>
      <c r="K2667" s="37" t="str">
        <f aca="false">IF(D2667="","",IFERROR(INDEX(rt_Billable,MATCH(D2667,rt_Code,0)),"Unknown"))</f>
        <v/>
      </c>
      <c r="L2667" s="38" t="str">
        <f aca="false">IF(K2667&lt;&gt;"Yes","",IFERROR(INDEX(cr_Rate,MATCH(J2667&amp;"|"&amp;D2667,cr_Key,0)),INDEX(rt_Rate,MATCH(D2667,rt_Code,0))))</f>
        <v/>
      </c>
      <c r="M2667" s="25" t="str">
        <f aca="false">IF(L2667="","",ROUND(N(E2667)*L2667,2))</f>
        <v/>
      </c>
      <c r="N2667" s="39" t="str">
        <f aca="false">IF(OR(A2667="",B2667=""),"",SUMIFS(tl_Hours,tl_StaffID,I2667,tl_Date,A2667))</f>
        <v/>
      </c>
      <c r="O2667" s="40" t="str">
        <f aca="false">IF(A2667&amp;B2667&amp;D2667="","",IF(OR(A2667="",B2667="",D2667="",E2667=""),"Incomplete",IF(K2667="Unknown","Unknown code",IF(AND(K2667="Yes",C2667=""),"Billable, needs client",IF(N2667&gt;MaxDayHours,"Over "&amp;MaxDayHours&amp;" hours that day","")))))</f>
        <v/>
      </c>
    </row>
    <row r="2668" customFormat="false" ht="15" hidden="false" customHeight="false" outlineLevel="0" collapsed="false">
      <c r="A2668" s="31"/>
      <c r="B2668" s="32"/>
      <c r="C2668" s="32"/>
      <c r="D2668" s="33"/>
      <c r="E2668" s="34"/>
      <c r="F2668" s="32"/>
      <c r="G2668" s="35" t="str">
        <f aca="false">IF(A2668="","",A2668+7-WEEKDAY(A2668))</f>
        <v/>
      </c>
      <c r="H2668" s="36" t="str">
        <f aca="false">IF(A2668="","",DATE(YEAR(A2668),MONTH(A2668),1))</f>
        <v/>
      </c>
      <c r="I2668" s="37" t="str">
        <f aca="false">IF(B2668="","",IFERROR(INDEX(st_ID,MATCH(B2668,st_Name,0)),"Unknown"))</f>
        <v/>
      </c>
      <c r="J2668" s="37" t="str">
        <f aca="false">IF(C2668="","",IFERROR(INDEX(cl_Code,MATCH(C2668,cl_Name,0)),"Unknown"))</f>
        <v/>
      </c>
      <c r="K2668" s="37" t="str">
        <f aca="false">IF(D2668="","",IFERROR(INDEX(rt_Billable,MATCH(D2668,rt_Code,0)),"Unknown"))</f>
        <v/>
      </c>
      <c r="L2668" s="38" t="str">
        <f aca="false">IF(K2668&lt;&gt;"Yes","",IFERROR(INDEX(cr_Rate,MATCH(J2668&amp;"|"&amp;D2668,cr_Key,0)),INDEX(rt_Rate,MATCH(D2668,rt_Code,0))))</f>
        <v/>
      </c>
      <c r="M2668" s="25" t="str">
        <f aca="false">IF(L2668="","",ROUND(N(E2668)*L2668,2))</f>
        <v/>
      </c>
      <c r="N2668" s="39" t="str">
        <f aca="false">IF(OR(A2668="",B2668=""),"",SUMIFS(tl_Hours,tl_StaffID,I2668,tl_Date,A2668))</f>
        <v/>
      </c>
      <c r="O2668" s="40" t="str">
        <f aca="false">IF(A2668&amp;B2668&amp;D2668="","",IF(OR(A2668="",B2668="",D2668="",E2668=""),"Incomplete",IF(K2668="Unknown","Unknown code",IF(AND(K2668="Yes",C2668=""),"Billable, needs client",IF(N2668&gt;MaxDayHours,"Over "&amp;MaxDayHours&amp;" hours that day","")))))</f>
        <v/>
      </c>
    </row>
    <row r="2669" customFormat="false" ht="15" hidden="false" customHeight="false" outlineLevel="0" collapsed="false">
      <c r="A2669" s="31"/>
      <c r="B2669" s="32"/>
      <c r="C2669" s="32"/>
      <c r="D2669" s="33"/>
      <c r="E2669" s="34"/>
      <c r="F2669" s="32"/>
      <c r="G2669" s="35" t="str">
        <f aca="false">IF(A2669="","",A2669+7-WEEKDAY(A2669))</f>
        <v/>
      </c>
      <c r="H2669" s="36" t="str">
        <f aca="false">IF(A2669="","",DATE(YEAR(A2669),MONTH(A2669),1))</f>
        <v/>
      </c>
      <c r="I2669" s="37" t="str">
        <f aca="false">IF(B2669="","",IFERROR(INDEX(st_ID,MATCH(B2669,st_Name,0)),"Unknown"))</f>
        <v/>
      </c>
      <c r="J2669" s="37" t="str">
        <f aca="false">IF(C2669="","",IFERROR(INDEX(cl_Code,MATCH(C2669,cl_Name,0)),"Unknown"))</f>
        <v/>
      </c>
      <c r="K2669" s="37" t="str">
        <f aca="false">IF(D2669="","",IFERROR(INDEX(rt_Billable,MATCH(D2669,rt_Code,0)),"Unknown"))</f>
        <v/>
      </c>
      <c r="L2669" s="38" t="str">
        <f aca="false">IF(K2669&lt;&gt;"Yes","",IFERROR(INDEX(cr_Rate,MATCH(J2669&amp;"|"&amp;D2669,cr_Key,0)),INDEX(rt_Rate,MATCH(D2669,rt_Code,0))))</f>
        <v/>
      </c>
      <c r="M2669" s="25" t="str">
        <f aca="false">IF(L2669="","",ROUND(N(E2669)*L2669,2))</f>
        <v/>
      </c>
      <c r="N2669" s="39" t="str">
        <f aca="false">IF(OR(A2669="",B2669=""),"",SUMIFS(tl_Hours,tl_StaffID,I2669,tl_Date,A2669))</f>
        <v/>
      </c>
      <c r="O2669" s="40" t="str">
        <f aca="false">IF(A2669&amp;B2669&amp;D2669="","",IF(OR(A2669="",B2669="",D2669="",E2669=""),"Incomplete",IF(K2669="Unknown","Unknown code",IF(AND(K2669="Yes",C2669=""),"Billable, needs client",IF(N2669&gt;MaxDayHours,"Over "&amp;MaxDayHours&amp;" hours that day","")))))</f>
        <v/>
      </c>
    </row>
    <row r="2670" customFormat="false" ht="15" hidden="false" customHeight="false" outlineLevel="0" collapsed="false">
      <c r="A2670" s="31"/>
      <c r="B2670" s="32"/>
      <c r="C2670" s="32"/>
      <c r="D2670" s="33"/>
      <c r="E2670" s="34"/>
      <c r="F2670" s="32"/>
      <c r="G2670" s="35" t="str">
        <f aca="false">IF(A2670="","",A2670+7-WEEKDAY(A2670))</f>
        <v/>
      </c>
      <c r="H2670" s="36" t="str">
        <f aca="false">IF(A2670="","",DATE(YEAR(A2670),MONTH(A2670),1))</f>
        <v/>
      </c>
      <c r="I2670" s="37" t="str">
        <f aca="false">IF(B2670="","",IFERROR(INDEX(st_ID,MATCH(B2670,st_Name,0)),"Unknown"))</f>
        <v/>
      </c>
      <c r="J2670" s="37" t="str">
        <f aca="false">IF(C2670="","",IFERROR(INDEX(cl_Code,MATCH(C2670,cl_Name,0)),"Unknown"))</f>
        <v/>
      </c>
      <c r="K2670" s="37" t="str">
        <f aca="false">IF(D2670="","",IFERROR(INDEX(rt_Billable,MATCH(D2670,rt_Code,0)),"Unknown"))</f>
        <v/>
      </c>
      <c r="L2670" s="38" t="str">
        <f aca="false">IF(K2670&lt;&gt;"Yes","",IFERROR(INDEX(cr_Rate,MATCH(J2670&amp;"|"&amp;D2670,cr_Key,0)),INDEX(rt_Rate,MATCH(D2670,rt_Code,0))))</f>
        <v/>
      </c>
      <c r="M2670" s="25" t="str">
        <f aca="false">IF(L2670="","",ROUND(N(E2670)*L2670,2))</f>
        <v/>
      </c>
      <c r="N2670" s="39" t="str">
        <f aca="false">IF(OR(A2670="",B2670=""),"",SUMIFS(tl_Hours,tl_StaffID,I2670,tl_Date,A2670))</f>
        <v/>
      </c>
      <c r="O2670" s="40" t="str">
        <f aca="false">IF(A2670&amp;B2670&amp;D2670="","",IF(OR(A2670="",B2670="",D2670="",E2670=""),"Incomplete",IF(K2670="Unknown","Unknown code",IF(AND(K2670="Yes",C2670=""),"Billable, needs client",IF(N2670&gt;MaxDayHours,"Over "&amp;MaxDayHours&amp;" hours that day","")))))</f>
        <v/>
      </c>
    </row>
    <row r="2671" customFormat="false" ht="15" hidden="false" customHeight="false" outlineLevel="0" collapsed="false">
      <c r="A2671" s="31"/>
      <c r="B2671" s="32"/>
      <c r="C2671" s="32"/>
      <c r="D2671" s="33"/>
      <c r="E2671" s="34"/>
      <c r="F2671" s="32"/>
      <c r="G2671" s="35" t="str">
        <f aca="false">IF(A2671="","",A2671+7-WEEKDAY(A2671))</f>
        <v/>
      </c>
      <c r="H2671" s="36" t="str">
        <f aca="false">IF(A2671="","",DATE(YEAR(A2671),MONTH(A2671),1))</f>
        <v/>
      </c>
      <c r="I2671" s="37" t="str">
        <f aca="false">IF(B2671="","",IFERROR(INDEX(st_ID,MATCH(B2671,st_Name,0)),"Unknown"))</f>
        <v/>
      </c>
      <c r="J2671" s="37" t="str">
        <f aca="false">IF(C2671="","",IFERROR(INDEX(cl_Code,MATCH(C2671,cl_Name,0)),"Unknown"))</f>
        <v/>
      </c>
      <c r="K2671" s="37" t="str">
        <f aca="false">IF(D2671="","",IFERROR(INDEX(rt_Billable,MATCH(D2671,rt_Code,0)),"Unknown"))</f>
        <v/>
      </c>
      <c r="L2671" s="38" t="str">
        <f aca="false">IF(K2671&lt;&gt;"Yes","",IFERROR(INDEX(cr_Rate,MATCH(J2671&amp;"|"&amp;D2671,cr_Key,0)),INDEX(rt_Rate,MATCH(D2671,rt_Code,0))))</f>
        <v/>
      </c>
      <c r="M2671" s="25" t="str">
        <f aca="false">IF(L2671="","",ROUND(N(E2671)*L2671,2))</f>
        <v/>
      </c>
      <c r="N2671" s="39" t="str">
        <f aca="false">IF(OR(A2671="",B2671=""),"",SUMIFS(tl_Hours,tl_StaffID,I2671,tl_Date,A2671))</f>
        <v/>
      </c>
      <c r="O2671" s="40" t="str">
        <f aca="false">IF(A2671&amp;B2671&amp;D2671="","",IF(OR(A2671="",B2671="",D2671="",E2671=""),"Incomplete",IF(K2671="Unknown","Unknown code",IF(AND(K2671="Yes",C2671=""),"Billable, needs client",IF(N2671&gt;MaxDayHours,"Over "&amp;MaxDayHours&amp;" hours that day","")))))</f>
        <v/>
      </c>
    </row>
    <row r="2672" customFormat="false" ht="15" hidden="false" customHeight="false" outlineLevel="0" collapsed="false">
      <c r="A2672" s="31"/>
      <c r="B2672" s="32"/>
      <c r="C2672" s="32"/>
      <c r="D2672" s="33"/>
      <c r="E2672" s="34"/>
      <c r="F2672" s="32"/>
      <c r="G2672" s="35" t="str">
        <f aca="false">IF(A2672="","",A2672+7-WEEKDAY(A2672))</f>
        <v/>
      </c>
      <c r="H2672" s="36" t="str">
        <f aca="false">IF(A2672="","",DATE(YEAR(A2672),MONTH(A2672),1))</f>
        <v/>
      </c>
      <c r="I2672" s="37" t="str">
        <f aca="false">IF(B2672="","",IFERROR(INDEX(st_ID,MATCH(B2672,st_Name,0)),"Unknown"))</f>
        <v/>
      </c>
      <c r="J2672" s="37" t="str">
        <f aca="false">IF(C2672="","",IFERROR(INDEX(cl_Code,MATCH(C2672,cl_Name,0)),"Unknown"))</f>
        <v/>
      </c>
      <c r="K2672" s="37" t="str">
        <f aca="false">IF(D2672="","",IFERROR(INDEX(rt_Billable,MATCH(D2672,rt_Code,0)),"Unknown"))</f>
        <v/>
      </c>
      <c r="L2672" s="38" t="str">
        <f aca="false">IF(K2672&lt;&gt;"Yes","",IFERROR(INDEX(cr_Rate,MATCH(J2672&amp;"|"&amp;D2672,cr_Key,0)),INDEX(rt_Rate,MATCH(D2672,rt_Code,0))))</f>
        <v/>
      </c>
      <c r="M2672" s="25" t="str">
        <f aca="false">IF(L2672="","",ROUND(N(E2672)*L2672,2))</f>
        <v/>
      </c>
      <c r="N2672" s="39" t="str">
        <f aca="false">IF(OR(A2672="",B2672=""),"",SUMIFS(tl_Hours,tl_StaffID,I2672,tl_Date,A2672))</f>
        <v/>
      </c>
      <c r="O2672" s="40" t="str">
        <f aca="false">IF(A2672&amp;B2672&amp;D2672="","",IF(OR(A2672="",B2672="",D2672="",E2672=""),"Incomplete",IF(K2672="Unknown","Unknown code",IF(AND(K2672="Yes",C2672=""),"Billable, needs client",IF(N2672&gt;MaxDayHours,"Over "&amp;MaxDayHours&amp;" hours that day","")))))</f>
        <v/>
      </c>
    </row>
    <row r="2673" customFormat="false" ht="15" hidden="false" customHeight="false" outlineLevel="0" collapsed="false">
      <c r="A2673" s="31"/>
      <c r="B2673" s="32"/>
      <c r="C2673" s="32"/>
      <c r="D2673" s="33"/>
      <c r="E2673" s="34"/>
      <c r="F2673" s="32"/>
      <c r="G2673" s="35" t="str">
        <f aca="false">IF(A2673="","",A2673+7-WEEKDAY(A2673))</f>
        <v/>
      </c>
      <c r="H2673" s="36" t="str">
        <f aca="false">IF(A2673="","",DATE(YEAR(A2673),MONTH(A2673),1))</f>
        <v/>
      </c>
      <c r="I2673" s="37" t="str">
        <f aca="false">IF(B2673="","",IFERROR(INDEX(st_ID,MATCH(B2673,st_Name,0)),"Unknown"))</f>
        <v/>
      </c>
      <c r="J2673" s="37" t="str">
        <f aca="false">IF(C2673="","",IFERROR(INDEX(cl_Code,MATCH(C2673,cl_Name,0)),"Unknown"))</f>
        <v/>
      </c>
      <c r="K2673" s="37" t="str">
        <f aca="false">IF(D2673="","",IFERROR(INDEX(rt_Billable,MATCH(D2673,rt_Code,0)),"Unknown"))</f>
        <v/>
      </c>
      <c r="L2673" s="38" t="str">
        <f aca="false">IF(K2673&lt;&gt;"Yes","",IFERROR(INDEX(cr_Rate,MATCH(J2673&amp;"|"&amp;D2673,cr_Key,0)),INDEX(rt_Rate,MATCH(D2673,rt_Code,0))))</f>
        <v/>
      </c>
      <c r="M2673" s="25" t="str">
        <f aca="false">IF(L2673="","",ROUND(N(E2673)*L2673,2))</f>
        <v/>
      </c>
      <c r="N2673" s="39" t="str">
        <f aca="false">IF(OR(A2673="",B2673=""),"",SUMIFS(tl_Hours,tl_StaffID,I2673,tl_Date,A2673))</f>
        <v/>
      </c>
      <c r="O2673" s="40" t="str">
        <f aca="false">IF(A2673&amp;B2673&amp;D2673="","",IF(OR(A2673="",B2673="",D2673="",E2673=""),"Incomplete",IF(K2673="Unknown","Unknown code",IF(AND(K2673="Yes",C2673=""),"Billable, needs client",IF(N2673&gt;MaxDayHours,"Over "&amp;MaxDayHours&amp;" hours that day","")))))</f>
        <v/>
      </c>
    </row>
    <row r="2674" customFormat="false" ht="15" hidden="false" customHeight="false" outlineLevel="0" collapsed="false">
      <c r="A2674" s="31"/>
      <c r="B2674" s="32"/>
      <c r="C2674" s="32"/>
      <c r="D2674" s="33"/>
      <c r="E2674" s="34"/>
      <c r="F2674" s="32"/>
      <c r="G2674" s="35" t="str">
        <f aca="false">IF(A2674="","",A2674+7-WEEKDAY(A2674))</f>
        <v/>
      </c>
      <c r="H2674" s="36" t="str">
        <f aca="false">IF(A2674="","",DATE(YEAR(A2674),MONTH(A2674),1))</f>
        <v/>
      </c>
      <c r="I2674" s="37" t="str">
        <f aca="false">IF(B2674="","",IFERROR(INDEX(st_ID,MATCH(B2674,st_Name,0)),"Unknown"))</f>
        <v/>
      </c>
      <c r="J2674" s="37" t="str">
        <f aca="false">IF(C2674="","",IFERROR(INDEX(cl_Code,MATCH(C2674,cl_Name,0)),"Unknown"))</f>
        <v/>
      </c>
      <c r="K2674" s="37" t="str">
        <f aca="false">IF(D2674="","",IFERROR(INDEX(rt_Billable,MATCH(D2674,rt_Code,0)),"Unknown"))</f>
        <v/>
      </c>
      <c r="L2674" s="38" t="str">
        <f aca="false">IF(K2674&lt;&gt;"Yes","",IFERROR(INDEX(cr_Rate,MATCH(J2674&amp;"|"&amp;D2674,cr_Key,0)),INDEX(rt_Rate,MATCH(D2674,rt_Code,0))))</f>
        <v/>
      </c>
      <c r="M2674" s="25" t="str">
        <f aca="false">IF(L2674="","",ROUND(N(E2674)*L2674,2))</f>
        <v/>
      </c>
      <c r="N2674" s="39" t="str">
        <f aca="false">IF(OR(A2674="",B2674=""),"",SUMIFS(tl_Hours,tl_StaffID,I2674,tl_Date,A2674))</f>
        <v/>
      </c>
      <c r="O2674" s="40" t="str">
        <f aca="false">IF(A2674&amp;B2674&amp;D2674="","",IF(OR(A2674="",B2674="",D2674="",E2674=""),"Incomplete",IF(K2674="Unknown","Unknown code",IF(AND(K2674="Yes",C2674=""),"Billable, needs client",IF(N2674&gt;MaxDayHours,"Over "&amp;MaxDayHours&amp;" hours that day","")))))</f>
        <v/>
      </c>
    </row>
    <row r="2675" customFormat="false" ht="15" hidden="false" customHeight="false" outlineLevel="0" collapsed="false">
      <c r="A2675" s="31"/>
      <c r="B2675" s="32"/>
      <c r="C2675" s="32"/>
      <c r="D2675" s="33"/>
      <c r="E2675" s="34"/>
      <c r="F2675" s="32"/>
      <c r="G2675" s="35" t="str">
        <f aca="false">IF(A2675="","",A2675+7-WEEKDAY(A2675))</f>
        <v/>
      </c>
      <c r="H2675" s="36" t="str">
        <f aca="false">IF(A2675="","",DATE(YEAR(A2675),MONTH(A2675),1))</f>
        <v/>
      </c>
      <c r="I2675" s="37" t="str">
        <f aca="false">IF(B2675="","",IFERROR(INDEX(st_ID,MATCH(B2675,st_Name,0)),"Unknown"))</f>
        <v/>
      </c>
      <c r="J2675" s="37" t="str">
        <f aca="false">IF(C2675="","",IFERROR(INDEX(cl_Code,MATCH(C2675,cl_Name,0)),"Unknown"))</f>
        <v/>
      </c>
      <c r="K2675" s="37" t="str">
        <f aca="false">IF(D2675="","",IFERROR(INDEX(rt_Billable,MATCH(D2675,rt_Code,0)),"Unknown"))</f>
        <v/>
      </c>
      <c r="L2675" s="38" t="str">
        <f aca="false">IF(K2675&lt;&gt;"Yes","",IFERROR(INDEX(cr_Rate,MATCH(J2675&amp;"|"&amp;D2675,cr_Key,0)),INDEX(rt_Rate,MATCH(D2675,rt_Code,0))))</f>
        <v/>
      </c>
      <c r="M2675" s="25" t="str">
        <f aca="false">IF(L2675="","",ROUND(N(E2675)*L2675,2))</f>
        <v/>
      </c>
      <c r="N2675" s="39" t="str">
        <f aca="false">IF(OR(A2675="",B2675=""),"",SUMIFS(tl_Hours,tl_StaffID,I2675,tl_Date,A2675))</f>
        <v/>
      </c>
      <c r="O2675" s="40" t="str">
        <f aca="false">IF(A2675&amp;B2675&amp;D2675="","",IF(OR(A2675="",B2675="",D2675="",E2675=""),"Incomplete",IF(K2675="Unknown","Unknown code",IF(AND(K2675="Yes",C2675=""),"Billable, needs client",IF(N2675&gt;MaxDayHours,"Over "&amp;MaxDayHours&amp;" hours that day","")))))</f>
        <v/>
      </c>
    </row>
    <row r="2676" customFormat="false" ht="15" hidden="false" customHeight="false" outlineLevel="0" collapsed="false">
      <c r="A2676" s="31"/>
      <c r="B2676" s="32"/>
      <c r="C2676" s="32"/>
      <c r="D2676" s="33"/>
      <c r="E2676" s="34"/>
      <c r="F2676" s="32"/>
      <c r="G2676" s="35" t="str">
        <f aca="false">IF(A2676="","",A2676+7-WEEKDAY(A2676))</f>
        <v/>
      </c>
      <c r="H2676" s="36" t="str">
        <f aca="false">IF(A2676="","",DATE(YEAR(A2676),MONTH(A2676),1))</f>
        <v/>
      </c>
      <c r="I2676" s="37" t="str">
        <f aca="false">IF(B2676="","",IFERROR(INDEX(st_ID,MATCH(B2676,st_Name,0)),"Unknown"))</f>
        <v/>
      </c>
      <c r="J2676" s="37" t="str">
        <f aca="false">IF(C2676="","",IFERROR(INDEX(cl_Code,MATCH(C2676,cl_Name,0)),"Unknown"))</f>
        <v/>
      </c>
      <c r="K2676" s="37" t="str">
        <f aca="false">IF(D2676="","",IFERROR(INDEX(rt_Billable,MATCH(D2676,rt_Code,0)),"Unknown"))</f>
        <v/>
      </c>
      <c r="L2676" s="38" t="str">
        <f aca="false">IF(K2676&lt;&gt;"Yes","",IFERROR(INDEX(cr_Rate,MATCH(J2676&amp;"|"&amp;D2676,cr_Key,0)),INDEX(rt_Rate,MATCH(D2676,rt_Code,0))))</f>
        <v/>
      </c>
      <c r="M2676" s="25" t="str">
        <f aca="false">IF(L2676="","",ROUND(N(E2676)*L2676,2))</f>
        <v/>
      </c>
      <c r="N2676" s="39" t="str">
        <f aca="false">IF(OR(A2676="",B2676=""),"",SUMIFS(tl_Hours,tl_StaffID,I2676,tl_Date,A2676))</f>
        <v/>
      </c>
      <c r="O2676" s="40" t="str">
        <f aca="false">IF(A2676&amp;B2676&amp;D2676="","",IF(OR(A2676="",B2676="",D2676="",E2676=""),"Incomplete",IF(K2676="Unknown","Unknown code",IF(AND(K2676="Yes",C2676=""),"Billable, needs client",IF(N2676&gt;MaxDayHours,"Over "&amp;MaxDayHours&amp;" hours that day","")))))</f>
        <v/>
      </c>
    </row>
    <row r="2677" customFormat="false" ht="15" hidden="false" customHeight="false" outlineLevel="0" collapsed="false">
      <c r="A2677" s="31"/>
      <c r="B2677" s="32"/>
      <c r="C2677" s="32"/>
      <c r="D2677" s="33"/>
      <c r="E2677" s="34"/>
      <c r="F2677" s="32"/>
      <c r="G2677" s="35" t="str">
        <f aca="false">IF(A2677="","",A2677+7-WEEKDAY(A2677))</f>
        <v/>
      </c>
      <c r="H2677" s="36" t="str">
        <f aca="false">IF(A2677="","",DATE(YEAR(A2677),MONTH(A2677),1))</f>
        <v/>
      </c>
      <c r="I2677" s="37" t="str">
        <f aca="false">IF(B2677="","",IFERROR(INDEX(st_ID,MATCH(B2677,st_Name,0)),"Unknown"))</f>
        <v/>
      </c>
      <c r="J2677" s="37" t="str">
        <f aca="false">IF(C2677="","",IFERROR(INDEX(cl_Code,MATCH(C2677,cl_Name,0)),"Unknown"))</f>
        <v/>
      </c>
      <c r="K2677" s="37" t="str">
        <f aca="false">IF(D2677="","",IFERROR(INDEX(rt_Billable,MATCH(D2677,rt_Code,0)),"Unknown"))</f>
        <v/>
      </c>
      <c r="L2677" s="38" t="str">
        <f aca="false">IF(K2677&lt;&gt;"Yes","",IFERROR(INDEX(cr_Rate,MATCH(J2677&amp;"|"&amp;D2677,cr_Key,0)),INDEX(rt_Rate,MATCH(D2677,rt_Code,0))))</f>
        <v/>
      </c>
      <c r="M2677" s="25" t="str">
        <f aca="false">IF(L2677="","",ROUND(N(E2677)*L2677,2))</f>
        <v/>
      </c>
      <c r="N2677" s="39" t="str">
        <f aca="false">IF(OR(A2677="",B2677=""),"",SUMIFS(tl_Hours,tl_StaffID,I2677,tl_Date,A2677))</f>
        <v/>
      </c>
      <c r="O2677" s="40" t="str">
        <f aca="false">IF(A2677&amp;B2677&amp;D2677="","",IF(OR(A2677="",B2677="",D2677="",E2677=""),"Incomplete",IF(K2677="Unknown","Unknown code",IF(AND(K2677="Yes",C2677=""),"Billable, needs client",IF(N2677&gt;MaxDayHours,"Over "&amp;MaxDayHours&amp;" hours that day","")))))</f>
        <v/>
      </c>
    </row>
    <row r="2678" customFormat="false" ht="15" hidden="false" customHeight="false" outlineLevel="0" collapsed="false">
      <c r="A2678" s="31"/>
      <c r="B2678" s="32"/>
      <c r="C2678" s="32"/>
      <c r="D2678" s="33"/>
      <c r="E2678" s="34"/>
      <c r="F2678" s="32"/>
      <c r="G2678" s="35" t="str">
        <f aca="false">IF(A2678="","",A2678+7-WEEKDAY(A2678))</f>
        <v/>
      </c>
      <c r="H2678" s="36" t="str">
        <f aca="false">IF(A2678="","",DATE(YEAR(A2678),MONTH(A2678),1))</f>
        <v/>
      </c>
      <c r="I2678" s="37" t="str">
        <f aca="false">IF(B2678="","",IFERROR(INDEX(st_ID,MATCH(B2678,st_Name,0)),"Unknown"))</f>
        <v/>
      </c>
      <c r="J2678" s="37" t="str">
        <f aca="false">IF(C2678="","",IFERROR(INDEX(cl_Code,MATCH(C2678,cl_Name,0)),"Unknown"))</f>
        <v/>
      </c>
      <c r="K2678" s="37" t="str">
        <f aca="false">IF(D2678="","",IFERROR(INDEX(rt_Billable,MATCH(D2678,rt_Code,0)),"Unknown"))</f>
        <v/>
      </c>
      <c r="L2678" s="38" t="str">
        <f aca="false">IF(K2678&lt;&gt;"Yes","",IFERROR(INDEX(cr_Rate,MATCH(J2678&amp;"|"&amp;D2678,cr_Key,0)),INDEX(rt_Rate,MATCH(D2678,rt_Code,0))))</f>
        <v/>
      </c>
      <c r="M2678" s="25" t="str">
        <f aca="false">IF(L2678="","",ROUND(N(E2678)*L2678,2))</f>
        <v/>
      </c>
      <c r="N2678" s="39" t="str">
        <f aca="false">IF(OR(A2678="",B2678=""),"",SUMIFS(tl_Hours,tl_StaffID,I2678,tl_Date,A2678))</f>
        <v/>
      </c>
      <c r="O2678" s="40" t="str">
        <f aca="false">IF(A2678&amp;B2678&amp;D2678="","",IF(OR(A2678="",B2678="",D2678="",E2678=""),"Incomplete",IF(K2678="Unknown","Unknown code",IF(AND(K2678="Yes",C2678=""),"Billable, needs client",IF(N2678&gt;MaxDayHours,"Over "&amp;MaxDayHours&amp;" hours that day","")))))</f>
        <v/>
      </c>
    </row>
    <row r="2679" customFormat="false" ht="15" hidden="false" customHeight="false" outlineLevel="0" collapsed="false">
      <c r="A2679" s="31"/>
      <c r="B2679" s="32"/>
      <c r="C2679" s="32"/>
      <c r="D2679" s="33"/>
      <c r="E2679" s="34"/>
      <c r="F2679" s="32"/>
      <c r="G2679" s="35" t="str">
        <f aca="false">IF(A2679="","",A2679+7-WEEKDAY(A2679))</f>
        <v/>
      </c>
      <c r="H2679" s="36" t="str">
        <f aca="false">IF(A2679="","",DATE(YEAR(A2679),MONTH(A2679),1))</f>
        <v/>
      </c>
      <c r="I2679" s="37" t="str">
        <f aca="false">IF(B2679="","",IFERROR(INDEX(st_ID,MATCH(B2679,st_Name,0)),"Unknown"))</f>
        <v/>
      </c>
      <c r="J2679" s="37" t="str">
        <f aca="false">IF(C2679="","",IFERROR(INDEX(cl_Code,MATCH(C2679,cl_Name,0)),"Unknown"))</f>
        <v/>
      </c>
      <c r="K2679" s="37" t="str">
        <f aca="false">IF(D2679="","",IFERROR(INDEX(rt_Billable,MATCH(D2679,rt_Code,0)),"Unknown"))</f>
        <v/>
      </c>
      <c r="L2679" s="38" t="str">
        <f aca="false">IF(K2679&lt;&gt;"Yes","",IFERROR(INDEX(cr_Rate,MATCH(J2679&amp;"|"&amp;D2679,cr_Key,0)),INDEX(rt_Rate,MATCH(D2679,rt_Code,0))))</f>
        <v/>
      </c>
      <c r="M2679" s="25" t="str">
        <f aca="false">IF(L2679="","",ROUND(N(E2679)*L2679,2))</f>
        <v/>
      </c>
      <c r="N2679" s="39" t="str">
        <f aca="false">IF(OR(A2679="",B2679=""),"",SUMIFS(tl_Hours,tl_StaffID,I2679,tl_Date,A2679))</f>
        <v/>
      </c>
      <c r="O2679" s="40" t="str">
        <f aca="false">IF(A2679&amp;B2679&amp;D2679="","",IF(OR(A2679="",B2679="",D2679="",E2679=""),"Incomplete",IF(K2679="Unknown","Unknown code",IF(AND(K2679="Yes",C2679=""),"Billable, needs client",IF(N2679&gt;MaxDayHours,"Over "&amp;MaxDayHours&amp;" hours that day","")))))</f>
        <v/>
      </c>
    </row>
    <row r="2680" customFormat="false" ht="15" hidden="false" customHeight="false" outlineLevel="0" collapsed="false">
      <c r="A2680" s="31"/>
      <c r="B2680" s="32"/>
      <c r="C2680" s="32"/>
      <c r="D2680" s="33"/>
      <c r="E2680" s="34"/>
      <c r="F2680" s="32"/>
      <c r="G2680" s="35" t="str">
        <f aca="false">IF(A2680="","",A2680+7-WEEKDAY(A2680))</f>
        <v/>
      </c>
      <c r="H2680" s="36" t="str">
        <f aca="false">IF(A2680="","",DATE(YEAR(A2680),MONTH(A2680),1))</f>
        <v/>
      </c>
      <c r="I2680" s="37" t="str">
        <f aca="false">IF(B2680="","",IFERROR(INDEX(st_ID,MATCH(B2680,st_Name,0)),"Unknown"))</f>
        <v/>
      </c>
      <c r="J2680" s="37" t="str">
        <f aca="false">IF(C2680="","",IFERROR(INDEX(cl_Code,MATCH(C2680,cl_Name,0)),"Unknown"))</f>
        <v/>
      </c>
      <c r="K2680" s="37" t="str">
        <f aca="false">IF(D2680="","",IFERROR(INDEX(rt_Billable,MATCH(D2680,rt_Code,0)),"Unknown"))</f>
        <v/>
      </c>
      <c r="L2680" s="38" t="str">
        <f aca="false">IF(K2680&lt;&gt;"Yes","",IFERROR(INDEX(cr_Rate,MATCH(J2680&amp;"|"&amp;D2680,cr_Key,0)),INDEX(rt_Rate,MATCH(D2680,rt_Code,0))))</f>
        <v/>
      </c>
      <c r="M2680" s="25" t="str">
        <f aca="false">IF(L2680="","",ROUND(N(E2680)*L2680,2))</f>
        <v/>
      </c>
      <c r="N2680" s="39" t="str">
        <f aca="false">IF(OR(A2680="",B2680=""),"",SUMIFS(tl_Hours,tl_StaffID,I2680,tl_Date,A2680))</f>
        <v/>
      </c>
      <c r="O2680" s="40" t="str">
        <f aca="false">IF(A2680&amp;B2680&amp;D2680="","",IF(OR(A2680="",B2680="",D2680="",E2680=""),"Incomplete",IF(K2680="Unknown","Unknown code",IF(AND(K2680="Yes",C2680=""),"Billable, needs client",IF(N2680&gt;MaxDayHours,"Over "&amp;MaxDayHours&amp;" hours that day","")))))</f>
        <v/>
      </c>
    </row>
    <row r="2681" customFormat="false" ht="15" hidden="false" customHeight="false" outlineLevel="0" collapsed="false">
      <c r="A2681" s="31"/>
      <c r="B2681" s="32"/>
      <c r="C2681" s="32"/>
      <c r="D2681" s="33"/>
      <c r="E2681" s="34"/>
      <c r="F2681" s="32"/>
      <c r="G2681" s="35" t="str">
        <f aca="false">IF(A2681="","",A2681+7-WEEKDAY(A2681))</f>
        <v/>
      </c>
      <c r="H2681" s="36" t="str">
        <f aca="false">IF(A2681="","",DATE(YEAR(A2681),MONTH(A2681),1))</f>
        <v/>
      </c>
      <c r="I2681" s="37" t="str">
        <f aca="false">IF(B2681="","",IFERROR(INDEX(st_ID,MATCH(B2681,st_Name,0)),"Unknown"))</f>
        <v/>
      </c>
      <c r="J2681" s="37" t="str">
        <f aca="false">IF(C2681="","",IFERROR(INDEX(cl_Code,MATCH(C2681,cl_Name,0)),"Unknown"))</f>
        <v/>
      </c>
      <c r="K2681" s="37" t="str">
        <f aca="false">IF(D2681="","",IFERROR(INDEX(rt_Billable,MATCH(D2681,rt_Code,0)),"Unknown"))</f>
        <v/>
      </c>
      <c r="L2681" s="38" t="str">
        <f aca="false">IF(K2681&lt;&gt;"Yes","",IFERROR(INDEX(cr_Rate,MATCH(J2681&amp;"|"&amp;D2681,cr_Key,0)),INDEX(rt_Rate,MATCH(D2681,rt_Code,0))))</f>
        <v/>
      </c>
      <c r="M2681" s="25" t="str">
        <f aca="false">IF(L2681="","",ROUND(N(E2681)*L2681,2))</f>
        <v/>
      </c>
      <c r="N2681" s="39" t="str">
        <f aca="false">IF(OR(A2681="",B2681=""),"",SUMIFS(tl_Hours,tl_StaffID,I2681,tl_Date,A2681))</f>
        <v/>
      </c>
      <c r="O2681" s="40" t="str">
        <f aca="false">IF(A2681&amp;B2681&amp;D2681="","",IF(OR(A2681="",B2681="",D2681="",E2681=""),"Incomplete",IF(K2681="Unknown","Unknown code",IF(AND(K2681="Yes",C2681=""),"Billable, needs client",IF(N2681&gt;MaxDayHours,"Over "&amp;MaxDayHours&amp;" hours that day","")))))</f>
        <v/>
      </c>
    </row>
    <row r="2682" customFormat="false" ht="15" hidden="false" customHeight="false" outlineLevel="0" collapsed="false">
      <c r="A2682" s="31"/>
      <c r="B2682" s="32"/>
      <c r="C2682" s="32"/>
      <c r="D2682" s="33"/>
      <c r="E2682" s="34"/>
      <c r="F2682" s="32"/>
      <c r="G2682" s="35" t="str">
        <f aca="false">IF(A2682="","",A2682+7-WEEKDAY(A2682))</f>
        <v/>
      </c>
      <c r="H2682" s="36" t="str">
        <f aca="false">IF(A2682="","",DATE(YEAR(A2682),MONTH(A2682),1))</f>
        <v/>
      </c>
      <c r="I2682" s="37" t="str">
        <f aca="false">IF(B2682="","",IFERROR(INDEX(st_ID,MATCH(B2682,st_Name,0)),"Unknown"))</f>
        <v/>
      </c>
      <c r="J2682" s="37" t="str">
        <f aca="false">IF(C2682="","",IFERROR(INDEX(cl_Code,MATCH(C2682,cl_Name,0)),"Unknown"))</f>
        <v/>
      </c>
      <c r="K2682" s="37" t="str">
        <f aca="false">IF(D2682="","",IFERROR(INDEX(rt_Billable,MATCH(D2682,rt_Code,0)),"Unknown"))</f>
        <v/>
      </c>
      <c r="L2682" s="38" t="str">
        <f aca="false">IF(K2682&lt;&gt;"Yes","",IFERROR(INDEX(cr_Rate,MATCH(J2682&amp;"|"&amp;D2682,cr_Key,0)),INDEX(rt_Rate,MATCH(D2682,rt_Code,0))))</f>
        <v/>
      </c>
      <c r="M2682" s="25" t="str">
        <f aca="false">IF(L2682="","",ROUND(N(E2682)*L2682,2))</f>
        <v/>
      </c>
      <c r="N2682" s="39" t="str">
        <f aca="false">IF(OR(A2682="",B2682=""),"",SUMIFS(tl_Hours,tl_StaffID,I2682,tl_Date,A2682))</f>
        <v/>
      </c>
      <c r="O2682" s="40" t="str">
        <f aca="false">IF(A2682&amp;B2682&amp;D2682="","",IF(OR(A2682="",B2682="",D2682="",E2682=""),"Incomplete",IF(K2682="Unknown","Unknown code",IF(AND(K2682="Yes",C2682=""),"Billable, needs client",IF(N2682&gt;MaxDayHours,"Over "&amp;MaxDayHours&amp;" hours that day","")))))</f>
        <v/>
      </c>
    </row>
    <row r="2683" customFormat="false" ht="15" hidden="false" customHeight="false" outlineLevel="0" collapsed="false">
      <c r="A2683" s="31"/>
      <c r="B2683" s="32"/>
      <c r="C2683" s="32"/>
      <c r="D2683" s="33"/>
      <c r="E2683" s="34"/>
      <c r="F2683" s="32"/>
      <c r="G2683" s="35" t="str">
        <f aca="false">IF(A2683="","",A2683+7-WEEKDAY(A2683))</f>
        <v/>
      </c>
      <c r="H2683" s="36" t="str">
        <f aca="false">IF(A2683="","",DATE(YEAR(A2683),MONTH(A2683),1))</f>
        <v/>
      </c>
      <c r="I2683" s="37" t="str">
        <f aca="false">IF(B2683="","",IFERROR(INDEX(st_ID,MATCH(B2683,st_Name,0)),"Unknown"))</f>
        <v/>
      </c>
      <c r="J2683" s="37" t="str">
        <f aca="false">IF(C2683="","",IFERROR(INDEX(cl_Code,MATCH(C2683,cl_Name,0)),"Unknown"))</f>
        <v/>
      </c>
      <c r="K2683" s="37" t="str">
        <f aca="false">IF(D2683="","",IFERROR(INDEX(rt_Billable,MATCH(D2683,rt_Code,0)),"Unknown"))</f>
        <v/>
      </c>
      <c r="L2683" s="38" t="str">
        <f aca="false">IF(K2683&lt;&gt;"Yes","",IFERROR(INDEX(cr_Rate,MATCH(J2683&amp;"|"&amp;D2683,cr_Key,0)),INDEX(rt_Rate,MATCH(D2683,rt_Code,0))))</f>
        <v/>
      </c>
      <c r="M2683" s="25" t="str">
        <f aca="false">IF(L2683="","",ROUND(N(E2683)*L2683,2))</f>
        <v/>
      </c>
      <c r="N2683" s="39" t="str">
        <f aca="false">IF(OR(A2683="",B2683=""),"",SUMIFS(tl_Hours,tl_StaffID,I2683,tl_Date,A2683))</f>
        <v/>
      </c>
      <c r="O2683" s="40" t="str">
        <f aca="false">IF(A2683&amp;B2683&amp;D2683="","",IF(OR(A2683="",B2683="",D2683="",E2683=""),"Incomplete",IF(K2683="Unknown","Unknown code",IF(AND(K2683="Yes",C2683=""),"Billable, needs client",IF(N2683&gt;MaxDayHours,"Over "&amp;MaxDayHours&amp;" hours that day","")))))</f>
        <v/>
      </c>
    </row>
    <row r="2684" customFormat="false" ht="15" hidden="false" customHeight="false" outlineLevel="0" collapsed="false">
      <c r="A2684" s="31"/>
      <c r="B2684" s="32"/>
      <c r="C2684" s="32"/>
      <c r="D2684" s="33"/>
      <c r="E2684" s="34"/>
      <c r="F2684" s="32"/>
      <c r="G2684" s="35" t="str">
        <f aca="false">IF(A2684="","",A2684+7-WEEKDAY(A2684))</f>
        <v/>
      </c>
      <c r="H2684" s="36" t="str">
        <f aca="false">IF(A2684="","",DATE(YEAR(A2684),MONTH(A2684),1))</f>
        <v/>
      </c>
      <c r="I2684" s="37" t="str">
        <f aca="false">IF(B2684="","",IFERROR(INDEX(st_ID,MATCH(B2684,st_Name,0)),"Unknown"))</f>
        <v/>
      </c>
      <c r="J2684" s="37" t="str">
        <f aca="false">IF(C2684="","",IFERROR(INDEX(cl_Code,MATCH(C2684,cl_Name,0)),"Unknown"))</f>
        <v/>
      </c>
      <c r="K2684" s="37" t="str">
        <f aca="false">IF(D2684="","",IFERROR(INDEX(rt_Billable,MATCH(D2684,rt_Code,0)),"Unknown"))</f>
        <v/>
      </c>
      <c r="L2684" s="38" t="str">
        <f aca="false">IF(K2684&lt;&gt;"Yes","",IFERROR(INDEX(cr_Rate,MATCH(J2684&amp;"|"&amp;D2684,cr_Key,0)),INDEX(rt_Rate,MATCH(D2684,rt_Code,0))))</f>
        <v/>
      </c>
      <c r="M2684" s="25" t="str">
        <f aca="false">IF(L2684="","",ROUND(N(E2684)*L2684,2))</f>
        <v/>
      </c>
      <c r="N2684" s="39" t="str">
        <f aca="false">IF(OR(A2684="",B2684=""),"",SUMIFS(tl_Hours,tl_StaffID,I2684,tl_Date,A2684))</f>
        <v/>
      </c>
      <c r="O2684" s="40" t="str">
        <f aca="false">IF(A2684&amp;B2684&amp;D2684="","",IF(OR(A2684="",B2684="",D2684="",E2684=""),"Incomplete",IF(K2684="Unknown","Unknown code",IF(AND(K2684="Yes",C2684=""),"Billable, needs client",IF(N2684&gt;MaxDayHours,"Over "&amp;MaxDayHours&amp;" hours that day","")))))</f>
        <v/>
      </c>
    </row>
    <row r="2685" customFormat="false" ht="15" hidden="false" customHeight="false" outlineLevel="0" collapsed="false">
      <c r="A2685" s="31"/>
      <c r="B2685" s="32"/>
      <c r="C2685" s="32"/>
      <c r="D2685" s="33"/>
      <c r="E2685" s="34"/>
      <c r="F2685" s="32"/>
      <c r="G2685" s="35" t="str">
        <f aca="false">IF(A2685="","",A2685+7-WEEKDAY(A2685))</f>
        <v/>
      </c>
      <c r="H2685" s="36" t="str">
        <f aca="false">IF(A2685="","",DATE(YEAR(A2685),MONTH(A2685),1))</f>
        <v/>
      </c>
      <c r="I2685" s="37" t="str">
        <f aca="false">IF(B2685="","",IFERROR(INDEX(st_ID,MATCH(B2685,st_Name,0)),"Unknown"))</f>
        <v/>
      </c>
      <c r="J2685" s="37" t="str">
        <f aca="false">IF(C2685="","",IFERROR(INDEX(cl_Code,MATCH(C2685,cl_Name,0)),"Unknown"))</f>
        <v/>
      </c>
      <c r="K2685" s="37" t="str">
        <f aca="false">IF(D2685="","",IFERROR(INDEX(rt_Billable,MATCH(D2685,rt_Code,0)),"Unknown"))</f>
        <v/>
      </c>
      <c r="L2685" s="38" t="str">
        <f aca="false">IF(K2685&lt;&gt;"Yes","",IFERROR(INDEX(cr_Rate,MATCH(J2685&amp;"|"&amp;D2685,cr_Key,0)),INDEX(rt_Rate,MATCH(D2685,rt_Code,0))))</f>
        <v/>
      </c>
      <c r="M2685" s="25" t="str">
        <f aca="false">IF(L2685="","",ROUND(N(E2685)*L2685,2))</f>
        <v/>
      </c>
      <c r="N2685" s="39" t="str">
        <f aca="false">IF(OR(A2685="",B2685=""),"",SUMIFS(tl_Hours,tl_StaffID,I2685,tl_Date,A2685))</f>
        <v/>
      </c>
      <c r="O2685" s="40" t="str">
        <f aca="false">IF(A2685&amp;B2685&amp;D2685="","",IF(OR(A2685="",B2685="",D2685="",E2685=""),"Incomplete",IF(K2685="Unknown","Unknown code",IF(AND(K2685="Yes",C2685=""),"Billable, needs client",IF(N2685&gt;MaxDayHours,"Over "&amp;MaxDayHours&amp;" hours that day","")))))</f>
        <v/>
      </c>
    </row>
    <row r="2686" customFormat="false" ht="15" hidden="false" customHeight="false" outlineLevel="0" collapsed="false">
      <c r="A2686" s="31"/>
      <c r="B2686" s="32"/>
      <c r="C2686" s="32"/>
      <c r="D2686" s="33"/>
      <c r="E2686" s="34"/>
      <c r="F2686" s="32"/>
      <c r="G2686" s="35" t="str">
        <f aca="false">IF(A2686="","",A2686+7-WEEKDAY(A2686))</f>
        <v/>
      </c>
      <c r="H2686" s="36" t="str">
        <f aca="false">IF(A2686="","",DATE(YEAR(A2686),MONTH(A2686),1))</f>
        <v/>
      </c>
      <c r="I2686" s="37" t="str">
        <f aca="false">IF(B2686="","",IFERROR(INDEX(st_ID,MATCH(B2686,st_Name,0)),"Unknown"))</f>
        <v/>
      </c>
      <c r="J2686" s="37" t="str">
        <f aca="false">IF(C2686="","",IFERROR(INDEX(cl_Code,MATCH(C2686,cl_Name,0)),"Unknown"))</f>
        <v/>
      </c>
      <c r="K2686" s="37" t="str">
        <f aca="false">IF(D2686="","",IFERROR(INDEX(rt_Billable,MATCH(D2686,rt_Code,0)),"Unknown"))</f>
        <v/>
      </c>
      <c r="L2686" s="38" t="str">
        <f aca="false">IF(K2686&lt;&gt;"Yes","",IFERROR(INDEX(cr_Rate,MATCH(J2686&amp;"|"&amp;D2686,cr_Key,0)),INDEX(rt_Rate,MATCH(D2686,rt_Code,0))))</f>
        <v/>
      </c>
      <c r="M2686" s="25" t="str">
        <f aca="false">IF(L2686="","",ROUND(N(E2686)*L2686,2))</f>
        <v/>
      </c>
      <c r="N2686" s="39" t="str">
        <f aca="false">IF(OR(A2686="",B2686=""),"",SUMIFS(tl_Hours,tl_StaffID,I2686,tl_Date,A2686))</f>
        <v/>
      </c>
      <c r="O2686" s="40" t="str">
        <f aca="false">IF(A2686&amp;B2686&amp;D2686="","",IF(OR(A2686="",B2686="",D2686="",E2686=""),"Incomplete",IF(K2686="Unknown","Unknown code",IF(AND(K2686="Yes",C2686=""),"Billable, needs client",IF(N2686&gt;MaxDayHours,"Over "&amp;MaxDayHours&amp;" hours that day","")))))</f>
        <v/>
      </c>
    </row>
    <row r="2687" customFormat="false" ht="15" hidden="false" customHeight="false" outlineLevel="0" collapsed="false">
      <c r="A2687" s="31"/>
      <c r="B2687" s="32"/>
      <c r="C2687" s="32"/>
      <c r="D2687" s="33"/>
      <c r="E2687" s="34"/>
      <c r="F2687" s="32"/>
      <c r="G2687" s="35" t="str">
        <f aca="false">IF(A2687="","",A2687+7-WEEKDAY(A2687))</f>
        <v/>
      </c>
      <c r="H2687" s="36" t="str">
        <f aca="false">IF(A2687="","",DATE(YEAR(A2687),MONTH(A2687),1))</f>
        <v/>
      </c>
      <c r="I2687" s="37" t="str">
        <f aca="false">IF(B2687="","",IFERROR(INDEX(st_ID,MATCH(B2687,st_Name,0)),"Unknown"))</f>
        <v/>
      </c>
      <c r="J2687" s="37" t="str">
        <f aca="false">IF(C2687="","",IFERROR(INDEX(cl_Code,MATCH(C2687,cl_Name,0)),"Unknown"))</f>
        <v/>
      </c>
      <c r="K2687" s="37" t="str">
        <f aca="false">IF(D2687="","",IFERROR(INDEX(rt_Billable,MATCH(D2687,rt_Code,0)),"Unknown"))</f>
        <v/>
      </c>
      <c r="L2687" s="38" t="str">
        <f aca="false">IF(K2687&lt;&gt;"Yes","",IFERROR(INDEX(cr_Rate,MATCH(J2687&amp;"|"&amp;D2687,cr_Key,0)),INDEX(rt_Rate,MATCH(D2687,rt_Code,0))))</f>
        <v/>
      </c>
      <c r="M2687" s="25" t="str">
        <f aca="false">IF(L2687="","",ROUND(N(E2687)*L2687,2))</f>
        <v/>
      </c>
      <c r="N2687" s="39" t="str">
        <f aca="false">IF(OR(A2687="",B2687=""),"",SUMIFS(tl_Hours,tl_StaffID,I2687,tl_Date,A2687))</f>
        <v/>
      </c>
      <c r="O2687" s="40" t="str">
        <f aca="false">IF(A2687&amp;B2687&amp;D2687="","",IF(OR(A2687="",B2687="",D2687="",E2687=""),"Incomplete",IF(K2687="Unknown","Unknown code",IF(AND(K2687="Yes",C2687=""),"Billable, needs client",IF(N2687&gt;MaxDayHours,"Over "&amp;MaxDayHours&amp;" hours that day","")))))</f>
        <v/>
      </c>
    </row>
    <row r="2688" customFormat="false" ht="15" hidden="false" customHeight="false" outlineLevel="0" collapsed="false">
      <c r="A2688" s="31"/>
      <c r="B2688" s="32"/>
      <c r="C2688" s="32"/>
      <c r="D2688" s="33"/>
      <c r="E2688" s="34"/>
      <c r="F2688" s="32"/>
      <c r="G2688" s="35" t="str">
        <f aca="false">IF(A2688="","",A2688+7-WEEKDAY(A2688))</f>
        <v/>
      </c>
      <c r="H2688" s="36" t="str">
        <f aca="false">IF(A2688="","",DATE(YEAR(A2688),MONTH(A2688),1))</f>
        <v/>
      </c>
      <c r="I2688" s="37" t="str">
        <f aca="false">IF(B2688="","",IFERROR(INDEX(st_ID,MATCH(B2688,st_Name,0)),"Unknown"))</f>
        <v/>
      </c>
      <c r="J2688" s="37" t="str">
        <f aca="false">IF(C2688="","",IFERROR(INDEX(cl_Code,MATCH(C2688,cl_Name,0)),"Unknown"))</f>
        <v/>
      </c>
      <c r="K2688" s="37" t="str">
        <f aca="false">IF(D2688="","",IFERROR(INDEX(rt_Billable,MATCH(D2688,rt_Code,0)),"Unknown"))</f>
        <v/>
      </c>
      <c r="L2688" s="38" t="str">
        <f aca="false">IF(K2688&lt;&gt;"Yes","",IFERROR(INDEX(cr_Rate,MATCH(J2688&amp;"|"&amp;D2688,cr_Key,0)),INDEX(rt_Rate,MATCH(D2688,rt_Code,0))))</f>
        <v/>
      </c>
      <c r="M2688" s="25" t="str">
        <f aca="false">IF(L2688="","",ROUND(N(E2688)*L2688,2))</f>
        <v/>
      </c>
      <c r="N2688" s="39" t="str">
        <f aca="false">IF(OR(A2688="",B2688=""),"",SUMIFS(tl_Hours,tl_StaffID,I2688,tl_Date,A2688))</f>
        <v/>
      </c>
      <c r="O2688" s="40" t="str">
        <f aca="false">IF(A2688&amp;B2688&amp;D2688="","",IF(OR(A2688="",B2688="",D2688="",E2688=""),"Incomplete",IF(K2688="Unknown","Unknown code",IF(AND(K2688="Yes",C2688=""),"Billable, needs client",IF(N2688&gt;MaxDayHours,"Over "&amp;MaxDayHours&amp;" hours that day","")))))</f>
        <v/>
      </c>
    </row>
    <row r="2689" customFormat="false" ht="15" hidden="false" customHeight="false" outlineLevel="0" collapsed="false">
      <c r="A2689" s="31"/>
      <c r="B2689" s="32"/>
      <c r="C2689" s="32"/>
      <c r="D2689" s="33"/>
      <c r="E2689" s="34"/>
      <c r="F2689" s="32"/>
      <c r="G2689" s="35" t="str">
        <f aca="false">IF(A2689="","",A2689+7-WEEKDAY(A2689))</f>
        <v/>
      </c>
      <c r="H2689" s="36" t="str">
        <f aca="false">IF(A2689="","",DATE(YEAR(A2689),MONTH(A2689),1))</f>
        <v/>
      </c>
      <c r="I2689" s="37" t="str">
        <f aca="false">IF(B2689="","",IFERROR(INDEX(st_ID,MATCH(B2689,st_Name,0)),"Unknown"))</f>
        <v/>
      </c>
      <c r="J2689" s="37" t="str">
        <f aca="false">IF(C2689="","",IFERROR(INDEX(cl_Code,MATCH(C2689,cl_Name,0)),"Unknown"))</f>
        <v/>
      </c>
      <c r="K2689" s="37" t="str">
        <f aca="false">IF(D2689="","",IFERROR(INDEX(rt_Billable,MATCH(D2689,rt_Code,0)),"Unknown"))</f>
        <v/>
      </c>
      <c r="L2689" s="38" t="str">
        <f aca="false">IF(K2689&lt;&gt;"Yes","",IFERROR(INDEX(cr_Rate,MATCH(J2689&amp;"|"&amp;D2689,cr_Key,0)),INDEX(rt_Rate,MATCH(D2689,rt_Code,0))))</f>
        <v/>
      </c>
      <c r="M2689" s="25" t="str">
        <f aca="false">IF(L2689="","",ROUND(N(E2689)*L2689,2))</f>
        <v/>
      </c>
      <c r="N2689" s="39" t="str">
        <f aca="false">IF(OR(A2689="",B2689=""),"",SUMIFS(tl_Hours,tl_StaffID,I2689,tl_Date,A2689))</f>
        <v/>
      </c>
      <c r="O2689" s="40" t="str">
        <f aca="false">IF(A2689&amp;B2689&amp;D2689="","",IF(OR(A2689="",B2689="",D2689="",E2689=""),"Incomplete",IF(K2689="Unknown","Unknown code",IF(AND(K2689="Yes",C2689=""),"Billable, needs client",IF(N2689&gt;MaxDayHours,"Over "&amp;MaxDayHours&amp;" hours that day","")))))</f>
        <v/>
      </c>
    </row>
    <row r="2690" customFormat="false" ht="15" hidden="false" customHeight="false" outlineLevel="0" collapsed="false">
      <c r="A2690" s="31"/>
      <c r="B2690" s="32"/>
      <c r="C2690" s="32"/>
      <c r="D2690" s="33"/>
      <c r="E2690" s="34"/>
      <c r="F2690" s="32"/>
      <c r="G2690" s="35" t="str">
        <f aca="false">IF(A2690="","",A2690+7-WEEKDAY(A2690))</f>
        <v/>
      </c>
      <c r="H2690" s="36" t="str">
        <f aca="false">IF(A2690="","",DATE(YEAR(A2690),MONTH(A2690),1))</f>
        <v/>
      </c>
      <c r="I2690" s="37" t="str">
        <f aca="false">IF(B2690="","",IFERROR(INDEX(st_ID,MATCH(B2690,st_Name,0)),"Unknown"))</f>
        <v/>
      </c>
      <c r="J2690" s="37" t="str">
        <f aca="false">IF(C2690="","",IFERROR(INDEX(cl_Code,MATCH(C2690,cl_Name,0)),"Unknown"))</f>
        <v/>
      </c>
      <c r="K2690" s="37" t="str">
        <f aca="false">IF(D2690="","",IFERROR(INDEX(rt_Billable,MATCH(D2690,rt_Code,0)),"Unknown"))</f>
        <v/>
      </c>
      <c r="L2690" s="38" t="str">
        <f aca="false">IF(K2690&lt;&gt;"Yes","",IFERROR(INDEX(cr_Rate,MATCH(J2690&amp;"|"&amp;D2690,cr_Key,0)),INDEX(rt_Rate,MATCH(D2690,rt_Code,0))))</f>
        <v/>
      </c>
      <c r="M2690" s="25" t="str">
        <f aca="false">IF(L2690="","",ROUND(N(E2690)*L2690,2))</f>
        <v/>
      </c>
      <c r="N2690" s="39" t="str">
        <f aca="false">IF(OR(A2690="",B2690=""),"",SUMIFS(tl_Hours,tl_StaffID,I2690,tl_Date,A2690))</f>
        <v/>
      </c>
      <c r="O2690" s="40" t="str">
        <f aca="false">IF(A2690&amp;B2690&amp;D2690="","",IF(OR(A2690="",B2690="",D2690="",E2690=""),"Incomplete",IF(K2690="Unknown","Unknown code",IF(AND(K2690="Yes",C2690=""),"Billable, needs client",IF(N2690&gt;MaxDayHours,"Over "&amp;MaxDayHours&amp;" hours that day","")))))</f>
        <v/>
      </c>
    </row>
    <row r="2691" customFormat="false" ht="15" hidden="false" customHeight="false" outlineLevel="0" collapsed="false">
      <c r="A2691" s="31"/>
      <c r="B2691" s="32"/>
      <c r="C2691" s="32"/>
      <c r="D2691" s="33"/>
      <c r="E2691" s="34"/>
      <c r="F2691" s="32"/>
      <c r="G2691" s="35" t="str">
        <f aca="false">IF(A2691="","",A2691+7-WEEKDAY(A2691))</f>
        <v/>
      </c>
      <c r="H2691" s="36" t="str">
        <f aca="false">IF(A2691="","",DATE(YEAR(A2691),MONTH(A2691),1))</f>
        <v/>
      </c>
      <c r="I2691" s="37" t="str">
        <f aca="false">IF(B2691="","",IFERROR(INDEX(st_ID,MATCH(B2691,st_Name,0)),"Unknown"))</f>
        <v/>
      </c>
      <c r="J2691" s="37" t="str">
        <f aca="false">IF(C2691="","",IFERROR(INDEX(cl_Code,MATCH(C2691,cl_Name,0)),"Unknown"))</f>
        <v/>
      </c>
      <c r="K2691" s="37" t="str">
        <f aca="false">IF(D2691="","",IFERROR(INDEX(rt_Billable,MATCH(D2691,rt_Code,0)),"Unknown"))</f>
        <v/>
      </c>
      <c r="L2691" s="38" t="str">
        <f aca="false">IF(K2691&lt;&gt;"Yes","",IFERROR(INDEX(cr_Rate,MATCH(J2691&amp;"|"&amp;D2691,cr_Key,0)),INDEX(rt_Rate,MATCH(D2691,rt_Code,0))))</f>
        <v/>
      </c>
      <c r="M2691" s="25" t="str">
        <f aca="false">IF(L2691="","",ROUND(N(E2691)*L2691,2))</f>
        <v/>
      </c>
      <c r="N2691" s="39" t="str">
        <f aca="false">IF(OR(A2691="",B2691=""),"",SUMIFS(tl_Hours,tl_StaffID,I2691,tl_Date,A2691))</f>
        <v/>
      </c>
      <c r="O2691" s="40" t="str">
        <f aca="false">IF(A2691&amp;B2691&amp;D2691="","",IF(OR(A2691="",B2691="",D2691="",E2691=""),"Incomplete",IF(K2691="Unknown","Unknown code",IF(AND(K2691="Yes",C2691=""),"Billable, needs client",IF(N2691&gt;MaxDayHours,"Over "&amp;MaxDayHours&amp;" hours that day","")))))</f>
        <v/>
      </c>
    </row>
    <row r="2692" customFormat="false" ht="15" hidden="false" customHeight="false" outlineLevel="0" collapsed="false">
      <c r="A2692" s="31"/>
      <c r="B2692" s="32"/>
      <c r="C2692" s="32"/>
      <c r="D2692" s="33"/>
      <c r="E2692" s="34"/>
      <c r="F2692" s="32"/>
      <c r="G2692" s="35" t="str">
        <f aca="false">IF(A2692="","",A2692+7-WEEKDAY(A2692))</f>
        <v/>
      </c>
      <c r="H2692" s="36" t="str">
        <f aca="false">IF(A2692="","",DATE(YEAR(A2692),MONTH(A2692),1))</f>
        <v/>
      </c>
      <c r="I2692" s="37" t="str">
        <f aca="false">IF(B2692="","",IFERROR(INDEX(st_ID,MATCH(B2692,st_Name,0)),"Unknown"))</f>
        <v/>
      </c>
      <c r="J2692" s="37" t="str">
        <f aca="false">IF(C2692="","",IFERROR(INDEX(cl_Code,MATCH(C2692,cl_Name,0)),"Unknown"))</f>
        <v/>
      </c>
      <c r="K2692" s="37" t="str">
        <f aca="false">IF(D2692="","",IFERROR(INDEX(rt_Billable,MATCH(D2692,rt_Code,0)),"Unknown"))</f>
        <v/>
      </c>
      <c r="L2692" s="38" t="str">
        <f aca="false">IF(K2692&lt;&gt;"Yes","",IFERROR(INDEX(cr_Rate,MATCH(J2692&amp;"|"&amp;D2692,cr_Key,0)),INDEX(rt_Rate,MATCH(D2692,rt_Code,0))))</f>
        <v/>
      </c>
      <c r="M2692" s="25" t="str">
        <f aca="false">IF(L2692="","",ROUND(N(E2692)*L2692,2))</f>
        <v/>
      </c>
      <c r="N2692" s="39" t="str">
        <f aca="false">IF(OR(A2692="",B2692=""),"",SUMIFS(tl_Hours,tl_StaffID,I2692,tl_Date,A2692))</f>
        <v/>
      </c>
      <c r="O2692" s="40" t="str">
        <f aca="false">IF(A2692&amp;B2692&amp;D2692="","",IF(OR(A2692="",B2692="",D2692="",E2692=""),"Incomplete",IF(K2692="Unknown","Unknown code",IF(AND(K2692="Yes",C2692=""),"Billable, needs client",IF(N2692&gt;MaxDayHours,"Over "&amp;MaxDayHours&amp;" hours that day","")))))</f>
        <v/>
      </c>
    </row>
    <row r="2693" customFormat="false" ht="15" hidden="false" customHeight="false" outlineLevel="0" collapsed="false">
      <c r="A2693" s="31"/>
      <c r="B2693" s="32"/>
      <c r="C2693" s="32"/>
      <c r="D2693" s="33"/>
      <c r="E2693" s="34"/>
      <c r="F2693" s="32"/>
      <c r="G2693" s="35" t="str">
        <f aca="false">IF(A2693="","",A2693+7-WEEKDAY(A2693))</f>
        <v/>
      </c>
      <c r="H2693" s="36" t="str">
        <f aca="false">IF(A2693="","",DATE(YEAR(A2693),MONTH(A2693),1))</f>
        <v/>
      </c>
      <c r="I2693" s="37" t="str">
        <f aca="false">IF(B2693="","",IFERROR(INDEX(st_ID,MATCH(B2693,st_Name,0)),"Unknown"))</f>
        <v/>
      </c>
      <c r="J2693" s="37" t="str">
        <f aca="false">IF(C2693="","",IFERROR(INDEX(cl_Code,MATCH(C2693,cl_Name,0)),"Unknown"))</f>
        <v/>
      </c>
      <c r="K2693" s="37" t="str">
        <f aca="false">IF(D2693="","",IFERROR(INDEX(rt_Billable,MATCH(D2693,rt_Code,0)),"Unknown"))</f>
        <v/>
      </c>
      <c r="L2693" s="38" t="str">
        <f aca="false">IF(K2693&lt;&gt;"Yes","",IFERROR(INDEX(cr_Rate,MATCH(J2693&amp;"|"&amp;D2693,cr_Key,0)),INDEX(rt_Rate,MATCH(D2693,rt_Code,0))))</f>
        <v/>
      </c>
      <c r="M2693" s="25" t="str">
        <f aca="false">IF(L2693="","",ROUND(N(E2693)*L2693,2))</f>
        <v/>
      </c>
      <c r="N2693" s="39" t="str">
        <f aca="false">IF(OR(A2693="",B2693=""),"",SUMIFS(tl_Hours,tl_StaffID,I2693,tl_Date,A2693))</f>
        <v/>
      </c>
      <c r="O2693" s="40" t="str">
        <f aca="false">IF(A2693&amp;B2693&amp;D2693="","",IF(OR(A2693="",B2693="",D2693="",E2693=""),"Incomplete",IF(K2693="Unknown","Unknown code",IF(AND(K2693="Yes",C2693=""),"Billable, needs client",IF(N2693&gt;MaxDayHours,"Over "&amp;MaxDayHours&amp;" hours that day","")))))</f>
        <v/>
      </c>
    </row>
    <row r="2694" customFormat="false" ht="15" hidden="false" customHeight="false" outlineLevel="0" collapsed="false">
      <c r="A2694" s="31"/>
      <c r="B2694" s="32"/>
      <c r="C2694" s="32"/>
      <c r="D2694" s="33"/>
      <c r="E2694" s="34"/>
      <c r="F2694" s="32"/>
      <c r="G2694" s="35" t="str">
        <f aca="false">IF(A2694="","",A2694+7-WEEKDAY(A2694))</f>
        <v/>
      </c>
      <c r="H2694" s="36" t="str">
        <f aca="false">IF(A2694="","",DATE(YEAR(A2694),MONTH(A2694),1))</f>
        <v/>
      </c>
      <c r="I2694" s="37" t="str">
        <f aca="false">IF(B2694="","",IFERROR(INDEX(st_ID,MATCH(B2694,st_Name,0)),"Unknown"))</f>
        <v/>
      </c>
      <c r="J2694" s="37" t="str">
        <f aca="false">IF(C2694="","",IFERROR(INDEX(cl_Code,MATCH(C2694,cl_Name,0)),"Unknown"))</f>
        <v/>
      </c>
      <c r="K2694" s="37" t="str">
        <f aca="false">IF(D2694="","",IFERROR(INDEX(rt_Billable,MATCH(D2694,rt_Code,0)),"Unknown"))</f>
        <v/>
      </c>
      <c r="L2694" s="38" t="str">
        <f aca="false">IF(K2694&lt;&gt;"Yes","",IFERROR(INDEX(cr_Rate,MATCH(J2694&amp;"|"&amp;D2694,cr_Key,0)),INDEX(rt_Rate,MATCH(D2694,rt_Code,0))))</f>
        <v/>
      </c>
      <c r="M2694" s="25" t="str">
        <f aca="false">IF(L2694="","",ROUND(N(E2694)*L2694,2))</f>
        <v/>
      </c>
      <c r="N2694" s="39" t="str">
        <f aca="false">IF(OR(A2694="",B2694=""),"",SUMIFS(tl_Hours,tl_StaffID,I2694,tl_Date,A2694))</f>
        <v/>
      </c>
      <c r="O2694" s="40" t="str">
        <f aca="false">IF(A2694&amp;B2694&amp;D2694="","",IF(OR(A2694="",B2694="",D2694="",E2694=""),"Incomplete",IF(K2694="Unknown","Unknown code",IF(AND(K2694="Yes",C2694=""),"Billable, needs client",IF(N2694&gt;MaxDayHours,"Over "&amp;MaxDayHours&amp;" hours that day","")))))</f>
        <v/>
      </c>
    </row>
    <row r="2695" customFormat="false" ht="15" hidden="false" customHeight="false" outlineLevel="0" collapsed="false">
      <c r="A2695" s="31"/>
      <c r="B2695" s="32"/>
      <c r="C2695" s="32"/>
      <c r="D2695" s="33"/>
      <c r="E2695" s="34"/>
      <c r="F2695" s="32"/>
      <c r="G2695" s="35" t="str">
        <f aca="false">IF(A2695="","",A2695+7-WEEKDAY(A2695))</f>
        <v/>
      </c>
      <c r="H2695" s="36" t="str">
        <f aca="false">IF(A2695="","",DATE(YEAR(A2695),MONTH(A2695),1))</f>
        <v/>
      </c>
      <c r="I2695" s="37" t="str">
        <f aca="false">IF(B2695="","",IFERROR(INDEX(st_ID,MATCH(B2695,st_Name,0)),"Unknown"))</f>
        <v/>
      </c>
      <c r="J2695" s="37" t="str">
        <f aca="false">IF(C2695="","",IFERROR(INDEX(cl_Code,MATCH(C2695,cl_Name,0)),"Unknown"))</f>
        <v/>
      </c>
      <c r="K2695" s="37" t="str">
        <f aca="false">IF(D2695="","",IFERROR(INDEX(rt_Billable,MATCH(D2695,rt_Code,0)),"Unknown"))</f>
        <v/>
      </c>
      <c r="L2695" s="38" t="str">
        <f aca="false">IF(K2695&lt;&gt;"Yes","",IFERROR(INDEX(cr_Rate,MATCH(J2695&amp;"|"&amp;D2695,cr_Key,0)),INDEX(rt_Rate,MATCH(D2695,rt_Code,0))))</f>
        <v/>
      </c>
      <c r="M2695" s="25" t="str">
        <f aca="false">IF(L2695="","",ROUND(N(E2695)*L2695,2))</f>
        <v/>
      </c>
      <c r="N2695" s="39" t="str">
        <f aca="false">IF(OR(A2695="",B2695=""),"",SUMIFS(tl_Hours,tl_StaffID,I2695,tl_Date,A2695))</f>
        <v/>
      </c>
      <c r="O2695" s="40" t="str">
        <f aca="false">IF(A2695&amp;B2695&amp;D2695="","",IF(OR(A2695="",B2695="",D2695="",E2695=""),"Incomplete",IF(K2695="Unknown","Unknown code",IF(AND(K2695="Yes",C2695=""),"Billable, needs client",IF(N2695&gt;MaxDayHours,"Over "&amp;MaxDayHours&amp;" hours that day","")))))</f>
        <v/>
      </c>
    </row>
    <row r="2696" customFormat="false" ht="15" hidden="false" customHeight="false" outlineLevel="0" collapsed="false">
      <c r="A2696" s="31"/>
      <c r="B2696" s="32"/>
      <c r="C2696" s="32"/>
      <c r="D2696" s="33"/>
      <c r="E2696" s="34"/>
      <c r="F2696" s="32"/>
      <c r="G2696" s="35" t="str">
        <f aca="false">IF(A2696="","",A2696+7-WEEKDAY(A2696))</f>
        <v/>
      </c>
      <c r="H2696" s="36" t="str">
        <f aca="false">IF(A2696="","",DATE(YEAR(A2696),MONTH(A2696),1))</f>
        <v/>
      </c>
      <c r="I2696" s="37" t="str">
        <f aca="false">IF(B2696="","",IFERROR(INDEX(st_ID,MATCH(B2696,st_Name,0)),"Unknown"))</f>
        <v/>
      </c>
      <c r="J2696" s="37" t="str">
        <f aca="false">IF(C2696="","",IFERROR(INDEX(cl_Code,MATCH(C2696,cl_Name,0)),"Unknown"))</f>
        <v/>
      </c>
      <c r="K2696" s="37" t="str">
        <f aca="false">IF(D2696="","",IFERROR(INDEX(rt_Billable,MATCH(D2696,rt_Code,0)),"Unknown"))</f>
        <v/>
      </c>
      <c r="L2696" s="38" t="str">
        <f aca="false">IF(K2696&lt;&gt;"Yes","",IFERROR(INDEX(cr_Rate,MATCH(J2696&amp;"|"&amp;D2696,cr_Key,0)),INDEX(rt_Rate,MATCH(D2696,rt_Code,0))))</f>
        <v/>
      </c>
      <c r="M2696" s="25" t="str">
        <f aca="false">IF(L2696="","",ROUND(N(E2696)*L2696,2))</f>
        <v/>
      </c>
      <c r="N2696" s="39" t="str">
        <f aca="false">IF(OR(A2696="",B2696=""),"",SUMIFS(tl_Hours,tl_StaffID,I2696,tl_Date,A2696))</f>
        <v/>
      </c>
      <c r="O2696" s="40" t="str">
        <f aca="false">IF(A2696&amp;B2696&amp;D2696="","",IF(OR(A2696="",B2696="",D2696="",E2696=""),"Incomplete",IF(K2696="Unknown","Unknown code",IF(AND(K2696="Yes",C2696=""),"Billable, needs client",IF(N2696&gt;MaxDayHours,"Over "&amp;MaxDayHours&amp;" hours that day","")))))</f>
        <v/>
      </c>
    </row>
    <row r="2697" customFormat="false" ht="15" hidden="false" customHeight="false" outlineLevel="0" collapsed="false">
      <c r="A2697" s="31"/>
      <c r="B2697" s="32"/>
      <c r="C2697" s="32"/>
      <c r="D2697" s="33"/>
      <c r="E2697" s="34"/>
      <c r="F2697" s="32"/>
      <c r="G2697" s="35" t="str">
        <f aca="false">IF(A2697="","",A2697+7-WEEKDAY(A2697))</f>
        <v/>
      </c>
      <c r="H2697" s="36" t="str">
        <f aca="false">IF(A2697="","",DATE(YEAR(A2697),MONTH(A2697),1))</f>
        <v/>
      </c>
      <c r="I2697" s="37" t="str">
        <f aca="false">IF(B2697="","",IFERROR(INDEX(st_ID,MATCH(B2697,st_Name,0)),"Unknown"))</f>
        <v/>
      </c>
      <c r="J2697" s="37" t="str">
        <f aca="false">IF(C2697="","",IFERROR(INDEX(cl_Code,MATCH(C2697,cl_Name,0)),"Unknown"))</f>
        <v/>
      </c>
      <c r="K2697" s="37" t="str">
        <f aca="false">IF(D2697="","",IFERROR(INDEX(rt_Billable,MATCH(D2697,rt_Code,0)),"Unknown"))</f>
        <v/>
      </c>
      <c r="L2697" s="38" t="str">
        <f aca="false">IF(K2697&lt;&gt;"Yes","",IFERROR(INDEX(cr_Rate,MATCH(J2697&amp;"|"&amp;D2697,cr_Key,0)),INDEX(rt_Rate,MATCH(D2697,rt_Code,0))))</f>
        <v/>
      </c>
      <c r="M2697" s="25" t="str">
        <f aca="false">IF(L2697="","",ROUND(N(E2697)*L2697,2))</f>
        <v/>
      </c>
      <c r="N2697" s="39" t="str">
        <f aca="false">IF(OR(A2697="",B2697=""),"",SUMIFS(tl_Hours,tl_StaffID,I2697,tl_Date,A2697))</f>
        <v/>
      </c>
      <c r="O2697" s="40" t="str">
        <f aca="false">IF(A2697&amp;B2697&amp;D2697="","",IF(OR(A2697="",B2697="",D2697="",E2697=""),"Incomplete",IF(K2697="Unknown","Unknown code",IF(AND(K2697="Yes",C2697=""),"Billable, needs client",IF(N2697&gt;MaxDayHours,"Over "&amp;MaxDayHours&amp;" hours that day","")))))</f>
        <v/>
      </c>
    </row>
    <row r="2698" customFormat="false" ht="15" hidden="false" customHeight="false" outlineLevel="0" collapsed="false">
      <c r="A2698" s="31"/>
      <c r="B2698" s="32"/>
      <c r="C2698" s="32"/>
      <c r="D2698" s="33"/>
      <c r="E2698" s="34"/>
      <c r="F2698" s="32"/>
      <c r="G2698" s="35" t="str">
        <f aca="false">IF(A2698="","",A2698+7-WEEKDAY(A2698))</f>
        <v/>
      </c>
      <c r="H2698" s="36" t="str">
        <f aca="false">IF(A2698="","",DATE(YEAR(A2698),MONTH(A2698),1))</f>
        <v/>
      </c>
      <c r="I2698" s="37" t="str">
        <f aca="false">IF(B2698="","",IFERROR(INDEX(st_ID,MATCH(B2698,st_Name,0)),"Unknown"))</f>
        <v/>
      </c>
      <c r="J2698" s="37" t="str">
        <f aca="false">IF(C2698="","",IFERROR(INDEX(cl_Code,MATCH(C2698,cl_Name,0)),"Unknown"))</f>
        <v/>
      </c>
      <c r="K2698" s="37" t="str">
        <f aca="false">IF(D2698="","",IFERROR(INDEX(rt_Billable,MATCH(D2698,rt_Code,0)),"Unknown"))</f>
        <v/>
      </c>
      <c r="L2698" s="38" t="str">
        <f aca="false">IF(K2698&lt;&gt;"Yes","",IFERROR(INDEX(cr_Rate,MATCH(J2698&amp;"|"&amp;D2698,cr_Key,0)),INDEX(rt_Rate,MATCH(D2698,rt_Code,0))))</f>
        <v/>
      </c>
      <c r="M2698" s="25" t="str">
        <f aca="false">IF(L2698="","",ROUND(N(E2698)*L2698,2))</f>
        <v/>
      </c>
      <c r="N2698" s="39" t="str">
        <f aca="false">IF(OR(A2698="",B2698=""),"",SUMIFS(tl_Hours,tl_StaffID,I2698,tl_Date,A2698))</f>
        <v/>
      </c>
      <c r="O2698" s="40" t="str">
        <f aca="false">IF(A2698&amp;B2698&amp;D2698="","",IF(OR(A2698="",B2698="",D2698="",E2698=""),"Incomplete",IF(K2698="Unknown","Unknown code",IF(AND(K2698="Yes",C2698=""),"Billable, needs client",IF(N2698&gt;MaxDayHours,"Over "&amp;MaxDayHours&amp;" hours that day","")))))</f>
        <v/>
      </c>
    </row>
    <row r="2699" customFormat="false" ht="15" hidden="false" customHeight="false" outlineLevel="0" collapsed="false">
      <c r="A2699" s="31"/>
      <c r="B2699" s="32"/>
      <c r="C2699" s="32"/>
      <c r="D2699" s="33"/>
      <c r="E2699" s="34"/>
      <c r="F2699" s="32"/>
      <c r="G2699" s="35" t="str">
        <f aca="false">IF(A2699="","",A2699+7-WEEKDAY(A2699))</f>
        <v/>
      </c>
      <c r="H2699" s="36" t="str">
        <f aca="false">IF(A2699="","",DATE(YEAR(A2699),MONTH(A2699),1))</f>
        <v/>
      </c>
      <c r="I2699" s="37" t="str">
        <f aca="false">IF(B2699="","",IFERROR(INDEX(st_ID,MATCH(B2699,st_Name,0)),"Unknown"))</f>
        <v/>
      </c>
      <c r="J2699" s="37" t="str">
        <f aca="false">IF(C2699="","",IFERROR(INDEX(cl_Code,MATCH(C2699,cl_Name,0)),"Unknown"))</f>
        <v/>
      </c>
      <c r="K2699" s="37" t="str">
        <f aca="false">IF(D2699="","",IFERROR(INDEX(rt_Billable,MATCH(D2699,rt_Code,0)),"Unknown"))</f>
        <v/>
      </c>
      <c r="L2699" s="38" t="str">
        <f aca="false">IF(K2699&lt;&gt;"Yes","",IFERROR(INDEX(cr_Rate,MATCH(J2699&amp;"|"&amp;D2699,cr_Key,0)),INDEX(rt_Rate,MATCH(D2699,rt_Code,0))))</f>
        <v/>
      </c>
      <c r="M2699" s="25" t="str">
        <f aca="false">IF(L2699="","",ROUND(N(E2699)*L2699,2))</f>
        <v/>
      </c>
      <c r="N2699" s="39" t="str">
        <f aca="false">IF(OR(A2699="",B2699=""),"",SUMIFS(tl_Hours,tl_StaffID,I2699,tl_Date,A2699))</f>
        <v/>
      </c>
      <c r="O2699" s="40" t="str">
        <f aca="false">IF(A2699&amp;B2699&amp;D2699="","",IF(OR(A2699="",B2699="",D2699="",E2699=""),"Incomplete",IF(K2699="Unknown","Unknown code",IF(AND(K2699="Yes",C2699=""),"Billable, needs client",IF(N2699&gt;MaxDayHours,"Over "&amp;MaxDayHours&amp;" hours that day","")))))</f>
        <v/>
      </c>
    </row>
    <row r="2700" customFormat="false" ht="15" hidden="false" customHeight="false" outlineLevel="0" collapsed="false">
      <c r="A2700" s="31"/>
      <c r="B2700" s="32"/>
      <c r="C2700" s="32"/>
      <c r="D2700" s="33"/>
      <c r="E2700" s="34"/>
      <c r="F2700" s="32"/>
      <c r="G2700" s="35" t="str">
        <f aca="false">IF(A2700="","",A2700+7-WEEKDAY(A2700))</f>
        <v/>
      </c>
      <c r="H2700" s="36" t="str">
        <f aca="false">IF(A2700="","",DATE(YEAR(A2700),MONTH(A2700),1))</f>
        <v/>
      </c>
      <c r="I2700" s="37" t="str">
        <f aca="false">IF(B2700="","",IFERROR(INDEX(st_ID,MATCH(B2700,st_Name,0)),"Unknown"))</f>
        <v/>
      </c>
      <c r="J2700" s="37" t="str">
        <f aca="false">IF(C2700="","",IFERROR(INDEX(cl_Code,MATCH(C2700,cl_Name,0)),"Unknown"))</f>
        <v/>
      </c>
      <c r="K2700" s="37" t="str">
        <f aca="false">IF(D2700="","",IFERROR(INDEX(rt_Billable,MATCH(D2700,rt_Code,0)),"Unknown"))</f>
        <v/>
      </c>
      <c r="L2700" s="38" t="str">
        <f aca="false">IF(K2700&lt;&gt;"Yes","",IFERROR(INDEX(cr_Rate,MATCH(J2700&amp;"|"&amp;D2700,cr_Key,0)),INDEX(rt_Rate,MATCH(D2700,rt_Code,0))))</f>
        <v/>
      </c>
      <c r="M2700" s="25" t="str">
        <f aca="false">IF(L2700="","",ROUND(N(E2700)*L2700,2))</f>
        <v/>
      </c>
      <c r="N2700" s="39" t="str">
        <f aca="false">IF(OR(A2700="",B2700=""),"",SUMIFS(tl_Hours,tl_StaffID,I2700,tl_Date,A2700))</f>
        <v/>
      </c>
      <c r="O2700" s="40" t="str">
        <f aca="false">IF(A2700&amp;B2700&amp;D2700="","",IF(OR(A2700="",B2700="",D2700="",E2700=""),"Incomplete",IF(K2700="Unknown","Unknown code",IF(AND(K2700="Yes",C2700=""),"Billable, needs client",IF(N2700&gt;MaxDayHours,"Over "&amp;MaxDayHours&amp;" hours that day","")))))</f>
        <v/>
      </c>
    </row>
    <row r="2701" customFormat="false" ht="15" hidden="false" customHeight="false" outlineLevel="0" collapsed="false">
      <c r="A2701" s="31"/>
      <c r="B2701" s="32"/>
      <c r="C2701" s="32"/>
      <c r="D2701" s="33"/>
      <c r="E2701" s="34"/>
      <c r="F2701" s="32"/>
      <c r="G2701" s="35" t="str">
        <f aca="false">IF(A2701="","",A2701+7-WEEKDAY(A2701))</f>
        <v/>
      </c>
      <c r="H2701" s="36" t="str">
        <f aca="false">IF(A2701="","",DATE(YEAR(A2701),MONTH(A2701),1))</f>
        <v/>
      </c>
      <c r="I2701" s="37" t="str">
        <f aca="false">IF(B2701="","",IFERROR(INDEX(st_ID,MATCH(B2701,st_Name,0)),"Unknown"))</f>
        <v/>
      </c>
      <c r="J2701" s="37" t="str">
        <f aca="false">IF(C2701="","",IFERROR(INDEX(cl_Code,MATCH(C2701,cl_Name,0)),"Unknown"))</f>
        <v/>
      </c>
      <c r="K2701" s="37" t="str">
        <f aca="false">IF(D2701="","",IFERROR(INDEX(rt_Billable,MATCH(D2701,rt_Code,0)),"Unknown"))</f>
        <v/>
      </c>
      <c r="L2701" s="38" t="str">
        <f aca="false">IF(K2701&lt;&gt;"Yes","",IFERROR(INDEX(cr_Rate,MATCH(J2701&amp;"|"&amp;D2701,cr_Key,0)),INDEX(rt_Rate,MATCH(D2701,rt_Code,0))))</f>
        <v/>
      </c>
      <c r="M2701" s="25" t="str">
        <f aca="false">IF(L2701="","",ROUND(N(E2701)*L2701,2))</f>
        <v/>
      </c>
      <c r="N2701" s="39" t="str">
        <f aca="false">IF(OR(A2701="",B2701=""),"",SUMIFS(tl_Hours,tl_StaffID,I2701,tl_Date,A2701))</f>
        <v/>
      </c>
      <c r="O2701" s="40" t="str">
        <f aca="false">IF(A2701&amp;B2701&amp;D2701="","",IF(OR(A2701="",B2701="",D2701="",E2701=""),"Incomplete",IF(K2701="Unknown","Unknown code",IF(AND(K2701="Yes",C2701=""),"Billable, needs client",IF(N2701&gt;MaxDayHours,"Over "&amp;MaxDayHours&amp;" hours that day","")))))</f>
        <v/>
      </c>
    </row>
    <row r="2702" customFormat="false" ht="15" hidden="false" customHeight="false" outlineLevel="0" collapsed="false">
      <c r="A2702" s="31"/>
      <c r="B2702" s="32"/>
      <c r="C2702" s="32"/>
      <c r="D2702" s="33"/>
      <c r="E2702" s="34"/>
      <c r="F2702" s="32"/>
      <c r="G2702" s="35" t="str">
        <f aca="false">IF(A2702="","",A2702+7-WEEKDAY(A2702))</f>
        <v/>
      </c>
      <c r="H2702" s="36" t="str">
        <f aca="false">IF(A2702="","",DATE(YEAR(A2702),MONTH(A2702),1))</f>
        <v/>
      </c>
      <c r="I2702" s="37" t="str">
        <f aca="false">IF(B2702="","",IFERROR(INDEX(st_ID,MATCH(B2702,st_Name,0)),"Unknown"))</f>
        <v/>
      </c>
      <c r="J2702" s="37" t="str">
        <f aca="false">IF(C2702="","",IFERROR(INDEX(cl_Code,MATCH(C2702,cl_Name,0)),"Unknown"))</f>
        <v/>
      </c>
      <c r="K2702" s="37" t="str">
        <f aca="false">IF(D2702="","",IFERROR(INDEX(rt_Billable,MATCH(D2702,rt_Code,0)),"Unknown"))</f>
        <v/>
      </c>
      <c r="L2702" s="38" t="str">
        <f aca="false">IF(K2702&lt;&gt;"Yes","",IFERROR(INDEX(cr_Rate,MATCH(J2702&amp;"|"&amp;D2702,cr_Key,0)),INDEX(rt_Rate,MATCH(D2702,rt_Code,0))))</f>
        <v/>
      </c>
      <c r="M2702" s="25" t="str">
        <f aca="false">IF(L2702="","",ROUND(N(E2702)*L2702,2))</f>
        <v/>
      </c>
      <c r="N2702" s="39" t="str">
        <f aca="false">IF(OR(A2702="",B2702=""),"",SUMIFS(tl_Hours,tl_StaffID,I2702,tl_Date,A2702))</f>
        <v/>
      </c>
      <c r="O2702" s="40" t="str">
        <f aca="false">IF(A2702&amp;B2702&amp;D2702="","",IF(OR(A2702="",B2702="",D2702="",E2702=""),"Incomplete",IF(K2702="Unknown","Unknown code",IF(AND(K2702="Yes",C2702=""),"Billable, needs client",IF(N2702&gt;MaxDayHours,"Over "&amp;MaxDayHours&amp;" hours that day","")))))</f>
        <v/>
      </c>
    </row>
    <row r="2703" customFormat="false" ht="15" hidden="false" customHeight="false" outlineLevel="0" collapsed="false">
      <c r="A2703" s="31"/>
      <c r="B2703" s="32"/>
      <c r="C2703" s="32"/>
      <c r="D2703" s="33"/>
      <c r="E2703" s="34"/>
      <c r="F2703" s="32"/>
      <c r="G2703" s="35" t="str">
        <f aca="false">IF(A2703="","",A2703+7-WEEKDAY(A2703))</f>
        <v/>
      </c>
      <c r="H2703" s="36" t="str">
        <f aca="false">IF(A2703="","",DATE(YEAR(A2703),MONTH(A2703),1))</f>
        <v/>
      </c>
      <c r="I2703" s="37" t="str">
        <f aca="false">IF(B2703="","",IFERROR(INDEX(st_ID,MATCH(B2703,st_Name,0)),"Unknown"))</f>
        <v/>
      </c>
      <c r="J2703" s="37" t="str">
        <f aca="false">IF(C2703="","",IFERROR(INDEX(cl_Code,MATCH(C2703,cl_Name,0)),"Unknown"))</f>
        <v/>
      </c>
      <c r="K2703" s="37" t="str">
        <f aca="false">IF(D2703="","",IFERROR(INDEX(rt_Billable,MATCH(D2703,rt_Code,0)),"Unknown"))</f>
        <v/>
      </c>
      <c r="L2703" s="38" t="str">
        <f aca="false">IF(K2703&lt;&gt;"Yes","",IFERROR(INDEX(cr_Rate,MATCH(J2703&amp;"|"&amp;D2703,cr_Key,0)),INDEX(rt_Rate,MATCH(D2703,rt_Code,0))))</f>
        <v/>
      </c>
      <c r="M2703" s="25" t="str">
        <f aca="false">IF(L2703="","",ROUND(N(E2703)*L2703,2))</f>
        <v/>
      </c>
      <c r="N2703" s="39" t="str">
        <f aca="false">IF(OR(A2703="",B2703=""),"",SUMIFS(tl_Hours,tl_StaffID,I2703,tl_Date,A2703))</f>
        <v/>
      </c>
      <c r="O2703" s="40" t="str">
        <f aca="false">IF(A2703&amp;B2703&amp;D2703="","",IF(OR(A2703="",B2703="",D2703="",E2703=""),"Incomplete",IF(K2703="Unknown","Unknown code",IF(AND(K2703="Yes",C2703=""),"Billable, needs client",IF(N2703&gt;MaxDayHours,"Over "&amp;MaxDayHours&amp;" hours that day","")))))</f>
        <v/>
      </c>
    </row>
    <row r="2704" customFormat="false" ht="15" hidden="false" customHeight="false" outlineLevel="0" collapsed="false">
      <c r="A2704" s="31"/>
      <c r="B2704" s="32"/>
      <c r="C2704" s="32"/>
      <c r="D2704" s="33"/>
      <c r="E2704" s="34"/>
      <c r="F2704" s="32"/>
      <c r="G2704" s="35" t="str">
        <f aca="false">IF(A2704="","",A2704+7-WEEKDAY(A2704))</f>
        <v/>
      </c>
      <c r="H2704" s="36" t="str">
        <f aca="false">IF(A2704="","",DATE(YEAR(A2704),MONTH(A2704),1))</f>
        <v/>
      </c>
      <c r="I2704" s="37" t="str">
        <f aca="false">IF(B2704="","",IFERROR(INDEX(st_ID,MATCH(B2704,st_Name,0)),"Unknown"))</f>
        <v/>
      </c>
      <c r="J2704" s="37" t="str">
        <f aca="false">IF(C2704="","",IFERROR(INDEX(cl_Code,MATCH(C2704,cl_Name,0)),"Unknown"))</f>
        <v/>
      </c>
      <c r="K2704" s="37" t="str">
        <f aca="false">IF(D2704="","",IFERROR(INDEX(rt_Billable,MATCH(D2704,rt_Code,0)),"Unknown"))</f>
        <v/>
      </c>
      <c r="L2704" s="38" t="str">
        <f aca="false">IF(K2704&lt;&gt;"Yes","",IFERROR(INDEX(cr_Rate,MATCH(J2704&amp;"|"&amp;D2704,cr_Key,0)),INDEX(rt_Rate,MATCH(D2704,rt_Code,0))))</f>
        <v/>
      </c>
      <c r="M2704" s="25" t="str">
        <f aca="false">IF(L2704="","",ROUND(N(E2704)*L2704,2))</f>
        <v/>
      </c>
      <c r="N2704" s="39" t="str">
        <f aca="false">IF(OR(A2704="",B2704=""),"",SUMIFS(tl_Hours,tl_StaffID,I2704,tl_Date,A2704))</f>
        <v/>
      </c>
      <c r="O2704" s="40" t="str">
        <f aca="false">IF(A2704&amp;B2704&amp;D2704="","",IF(OR(A2704="",B2704="",D2704="",E2704=""),"Incomplete",IF(K2704="Unknown","Unknown code",IF(AND(K2704="Yes",C2704=""),"Billable, needs client",IF(N2704&gt;MaxDayHours,"Over "&amp;MaxDayHours&amp;" hours that day","")))))</f>
        <v/>
      </c>
    </row>
    <row r="2705" customFormat="false" ht="15" hidden="false" customHeight="false" outlineLevel="0" collapsed="false">
      <c r="A2705" s="31"/>
      <c r="B2705" s="32"/>
      <c r="C2705" s="32"/>
      <c r="D2705" s="33"/>
      <c r="E2705" s="34"/>
      <c r="F2705" s="32"/>
      <c r="G2705" s="35" t="str">
        <f aca="false">IF(A2705="","",A2705+7-WEEKDAY(A2705))</f>
        <v/>
      </c>
      <c r="H2705" s="36" t="str">
        <f aca="false">IF(A2705="","",DATE(YEAR(A2705),MONTH(A2705),1))</f>
        <v/>
      </c>
      <c r="I2705" s="37" t="str">
        <f aca="false">IF(B2705="","",IFERROR(INDEX(st_ID,MATCH(B2705,st_Name,0)),"Unknown"))</f>
        <v/>
      </c>
      <c r="J2705" s="37" t="str">
        <f aca="false">IF(C2705="","",IFERROR(INDEX(cl_Code,MATCH(C2705,cl_Name,0)),"Unknown"))</f>
        <v/>
      </c>
      <c r="K2705" s="37" t="str">
        <f aca="false">IF(D2705="","",IFERROR(INDEX(rt_Billable,MATCH(D2705,rt_Code,0)),"Unknown"))</f>
        <v/>
      </c>
      <c r="L2705" s="38" t="str">
        <f aca="false">IF(K2705&lt;&gt;"Yes","",IFERROR(INDEX(cr_Rate,MATCH(J2705&amp;"|"&amp;D2705,cr_Key,0)),INDEX(rt_Rate,MATCH(D2705,rt_Code,0))))</f>
        <v/>
      </c>
      <c r="M2705" s="25" t="str">
        <f aca="false">IF(L2705="","",ROUND(N(E2705)*L2705,2))</f>
        <v/>
      </c>
      <c r="N2705" s="39" t="str">
        <f aca="false">IF(OR(A2705="",B2705=""),"",SUMIFS(tl_Hours,tl_StaffID,I2705,tl_Date,A2705))</f>
        <v/>
      </c>
      <c r="O2705" s="40" t="str">
        <f aca="false">IF(A2705&amp;B2705&amp;D2705="","",IF(OR(A2705="",B2705="",D2705="",E2705=""),"Incomplete",IF(K2705="Unknown","Unknown code",IF(AND(K2705="Yes",C2705=""),"Billable, needs client",IF(N2705&gt;MaxDayHours,"Over "&amp;MaxDayHours&amp;" hours that day","")))))</f>
        <v/>
      </c>
    </row>
    <row r="2706" customFormat="false" ht="15" hidden="false" customHeight="false" outlineLevel="0" collapsed="false">
      <c r="A2706" s="31"/>
      <c r="B2706" s="32"/>
      <c r="C2706" s="32"/>
      <c r="D2706" s="33"/>
      <c r="E2706" s="34"/>
      <c r="F2706" s="32"/>
      <c r="G2706" s="35" t="str">
        <f aca="false">IF(A2706="","",A2706+7-WEEKDAY(A2706))</f>
        <v/>
      </c>
      <c r="H2706" s="36" t="str">
        <f aca="false">IF(A2706="","",DATE(YEAR(A2706),MONTH(A2706),1))</f>
        <v/>
      </c>
      <c r="I2706" s="37" t="str">
        <f aca="false">IF(B2706="","",IFERROR(INDEX(st_ID,MATCH(B2706,st_Name,0)),"Unknown"))</f>
        <v/>
      </c>
      <c r="J2706" s="37" t="str">
        <f aca="false">IF(C2706="","",IFERROR(INDEX(cl_Code,MATCH(C2706,cl_Name,0)),"Unknown"))</f>
        <v/>
      </c>
      <c r="K2706" s="37" t="str">
        <f aca="false">IF(D2706="","",IFERROR(INDEX(rt_Billable,MATCH(D2706,rt_Code,0)),"Unknown"))</f>
        <v/>
      </c>
      <c r="L2706" s="38" t="str">
        <f aca="false">IF(K2706&lt;&gt;"Yes","",IFERROR(INDEX(cr_Rate,MATCH(J2706&amp;"|"&amp;D2706,cr_Key,0)),INDEX(rt_Rate,MATCH(D2706,rt_Code,0))))</f>
        <v/>
      </c>
      <c r="M2706" s="25" t="str">
        <f aca="false">IF(L2706="","",ROUND(N(E2706)*L2706,2))</f>
        <v/>
      </c>
      <c r="N2706" s="39" t="str">
        <f aca="false">IF(OR(A2706="",B2706=""),"",SUMIFS(tl_Hours,tl_StaffID,I2706,tl_Date,A2706))</f>
        <v/>
      </c>
      <c r="O2706" s="40" t="str">
        <f aca="false">IF(A2706&amp;B2706&amp;D2706="","",IF(OR(A2706="",B2706="",D2706="",E2706=""),"Incomplete",IF(K2706="Unknown","Unknown code",IF(AND(K2706="Yes",C2706=""),"Billable, needs client",IF(N2706&gt;MaxDayHours,"Over "&amp;MaxDayHours&amp;" hours that day","")))))</f>
        <v/>
      </c>
    </row>
    <row r="2707" customFormat="false" ht="15" hidden="false" customHeight="false" outlineLevel="0" collapsed="false">
      <c r="A2707" s="31"/>
      <c r="B2707" s="32"/>
      <c r="C2707" s="32"/>
      <c r="D2707" s="33"/>
      <c r="E2707" s="34"/>
      <c r="F2707" s="32"/>
      <c r="G2707" s="35" t="str">
        <f aca="false">IF(A2707="","",A2707+7-WEEKDAY(A2707))</f>
        <v/>
      </c>
      <c r="H2707" s="36" t="str">
        <f aca="false">IF(A2707="","",DATE(YEAR(A2707),MONTH(A2707),1))</f>
        <v/>
      </c>
      <c r="I2707" s="37" t="str">
        <f aca="false">IF(B2707="","",IFERROR(INDEX(st_ID,MATCH(B2707,st_Name,0)),"Unknown"))</f>
        <v/>
      </c>
      <c r="J2707" s="37" t="str">
        <f aca="false">IF(C2707="","",IFERROR(INDEX(cl_Code,MATCH(C2707,cl_Name,0)),"Unknown"))</f>
        <v/>
      </c>
      <c r="K2707" s="37" t="str">
        <f aca="false">IF(D2707="","",IFERROR(INDEX(rt_Billable,MATCH(D2707,rt_Code,0)),"Unknown"))</f>
        <v/>
      </c>
      <c r="L2707" s="38" t="str">
        <f aca="false">IF(K2707&lt;&gt;"Yes","",IFERROR(INDEX(cr_Rate,MATCH(J2707&amp;"|"&amp;D2707,cr_Key,0)),INDEX(rt_Rate,MATCH(D2707,rt_Code,0))))</f>
        <v/>
      </c>
      <c r="M2707" s="25" t="str">
        <f aca="false">IF(L2707="","",ROUND(N(E2707)*L2707,2))</f>
        <v/>
      </c>
      <c r="N2707" s="39" t="str">
        <f aca="false">IF(OR(A2707="",B2707=""),"",SUMIFS(tl_Hours,tl_StaffID,I2707,tl_Date,A2707))</f>
        <v/>
      </c>
      <c r="O2707" s="40" t="str">
        <f aca="false">IF(A2707&amp;B2707&amp;D2707="","",IF(OR(A2707="",B2707="",D2707="",E2707=""),"Incomplete",IF(K2707="Unknown","Unknown code",IF(AND(K2707="Yes",C2707=""),"Billable, needs client",IF(N2707&gt;MaxDayHours,"Over "&amp;MaxDayHours&amp;" hours that day","")))))</f>
        <v/>
      </c>
    </row>
    <row r="2708" customFormat="false" ht="15" hidden="false" customHeight="false" outlineLevel="0" collapsed="false">
      <c r="A2708" s="31"/>
      <c r="B2708" s="32"/>
      <c r="C2708" s="32"/>
      <c r="D2708" s="33"/>
      <c r="E2708" s="34"/>
      <c r="F2708" s="32"/>
      <c r="G2708" s="35" t="str">
        <f aca="false">IF(A2708="","",A2708+7-WEEKDAY(A2708))</f>
        <v/>
      </c>
      <c r="H2708" s="36" t="str">
        <f aca="false">IF(A2708="","",DATE(YEAR(A2708),MONTH(A2708),1))</f>
        <v/>
      </c>
      <c r="I2708" s="37" t="str">
        <f aca="false">IF(B2708="","",IFERROR(INDEX(st_ID,MATCH(B2708,st_Name,0)),"Unknown"))</f>
        <v/>
      </c>
      <c r="J2708" s="37" t="str">
        <f aca="false">IF(C2708="","",IFERROR(INDEX(cl_Code,MATCH(C2708,cl_Name,0)),"Unknown"))</f>
        <v/>
      </c>
      <c r="K2708" s="37" t="str">
        <f aca="false">IF(D2708="","",IFERROR(INDEX(rt_Billable,MATCH(D2708,rt_Code,0)),"Unknown"))</f>
        <v/>
      </c>
      <c r="L2708" s="38" t="str">
        <f aca="false">IF(K2708&lt;&gt;"Yes","",IFERROR(INDEX(cr_Rate,MATCH(J2708&amp;"|"&amp;D2708,cr_Key,0)),INDEX(rt_Rate,MATCH(D2708,rt_Code,0))))</f>
        <v/>
      </c>
      <c r="M2708" s="25" t="str">
        <f aca="false">IF(L2708="","",ROUND(N(E2708)*L2708,2))</f>
        <v/>
      </c>
      <c r="N2708" s="39" t="str">
        <f aca="false">IF(OR(A2708="",B2708=""),"",SUMIFS(tl_Hours,tl_StaffID,I2708,tl_Date,A2708))</f>
        <v/>
      </c>
      <c r="O2708" s="40" t="str">
        <f aca="false">IF(A2708&amp;B2708&amp;D2708="","",IF(OR(A2708="",B2708="",D2708="",E2708=""),"Incomplete",IF(K2708="Unknown","Unknown code",IF(AND(K2708="Yes",C2708=""),"Billable, needs client",IF(N2708&gt;MaxDayHours,"Over "&amp;MaxDayHours&amp;" hours that day","")))))</f>
        <v/>
      </c>
    </row>
    <row r="2709" customFormat="false" ht="15" hidden="false" customHeight="false" outlineLevel="0" collapsed="false">
      <c r="A2709" s="31"/>
      <c r="B2709" s="32"/>
      <c r="C2709" s="32"/>
      <c r="D2709" s="33"/>
      <c r="E2709" s="34"/>
      <c r="F2709" s="32"/>
      <c r="G2709" s="35" t="str">
        <f aca="false">IF(A2709="","",A2709+7-WEEKDAY(A2709))</f>
        <v/>
      </c>
      <c r="H2709" s="36" t="str">
        <f aca="false">IF(A2709="","",DATE(YEAR(A2709),MONTH(A2709),1))</f>
        <v/>
      </c>
      <c r="I2709" s="37" t="str">
        <f aca="false">IF(B2709="","",IFERROR(INDEX(st_ID,MATCH(B2709,st_Name,0)),"Unknown"))</f>
        <v/>
      </c>
      <c r="J2709" s="37" t="str">
        <f aca="false">IF(C2709="","",IFERROR(INDEX(cl_Code,MATCH(C2709,cl_Name,0)),"Unknown"))</f>
        <v/>
      </c>
      <c r="K2709" s="37" t="str">
        <f aca="false">IF(D2709="","",IFERROR(INDEX(rt_Billable,MATCH(D2709,rt_Code,0)),"Unknown"))</f>
        <v/>
      </c>
      <c r="L2709" s="38" t="str">
        <f aca="false">IF(K2709&lt;&gt;"Yes","",IFERROR(INDEX(cr_Rate,MATCH(J2709&amp;"|"&amp;D2709,cr_Key,0)),INDEX(rt_Rate,MATCH(D2709,rt_Code,0))))</f>
        <v/>
      </c>
      <c r="M2709" s="25" t="str">
        <f aca="false">IF(L2709="","",ROUND(N(E2709)*L2709,2))</f>
        <v/>
      </c>
      <c r="N2709" s="39" t="str">
        <f aca="false">IF(OR(A2709="",B2709=""),"",SUMIFS(tl_Hours,tl_StaffID,I2709,tl_Date,A2709))</f>
        <v/>
      </c>
      <c r="O2709" s="40" t="str">
        <f aca="false">IF(A2709&amp;B2709&amp;D2709="","",IF(OR(A2709="",B2709="",D2709="",E2709=""),"Incomplete",IF(K2709="Unknown","Unknown code",IF(AND(K2709="Yes",C2709=""),"Billable, needs client",IF(N2709&gt;MaxDayHours,"Over "&amp;MaxDayHours&amp;" hours that day","")))))</f>
        <v/>
      </c>
    </row>
    <row r="2710" customFormat="false" ht="15" hidden="false" customHeight="false" outlineLevel="0" collapsed="false">
      <c r="A2710" s="31"/>
      <c r="B2710" s="32"/>
      <c r="C2710" s="32"/>
      <c r="D2710" s="33"/>
      <c r="E2710" s="34"/>
      <c r="F2710" s="32"/>
      <c r="G2710" s="35" t="str">
        <f aca="false">IF(A2710="","",A2710+7-WEEKDAY(A2710))</f>
        <v/>
      </c>
      <c r="H2710" s="36" t="str">
        <f aca="false">IF(A2710="","",DATE(YEAR(A2710),MONTH(A2710),1))</f>
        <v/>
      </c>
      <c r="I2710" s="37" t="str">
        <f aca="false">IF(B2710="","",IFERROR(INDEX(st_ID,MATCH(B2710,st_Name,0)),"Unknown"))</f>
        <v/>
      </c>
      <c r="J2710" s="37" t="str">
        <f aca="false">IF(C2710="","",IFERROR(INDEX(cl_Code,MATCH(C2710,cl_Name,0)),"Unknown"))</f>
        <v/>
      </c>
      <c r="K2710" s="37" t="str">
        <f aca="false">IF(D2710="","",IFERROR(INDEX(rt_Billable,MATCH(D2710,rt_Code,0)),"Unknown"))</f>
        <v/>
      </c>
      <c r="L2710" s="38" t="str">
        <f aca="false">IF(K2710&lt;&gt;"Yes","",IFERROR(INDEX(cr_Rate,MATCH(J2710&amp;"|"&amp;D2710,cr_Key,0)),INDEX(rt_Rate,MATCH(D2710,rt_Code,0))))</f>
        <v/>
      </c>
      <c r="M2710" s="25" t="str">
        <f aca="false">IF(L2710="","",ROUND(N(E2710)*L2710,2))</f>
        <v/>
      </c>
      <c r="N2710" s="39" t="str">
        <f aca="false">IF(OR(A2710="",B2710=""),"",SUMIFS(tl_Hours,tl_StaffID,I2710,tl_Date,A2710))</f>
        <v/>
      </c>
      <c r="O2710" s="40" t="str">
        <f aca="false">IF(A2710&amp;B2710&amp;D2710="","",IF(OR(A2710="",B2710="",D2710="",E2710=""),"Incomplete",IF(K2710="Unknown","Unknown code",IF(AND(K2710="Yes",C2710=""),"Billable, needs client",IF(N2710&gt;MaxDayHours,"Over "&amp;MaxDayHours&amp;" hours that day","")))))</f>
        <v/>
      </c>
    </row>
    <row r="2711" customFormat="false" ht="15" hidden="false" customHeight="false" outlineLevel="0" collapsed="false">
      <c r="A2711" s="31"/>
      <c r="B2711" s="32"/>
      <c r="C2711" s="32"/>
      <c r="D2711" s="33"/>
      <c r="E2711" s="34"/>
      <c r="F2711" s="32"/>
      <c r="G2711" s="35" t="str">
        <f aca="false">IF(A2711="","",A2711+7-WEEKDAY(A2711))</f>
        <v/>
      </c>
      <c r="H2711" s="36" t="str">
        <f aca="false">IF(A2711="","",DATE(YEAR(A2711),MONTH(A2711),1))</f>
        <v/>
      </c>
      <c r="I2711" s="37" t="str">
        <f aca="false">IF(B2711="","",IFERROR(INDEX(st_ID,MATCH(B2711,st_Name,0)),"Unknown"))</f>
        <v/>
      </c>
      <c r="J2711" s="37" t="str">
        <f aca="false">IF(C2711="","",IFERROR(INDEX(cl_Code,MATCH(C2711,cl_Name,0)),"Unknown"))</f>
        <v/>
      </c>
      <c r="K2711" s="37" t="str">
        <f aca="false">IF(D2711="","",IFERROR(INDEX(rt_Billable,MATCH(D2711,rt_Code,0)),"Unknown"))</f>
        <v/>
      </c>
      <c r="L2711" s="38" t="str">
        <f aca="false">IF(K2711&lt;&gt;"Yes","",IFERROR(INDEX(cr_Rate,MATCH(J2711&amp;"|"&amp;D2711,cr_Key,0)),INDEX(rt_Rate,MATCH(D2711,rt_Code,0))))</f>
        <v/>
      </c>
      <c r="M2711" s="25" t="str">
        <f aca="false">IF(L2711="","",ROUND(N(E2711)*L2711,2))</f>
        <v/>
      </c>
      <c r="N2711" s="39" t="str">
        <f aca="false">IF(OR(A2711="",B2711=""),"",SUMIFS(tl_Hours,tl_StaffID,I2711,tl_Date,A2711))</f>
        <v/>
      </c>
      <c r="O2711" s="40" t="str">
        <f aca="false">IF(A2711&amp;B2711&amp;D2711="","",IF(OR(A2711="",B2711="",D2711="",E2711=""),"Incomplete",IF(K2711="Unknown","Unknown code",IF(AND(K2711="Yes",C2711=""),"Billable, needs client",IF(N2711&gt;MaxDayHours,"Over "&amp;MaxDayHours&amp;" hours that day","")))))</f>
        <v/>
      </c>
    </row>
    <row r="2712" customFormat="false" ht="15" hidden="false" customHeight="false" outlineLevel="0" collapsed="false">
      <c r="A2712" s="31"/>
      <c r="B2712" s="32"/>
      <c r="C2712" s="32"/>
      <c r="D2712" s="33"/>
      <c r="E2712" s="34"/>
      <c r="F2712" s="32"/>
      <c r="G2712" s="35" t="str">
        <f aca="false">IF(A2712="","",A2712+7-WEEKDAY(A2712))</f>
        <v/>
      </c>
      <c r="H2712" s="36" t="str">
        <f aca="false">IF(A2712="","",DATE(YEAR(A2712),MONTH(A2712),1))</f>
        <v/>
      </c>
      <c r="I2712" s="37" t="str">
        <f aca="false">IF(B2712="","",IFERROR(INDEX(st_ID,MATCH(B2712,st_Name,0)),"Unknown"))</f>
        <v/>
      </c>
      <c r="J2712" s="37" t="str">
        <f aca="false">IF(C2712="","",IFERROR(INDEX(cl_Code,MATCH(C2712,cl_Name,0)),"Unknown"))</f>
        <v/>
      </c>
      <c r="K2712" s="37" t="str">
        <f aca="false">IF(D2712="","",IFERROR(INDEX(rt_Billable,MATCH(D2712,rt_Code,0)),"Unknown"))</f>
        <v/>
      </c>
      <c r="L2712" s="38" t="str">
        <f aca="false">IF(K2712&lt;&gt;"Yes","",IFERROR(INDEX(cr_Rate,MATCH(J2712&amp;"|"&amp;D2712,cr_Key,0)),INDEX(rt_Rate,MATCH(D2712,rt_Code,0))))</f>
        <v/>
      </c>
      <c r="M2712" s="25" t="str">
        <f aca="false">IF(L2712="","",ROUND(N(E2712)*L2712,2))</f>
        <v/>
      </c>
      <c r="N2712" s="39" t="str">
        <f aca="false">IF(OR(A2712="",B2712=""),"",SUMIFS(tl_Hours,tl_StaffID,I2712,tl_Date,A2712))</f>
        <v/>
      </c>
      <c r="O2712" s="40" t="str">
        <f aca="false">IF(A2712&amp;B2712&amp;D2712="","",IF(OR(A2712="",B2712="",D2712="",E2712=""),"Incomplete",IF(K2712="Unknown","Unknown code",IF(AND(K2712="Yes",C2712=""),"Billable, needs client",IF(N2712&gt;MaxDayHours,"Over "&amp;MaxDayHours&amp;" hours that day","")))))</f>
        <v/>
      </c>
    </row>
    <row r="2713" customFormat="false" ht="15" hidden="false" customHeight="false" outlineLevel="0" collapsed="false">
      <c r="A2713" s="31"/>
      <c r="B2713" s="32"/>
      <c r="C2713" s="32"/>
      <c r="D2713" s="33"/>
      <c r="E2713" s="34"/>
      <c r="F2713" s="32"/>
      <c r="G2713" s="35" t="str">
        <f aca="false">IF(A2713="","",A2713+7-WEEKDAY(A2713))</f>
        <v/>
      </c>
      <c r="H2713" s="36" t="str">
        <f aca="false">IF(A2713="","",DATE(YEAR(A2713),MONTH(A2713),1))</f>
        <v/>
      </c>
      <c r="I2713" s="37" t="str">
        <f aca="false">IF(B2713="","",IFERROR(INDEX(st_ID,MATCH(B2713,st_Name,0)),"Unknown"))</f>
        <v/>
      </c>
      <c r="J2713" s="37" t="str">
        <f aca="false">IF(C2713="","",IFERROR(INDEX(cl_Code,MATCH(C2713,cl_Name,0)),"Unknown"))</f>
        <v/>
      </c>
      <c r="K2713" s="37" t="str">
        <f aca="false">IF(D2713="","",IFERROR(INDEX(rt_Billable,MATCH(D2713,rt_Code,0)),"Unknown"))</f>
        <v/>
      </c>
      <c r="L2713" s="38" t="str">
        <f aca="false">IF(K2713&lt;&gt;"Yes","",IFERROR(INDEX(cr_Rate,MATCH(J2713&amp;"|"&amp;D2713,cr_Key,0)),INDEX(rt_Rate,MATCH(D2713,rt_Code,0))))</f>
        <v/>
      </c>
      <c r="M2713" s="25" t="str">
        <f aca="false">IF(L2713="","",ROUND(N(E2713)*L2713,2))</f>
        <v/>
      </c>
      <c r="N2713" s="39" t="str">
        <f aca="false">IF(OR(A2713="",B2713=""),"",SUMIFS(tl_Hours,tl_StaffID,I2713,tl_Date,A2713))</f>
        <v/>
      </c>
      <c r="O2713" s="40" t="str">
        <f aca="false">IF(A2713&amp;B2713&amp;D2713="","",IF(OR(A2713="",B2713="",D2713="",E2713=""),"Incomplete",IF(K2713="Unknown","Unknown code",IF(AND(K2713="Yes",C2713=""),"Billable, needs client",IF(N2713&gt;MaxDayHours,"Over "&amp;MaxDayHours&amp;" hours that day","")))))</f>
        <v/>
      </c>
    </row>
    <row r="2714" customFormat="false" ht="15" hidden="false" customHeight="false" outlineLevel="0" collapsed="false">
      <c r="A2714" s="31"/>
      <c r="B2714" s="32"/>
      <c r="C2714" s="32"/>
      <c r="D2714" s="33"/>
      <c r="E2714" s="34"/>
      <c r="F2714" s="32"/>
      <c r="G2714" s="35" t="str">
        <f aca="false">IF(A2714="","",A2714+7-WEEKDAY(A2714))</f>
        <v/>
      </c>
      <c r="H2714" s="36" t="str">
        <f aca="false">IF(A2714="","",DATE(YEAR(A2714),MONTH(A2714),1))</f>
        <v/>
      </c>
      <c r="I2714" s="37" t="str">
        <f aca="false">IF(B2714="","",IFERROR(INDEX(st_ID,MATCH(B2714,st_Name,0)),"Unknown"))</f>
        <v/>
      </c>
      <c r="J2714" s="37" t="str">
        <f aca="false">IF(C2714="","",IFERROR(INDEX(cl_Code,MATCH(C2714,cl_Name,0)),"Unknown"))</f>
        <v/>
      </c>
      <c r="K2714" s="37" t="str">
        <f aca="false">IF(D2714="","",IFERROR(INDEX(rt_Billable,MATCH(D2714,rt_Code,0)),"Unknown"))</f>
        <v/>
      </c>
      <c r="L2714" s="38" t="str">
        <f aca="false">IF(K2714&lt;&gt;"Yes","",IFERROR(INDEX(cr_Rate,MATCH(J2714&amp;"|"&amp;D2714,cr_Key,0)),INDEX(rt_Rate,MATCH(D2714,rt_Code,0))))</f>
        <v/>
      </c>
      <c r="M2714" s="25" t="str">
        <f aca="false">IF(L2714="","",ROUND(N(E2714)*L2714,2))</f>
        <v/>
      </c>
      <c r="N2714" s="39" t="str">
        <f aca="false">IF(OR(A2714="",B2714=""),"",SUMIFS(tl_Hours,tl_StaffID,I2714,tl_Date,A2714))</f>
        <v/>
      </c>
      <c r="O2714" s="40" t="str">
        <f aca="false">IF(A2714&amp;B2714&amp;D2714="","",IF(OR(A2714="",B2714="",D2714="",E2714=""),"Incomplete",IF(K2714="Unknown","Unknown code",IF(AND(K2714="Yes",C2714=""),"Billable, needs client",IF(N2714&gt;MaxDayHours,"Over "&amp;MaxDayHours&amp;" hours that day","")))))</f>
        <v/>
      </c>
    </row>
    <row r="2715" customFormat="false" ht="15" hidden="false" customHeight="false" outlineLevel="0" collapsed="false">
      <c r="A2715" s="31"/>
      <c r="B2715" s="32"/>
      <c r="C2715" s="32"/>
      <c r="D2715" s="33"/>
      <c r="E2715" s="34"/>
      <c r="F2715" s="32"/>
      <c r="G2715" s="35" t="str">
        <f aca="false">IF(A2715="","",A2715+7-WEEKDAY(A2715))</f>
        <v/>
      </c>
      <c r="H2715" s="36" t="str">
        <f aca="false">IF(A2715="","",DATE(YEAR(A2715),MONTH(A2715),1))</f>
        <v/>
      </c>
      <c r="I2715" s="37" t="str">
        <f aca="false">IF(B2715="","",IFERROR(INDEX(st_ID,MATCH(B2715,st_Name,0)),"Unknown"))</f>
        <v/>
      </c>
      <c r="J2715" s="37" t="str">
        <f aca="false">IF(C2715="","",IFERROR(INDEX(cl_Code,MATCH(C2715,cl_Name,0)),"Unknown"))</f>
        <v/>
      </c>
      <c r="K2715" s="37" t="str">
        <f aca="false">IF(D2715="","",IFERROR(INDEX(rt_Billable,MATCH(D2715,rt_Code,0)),"Unknown"))</f>
        <v/>
      </c>
      <c r="L2715" s="38" t="str">
        <f aca="false">IF(K2715&lt;&gt;"Yes","",IFERROR(INDEX(cr_Rate,MATCH(J2715&amp;"|"&amp;D2715,cr_Key,0)),INDEX(rt_Rate,MATCH(D2715,rt_Code,0))))</f>
        <v/>
      </c>
      <c r="M2715" s="25" t="str">
        <f aca="false">IF(L2715="","",ROUND(N(E2715)*L2715,2))</f>
        <v/>
      </c>
      <c r="N2715" s="39" t="str">
        <f aca="false">IF(OR(A2715="",B2715=""),"",SUMIFS(tl_Hours,tl_StaffID,I2715,tl_Date,A2715))</f>
        <v/>
      </c>
      <c r="O2715" s="40" t="str">
        <f aca="false">IF(A2715&amp;B2715&amp;D2715="","",IF(OR(A2715="",B2715="",D2715="",E2715=""),"Incomplete",IF(K2715="Unknown","Unknown code",IF(AND(K2715="Yes",C2715=""),"Billable, needs client",IF(N2715&gt;MaxDayHours,"Over "&amp;MaxDayHours&amp;" hours that day","")))))</f>
        <v/>
      </c>
    </row>
    <row r="2716" customFormat="false" ht="15" hidden="false" customHeight="false" outlineLevel="0" collapsed="false">
      <c r="A2716" s="31"/>
      <c r="B2716" s="32"/>
      <c r="C2716" s="32"/>
      <c r="D2716" s="33"/>
      <c r="E2716" s="34"/>
      <c r="F2716" s="32"/>
      <c r="G2716" s="35" t="str">
        <f aca="false">IF(A2716="","",A2716+7-WEEKDAY(A2716))</f>
        <v/>
      </c>
      <c r="H2716" s="36" t="str">
        <f aca="false">IF(A2716="","",DATE(YEAR(A2716),MONTH(A2716),1))</f>
        <v/>
      </c>
      <c r="I2716" s="37" t="str">
        <f aca="false">IF(B2716="","",IFERROR(INDEX(st_ID,MATCH(B2716,st_Name,0)),"Unknown"))</f>
        <v/>
      </c>
      <c r="J2716" s="37" t="str">
        <f aca="false">IF(C2716="","",IFERROR(INDEX(cl_Code,MATCH(C2716,cl_Name,0)),"Unknown"))</f>
        <v/>
      </c>
      <c r="K2716" s="37" t="str">
        <f aca="false">IF(D2716="","",IFERROR(INDEX(rt_Billable,MATCH(D2716,rt_Code,0)),"Unknown"))</f>
        <v/>
      </c>
      <c r="L2716" s="38" t="str">
        <f aca="false">IF(K2716&lt;&gt;"Yes","",IFERROR(INDEX(cr_Rate,MATCH(J2716&amp;"|"&amp;D2716,cr_Key,0)),INDEX(rt_Rate,MATCH(D2716,rt_Code,0))))</f>
        <v/>
      </c>
      <c r="M2716" s="25" t="str">
        <f aca="false">IF(L2716="","",ROUND(N(E2716)*L2716,2))</f>
        <v/>
      </c>
      <c r="N2716" s="39" t="str">
        <f aca="false">IF(OR(A2716="",B2716=""),"",SUMIFS(tl_Hours,tl_StaffID,I2716,tl_Date,A2716))</f>
        <v/>
      </c>
      <c r="O2716" s="40" t="str">
        <f aca="false">IF(A2716&amp;B2716&amp;D2716="","",IF(OR(A2716="",B2716="",D2716="",E2716=""),"Incomplete",IF(K2716="Unknown","Unknown code",IF(AND(K2716="Yes",C2716=""),"Billable, needs client",IF(N2716&gt;MaxDayHours,"Over "&amp;MaxDayHours&amp;" hours that day","")))))</f>
        <v/>
      </c>
    </row>
    <row r="2717" customFormat="false" ht="15" hidden="false" customHeight="false" outlineLevel="0" collapsed="false">
      <c r="A2717" s="31"/>
      <c r="B2717" s="32"/>
      <c r="C2717" s="32"/>
      <c r="D2717" s="33"/>
      <c r="E2717" s="34"/>
      <c r="F2717" s="32"/>
      <c r="G2717" s="35" t="str">
        <f aca="false">IF(A2717="","",A2717+7-WEEKDAY(A2717))</f>
        <v/>
      </c>
      <c r="H2717" s="36" t="str">
        <f aca="false">IF(A2717="","",DATE(YEAR(A2717),MONTH(A2717),1))</f>
        <v/>
      </c>
      <c r="I2717" s="37" t="str">
        <f aca="false">IF(B2717="","",IFERROR(INDEX(st_ID,MATCH(B2717,st_Name,0)),"Unknown"))</f>
        <v/>
      </c>
      <c r="J2717" s="37" t="str">
        <f aca="false">IF(C2717="","",IFERROR(INDEX(cl_Code,MATCH(C2717,cl_Name,0)),"Unknown"))</f>
        <v/>
      </c>
      <c r="K2717" s="37" t="str">
        <f aca="false">IF(D2717="","",IFERROR(INDEX(rt_Billable,MATCH(D2717,rt_Code,0)),"Unknown"))</f>
        <v/>
      </c>
      <c r="L2717" s="38" t="str">
        <f aca="false">IF(K2717&lt;&gt;"Yes","",IFERROR(INDEX(cr_Rate,MATCH(J2717&amp;"|"&amp;D2717,cr_Key,0)),INDEX(rt_Rate,MATCH(D2717,rt_Code,0))))</f>
        <v/>
      </c>
      <c r="M2717" s="25" t="str">
        <f aca="false">IF(L2717="","",ROUND(N(E2717)*L2717,2))</f>
        <v/>
      </c>
      <c r="N2717" s="39" t="str">
        <f aca="false">IF(OR(A2717="",B2717=""),"",SUMIFS(tl_Hours,tl_StaffID,I2717,tl_Date,A2717))</f>
        <v/>
      </c>
      <c r="O2717" s="40" t="str">
        <f aca="false">IF(A2717&amp;B2717&amp;D2717="","",IF(OR(A2717="",B2717="",D2717="",E2717=""),"Incomplete",IF(K2717="Unknown","Unknown code",IF(AND(K2717="Yes",C2717=""),"Billable, needs client",IF(N2717&gt;MaxDayHours,"Over "&amp;MaxDayHours&amp;" hours that day","")))))</f>
        <v/>
      </c>
    </row>
    <row r="2718" customFormat="false" ht="15" hidden="false" customHeight="false" outlineLevel="0" collapsed="false">
      <c r="A2718" s="31"/>
      <c r="B2718" s="32"/>
      <c r="C2718" s="32"/>
      <c r="D2718" s="33"/>
      <c r="E2718" s="34"/>
      <c r="F2718" s="32"/>
      <c r="G2718" s="35" t="str">
        <f aca="false">IF(A2718="","",A2718+7-WEEKDAY(A2718))</f>
        <v/>
      </c>
      <c r="H2718" s="36" t="str">
        <f aca="false">IF(A2718="","",DATE(YEAR(A2718),MONTH(A2718),1))</f>
        <v/>
      </c>
      <c r="I2718" s="37" t="str">
        <f aca="false">IF(B2718="","",IFERROR(INDEX(st_ID,MATCH(B2718,st_Name,0)),"Unknown"))</f>
        <v/>
      </c>
      <c r="J2718" s="37" t="str">
        <f aca="false">IF(C2718="","",IFERROR(INDEX(cl_Code,MATCH(C2718,cl_Name,0)),"Unknown"))</f>
        <v/>
      </c>
      <c r="K2718" s="37" t="str">
        <f aca="false">IF(D2718="","",IFERROR(INDEX(rt_Billable,MATCH(D2718,rt_Code,0)),"Unknown"))</f>
        <v/>
      </c>
      <c r="L2718" s="38" t="str">
        <f aca="false">IF(K2718&lt;&gt;"Yes","",IFERROR(INDEX(cr_Rate,MATCH(J2718&amp;"|"&amp;D2718,cr_Key,0)),INDEX(rt_Rate,MATCH(D2718,rt_Code,0))))</f>
        <v/>
      </c>
      <c r="M2718" s="25" t="str">
        <f aca="false">IF(L2718="","",ROUND(N(E2718)*L2718,2))</f>
        <v/>
      </c>
      <c r="N2718" s="39" t="str">
        <f aca="false">IF(OR(A2718="",B2718=""),"",SUMIFS(tl_Hours,tl_StaffID,I2718,tl_Date,A2718))</f>
        <v/>
      </c>
      <c r="O2718" s="40" t="str">
        <f aca="false">IF(A2718&amp;B2718&amp;D2718="","",IF(OR(A2718="",B2718="",D2718="",E2718=""),"Incomplete",IF(K2718="Unknown","Unknown code",IF(AND(K2718="Yes",C2718=""),"Billable, needs client",IF(N2718&gt;MaxDayHours,"Over "&amp;MaxDayHours&amp;" hours that day","")))))</f>
        <v/>
      </c>
    </row>
    <row r="2719" customFormat="false" ht="15" hidden="false" customHeight="false" outlineLevel="0" collapsed="false">
      <c r="A2719" s="31"/>
      <c r="B2719" s="32"/>
      <c r="C2719" s="32"/>
      <c r="D2719" s="33"/>
      <c r="E2719" s="34"/>
      <c r="F2719" s="32"/>
      <c r="G2719" s="35" t="str">
        <f aca="false">IF(A2719="","",A2719+7-WEEKDAY(A2719))</f>
        <v/>
      </c>
      <c r="H2719" s="36" t="str">
        <f aca="false">IF(A2719="","",DATE(YEAR(A2719),MONTH(A2719),1))</f>
        <v/>
      </c>
      <c r="I2719" s="37" t="str">
        <f aca="false">IF(B2719="","",IFERROR(INDEX(st_ID,MATCH(B2719,st_Name,0)),"Unknown"))</f>
        <v/>
      </c>
      <c r="J2719" s="37" t="str">
        <f aca="false">IF(C2719="","",IFERROR(INDEX(cl_Code,MATCH(C2719,cl_Name,0)),"Unknown"))</f>
        <v/>
      </c>
      <c r="K2719" s="37" t="str">
        <f aca="false">IF(D2719="","",IFERROR(INDEX(rt_Billable,MATCH(D2719,rt_Code,0)),"Unknown"))</f>
        <v/>
      </c>
      <c r="L2719" s="38" t="str">
        <f aca="false">IF(K2719&lt;&gt;"Yes","",IFERROR(INDEX(cr_Rate,MATCH(J2719&amp;"|"&amp;D2719,cr_Key,0)),INDEX(rt_Rate,MATCH(D2719,rt_Code,0))))</f>
        <v/>
      </c>
      <c r="M2719" s="25" t="str">
        <f aca="false">IF(L2719="","",ROUND(N(E2719)*L2719,2))</f>
        <v/>
      </c>
      <c r="N2719" s="39" t="str">
        <f aca="false">IF(OR(A2719="",B2719=""),"",SUMIFS(tl_Hours,tl_StaffID,I2719,tl_Date,A2719))</f>
        <v/>
      </c>
      <c r="O2719" s="40" t="str">
        <f aca="false">IF(A2719&amp;B2719&amp;D2719="","",IF(OR(A2719="",B2719="",D2719="",E2719=""),"Incomplete",IF(K2719="Unknown","Unknown code",IF(AND(K2719="Yes",C2719=""),"Billable, needs client",IF(N2719&gt;MaxDayHours,"Over "&amp;MaxDayHours&amp;" hours that day","")))))</f>
        <v/>
      </c>
    </row>
    <row r="2720" customFormat="false" ht="15" hidden="false" customHeight="false" outlineLevel="0" collapsed="false">
      <c r="A2720" s="31"/>
      <c r="B2720" s="32"/>
      <c r="C2720" s="32"/>
      <c r="D2720" s="33"/>
      <c r="E2720" s="34"/>
      <c r="F2720" s="32"/>
      <c r="G2720" s="35" t="str">
        <f aca="false">IF(A2720="","",A2720+7-WEEKDAY(A2720))</f>
        <v/>
      </c>
      <c r="H2720" s="36" t="str">
        <f aca="false">IF(A2720="","",DATE(YEAR(A2720),MONTH(A2720),1))</f>
        <v/>
      </c>
      <c r="I2720" s="37" t="str">
        <f aca="false">IF(B2720="","",IFERROR(INDEX(st_ID,MATCH(B2720,st_Name,0)),"Unknown"))</f>
        <v/>
      </c>
      <c r="J2720" s="37" t="str">
        <f aca="false">IF(C2720="","",IFERROR(INDEX(cl_Code,MATCH(C2720,cl_Name,0)),"Unknown"))</f>
        <v/>
      </c>
      <c r="K2720" s="37" t="str">
        <f aca="false">IF(D2720="","",IFERROR(INDEX(rt_Billable,MATCH(D2720,rt_Code,0)),"Unknown"))</f>
        <v/>
      </c>
      <c r="L2720" s="38" t="str">
        <f aca="false">IF(K2720&lt;&gt;"Yes","",IFERROR(INDEX(cr_Rate,MATCH(J2720&amp;"|"&amp;D2720,cr_Key,0)),INDEX(rt_Rate,MATCH(D2720,rt_Code,0))))</f>
        <v/>
      </c>
      <c r="M2720" s="25" t="str">
        <f aca="false">IF(L2720="","",ROUND(N(E2720)*L2720,2))</f>
        <v/>
      </c>
      <c r="N2720" s="39" t="str">
        <f aca="false">IF(OR(A2720="",B2720=""),"",SUMIFS(tl_Hours,tl_StaffID,I2720,tl_Date,A2720))</f>
        <v/>
      </c>
      <c r="O2720" s="40" t="str">
        <f aca="false">IF(A2720&amp;B2720&amp;D2720="","",IF(OR(A2720="",B2720="",D2720="",E2720=""),"Incomplete",IF(K2720="Unknown","Unknown code",IF(AND(K2720="Yes",C2720=""),"Billable, needs client",IF(N2720&gt;MaxDayHours,"Over "&amp;MaxDayHours&amp;" hours that day","")))))</f>
        <v/>
      </c>
    </row>
    <row r="2721" customFormat="false" ht="15" hidden="false" customHeight="false" outlineLevel="0" collapsed="false">
      <c r="A2721" s="31"/>
      <c r="B2721" s="32"/>
      <c r="C2721" s="32"/>
      <c r="D2721" s="33"/>
      <c r="E2721" s="34"/>
      <c r="F2721" s="32"/>
      <c r="G2721" s="35" t="str">
        <f aca="false">IF(A2721="","",A2721+7-WEEKDAY(A2721))</f>
        <v/>
      </c>
      <c r="H2721" s="36" t="str">
        <f aca="false">IF(A2721="","",DATE(YEAR(A2721),MONTH(A2721),1))</f>
        <v/>
      </c>
      <c r="I2721" s="37" t="str">
        <f aca="false">IF(B2721="","",IFERROR(INDEX(st_ID,MATCH(B2721,st_Name,0)),"Unknown"))</f>
        <v/>
      </c>
      <c r="J2721" s="37" t="str">
        <f aca="false">IF(C2721="","",IFERROR(INDEX(cl_Code,MATCH(C2721,cl_Name,0)),"Unknown"))</f>
        <v/>
      </c>
      <c r="K2721" s="37" t="str">
        <f aca="false">IF(D2721="","",IFERROR(INDEX(rt_Billable,MATCH(D2721,rt_Code,0)),"Unknown"))</f>
        <v/>
      </c>
      <c r="L2721" s="38" t="str">
        <f aca="false">IF(K2721&lt;&gt;"Yes","",IFERROR(INDEX(cr_Rate,MATCH(J2721&amp;"|"&amp;D2721,cr_Key,0)),INDEX(rt_Rate,MATCH(D2721,rt_Code,0))))</f>
        <v/>
      </c>
      <c r="M2721" s="25" t="str">
        <f aca="false">IF(L2721="","",ROUND(N(E2721)*L2721,2))</f>
        <v/>
      </c>
      <c r="N2721" s="39" t="str">
        <f aca="false">IF(OR(A2721="",B2721=""),"",SUMIFS(tl_Hours,tl_StaffID,I2721,tl_Date,A2721))</f>
        <v/>
      </c>
      <c r="O2721" s="40" t="str">
        <f aca="false">IF(A2721&amp;B2721&amp;D2721="","",IF(OR(A2721="",B2721="",D2721="",E2721=""),"Incomplete",IF(K2721="Unknown","Unknown code",IF(AND(K2721="Yes",C2721=""),"Billable, needs client",IF(N2721&gt;MaxDayHours,"Over "&amp;MaxDayHours&amp;" hours that day","")))))</f>
        <v/>
      </c>
    </row>
    <row r="2722" customFormat="false" ht="15" hidden="false" customHeight="false" outlineLevel="0" collapsed="false">
      <c r="A2722" s="31"/>
      <c r="B2722" s="32"/>
      <c r="C2722" s="32"/>
      <c r="D2722" s="33"/>
      <c r="E2722" s="34"/>
      <c r="F2722" s="32"/>
      <c r="G2722" s="35" t="str">
        <f aca="false">IF(A2722="","",A2722+7-WEEKDAY(A2722))</f>
        <v/>
      </c>
      <c r="H2722" s="36" t="str">
        <f aca="false">IF(A2722="","",DATE(YEAR(A2722),MONTH(A2722),1))</f>
        <v/>
      </c>
      <c r="I2722" s="37" t="str">
        <f aca="false">IF(B2722="","",IFERROR(INDEX(st_ID,MATCH(B2722,st_Name,0)),"Unknown"))</f>
        <v/>
      </c>
      <c r="J2722" s="37" t="str">
        <f aca="false">IF(C2722="","",IFERROR(INDEX(cl_Code,MATCH(C2722,cl_Name,0)),"Unknown"))</f>
        <v/>
      </c>
      <c r="K2722" s="37" t="str">
        <f aca="false">IF(D2722="","",IFERROR(INDEX(rt_Billable,MATCH(D2722,rt_Code,0)),"Unknown"))</f>
        <v/>
      </c>
      <c r="L2722" s="38" t="str">
        <f aca="false">IF(K2722&lt;&gt;"Yes","",IFERROR(INDEX(cr_Rate,MATCH(J2722&amp;"|"&amp;D2722,cr_Key,0)),INDEX(rt_Rate,MATCH(D2722,rt_Code,0))))</f>
        <v/>
      </c>
      <c r="M2722" s="25" t="str">
        <f aca="false">IF(L2722="","",ROUND(N(E2722)*L2722,2))</f>
        <v/>
      </c>
      <c r="N2722" s="39" t="str">
        <f aca="false">IF(OR(A2722="",B2722=""),"",SUMIFS(tl_Hours,tl_StaffID,I2722,tl_Date,A2722))</f>
        <v/>
      </c>
      <c r="O2722" s="40" t="str">
        <f aca="false">IF(A2722&amp;B2722&amp;D2722="","",IF(OR(A2722="",B2722="",D2722="",E2722=""),"Incomplete",IF(K2722="Unknown","Unknown code",IF(AND(K2722="Yes",C2722=""),"Billable, needs client",IF(N2722&gt;MaxDayHours,"Over "&amp;MaxDayHours&amp;" hours that day","")))))</f>
        <v/>
      </c>
    </row>
    <row r="2723" customFormat="false" ht="15" hidden="false" customHeight="false" outlineLevel="0" collapsed="false">
      <c r="A2723" s="31"/>
      <c r="B2723" s="32"/>
      <c r="C2723" s="32"/>
      <c r="D2723" s="33"/>
      <c r="E2723" s="34"/>
      <c r="F2723" s="32"/>
      <c r="G2723" s="35" t="str">
        <f aca="false">IF(A2723="","",A2723+7-WEEKDAY(A2723))</f>
        <v/>
      </c>
      <c r="H2723" s="36" t="str">
        <f aca="false">IF(A2723="","",DATE(YEAR(A2723),MONTH(A2723),1))</f>
        <v/>
      </c>
      <c r="I2723" s="37" t="str">
        <f aca="false">IF(B2723="","",IFERROR(INDEX(st_ID,MATCH(B2723,st_Name,0)),"Unknown"))</f>
        <v/>
      </c>
      <c r="J2723" s="37" t="str">
        <f aca="false">IF(C2723="","",IFERROR(INDEX(cl_Code,MATCH(C2723,cl_Name,0)),"Unknown"))</f>
        <v/>
      </c>
      <c r="K2723" s="37" t="str">
        <f aca="false">IF(D2723="","",IFERROR(INDEX(rt_Billable,MATCH(D2723,rt_Code,0)),"Unknown"))</f>
        <v/>
      </c>
      <c r="L2723" s="38" t="str">
        <f aca="false">IF(K2723&lt;&gt;"Yes","",IFERROR(INDEX(cr_Rate,MATCH(J2723&amp;"|"&amp;D2723,cr_Key,0)),INDEX(rt_Rate,MATCH(D2723,rt_Code,0))))</f>
        <v/>
      </c>
      <c r="M2723" s="25" t="str">
        <f aca="false">IF(L2723="","",ROUND(N(E2723)*L2723,2))</f>
        <v/>
      </c>
      <c r="N2723" s="39" t="str">
        <f aca="false">IF(OR(A2723="",B2723=""),"",SUMIFS(tl_Hours,tl_StaffID,I2723,tl_Date,A2723))</f>
        <v/>
      </c>
      <c r="O2723" s="40" t="str">
        <f aca="false">IF(A2723&amp;B2723&amp;D2723="","",IF(OR(A2723="",B2723="",D2723="",E2723=""),"Incomplete",IF(K2723="Unknown","Unknown code",IF(AND(K2723="Yes",C2723=""),"Billable, needs client",IF(N2723&gt;MaxDayHours,"Over "&amp;MaxDayHours&amp;" hours that day","")))))</f>
        <v/>
      </c>
    </row>
    <row r="2724" customFormat="false" ht="15" hidden="false" customHeight="false" outlineLevel="0" collapsed="false">
      <c r="A2724" s="31"/>
      <c r="B2724" s="32"/>
      <c r="C2724" s="32"/>
      <c r="D2724" s="33"/>
      <c r="E2724" s="34"/>
      <c r="F2724" s="32"/>
      <c r="G2724" s="35" t="str">
        <f aca="false">IF(A2724="","",A2724+7-WEEKDAY(A2724))</f>
        <v/>
      </c>
      <c r="H2724" s="36" t="str">
        <f aca="false">IF(A2724="","",DATE(YEAR(A2724),MONTH(A2724),1))</f>
        <v/>
      </c>
      <c r="I2724" s="37" t="str">
        <f aca="false">IF(B2724="","",IFERROR(INDEX(st_ID,MATCH(B2724,st_Name,0)),"Unknown"))</f>
        <v/>
      </c>
      <c r="J2724" s="37" t="str">
        <f aca="false">IF(C2724="","",IFERROR(INDEX(cl_Code,MATCH(C2724,cl_Name,0)),"Unknown"))</f>
        <v/>
      </c>
      <c r="K2724" s="37" t="str">
        <f aca="false">IF(D2724="","",IFERROR(INDEX(rt_Billable,MATCH(D2724,rt_Code,0)),"Unknown"))</f>
        <v/>
      </c>
      <c r="L2724" s="38" t="str">
        <f aca="false">IF(K2724&lt;&gt;"Yes","",IFERROR(INDEX(cr_Rate,MATCH(J2724&amp;"|"&amp;D2724,cr_Key,0)),INDEX(rt_Rate,MATCH(D2724,rt_Code,0))))</f>
        <v/>
      </c>
      <c r="M2724" s="25" t="str">
        <f aca="false">IF(L2724="","",ROUND(N(E2724)*L2724,2))</f>
        <v/>
      </c>
      <c r="N2724" s="39" t="str">
        <f aca="false">IF(OR(A2724="",B2724=""),"",SUMIFS(tl_Hours,tl_StaffID,I2724,tl_Date,A2724))</f>
        <v/>
      </c>
      <c r="O2724" s="40" t="str">
        <f aca="false">IF(A2724&amp;B2724&amp;D2724="","",IF(OR(A2724="",B2724="",D2724="",E2724=""),"Incomplete",IF(K2724="Unknown","Unknown code",IF(AND(K2724="Yes",C2724=""),"Billable, needs client",IF(N2724&gt;MaxDayHours,"Over "&amp;MaxDayHours&amp;" hours that day","")))))</f>
        <v/>
      </c>
    </row>
    <row r="2725" customFormat="false" ht="15" hidden="false" customHeight="false" outlineLevel="0" collapsed="false">
      <c r="A2725" s="31"/>
      <c r="B2725" s="32"/>
      <c r="C2725" s="32"/>
      <c r="D2725" s="33"/>
      <c r="E2725" s="34"/>
      <c r="F2725" s="32"/>
      <c r="G2725" s="35" t="str">
        <f aca="false">IF(A2725="","",A2725+7-WEEKDAY(A2725))</f>
        <v/>
      </c>
      <c r="H2725" s="36" t="str">
        <f aca="false">IF(A2725="","",DATE(YEAR(A2725),MONTH(A2725),1))</f>
        <v/>
      </c>
      <c r="I2725" s="37" t="str">
        <f aca="false">IF(B2725="","",IFERROR(INDEX(st_ID,MATCH(B2725,st_Name,0)),"Unknown"))</f>
        <v/>
      </c>
      <c r="J2725" s="37" t="str">
        <f aca="false">IF(C2725="","",IFERROR(INDEX(cl_Code,MATCH(C2725,cl_Name,0)),"Unknown"))</f>
        <v/>
      </c>
      <c r="K2725" s="37" t="str">
        <f aca="false">IF(D2725="","",IFERROR(INDEX(rt_Billable,MATCH(D2725,rt_Code,0)),"Unknown"))</f>
        <v/>
      </c>
      <c r="L2725" s="38" t="str">
        <f aca="false">IF(K2725&lt;&gt;"Yes","",IFERROR(INDEX(cr_Rate,MATCH(J2725&amp;"|"&amp;D2725,cr_Key,0)),INDEX(rt_Rate,MATCH(D2725,rt_Code,0))))</f>
        <v/>
      </c>
      <c r="M2725" s="25" t="str">
        <f aca="false">IF(L2725="","",ROUND(N(E2725)*L2725,2))</f>
        <v/>
      </c>
      <c r="N2725" s="39" t="str">
        <f aca="false">IF(OR(A2725="",B2725=""),"",SUMIFS(tl_Hours,tl_StaffID,I2725,tl_Date,A2725))</f>
        <v/>
      </c>
      <c r="O2725" s="40" t="str">
        <f aca="false">IF(A2725&amp;B2725&amp;D2725="","",IF(OR(A2725="",B2725="",D2725="",E2725=""),"Incomplete",IF(K2725="Unknown","Unknown code",IF(AND(K2725="Yes",C2725=""),"Billable, needs client",IF(N2725&gt;MaxDayHours,"Over "&amp;MaxDayHours&amp;" hours that day","")))))</f>
        <v/>
      </c>
    </row>
    <row r="2726" customFormat="false" ht="15" hidden="false" customHeight="false" outlineLevel="0" collapsed="false">
      <c r="A2726" s="31"/>
      <c r="B2726" s="32"/>
      <c r="C2726" s="32"/>
      <c r="D2726" s="33"/>
      <c r="E2726" s="34"/>
      <c r="F2726" s="32"/>
      <c r="G2726" s="35" t="str">
        <f aca="false">IF(A2726="","",A2726+7-WEEKDAY(A2726))</f>
        <v/>
      </c>
      <c r="H2726" s="36" t="str">
        <f aca="false">IF(A2726="","",DATE(YEAR(A2726),MONTH(A2726),1))</f>
        <v/>
      </c>
      <c r="I2726" s="37" t="str">
        <f aca="false">IF(B2726="","",IFERROR(INDEX(st_ID,MATCH(B2726,st_Name,0)),"Unknown"))</f>
        <v/>
      </c>
      <c r="J2726" s="37" t="str">
        <f aca="false">IF(C2726="","",IFERROR(INDEX(cl_Code,MATCH(C2726,cl_Name,0)),"Unknown"))</f>
        <v/>
      </c>
      <c r="K2726" s="37" t="str">
        <f aca="false">IF(D2726="","",IFERROR(INDEX(rt_Billable,MATCH(D2726,rt_Code,0)),"Unknown"))</f>
        <v/>
      </c>
      <c r="L2726" s="38" t="str">
        <f aca="false">IF(K2726&lt;&gt;"Yes","",IFERROR(INDEX(cr_Rate,MATCH(J2726&amp;"|"&amp;D2726,cr_Key,0)),INDEX(rt_Rate,MATCH(D2726,rt_Code,0))))</f>
        <v/>
      </c>
      <c r="M2726" s="25" t="str">
        <f aca="false">IF(L2726="","",ROUND(N(E2726)*L2726,2))</f>
        <v/>
      </c>
      <c r="N2726" s="39" t="str">
        <f aca="false">IF(OR(A2726="",B2726=""),"",SUMIFS(tl_Hours,tl_StaffID,I2726,tl_Date,A2726))</f>
        <v/>
      </c>
      <c r="O2726" s="40" t="str">
        <f aca="false">IF(A2726&amp;B2726&amp;D2726="","",IF(OR(A2726="",B2726="",D2726="",E2726=""),"Incomplete",IF(K2726="Unknown","Unknown code",IF(AND(K2726="Yes",C2726=""),"Billable, needs client",IF(N2726&gt;MaxDayHours,"Over "&amp;MaxDayHours&amp;" hours that day","")))))</f>
        <v/>
      </c>
    </row>
    <row r="2727" customFormat="false" ht="15" hidden="false" customHeight="false" outlineLevel="0" collapsed="false">
      <c r="A2727" s="31"/>
      <c r="B2727" s="32"/>
      <c r="C2727" s="32"/>
      <c r="D2727" s="33"/>
      <c r="E2727" s="34"/>
      <c r="F2727" s="32"/>
      <c r="G2727" s="35" t="str">
        <f aca="false">IF(A2727="","",A2727+7-WEEKDAY(A2727))</f>
        <v/>
      </c>
      <c r="H2727" s="36" t="str">
        <f aca="false">IF(A2727="","",DATE(YEAR(A2727),MONTH(A2727),1))</f>
        <v/>
      </c>
      <c r="I2727" s="37" t="str">
        <f aca="false">IF(B2727="","",IFERROR(INDEX(st_ID,MATCH(B2727,st_Name,0)),"Unknown"))</f>
        <v/>
      </c>
      <c r="J2727" s="37" t="str">
        <f aca="false">IF(C2727="","",IFERROR(INDEX(cl_Code,MATCH(C2727,cl_Name,0)),"Unknown"))</f>
        <v/>
      </c>
      <c r="K2727" s="37" t="str">
        <f aca="false">IF(D2727="","",IFERROR(INDEX(rt_Billable,MATCH(D2727,rt_Code,0)),"Unknown"))</f>
        <v/>
      </c>
      <c r="L2727" s="38" t="str">
        <f aca="false">IF(K2727&lt;&gt;"Yes","",IFERROR(INDEX(cr_Rate,MATCH(J2727&amp;"|"&amp;D2727,cr_Key,0)),INDEX(rt_Rate,MATCH(D2727,rt_Code,0))))</f>
        <v/>
      </c>
      <c r="M2727" s="25" t="str">
        <f aca="false">IF(L2727="","",ROUND(N(E2727)*L2727,2))</f>
        <v/>
      </c>
      <c r="N2727" s="39" t="str">
        <f aca="false">IF(OR(A2727="",B2727=""),"",SUMIFS(tl_Hours,tl_StaffID,I2727,tl_Date,A2727))</f>
        <v/>
      </c>
      <c r="O2727" s="40" t="str">
        <f aca="false">IF(A2727&amp;B2727&amp;D2727="","",IF(OR(A2727="",B2727="",D2727="",E2727=""),"Incomplete",IF(K2727="Unknown","Unknown code",IF(AND(K2727="Yes",C2727=""),"Billable, needs client",IF(N2727&gt;MaxDayHours,"Over "&amp;MaxDayHours&amp;" hours that day","")))))</f>
        <v/>
      </c>
    </row>
    <row r="2728" customFormat="false" ht="15" hidden="false" customHeight="false" outlineLevel="0" collapsed="false">
      <c r="A2728" s="31"/>
      <c r="B2728" s="32"/>
      <c r="C2728" s="32"/>
      <c r="D2728" s="33"/>
      <c r="E2728" s="34"/>
      <c r="F2728" s="32"/>
      <c r="G2728" s="35" t="str">
        <f aca="false">IF(A2728="","",A2728+7-WEEKDAY(A2728))</f>
        <v/>
      </c>
      <c r="H2728" s="36" t="str">
        <f aca="false">IF(A2728="","",DATE(YEAR(A2728),MONTH(A2728),1))</f>
        <v/>
      </c>
      <c r="I2728" s="37" t="str">
        <f aca="false">IF(B2728="","",IFERROR(INDEX(st_ID,MATCH(B2728,st_Name,0)),"Unknown"))</f>
        <v/>
      </c>
      <c r="J2728" s="37" t="str">
        <f aca="false">IF(C2728="","",IFERROR(INDEX(cl_Code,MATCH(C2728,cl_Name,0)),"Unknown"))</f>
        <v/>
      </c>
      <c r="K2728" s="37" t="str">
        <f aca="false">IF(D2728="","",IFERROR(INDEX(rt_Billable,MATCH(D2728,rt_Code,0)),"Unknown"))</f>
        <v/>
      </c>
      <c r="L2728" s="38" t="str">
        <f aca="false">IF(K2728&lt;&gt;"Yes","",IFERROR(INDEX(cr_Rate,MATCH(J2728&amp;"|"&amp;D2728,cr_Key,0)),INDEX(rt_Rate,MATCH(D2728,rt_Code,0))))</f>
        <v/>
      </c>
      <c r="M2728" s="25" t="str">
        <f aca="false">IF(L2728="","",ROUND(N(E2728)*L2728,2))</f>
        <v/>
      </c>
      <c r="N2728" s="39" t="str">
        <f aca="false">IF(OR(A2728="",B2728=""),"",SUMIFS(tl_Hours,tl_StaffID,I2728,tl_Date,A2728))</f>
        <v/>
      </c>
      <c r="O2728" s="40" t="str">
        <f aca="false">IF(A2728&amp;B2728&amp;D2728="","",IF(OR(A2728="",B2728="",D2728="",E2728=""),"Incomplete",IF(K2728="Unknown","Unknown code",IF(AND(K2728="Yes",C2728=""),"Billable, needs client",IF(N2728&gt;MaxDayHours,"Over "&amp;MaxDayHours&amp;" hours that day","")))))</f>
        <v/>
      </c>
    </row>
    <row r="2729" customFormat="false" ht="15" hidden="false" customHeight="false" outlineLevel="0" collapsed="false">
      <c r="A2729" s="31"/>
      <c r="B2729" s="32"/>
      <c r="C2729" s="32"/>
      <c r="D2729" s="33"/>
      <c r="E2729" s="34"/>
      <c r="F2729" s="32"/>
      <c r="G2729" s="35" t="str">
        <f aca="false">IF(A2729="","",A2729+7-WEEKDAY(A2729))</f>
        <v/>
      </c>
      <c r="H2729" s="36" t="str">
        <f aca="false">IF(A2729="","",DATE(YEAR(A2729),MONTH(A2729),1))</f>
        <v/>
      </c>
      <c r="I2729" s="37" t="str">
        <f aca="false">IF(B2729="","",IFERROR(INDEX(st_ID,MATCH(B2729,st_Name,0)),"Unknown"))</f>
        <v/>
      </c>
      <c r="J2729" s="37" t="str">
        <f aca="false">IF(C2729="","",IFERROR(INDEX(cl_Code,MATCH(C2729,cl_Name,0)),"Unknown"))</f>
        <v/>
      </c>
      <c r="K2729" s="37" t="str">
        <f aca="false">IF(D2729="","",IFERROR(INDEX(rt_Billable,MATCH(D2729,rt_Code,0)),"Unknown"))</f>
        <v/>
      </c>
      <c r="L2729" s="38" t="str">
        <f aca="false">IF(K2729&lt;&gt;"Yes","",IFERROR(INDEX(cr_Rate,MATCH(J2729&amp;"|"&amp;D2729,cr_Key,0)),INDEX(rt_Rate,MATCH(D2729,rt_Code,0))))</f>
        <v/>
      </c>
      <c r="M2729" s="25" t="str">
        <f aca="false">IF(L2729="","",ROUND(N(E2729)*L2729,2))</f>
        <v/>
      </c>
      <c r="N2729" s="39" t="str">
        <f aca="false">IF(OR(A2729="",B2729=""),"",SUMIFS(tl_Hours,tl_StaffID,I2729,tl_Date,A2729))</f>
        <v/>
      </c>
      <c r="O2729" s="40" t="str">
        <f aca="false">IF(A2729&amp;B2729&amp;D2729="","",IF(OR(A2729="",B2729="",D2729="",E2729=""),"Incomplete",IF(K2729="Unknown","Unknown code",IF(AND(K2729="Yes",C2729=""),"Billable, needs client",IF(N2729&gt;MaxDayHours,"Over "&amp;MaxDayHours&amp;" hours that day","")))))</f>
        <v/>
      </c>
    </row>
    <row r="2730" customFormat="false" ht="15" hidden="false" customHeight="false" outlineLevel="0" collapsed="false">
      <c r="A2730" s="31"/>
      <c r="B2730" s="32"/>
      <c r="C2730" s="32"/>
      <c r="D2730" s="33"/>
      <c r="E2730" s="34"/>
      <c r="F2730" s="32"/>
      <c r="G2730" s="35" t="str">
        <f aca="false">IF(A2730="","",A2730+7-WEEKDAY(A2730))</f>
        <v/>
      </c>
      <c r="H2730" s="36" t="str">
        <f aca="false">IF(A2730="","",DATE(YEAR(A2730),MONTH(A2730),1))</f>
        <v/>
      </c>
      <c r="I2730" s="37" t="str">
        <f aca="false">IF(B2730="","",IFERROR(INDEX(st_ID,MATCH(B2730,st_Name,0)),"Unknown"))</f>
        <v/>
      </c>
      <c r="J2730" s="37" t="str">
        <f aca="false">IF(C2730="","",IFERROR(INDEX(cl_Code,MATCH(C2730,cl_Name,0)),"Unknown"))</f>
        <v/>
      </c>
      <c r="K2730" s="37" t="str">
        <f aca="false">IF(D2730="","",IFERROR(INDEX(rt_Billable,MATCH(D2730,rt_Code,0)),"Unknown"))</f>
        <v/>
      </c>
      <c r="L2730" s="38" t="str">
        <f aca="false">IF(K2730&lt;&gt;"Yes","",IFERROR(INDEX(cr_Rate,MATCH(J2730&amp;"|"&amp;D2730,cr_Key,0)),INDEX(rt_Rate,MATCH(D2730,rt_Code,0))))</f>
        <v/>
      </c>
      <c r="M2730" s="25" t="str">
        <f aca="false">IF(L2730="","",ROUND(N(E2730)*L2730,2))</f>
        <v/>
      </c>
      <c r="N2730" s="39" t="str">
        <f aca="false">IF(OR(A2730="",B2730=""),"",SUMIFS(tl_Hours,tl_StaffID,I2730,tl_Date,A2730))</f>
        <v/>
      </c>
      <c r="O2730" s="40" t="str">
        <f aca="false">IF(A2730&amp;B2730&amp;D2730="","",IF(OR(A2730="",B2730="",D2730="",E2730=""),"Incomplete",IF(K2730="Unknown","Unknown code",IF(AND(K2730="Yes",C2730=""),"Billable, needs client",IF(N2730&gt;MaxDayHours,"Over "&amp;MaxDayHours&amp;" hours that day","")))))</f>
        <v/>
      </c>
    </row>
    <row r="2731" customFormat="false" ht="15" hidden="false" customHeight="false" outlineLevel="0" collapsed="false">
      <c r="A2731" s="31"/>
      <c r="B2731" s="32"/>
      <c r="C2731" s="32"/>
      <c r="D2731" s="33"/>
      <c r="E2731" s="34"/>
      <c r="F2731" s="32"/>
      <c r="G2731" s="35" t="str">
        <f aca="false">IF(A2731="","",A2731+7-WEEKDAY(A2731))</f>
        <v/>
      </c>
      <c r="H2731" s="36" t="str">
        <f aca="false">IF(A2731="","",DATE(YEAR(A2731),MONTH(A2731),1))</f>
        <v/>
      </c>
      <c r="I2731" s="37" t="str">
        <f aca="false">IF(B2731="","",IFERROR(INDEX(st_ID,MATCH(B2731,st_Name,0)),"Unknown"))</f>
        <v/>
      </c>
      <c r="J2731" s="37" t="str">
        <f aca="false">IF(C2731="","",IFERROR(INDEX(cl_Code,MATCH(C2731,cl_Name,0)),"Unknown"))</f>
        <v/>
      </c>
      <c r="K2731" s="37" t="str">
        <f aca="false">IF(D2731="","",IFERROR(INDEX(rt_Billable,MATCH(D2731,rt_Code,0)),"Unknown"))</f>
        <v/>
      </c>
      <c r="L2731" s="38" t="str">
        <f aca="false">IF(K2731&lt;&gt;"Yes","",IFERROR(INDEX(cr_Rate,MATCH(J2731&amp;"|"&amp;D2731,cr_Key,0)),INDEX(rt_Rate,MATCH(D2731,rt_Code,0))))</f>
        <v/>
      </c>
      <c r="M2731" s="25" t="str">
        <f aca="false">IF(L2731="","",ROUND(N(E2731)*L2731,2))</f>
        <v/>
      </c>
      <c r="N2731" s="39" t="str">
        <f aca="false">IF(OR(A2731="",B2731=""),"",SUMIFS(tl_Hours,tl_StaffID,I2731,tl_Date,A2731))</f>
        <v/>
      </c>
      <c r="O2731" s="40" t="str">
        <f aca="false">IF(A2731&amp;B2731&amp;D2731="","",IF(OR(A2731="",B2731="",D2731="",E2731=""),"Incomplete",IF(K2731="Unknown","Unknown code",IF(AND(K2731="Yes",C2731=""),"Billable, needs client",IF(N2731&gt;MaxDayHours,"Over "&amp;MaxDayHours&amp;" hours that day","")))))</f>
        <v/>
      </c>
    </row>
    <row r="2732" customFormat="false" ht="15" hidden="false" customHeight="false" outlineLevel="0" collapsed="false">
      <c r="A2732" s="31"/>
      <c r="B2732" s="32"/>
      <c r="C2732" s="32"/>
      <c r="D2732" s="33"/>
      <c r="E2732" s="34"/>
      <c r="F2732" s="32"/>
      <c r="G2732" s="35" t="str">
        <f aca="false">IF(A2732="","",A2732+7-WEEKDAY(A2732))</f>
        <v/>
      </c>
      <c r="H2732" s="36" t="str">
        <f aca="false">IF(A2732="","",DATE(YEAR(A2732),MONTH(A2732),1))</f>
        <v/>
      </c>
      <c r="I2732" s="37" t="str">
        <f aca="false">IF(B2732="","",IFERROR(INDEX(st_ID,MATCH(B2732,st_Name,0)),"Unknown"))</f>
        <v/>
      </c>
      <c r="J2732" s="37" t="str">
        <f aca="false">IF(C2732="","",IFERROR(INDEX(cl_Code,MATCH(C2732,cl_Name,0)),"Unknown"))</f>
        <v/>
      </c>
      <c r="K2732" s="37" t="str">
        <f aca="false">IF(D2732="","",IFERROR(INDEX(rt_Billable,MATCH(D2732,rt_Code,0)),"Unknown"))</f>
        <v/>
      </c>
      <c r="L2732" s="38" t="str">
        <f aca="false">IF(K2732&lt;&gt;"Yes","",IFERROR(INDEX(cr_Rate,MATCH(J2732&amp;"|"&amp;D2732,cr_Key,0)),INDEX(rt_Rate,MATCH(D2732,rt_Code,0))))</f>
        <v/>
      </c>
      <c r="M2732" s="25" t="str">
        <f aca="false">IF(L2732="","",ROUND(N(E2732)*L2732,2))</f>
        <v/>
      </c>
      <c r="N2732" s="39" t="str">
        <f aca="false">IF(OR(A2732="",B2732=""),"",SUMIFS(tl_Hours,tl_StaffID,I2732,tl_Date,A2732))</f>
        <v/>
      </c>
      <c r="O2732" s="40" t="str">
        <f aca="false">IF(A2732&amp;B2732&amp;D2732="","",IF(OR(A2732="",B2732="",D2732="",E2732=""),"Incomplete",IF(K2732="Unknown","Unknown code",IF(AND(K2732="Yes",C2732=""),"Billable, needs client",IF(N2732&gt;MaxDayHours,"Over "&amp;MaxDayHours&amp;" hours that day","")))))</f>
        <v/>
      </c>
    </row>
    <row r="2733" customFormat="false" ht="15" hidden="false" customHeight="false" outlineLevel="0" collapsed="false">
      <c r="A2733" s="31"/>
      <c r="B2733" s="32"/>
      <c r="C2733" s="32"/>
      <c r="D2733" s="33"/>
      <c r="E2733" s="34"/>
      <c r="F2733" s="32"/>
      <c r="G2733" s="35" t="str">
        <f aca="false">IF(A2733="","",A2733+7-WEEKDAY(A2733))</f>
        <v/>
      </c>
      <c r="H2733" s="36" t="str">
        <f aca="false">IF(A2733="","",DATE(YEAR(A2733),MONTH(A2733),1))</f>
        <v/>
      </c>
      <c r="I2733" s="37" t="str">
        <f aca="false">IF(B2733="","",IFERROR(INDEX(st_ID,MATCH(B2733,st_Name,0)),"Unknown"))</f>
        <v/>
      </c>
      <c r="J2733" s="37" t="str">
        <f aca="false">IF(C2733="","",IFERROR(INDEX(cl_Code,MATCH(C2733,cl_Name,0)),"Unknown"))</f>
        <v/>
      </c>
      <c r="K2733" s="37" t="str">
        <f aca="false">IF(D2733="","",IFERROR(INDEX(rt_Billable,MATCH(D2733,rt_Code,0)),"Unknown"))</f>
        <v/>
      </c>
      <c r="L2733" s="38" t="str">
        <f aca="false">IF(K2733&lt;&gt;"Yes","",IFERROR(INDEX(cr_Rate,MATCH(J2733&amp;"|"&amp;D2733,cr_Key,0)),INDEX(rt_Rate,MATCH(D2733,rt_Code,0))))</f>
        <v/>
      </c>
      <c r="M2733" s="25" t="str">
        <f aca="false">IF(L2733="","",ROUND(N(E2733)*L2733,2))</f>
        <v/>
      </c>
      <c r="N2733" s="39" t="str">
        <f aca="false">IF(OR(A2733="",B2733=""),"",SUMIFS(tl_Hours,tl_StaffID,I2733,tl_Date,A2733))</f>
        <v/>
      </c>
      <c r="O2733" s="40" t="str">
        <f aca="false">IF(A2733&amp;B2733&amp;D2733="","",IF(OR(A2733="",B2733="",D2733="",E2733=""),"Incomplete",IF(K2733="Unknown","Unknown code",IF(AND(K2733="Yes",C2733=""),"Billable, needs client",IF(N2733&gt;MaxDayHours,"Over "&amp;MaxDayHours&amp;" hours that day","")))))</f>
        <v/>
      </c>
    </row>
    <row r="2734" customFormat="false" ht="15" hidden="false" customHeight="false" outlineLevel="0" collapsed="false">
      <c r="A2734" s="31"/>
      <c r="B2734" s="32"/>
      <c r="C2734" s="32"/>
      <c r="D2734" s="33"/>
      <c r="E2734" s="34"/>
      <c r="F2734" s="32"/>
      <c r="G2734" s="35" t="str">
        <f aca="false">IF(A2734="","",A2734+7-WEEKDAY(A2734))</f>
        <v/>
      </c>
      <c r="H2734" s="36" t="str">
        <f aca="false">IF(A2734="","",DATE(YEAR(A2734),MONTH(A2734),1))</f>
        <v/>
      </c>
      <c r="I2734" s="37" t="str">
        <f aca="false">IF(B2734="","",IFERROR(INDEX(st_ID,MATCH(B2734,st_Name,0)),"Unknown"))</f>
        <v/>
      </c>
      <c r="J2734" s="37" t="str">
        <f aca="false">IF(C2734="","",IFERROR(INDEX(cl_Code,MATCH(C2734,cl_Name,0)),"Unknown"))</f>
        <v/>
      </c>
      <c r="K2734" s="37" t="str">
        <f aca="false">IF(D2734="","",IFERROR(INDEX(rt_Billable,MATCH(D2734,rt_Code,0)),"Unknown"))</f>
        <v/>
      </c>
      <c r="L2734" s="38" t="str">
        <f aca="false">IF(K2734&lt;&gt;"Yes","",IFERROR(INDEX(cr_Rate,MATCH(J2734&amp;"|"&amp;D2734,cr_Key,0)),INDEX(rt_Rate,MATCH(D2734,rt_Code,0))))</f>
        <v/>
      </c>
      <c r="M2734" s="25" t="str">
        <f aca="false">IF(L2734="","",ROUND(N(E2734)*L2734,2))</f>
        <v/>
      </c>
      <c r="N2734" s="39" t="str">
        <f aca="false">IF(OR(A2734="",B2734=""),"",SUMIFS(tl_Hours,tl_StaffID,I2734,tl_Date,A2734))</f>
        <v/>
      </c>
      <c r="O2734" s="40" t="str">
        <f aca="false">IF(A2734&amp;B2734&amp;D2734="","",IF(OR(A2734="",B2734="",D2734="",E2734=""),"Incomplete",IF(K2734="Unknown","Unknown code",IF(AND(K2734="Yes",C2734=""),"Billable, needs client",IF(N2734&gt;MaxDayHours,"Over "&amp;MaxDayHours&amp;" hours that day","")))))</f>
        <v/>
      </c>
    </row>
    <row r="2735" customFormat="false" ht="15" hidden="false" customHeight="false" outlineLevel="0" collapsed="false">
      <c r="A2735" s="31"/>
      <c r="B2735" s="32"/>
      <c r="C2735" s="32"/>
      <c r="D2735" s="33"/>
      <c r="E2735" s="34"/>
      <c r="F2735" s="32"/>
      <c r="G2735" s="35" t="str">
        <f aca="false">IF(A2735="","",A2735+7-WEEKDAY(A2735))</f>
        <v/>
      </c>
      <c r="H2735" s="36" t="str">
        <f aca="false">IF(A2735="","",DATE(YEAR(A2735),MONTH(A2735),1))</f>
        <v/>
      </c>
      <c r="I2735" s="37" t="str">
        <f aca="false">IF(B2735="","",IFERROR(INDEX(st_ID,MATCH(B2735,st_Name,0)),"Unknown"))</f>
        <v/>
      </c>
      <c r="J2735" s="37" t="str">
        <f aca="false">IF(C2735="","",IFERROR(INDEX(cl_Code,MATCH(C2735,cl_Name,0)),"Unknown"))</f>
        <v/>
      </c>
      <c r="K2735" s="37" t="str">
        <f aca="false">IF(D2735="","",IFERROR(INDEX(rt_Billable,MATCH(D2735,rt_Code,0)),"Unknown"))</f>
        <v/>
      </c>
      <c r="L2735" s="38" t="str">
        <f aca="false">IF(K2735&lt;&gt;"Yes","",IFERROR(INDEX(cr_Rate,MATCH(J2735&amp;"|"&amp;D2735,cr_Key,0)),INDEX(rt_Rate,MATCH(D2735,rt_Code,0))))</f>
        <v/>
      </c>
      <c r="M2735" s="25" t="str">
        <f aca="false">IF(L2735="","",ROUND(N(E2735)*L2735,2))</f>
        <v/>
      </c>
      <c r="N2735" s="39" t="str">
        <f aca="false">IF(OR(A2735="",B2735=""),"",SUMIFS(tl_Hours,tl_StaffID,I2735,tl_Date,A2735))</f>
        <v/>
      </c>
      <c r="O2735" s="40" t="str">
        <f aca="false">IF(A2735&amp;B2735&amp;D2735="","",IF(OR(A2735="",B2735="",D2735="",E2735=""),"Incomplete",IF(K2735="Unknown","Unknown code",IF(AND(K2735="Yes",C2735=""),"Billable, needs client",IF(N2735&gt;MaxDayHours,"Over "&amp;MaxDayHours&amp;" hours that day","")))))</f>
        <v/>
      </c>
    </row>
    <row r="2736" customFormat="false" ht="15" hidden="false" customHeight="false" outlineLevel="0" collapsed="false">
      <c r="A2736" s="31"/>
      <c r="B2736" s="32"/>
      <c r="C2736" s="32"/>
      <c r="D2736" s="33"/>
      <c r="E2736" s="34"/>
      <c r="F2736" s="32"/>
      <c r="G2736" s="35" t="str">
        <f aca="false">IF(A2736="","",A2736+7-WEEKDAY(A2736))</f>
        <v/>
      </c>
      <c r="H2736" s="36" t="str">
        <f aca="false">IF(A2736="","",DATE(YEAR(A2736),MONTH(A2736),1))</f>
        <v/>
      </c>
      <c r="I2736" s="37" t="str">
        <f aca="false">IF(B2736="","",IFERROR(INDEX(st_ID,MATCH(B2736,st_Name,0)),"Unknown"))</f>
        <v/>
      </c>
      <c r="J2736" s="37" t="str">
        <f aca="false">IF(C2736="","",IFERROR(INDEX(cl_Code,MATCH(C2736,cl_Name,0)),"Unknown"))</f>
        <v/>
      </c>
      <c r="K2736" s="37" t="str">
        <f aca="false">IF(D2736="","",IFERROR(INDEX(rt_Billable,MATCH(D2736,rt_Code,0)),"Unknown"))</f>
        <v/>
      </c>
      <c r="L2736" s="38" t="str">
        <f aca="false">IF(K2736&lt;&gt;"Yes","",IFERROR(INDEX(cr_Rate,MATCH(J2736&amp;"|"&amp;D2736,cr_Key,0)),INDEX(rt_Rate,MATCH(D2736,rt_Code,0))))</f>
        <v/>
      </c>
      <c r="M2736" s="25" t="str">
        <f aca="false">IF(L2736="","",ROUND(N(E2736)*L2736,2))</f>
        <v/>
      </c>
      <c r="N2736" s="39" t="str">
        <f aca="false">IF(OR(A2736="",B2736=""),"",SUMIFS(tl_Hours,tl_StaffID,I2736,tl_Date,A2736))</f>
        <v/>
      </c>
      <c r="O2736" s="40" t="str">
        <f aca="false">IF(A2736&amp;B2736&amp;D2736="","",IF(OR(A2736="",B2736="",D2736="",E2736=""),"Incomplete",IF(K2736="Unknown","Unknown code",IF(AND(K2736="Yes",C2736=""),"Billable, needs client",IF(N2736&gt;MaxDayHours,"Over "&amp;MaxDayHours&amp;" hours that day","")))))</f>
        <v/>
      </c>
    </row>
    <row r="2737" customFormat="false" ht="15" hidden="false" customHeight="false" outlineLevel="0" collapsed="false">
      <c r="A2737" s="31"/>
      <c r="B2737" s="32"/>
      <c r="C2737" s="32"/>
      <c r="D2737" s="33"/>
      <c r="E2737" s="34"/>
      <c r="F2737" s="32"/>
      <c r="G2737" s="35" t="str">
        <f aca="false">IF(A2737="","",A2737+7-WEEKDAY(A2737))</f>
        <v/>
      </c>
      <c r="H2737" s="36" t="str">
        <f aca="false">IF(A2737="","",DATE(YEAR(A2737),MONTH(A2737),1))</f>
        <v/>
      </c>
      <c r="I2737" s="37" t="str">
        <f aca="false">IF(B2737="","",IFERROR(INDEX(st_ID,MATCH(B2737,st_Name,0)),"Unknown"))</f>
        <v/>
      </c>
      <c r="J2737" s="37" t="str">
        <f aca="false">IF(C2737="","",IFERROR(INDEX(cl_Code,MATCH(C2737,cl_Name,0)),"Unknown"))</f>
        <v/>
      </c>
      <c r="K2737" s="37" t="str">
        <f aca="false">IF(D2737="","",IFERROR(INDEX(rt_Billable,MATCH(D2737,rt_Code,0)),"Unknown"))</f>
        <v/>
      </c>
      <c r="L2737" s="38" t="str">
        <f aca="false">IF(K2737&lt;&gt;"Yes","",IFERROR(INDEX(cr_Rate,MATCH(J2737&amp;"|"&amp;D2737,cr_Key,0)),INDEX(rt_Rate,MATCH(D2737,rt_Code,0))))</f>
        <v/>
      </c>
      <c r="M2737" s="25" t="str">
        <f aca="false">IF(L2737="","",ROUND(N(E2737)*L2737,2))</f>
        <v/>
      </c>
      <c r="N2737" s="39" t="str">
        <f aca="false">IF(OR(A2737="",B2737=""),"",SUMIFS(tl_Hours,tl_StaffID,I2737,tl_Date,A2737))</f>
        <v/>
      </c>
      <c r="O2737" s="40" t="str">
        <f aca="false">IF(A2737&amp;B2737&amp;D2737="","",IF(OR(A2737="",B2737="",D2737="",E2737=""),"Incomplete",IF(K2737="Unknown","Unknown code",IF(AND(K2737="Yes",C2737=""),"Billable, needs client",IF(N2737&gt;MaxDayHours,"Over "&amp;MaxDayHours&amp;" hours that day","")))))</f>
        <v/>
      </c>
    </row>
    <row r="2738" customFormat="false" ht="15" hidden="false" customHeight="false" outlineLevel="0" collapsed="false">
      <c r="A2738" s="31"/>
      <c r="B2738" s="32"/>
      <c r="C2738" s="32"/>
      <c r="D2738" s="33"/>
      <c r="E2738" s="34"/>
      <c r="F2738" s="32"/>
      <c r="G2738" s="35" t="str">
        <f aca="false">IF(A2738="","",A2738+7-WEEKDAY(A2738))</f>
        <v/>
      </c>
      <c r="H2738" s="36" t="str">
        <f aca="false">IF(A2738="","",DATE(YEAR(A2738),MONTH(A2738),1))</f>
        <v/>
      </c>
      <c r="I2738" s="37" t="str">
        <f aca="false">IF(B2738="","",IFERROR(INDEX(st_ID,MATCH(B2738,st_Name,0)),"Unknown"))</f>
        <v/>
      </c>
      <c r="J2738" s="37" t="str">
        <f aca="false">IF(C2738="","",IFERROR(INDEX(cl_Code,MATCH(C2738,cl_Name,0)),"Unknown"))</f>
        <v/>
      </c>
      <c r="K2738" s="37" t="str">
        <f aca="false">IF(D2738="","",IFERROR(INDEX(rt_Billable,MATCH(D2738,rt_Code,0)),"Unknown"))</f>
        <v/>
      </c>
      <c r="L2738" s="38" t="str">
        <f aca="false">IF(K2738&lt;&gt;"Yes","",IFERROR(INDEX(cr_Rate,MATCH(J2738&amp;"|"&amp;D2738,cr_Key,0)),INDEX(rt_Rate,MATCH(D2738,rt_Code,0))))</f>
        <v/>
      </c>
      <c r="M2738" s="25" t="str">
        <f aca="false">IF(L2738="","",ROUND(N(E2738)*L2738,2))</f>
        <v/>
      </c>
      <c r="N2738" s="39" t="str">
        <f aca="false">IF(OR(A2738="",B2738=""),"",SUMIFS(tl_Hours,tl_StaffID,I2738,tl_Date,A2738))</f>
        <v/>
      </c>
      <c r="O2738" s="40" t="str">
        <f aca="false">IF(A2738&amp;B2738&amp;D2738="","",IF(OR(A2738="",B2738="",D2738="",E2738=""),"Incomplete",IF(K2738="Unknown","Unknown code",IF(AND(K2738="Yes",C2738=""),"Billable, needs client",IF(N2738&gt;MaxDayHours,"Over "&amp;MaxDayHours&amp;" hours that day","")))))</f>
        <v/>
      </c>
    </row>
    <row r="2739" customFormat="false" ht="15" hidden="false" customHeight="false" outlineLevel="0" collapsed="false">
      <c r="A2739" s="31"/>
      <c r="B2739" s="32"/>
      <c r="C2739" s="32"/>
      <c r="D2739" s="33"/>
      <c r="E2739" s="34"/>
      <c r="F2739" s="32"/>
      <c r="G2739" s="35" t="str">
        <f aca="false">IF(A2739="","",A2739+7-WEEKDAY(A2739))</f>
        <v/>
      </c>
      <c r="H2739" s="36" t="str">
        <f aca="false">IF(A2739="","",DATE(YEAR(A2739),MONTH(A2739),1))</f>
        <v/>
      </c>
      <c r="I2739" s="37" t="str">
        <f aca="false">IF(B2739="","",IFERROR(INDEX(st_ID,MATCH(B2739,st_Name,0)),"Unknown"))</f>
        <v/>
      </c>
      <c r="J2739" s="37" t="str">
        <f aca="false">IF(C2739="","",IFERROR(INDEX(cl_Code,MATCH(C2739,cl_Name,0)),"Unknown"))</f>
        <v/>
      </c>
      <c r="K2739" s="37" t="str">
        <f aca="false">IF(D2739="","",IFERROR(INDEX(rt_Billable,MATCH(D2739,rt_Code,0)),"Unknown"))</f>
        <v/>
      </c>
      <c r="L2739" s="38" t="str">
        <f aca="false">IF(K2739&lt;&gt;"Yes","",IFERROR(INDEX(cr_Rate,MATCH(J2739&amp;"|"&amp;D2739,cr_Key,0)),INDEX(rt_Rate,MATCH(D2739,rt_Code,0))))</f>
        <v/>
      </c>
      <c r="M2739" s="25" t="str">
        <f aca="false">IF(L2739="","",ROUND(N(E2739)*L2739,2))</f>
        <v/>
      </c>
      <c r="N2739" s="39" t="str">
        <f aca="false">IF(OR(A2739="",B2739=""),"",SUMIFS(tl_Hours,tl_StaffID,I2739,tl_Date,A2739))</f>
        <v/>
      </c>
      <c r="O2739" s="40" t="str">
        <f aca="false">IF(A2739&amp;B2739&amp;D2739="","",IF(OR(A2739="",B2739="",D2739="",E2739=""),"Incomplete",IF(K2739="Unknown","Unknown code",IF(AND(K2739="Yes",C2739=""),"Billable, needs client",IF(N2739&gt;MaxDayHours,"Over "&amp;MaxDayHours&amp;" hours that day","")))))</f>
        <v/>
      </c>
    </row>
    <row r="2740" customFormat="false" ht="15" hidden="false" customHeight="false" outlineLevel="0" collapsed="false">
      <c r="A2740" s="31"/>
      <c r="B2740" s="32"/>
      <c r="C2740" s="32"/>
      <c r="D2740" s="33"/>
      <c r="E2740" s="34"/>
      <c r="F2740" s="32"/>
      <c r="G2740" s="35" t="str">
        <f aca="false">IF(A2740="","",A2740+7-WEEKDAY(A2740))</f>
        <v/>
      </c>
      <c r="H2740" s="36" t="str">
        <f aca="false">IF(A2740="","",DATE(YEAR(A2740),MONTH(A2740),1))</f>
        <v/>
      </c>
      <c r="I2740" s="37" t="str">
        <f aca="false">IF(B2740="","",IFERROR(INDEX(st_ID,MATCH(B2740,st_Name,0)),"Unknown"))</f>
        <v/>
      </c>
      <c r="J2740" s="37" t="str">
        <f aca="false">IF(C2740="","",IFERROR(INDEX(cl_Code,MATCH(C2740,cl_Name,0)),"Unknown"))</f>
        <v/>
      </c>
      <c r="K2740" s="37" t="str">
        <f aca="false">IF(D2740="","",IFERROR(INDEX(rt_Billable,MATCH(D2740,rt_Code,0)),"Unknown"))</f>
        <v/>
      </c>
      <c r="L2740" s="38" t="str">
        <f aca="false">IF(K2740&lt;&gt;"Yes","",IFERROR(INDEX(cr_Rate,MATCH(J2740&amp;"|"&amp;D2740,cr_Key,0)),INDEX(rt_Rate,MATCH(D2740,rt_Code,0))))</f>
        <v/>
      </c>
      <c r="M2740" s="25" t="str">
        <f aca="false">IF(L2740="","",ROUND(N(E2740)*L2740,2))</f>
        <v/>
      </c>
      <c r="N2740" s="39" t="str">
        <f aca="false">IF(OR(A2740="",B2740=""),"",SUMIFS(tl_Hours,tl_StaffID,I2740,tl_Date,A2740))</f>
        <v/>
      </c>
      <c r="O2740" s="40" t="str">
        <f aca="false">IF(A2740&amp;B2740&amp;D2740="","",IF(OR(A2740="",B2740="",D2740="",E2740=""),"Incomplete",IF(K2740="Unknown","Unknown code",IF(AND(K2740="Yes",C2740=""),"Billable, needs client",IF(N2740&gt;MaxDayHours,"Over "&amp;MaxDayHours&amp;" hours that day","")))))</f>
        <v/>
      </c>
    </row>
    <row r="2741" customFormat="false" ht="15" hidden="false" customHeight="false" outlineLevel="0" collapsed="false">
      <c r="A2741" s="31"/>
      <c r="B2741" s="32"/>
      <c r="C2741" s="32"/>
      <c r="D2741" s="33"/>
      <c r="E2741" s="34"/>
      <c r="F2741" s="32"/>
      <c r="G2741" s="35" t="str">
        <f aca="false">IF(A2741="","",A2741+7-WEEKDAY(A2741))</f>
        <v/>
      </c>
      <c r="H2741" s="36" t="str">
        <f aca="false">IF(A2741="","",DATE(YEAR(A2741),MONTH(A2741),1))</f>
        <v/>
      </c>
      <c r="I2741" s="37" t="str">
        <f aca="false">IF(B2741="","",IFERROR(INDEX(st_ID,MATCH(B2741,st_Name,0)),"Unknown"))</f>
        <v/>
      </c>
      <c r="J2741" s="37" t="str">
        <f aca="false">IF(C2741="","",IFERROR(INDEX(cl_Code,MATCH(C2741,cl_Name,0)),"Unknown"))</f>
        <v/>
      </c>
      <c r="K2741" s="37" t="str">
        <f aca="false">IF(D2741="","",IFERROR(INDEX(rt_Billable,MATCH(D2741,rt_Code,0)),"Unknown"))</f>
        <v/>
      </c>
      <c r="L2741" s="38" t="str">
        <f aca="false">IF(K2741&lt;&gt;"Yes","",IFERROR(INDEX(cr_Rate,MATCH(J2741&amp;"|"&amp;D2741,cr_Key,0)),INDEX(rt_Rate,MATCH(D2741,rt_Code,0))))</f>
        <v/>
      </c>
      <c r="M2741" s="25" t="str">
        <f aca="false">IF(L2741="","",ROUND(N(E2741)*L2741,2))</f>
        <v/>
      </c>
      <c r="N2741" s="39" t="str">
        <f aca="false">IF(OR(A2741="",B2741=""),"",SUMIFS(tl_Hours,tl_StaffID,I2741,tl_Date,A2741))</f>
        <v/>
      </c>
      <c r="O2741" s="40" t="str">
        <f aca="false">IF(A2741&amp;B2741&amp;D2741="","",IF(OR(A2741="",B2741="",D2741="",E2741=""),"Incomplete",IF(K2741="Unknown","Unknown code",IF(AND(K2741="Yes",C2741=""),"Billable, needs client",IF(N2741&gt;MaxDayHours,"Over "&amp;MaxDayHours&amp;" hours that day","")))))</f>
        <v/>
      </c>
    </row>
    <row r="2742" customFormat="false" ht="15" hidden="false" customHeight="false" outlineLevel="0" collapsed="false">
      <c r="A2742" s="31"/>
      <c r="B2742" s="32"/>
      <c r="C2742" s="32"/>
      <c r="D2742" s="33"/>
      <c r="E2742" s="34"/>
      <c r="F2742" s="32"/>
      <c r="G2742" s="35" t="str">
        <f aca="false">IF(A2742="","",A2742+7-WEEKDAY(A2742))</f>
        <v/>
      </c>
      <c r="H2742" s="36" t="str">
        <f aca="false">IF(A2742="","",DATE(YEAR(A2742),MONTH(A2742),1))</f>
        <v/>
      </c>
      <c r="I2742" s="37" t="str">
        <f aca="false">IF(B2742="","",IFERROR(INDEX(st_ID,MATCH(B2742,st_Name,0)),"Unknown"))</f>
        <v/>
      </c>
      <c r="J2742" s="37" t="str">
        <f aca="false">IF(C2742="","",IFERROR(INDEX(cl_Code,MATCH(C2742,cl_Name,0)),"Unknown"))</f>
        <v/>
      </c>
      <c r="K2742" s="37" t="str">
        <f aca="false">IF(D2742="","",IFERROR(INDEX(rt_Billable,MATCH(D2742,rt_Code,0)),"Unknown"))</f>
        <v/>
      </c>
      <c r="L2742" s="38" t="str">
        <f aca="false">IF(K2742&lt;&gt;"Yes","",IFERROR(INDEX(cr_Rate,MATCH(J2742&amp;"|"&amp;D2742,cr_Key,0)),INDEX(rt_Rate,MATCH(D2742,rt_Code,0))))</f>
        <v/>
      </c>
      <c r="M2742" s="25" t="str">
        <f aca="false">IF(L2742="","",ROUND(N(E2742)*L2742,2))</f>
        <v/>
      </c>
      <c r="N2742" s="39" t="str">
        <f aca="false">IF(OR(A2742="",B2742=""),"",SUMIFS(tl_Hours,tl_StaffID,I2742,tl_Date,A2742))</f>
        <v/>
      </c>
      <c r="O2742" s="40" t="str">
        <f aca="false">IF(A2742&amp;B2742&amp;D2742="","",IF(OR(A2742="",B2742="",D2742="",E2742=""),"Incomplete",IF(K2742="Unknown","Unknown code",IF(AND(K2742="Yes",C2742=""),"Billable, needs client",IF(N2742&gt;MaxDayHours,"Over "&amp;MaxDayHours&amp;" hours that day","")))))</f>
        <v/>
      </c>
    </row>
    <row r="2743" customFormat="false" ht="15" hidden="false" customHeight="false" outlineLevel="0" collapsed="false">
      <c r="A2743" s="31"/>
      <c r="B2743" s="32"/>
      <c r="C2743" s="32"/>
      <c r="D2743" s="33"/>
      <c r="E2743" s="34"/>
      <c r="F2743" s="32"/>
      <c r="G2743" s="35" t="str">
        <f aca="false">IF(A2743="","",A2743+7-WEEKDAY(A2743))</f>
        <v/>
      </c>
      <c r="H2743" s="36" t="str">
        <f aca="false">IF(A2743="","",DATE(YEAR(A2743),MONTH(A2743),1))</f>
        <v/>
      </c>
      <c r="I2743" s="37" t="str">
        <f aca="false">IF(B2743="","",IFERROR(INDEX(st_ID,MATCH(B2743,st_Name,0)),"Unknown"))</f>
        <v/>
      </c>
      <c r="J2743" s="37" t="str">
        <f aca="false">IF(C2743="","",IFERROR(INDEX(cl_Code,MATCH(C2743,cl_Name,0)),"Unknown"))</f>
        <v/>
      </c>
      <c r="K2743" s="37" t="str">
        <f aca="false">IF(D2743="","",IFERROR(INDEX(rt_Billable,MATCH(D2743,rt_Code,0)),"Unknown"))</f>
        <v/>
      </c>
      <c r="L2743" s="38" t="str">
        <f aca="false">IF(K2743&lt;&gt;"Yes","",IFERROR(INDEX(cr_Rate,MATCH(J2743&amp;"|"&amp;D2743,cr_Key,0)),INDEX(rt_Rate,MATCH(D2743,rt_Code,0))))</f>
        <v/>
      </c>
      <c r="M2743" s="25" t="str">
        <f aca="false">IF(L2743="","",ROUND(N(E2743)*L2743,2))</f>
        <v/>
      </c>
      <c r="N2743" s="39" t="str">
        <f aca="false">IF(OR(A2743="",B2743=""),"",SUMIFS(tl_Hours,tl_StaffID,I2743,tl_Date,A2743))</f>
        <v/>
      </c>
      <c r="O2743" s="40" t="str">
        <f aca="false">IF(A2743&amp;B2743&amp;D2743="","",IF(OR(A2743="",B2743="",D2743="",E2743=""),"Incomplete",IF(K2743="Unknown","Unknown code",IF(AND(K2743="Yes",C2743=""),"Billable, needs client",IF(N2743&gt;MaxDayHours,"Over "&amp;MaxDayHours&amp;" hours that day","")))))</f>
        <v/>
      </c>
    </row>
    <row r="2744" customFormat="false" ht="15" hidden="false" customHeight="false" outlineLevel="0" collapsed="false">
      <c r="A2744" s="31"/>
      <c r="B2744" s="32"/>
      <c r="C2744" s="32"/>
      <c r="D2744" s="33"/>
      <c r="E2744" s="34"/>
      <c r="F2744" s="32"/>
      <c r="G2744" s="35" t="str">
        <f aca="false">IF(A2744="","",A2744+7-WEEKDAY(A2744))</f>
        <v/>
      </c>
      <c r="H2744" s="36" t="str">
        <f aca="false">IF(A2744="","",DATE(YEAR(A2744),MONTH(A2744),1))</f>
        <v/>
      </c>
      <c r="I2744" s="37" t="str">
        <f aca="false">IF(B2744="","",IFERROR(INDEX(st_ID,MATCH(B2744,st_Name,0)),"Unknown"))</f>
        <v/>
      </c>
      <c r="J2744" s="37" t="str">
        <f aca="false">IF(C2744="","",IFERROR(INDEX(cl_Code,MATCH(C2744,cl_Name,0)),"Unknown"))</f>
        <v/>
      </c>
      <c r="K2744" s="37" t="str">
        <f aca="false">IF(D2744="","",IFERROR(INDEX(rt_Billable,MATCH(D2744,rt_Code,0)),"Unknown"))</f>
        <v/>
      </c>
      <c r="L2744" s="38" t="str">
        <f aca="false">IF(K2744&lt;&gt;"Yes","",IFERROR(INDEX(cr_Rate,MATCH(J2744&amp;"|"&amp;D2744,cr_Key,0)),INDEX(rt_Rate,MATCH(D2744,rt_Code,0))))</f>
        <v/>
      </c>
      <c r="M2744" s="25" t="str">
        <f aca="false">IF(L2744="","",ROUND(N(E2744)*L2744,2))</f>
        <v/>
      </c>
      <c r="N2744" s="39" t="str">
        <f aca="false">IF(OR(A2744="",B2744=""),"",SUMIFS(tl_Hours,tl_StaffID,I2744,tl_Date,A2744))</f>
        <v/>
      </c>
      <c r="O2744" s="40" t="str">
        <f aca="false">IF(A2744&amp;B2744&amp;D2744="","",IF(OR(A2744="",B2744="",D2744="",E2744=""),"Incomplete",IF(K2744="Unknown","Unknown code",IF(AND(K2744="Yes",C2744=""),"Billable, needs client",IF(N2744&gt;MaxDayHours,"Over "&amp;MaxDayHours&amp;" hours that day","")))))</f>
        <v/>
      </c>
    </row>
    <row r="2745" customFormat="false" ht="15" hidden="false" customHeight="false" outlineLevel="0" collapsed="false">
      <c r="A2745" s="31"/>
      <c r="B2745" s="32"/>
      <c r="C2745" s="32"/>
      <c r="D2745" s="33"/>
      <c r="E2745" s="34"/>
      <c r="F2745" s="32"/>
      <c r="G2745" s="35" t="str">
        <f aca="false">IF(A2745="","",A2745+7-WEEKDAY(A2745))</f>
        <v/>
      </c>
      <c r="H2745" s="36" t="str">
        <f aca="false">IF(A2745="","",DATE(YEAR(A2745),MONTH(A2745),1))</f>
        <v/>
      </c>
      <c r="I2745" s="37" t="str">
        <f aca="false">IF(B2745="","",IFERROR(INDEX(st_ID,MATCH(B2745,st_Name,0)),"Unknown"))</f>
        <v/>
      </c>
      <c r="J2745" s="37" t="str">
        <f aca="false">IF(C2745="","",IFERROR(INDEX(cl_Code,MATCH(C2745,cl_Name,0)),"Unknown"))</f>
        <v/>
      </c>
      <c r="K2745" s="37" t="str">
        <f aca="false">IF(D2745="","",IFERROR(INDEX(rt_Billable,MATCH(D2745,rt_Code,0)),"Unknown"))</f>
        <v/>
      </c>
      <c r="L2745" s="38" t="str">
        <f aca="false">IF(K2745&lt;&gt;"Yes","",IFERROR(INDEX(cr_Rate,MATCH(J2745&amp;"|"&amp;D2745,cr_Key,0)),INDEX(rt_Rate,MATCH(D2745,rt_Code,0))))</f>
        <v/>
      </c>
      <c r="M2745" s="25" t="str">
        <f aca="false">IF(L2745="","",ROUND(N(E2745)*L2745,2))</f>
        <v/>
      </c>
      <c r="N2745" s="39" t="str">
        <f aca="false">IF(OR(A2745="",B2745=""),"",SUMIFS(tl_Hours,tl_StaffID,I2745,tl_Date,A2745))</f>
        <v/>
      </c>
      <c r="O2745" s="40" t="str">
        <f aca="false">IF(A2745&amp;B2745&amp;D2745="","",IF(OR(A2745="",B2745="",D2745="",E2745=""),"Incomplete",IF(K2745="Unknown","Unknown code",IF(AND(K2745="Yes",C2745=""),"Billable, needs client",IF(N2745&gt;MaxDayHours,"Over "&amp;MaxDayHours&amp;" hours that day","")))))</f>
        <v/>
      </c>
    </row>
    <row r="2746" customFormat="false" ht="15" hidden="false" customHeight="false" outlineLevel="0" collapsed="false">
      <c r="A2746" s="31"/>
      <c r="B2746" s="32"/>
      <c r="C2746" s="32"/>
      <c r="D2746" s="33"/>
      <c r="E2746" s="34"/>
      <c r="F2746" s="32"/>
      <c r="G2746" s="35" t="str">
        <f aca="false">IF(A2746="","",A2746+7-WEEKDAY(A2746))</f>
        <v/>
      </c>
      <c r="H2746" s="36" t="str">
        <f aca="false">IF(A2746="","",DATE(YEAR(A2746),MONTH(A2746),1))</f>
        <v/>
      </c>
      <c r="I2746" s="37" t="str">
        <f aca="false">IF(B2746="","",IFERROR(INDEX(st_ID,MATCH(B2746,st_Name,0)),"Unknown"))</f>
        <v/>
      </c>
      <c r="J2746" s="37" t="str">
        <f aca="false">IF(C2746="","",IFERROR(INDEX(cl_Code,MATCH(C2746,cl_Name,0)),"Unknown"))</f>
        <v/>
      </c>
      <c r="K2746" s="37" t="str">
        <f aca="false">IF(D2746="","",IFERROR(INDEX(rt_Billable,MATCH(D2746,rt_Code,0)),"Unknown"))</f>
        <v/>
      </c>
      <c r="L2746" s="38" t="str">
        <f aca="false">IF(K2746&lt;&gt;"Yes","",IFERROR(INDEX(cr_Rate,MATCH(J2746&amp;"|"&amp;D2746,cr_Key,0)),INDEX(rt_Rate,MATCH(D2746,rt_Code,0))))</f>
        <v/>
      </c>
      <c r="M2746" s="25" t="str">
        <f aca="false">IF(L2746="","",ROUND(N(E2746)*L2746,2))</f>
        <v/>
      </c>
      <c r="N2746" s="39" t="str">
        <f aca="false">IF(OR(A2746="",B2746=""),"",SUMIFS(tl_Hours,tl_StaffID,I2746,tl_Date,A2746))</f>
        <v/>
      </c>
      <c r="O2746" s="40" t="str">
        <f aca="false">IF(A2746&amp;B2746&amp;D2746="","",IF(OR(A2746="",B2746="",D2746="",E2746=""),"Incomplete",IF(K2746="Unknown","Unknown code",IF(AND(K2746="Yes",C2746=""),"Billable, needs client",IF(N2746&gt;MaxDayHours,"Over "&amp;MaxDayHours&amp;" hours that day","")))))</f>
        <v/>
      </c>
    </row>
    <row r="2747" customFormat="false" ht="15" hidden="false" customHeight="false" outlineLevel="0" collapsed="false">
      <c r="A2747" s="31"/>
      <c r="B2747" s="32"/>
      <c r="C2747" s="32"/>
      <c r="D2747" s="33"/>
      <c r="E2747" s="34"/>
      <c r="F2747" s="32"/>
      <c r="G2747" s="35" t="str">
        <f aca="false">IF(A2747="","",A2747+7-WEEKDAY(A2747))</f>
        <v/>
      </c>
      <c r="H2747" s="36" t="str">
        <f aca="false">IF(A2747="","",DATE(YEAR(A2747),MONTH(A2747),1))</f>
        <v/>
      </c>
      <c r="I2747" s="37" t="str">
        <f aca="false">IF(B2747="","",IFERROR(INDEX(st_ID,MATCH(B2747,st_Name,0)),"Unknown"))</f>
        <v/>
      </c>
      <c r="J2747" s="37" t="str">
        <f aca="false">IF(C2747="","",IFERROR(INDEX(cl_Code,MATCH(C2747,cl_Name,0)),"Unknown"))</f>
        <v/>
      </c>
      <c r="K2747" s="37" t="str">
        <f aca="false">IF(D2747="","",IFERROR(INDEX(rt_Billable,MATCH(D2747,rt_Code,0)),"Unknown"))</f>
        <v/>
      </c>
      <c r="L2747" s="38" t="str">
        <f aca="false">IF(K2747&lt;&gt;"Yes","",IFERROR(INDEX(cr_Rate,MATCH(J2747&amp;"|"&amp;D2747,cr_Key,0)),INDEX(rt_Rate,MATCH(D2747,rt_Code,0))))</f>
        <v/>
      </c>
      <c r="M2747" s="25" t="str">
        <f aca="false">IF(L2747="","",ROUND(N(E2747)*L2747,2))</f>
        <v/>
      </c>
      <c r="N2747" s="39" t="str">
        <f aca="false">IF(OR(A2747="",B2747=""),"",SUMIFS(tl_Hours,tl_StaffID,I2747,tl_Date,A2747))</f>
        <v/>
      </c>
      <c r="O2747" s="40" t="str">
        <f aca="false">IF(A2747&amp;B2747&amp;D2747="","",IF(OR(A2747="",B2747="",D2747="",E2747=""),"Incomplete",IF(K2747="Unknown","Unknown code",IF(AND(K2747="Yes",C2747=""),"Billable, needs client",IF(N2747&gt;MaxDayHours,"Over "&amp;MaxDayHours&amp;" hours that day","")))))</f>
        <v/>
      </c>
    </row>
    <row r="2748" customFormat="false" ht="15" hidden="false" customHeight="false" outlineLevel="0" collapsed="false">
      <c r="A2748" s="31"/>
      <c r="B2748" s="32"/>
      <c r="C2748" s="32"/>
      <c r="D2748" s="33"/>
      <c r="E2748" s="34"/>
      <c r="F2748" s="32"/>
      <c r="G2748" s="35" t="str">
        <f aca="false">IF(A2748="","",A2748+7-WEEKDAY(A2748))</f>
        <v/>
      </c>
      <c r="H2748" s="36" t="str">
        <f aca="false">IF(A2748="","",DATE(YEAR(A2748),MONTH(A2748),1))</f>
        <v/>
      </c>
      <c r="I2748" s="37" t="str">
        <f aca="false">IF(B2748="","",IFERROR(INDEX(st_ID,MATCH(B2748,st_Name,0)),"Unknown"))</f>
        <v/>
      </c>
      <c r="J2748" s="37" t="str">
        <f aca="false">IF(C2748="","",IFERROR(INDEX(cl_Code,MATCH(C2748,cl_Name,0)),"Unknown"))</f>
        <v/>
      </c>
      <c r="K2748" s="37" t="str">
        <f aca="false">IF(D2748="","",IFERROR(INDEX(rt_Billable,MATCH(D2748,rt_Code,0)),"Unknown"))</f>
        <v/>
      </c>
      <c r="L2748" s="38" t="str">
        <f aca="false">IF(K2748&lt;&gt;"Yes","",IFERROR(INDEX(cr_Rate,MATCH(J2748&amp;"|"&amp;D2748,cr_Key,0)),INDEX(rt_Rate,MATCH(D2748,rt_Code,0))))</f>
        <v/>
      </c>
      <c r="M2748" s="25" t="str">
        <f aca="false">IF(L2748="","",ROUND(N(E2748)*L2748,2))</f>
        <v/>
      </c>
      <c r="N2748" s="39" t="str">
        <f aca="false">IF(OR(A2748="",B2748=""),"",SUMIFS(tl_Hours,tl_StaffID,I2748,tl_Date,A2748))</f>
        <v/>
      </c>
      <c r="O2748" s="40" t="str">
        <f aca="false">IF(A2748&amp;B2748&amp;D2748="","",IF(OR(A2748="",B2748="",D2748="",E2748=""),"Incomplete",IF(K2748="Unknown","Unknown code",IF(AND(K2748="Yes",C2748=""),"Billable, needs client",IF(N2748&gt;MaxDayHours,"Over "&amp;MaxDayHours&amp;" hours that day","")))))</f>
        <v/>
      </c>
    </row>
    <row r="2749" customFormat="false" ht="15" hidden="false" customHeight="false" outlineLevel="0" collapsed="false">
      <c r="A2749" s="31"/>
      <c r="B2749" s="32"/>
      <c r="C2749" s="32"/>
      <c r="D2749" s="33"/>
      <c r="E2749" s="34"/>
      <c r="F2749" s="32"/>
      <c r="G2749" s="35" t="str">
        <f aca="false">IF(A2749="","",A2749+7-WEEKDAY(A2749))</f>
        <v/>
      </c>
      <c r="H2749" s="36" t="str">
        <f aca="false">IF(A2749="","",DATE(YEAR(A2749),MONTH(A2749),1))</f>
        <v/>
      </c>
      <c r="I2749" s="37" t="str">
        <f aca="false">IF(B2749="","",IFERROR(INDEX(st_ID,MATCH(B2749,st_Name,0)),"Unknown"))</f>
        <v/>
      </c>
      <c r="J2749" s="37" t="str">
        <f aca="false">IF(C2749="","",IFERROR(INDEX(cl_Code,MATCH(C2749,cl_Name,0)),"Unknown"))</f>
        <v/>
      </c>
      <c r="K2749" s="37" t="str">
        <f aca="false">IF(D2749="","",IFERROR(INDEX(rt_Billable,MATCH(D2749,rt_Code,0)),"Unknown"))</f>
        <v/>
      </c>
      <c r="L2749" s="38" t="str">
        <f aca="false">IF(K2749&lt;&gt;"Yes","",IFERROR(INDEX(cr_Rate,MATCH(J2749&amp;"|"&amp;D2749,cr_Key,0)),INDEX(rt_Rate,MATCH(D2749,rt_Code,0))))</f>
        <v/>
      </c>
      <c r="M2749" s="25" t="str">
        <f aca="false">IF(L2749="","",ROUND(N(E2749)*L2749,2))</f>
        <v/>
      </c>
      <c r="N2749" s="39" t="str">
        <f aca="false">IF(OR(A2749="",B2749=""),"",SUMIFS(tl_Hours,tl_StaffID,I2749,tl_Date,A2749))</f>
        <v/>
      </c>
      <c r="O2749" s="40" t="str">
        <f aca="false">IF(A2749&amp;B2749&amp;D2749="","",IF(OR(A2749="",B2749="",D2749="",E2749=""),"Incomplete",IF(K2749="Unknown","Unknown code",IF(AND(K2749="Yes",C2749=""),"Billable, needs client",IF(N2749&gt;MaxDayHours,"Over "&amp;MaxDayHours&amp;" hours that day","")))))</f>
        <v/>
      </c>
    </row>
    <row r="2750" customFormat="false" ht="15" hidden="false" customHeight="false" outlineLevel="0" collapsed="false">
      <c r="A2750" s="31"/>
      <c r="B2750" s="32"/>
      <c r="C2750" s="32"/>
      <c r="D2750" s="33"/>
      <c r="E2750" s="34"/>
      <c r="F2750" s="32"/>
      <c r="G2750" s="35" t="str">
        <f aca="false">IF(A2750="","",A2750+7-WEEKDAY(A2750))</f>
        <v/>
      </c>
      <c r="H2750" s="36" t="str">
        <f aca="false">IF(A2750="","",DATE(YEAR(A2750),MONTH(A2750),1))</f>
        <v/>
      </c>
      <c r="I2750" s="37" t="str">
        <f aca="false">IF(B2750="","",IFERROR(INDEX(st_ID,MATCH(B2750,st_Name,0)),"Unknown"))</f>
        <v/>
      </c>
      <c r="J2750" s="37" t="str">
        <f aca="false">IF(C2750="","",IFERROR(INDEX(cl_Code,MATCH(C2750,cl_Name,0)),"Unknown"))</f>
        <v/>
      </c>
      <c r="K2750" s="37" t="str">
        <f aca="false">IF(D2750="","",IFERROR(INDEX(rt_Billable,MATCH(D2750,rt_Code,0)),"Unknown"))</f>
        <v/>
      </c>
      <c r="L2750" s="38" t="str">
        <f aca="false">IF(K2750&lt;&gt;"Yes","",IFERROR(INDEX(cr_Rate,MATCH(J2750&amp;"|"&amp;D2750,cr_Key,0)),INDEX(rt_Rate,MATCH(D2750,rt_Code,0))))</f>
        <v/>
      </c>
      <c r="M2750" s="25" t="str">
        <f aca="false">IF(L2750="","",ROUND(N(E2750)*L2750,2))</f>
        <v/>
      </c>
      <c r="N2750" s="39" t="str">
        <f aca="false">IF(OR(A2750="",B2750=""),"",SUMIFS(tl_Hours,tl_StaffID,I2750,tl_Date,A2750))</f>
        <v/>
      </c>
      <c r="O2750" s="40" t="str">
        <f aca="false">IF(A2750&amp;B2750&amp;D2750="","",IF(OR(A2750="",B2750="",D2750="",E2750=""),"Incomplete",IF(K2750="Unknown","Unknown code",IF(AND(K2750="Yes",C2750=""),"Billable, needs client",IF(N2750&gt;MaxDayHours,"Over "&amp;MaxDayHours&amp;" hours that day","")))))</f>
        <v/>
      </c>
    </row>
    <row r="2751" customFormat="false" ht="15" hidden="false" customHeight="false" outlineLevel="0" collapsed="false">
      <c r="A2751" s="31"/>
      <c r="B2751" s="32"/>
      <c r="C2751" s="32"/>
      <c r="D2751" s="33"/>
      <c r="E2751" s="34"/>
      <c r="F2751" s="32"/>
      <c r="G2751" s="35" t="str">
        <f aca="false">IF(A2751="","",A2751+7-WEEKDAY(A2751))</f>
        <v/>
      </c>
      <c r="H2751" s="36" t="str">
        <f aca="false">IF(A2751="","",DATE(YEAR(A2751),MONTH(A2751),1))</f>
        <v/>
      </c>
      <c r="I2751" s="37" t="str">
        <f aca="false">IF(B2751="","",IFERROR(INDEX(st_ID,MATCH(B2751,st_Name,0)),"Unknown"))</f>
        <v/>
      </c>
      <c r="J2751" s="37" t="str">
        <f aca="false">IF(C2751="","",IFERROR(INDEX(cl_Code,MATCH(C2751,cl_Name,0)),"Unknown"))</f>
        <v/>
      </c>
      <c r="K2751" s="37" t="str">
        <f aca="false">IF(D2751="","",IFERROR(INDEX(rt_Billable,MATCH(D2751,rt_Code,0)),"Unknown"))</f>
        <v/>
      </c>
      <c r="L2751" s="38" t="str">
        <f aca="false">IF(K2751&lt;&gt;"Yes","",IFERROR(INDEX(cr_Rate,MATCH(J2751&amp;"|"&amp;D2751,cr_Key,0)),INDEX(rt_Rate,MATCH(D2751,rt_Code,0))))</f>
        <v/>
      </c>
      <c r="M2751" s="25" t="str">
        <f aca="false">IF(L2751="","",ROUND(N(E2751)*L2751,2))</f>
        <v/>
      </c>
      <c r="N2751" s="39" t="str">
        <f aca="false">IF(OR(A2751="",B2751=""),"",SUMIFS(tl_Hours,tl_StaffID,I2751,tl_Date,A2751))</f>
        <v/>
      </c>
      <c r="O2751" s="40" t="str">
        <f aca="false">IF(A2751&amp;B2751&amp;D2751="","",IF(OR(A2751="",B2751="",D2751="",E2751=""),"Incomplete",IF(K2751="Unknown","Unknown code",IF(AND(K2751="Yes",C2751=""),"Billable, needs client",IF(N2751&gt;MaxDayHours,"Over "&amp;MaxDayHours&amp;" hours that day","")))))</f>
        <v/>
      </c>
    </row>
    <row r="2752" customFormat="false" ht="15" hidden="false" customHeight="false" outlineLevel="0" collapsed="false">
      <c r="A2752" s="31"/>
      <c r="B2752" s="32"/>
      <c r="C2752" s="32"/>
      <c r="D2752" s="33"/>
      <c r="E2752" s="34"/>
      <c r="F2752" s="32"/>
      <c r="G2752" s="35" t="str">
        <f aca="false">IF(A2752="","",A2752+7-WEEKDAY(A2752))</f>
        <v/>
      </c>
      <c r="H2752" s="36" t="str">
        <f aca="false">IF(A2752="","",DATE(YEAR(A2752),MONTH(A2752),1))</f>
        <v/>
      </c>
      <c r="I2752" s="37" t="str">
        <f aca="false">IF(B2752="","",IFERROR(INDEX(st_ID,MATCH(B2752,st_Name,0)),"Unknown"))</f>
        <v/>
      </c>
      <c r="J2752" s="37" t="str">
        <f aca="false">IF(C2752="","",IFERROR(INDEX(cl_Code,MATCH(C2752,cl_Name,0)),"Unknown"))</f>
        <v/>
      </c>
      <c r="K2752" s="37" t="str">
        <f aca="false">IF(D2752="","",IFERROR(INDEX(rt_Billable,MATCH(D2752,rt_Code,0)),"Unknown"))</f>
        <v/>
      </c>
      <c r="L2752" s="38" t="str">
        <f aca="false">IF(K2752&lt;&gt;"Yes","",IFERROR(INDEX(cr_Rate,MATCH(J2752&amp;"|"&amp;D2752,cr_Key,0)),INDEX(rt_Rate,MATCH(D2752,rt_Code,0))))</f>
        <v/>
      </c>
      <c r="M2752" s="25" t="str">
        <f aca="false">IF(L2752="","",ROUND(N(E2752)*L2752,2))</f>
        <v/>
      </c>
      <c r="N2752" s="39" t="str">
        <f aca="false">IF(OR(A2752="",B2752=""),"",SUMIFS(tl_Hours,tl_StaffID,I2752,tl_Date,A2752))</f>
        <v/>
      </c>
      <c r="O2752" s="40" t="str">
        <f aca="false">IF(A2752&amp;B2752&amp;D2752="","",IF(OR(A2752="",B2752="",D2752="",E2752=""),"Incomplete",IF(K2752="Unknown","Unknown code",IF(AND(K2752="Yes",C2752=""),"Billable, needs client",IF(N2752&gt;MaxDayHours,"Over "&amp;MaxDayHours&amp;" hours that day","")))))</f>
        <v/>
      </c>
    </row>
    <row r="2753" customFormat="false" ht="15" hidden="false" customHeight="false" outlineLevel="0" collapsed="false">
      <c r="A2753" s="31"/>
      <c r="B2753" s="32"/>
      <c r="C2753" s="32"/>
      <c r="D2753" s="33"/>
      <c r="E2753" s="34"/>
      <c r="F2753" s="32"/>
      <c r="G2753" s="35" t="str">
        <f aca="false">IF(A2753="","",A2753+7-WEEKDAY(A2753))</f>
        <v/>
      </c>
      <c r="H2753" s="36" t="str">
        <f aca="false">IF(A2753="","",DATE(YEAR(A2753),MONTH(A2753),1))</f>
        <v/>
      </c>
      <c r="I2753" s="37" t="str">
        <f aca="false">IF(B2753="","",IFERROR(INDEX(st_ID,MATCH(B2753,st_Name,0)),"Unknown"))</f>
        <v/>
      </c>
      <c r="J2753" s="37" t="str">
        <f aca="false">IF(C2753="","",IFERROR(INDEX(cl_Code,MATCH(C2753,cl_Name,0)),"Unknown"))</f>
        <v/>
      </c>
      <c r="K2753" s="37" t="str">
        <f aca="false">IF(D2753="","",IFERROR(INDEX(rt_Billable,MATCH(D2753,rt_Code,0)),"Unknown"))</f>
        <v/>
      </c>
      <c r="L2753" s="38" t="str">
        <f aca="false">IF(K2753&lt;&gt;"Yes","",IFERROR(INDEX(cr_Rate,MATCH(J2753&amp;"|"&amp;D2753,cr_Key,0)),INDEX(rt_Rate,MATCH(D2753,rt_Code,0))))</f>
        <v/>
      </c>
      <c r="M2753" s="25" t="str">
        <f aca="false">IF(L2753="","",ROUND(N(E2753)*L2753,2))</f>
        <v/>
      </c>
      <c r="N2753" s="39" t="str">
        <f aca="false">IF(OR(A2753="",B2753=""),"",SUMIFS(tl_Hours,tl_StaffID,I2753,tl_Date,A2753))</f>
        <v/>
      </c>
      <c r="O2753" s="40" t="str">
        <f aca="false">IF(A2753&amp;B2753&amp;D2753="","",IF(OR(A2753="",B2753="",D2753="",E2753=""),"Incomplete",IF(K2753="Unknown","Unknown code",IF(AND(K2753="Yes",C2753=""),"Billable, needs client",IF(N2753&gt;MaxDayHours,"Over "&amp;MaxDayHours&amp;" hours that day","")))))</f>
        <v/>
      </c>
    </row>
    <row r="2754" customFormat="false" ht="15" hidden="false" customHeight="false" outlineLevel="0" collapsed="false">
      <c r="A2754" s="31"/>
      <c r="B2754" s="32"/>
      <c r="C2754" s="32"/>
      <c r="D2754" s="33"/>
      <c r="E2754" s="34"/>
      <c r="F2754" s="32"/>
      <c r="G2754" s="35" t="str">
        <f aca="false">IF(A2754="","",A2754+7-WEEKDAY(A2754))</f>
        <v/>
      </c>
      <c r="H2754" s="36" t="str">
        <f aca="false">IF(A2754="","",DATE(YEAR(A2754),MONTH(A2754),1))</f>
        <v/>
      </c>
      <c r="I2754" s="37" t="str">
        <f aca="false">IF(B2754="","",IFERROR(INDEX(st_ID,MATCH(B2754,st_Name,0)),"Unknown"))</f>
        <v/>
      </c>
      <c r="J2754" s="37" t="str">
        <f aca="false">IF(C2754="","",IFERROR(INDEX(cl_Code,MATCH(C2754,cl_Name,0)),"Unknown"))</f>
        <v/>
      </c>
      <c r="K2754" s="37" t="str">
        <f aca="false">IF(D2754="","",IFERROR(INDEX(rt_Billable,MATCH(D2754,rt_Code,0)),"Unknown"))</f>
        <v/>
      </c>
      <c r="L2754" s="38" t="str">
        <f aca="false">IF(K2754&lt;&gt;"Yes","",IFERROR(INDEX(cr_Rate,MATCH(J2754&amp;"|"&amp;D2754,cr_Key,0)),INDEX(rt_Rate,MATCH(D2754,rt_Code,0))))</f>
        <v/>
      </c>
      <c r="M2754" s="25" t="str">
        <f aca="false">IF(L2754="","",ROUND(N(E2754)*L2754,2))</f>
        <v/>
      </c>
      <c r="N2754" s="39" t="str">
        <f aca="false">IF(OR(A2754="",B2754=""),"",SUMIFS(tl_Hours,tl_StaffID,I2754,tl_Date,A2754))</f>
        <v/>
      </c>
      <c r="O2754" s="40" t="str">
        <f aca="false">IF(A2754&amp;B2754&amp;D2754="","",IF(OR(A2754="",B2754="",D2754="",E2754=""),"Incomplete",IF(K2754="Unknown","Unknown code",IF(AND(K2754="Yes",C2754=""),"Billable, needs client",IF(N2754&gt;MaxDayHours,"Over "&amp;MaxDayHours&amp;" hours that day","")))))</f>
        <v/>
      </c>
    </row>
    <row r="2755" customFormat="false" ht="15" hidden="false" customHeight="false" outlineLevel="0" collapsed="false">
      <c r="A2755" s="31"/>
      <c r="B2755" s="32"/>
      <c r="C2755" s="32"/>
      <c r="D2755" s="33"/>
      <c r="E2755" s="34"/>
      <c r="F2755" s="32"/>
      <c r="G2755" s="35" t="str">
        <f aca="false">IF(A2755="","",A2755+7-WEEKDAY(A2755))</f>
        <v/>
      </c>
      <c r="H2755" s="36" t="str">
        <f aca="false">IF(A2755="","",DATE(YEAR(A2755),MONTH(A2755),1))</f>
        <v/>
      </c>
      <c r="I2755" s="37" t="str">
        <f aca="false">IF(B2755="","",IFERROR(INDEX(st_ID,MATCH(B2755,st_Name,0)),"Unknown"))</f>
        <v/>
      </c>
      <c r="J2755" s="37" t="str">
        <f aca="false">IF(C2755="","",IFERROR(INDEX(cl_Code,MATCH(C2755,cl_Name,0)),"Unknown"))</f>
        <v/>
      </c>
      <c r="K2755" s="37" t="str">
        <f aca="false">IF(D2755="","",IFERROR(INDEX(rt_Billable,MATCH(D2755,rt_Code,0)),"Unknown"))</f>
        <v/>
      </c>
      <c r="L2755" s="38" t="str">
        <f aca="false">IF(K2755&lt;&gt;"Yes","",IFERROR(INDEX(cr_Rate,MATCH(J2755&amp;"|"&amp;D2755,cr_Key,0)),INDEX(rt_Rate,MATCH(D2755,rt_Code,0))))</f>
        <v/>
      </c>
      <c r="M2755" s="25" t="str">
        <f aca="false">IF(L2755="","",ROUND(N(E2755)*L2755,2))</f>
        <v/>
      </c>
      <c r="N2755" s="39" t="str">
        <f aca="false">IF(OR(A2755="",B2755=""),"",SUMIFS(tl_Hours,tl_StaffID,I2755,tl_Date,A2755))</f>
        <v/>
      </c>
      <c r="O2755" s="40" t="str">
        <f aca="false">IF(A2755&amp;B2755&amp;D2755="","",IF(OR(A2755="",B2755="",D2755="",E2755=""),"Incomplete",IF(K2755="Unknown","Unknown code",IF(AND(K2755="Yes",C2755=""),"Billable, needs client",IF(N2755&gt;MaxDayHours,"Over "&amp;MaxDayHours&amp;" hours that day","")))))</f>
        <v/>
      </c>
    </row>
    <row r="2756" customFormat="false" ht="15" hidden="false" customHeight="false" outlineLevel="0" collapsed="false">
      <c r="A2756" s="31"/>
      <c r="B2756" s="32"/>
      <c r="C2756" s="32"/>
      <c r="D2756" s="33"/>
      <c r="E2756" s="34"/>
      <c r="F2756" s="32"/>
      <c r="G2756" s="35" t="str">
        <f aca="false">IF(A2756="","",A2756+7-WEEKDAY(A2756))</f>
        <v/>
      </c>
      <c r="H2756" s="36" t="str">
        <f aca="false">IF(A2756="","",DATE(YEAR(A2756),MONTH(A2756),1))</f>
        <v/>
      </c>
      <c r="I2756" s="37" t="str">
        <f aca="false">IF(B2756="","",IFERROR(INDEX(st_ID,MATCH(B2756,st_Name,0)),"Unknown"))</f>
        <v/>
      </c>
      <c r="J2756" s="37" t="str">
        <f aca="false">IF(C2756="","",IFERROR(INDEX(cl_Code,MATCH(C2756,cl_Name,0)),"Unknown"))</f>
        <v/>
      </c>
      <c r="K2756" s="37" t="str">
        <f aca="false">IF(D2756="","",IFERROR(INDEX(rt_Billable,MATCH(D2756,rt_Code,0)),"Unknown"))</f>
        <v/>
      </c>
      <c r="L2756" s="38" t="str">
        <f aca="false">IF(K2756&lt;&gt;"Yes","",IFERROR(INDEX(cr_Rate,MATCH(J2756&amp;"|"&amp;D2756,cr_Key,0)),INDEX(rt_Rate,MATCH(D2756,rt_Code,0))))</f>
        <v/>
      </c>
      <c r="M2756" s="25" t="str">
        <f aca="false">IF(L2756="","",ROUND(N(E2756)*L2756,2))</f>
        <v/>
      </c>
      <c r="N2756" s="39" t="str">
        <f aca="false">IF(OR(A2756="",B2756=""),"",SUMIFS(tl_Hours,tl_StaffID,I2756,tl_Date,A2756))</f>
        <v/>
      </c>
      <c r="O2756" s="40" t="str">
        <f aca="false">IF(A2756&amp;B2756&amp;D2756="","",IF(OR(A2756="",B2756="",D2756="",E2756=""),"Incomplete",IF(K2756="Unknown","Unknown code",IF(AND(K2756="Yes",C2756=""),"Billable, needs client",IF(N2756&gt;MaxDayHours,"Over "&amp;MaxDayHours&amp;" hours that day","")))))</f>
        <v/>
      </c>
    </row>
    <row r="2757" customFormat="false" ht="15" hidden="false" customHeight="false" outlineLevel="0" collapsed="false">
      <c r="A2757" s="31"/>
      <c r="B2757" s="32"/>
      <c r="C2757" s="32"/>
      <c r="D2757" s="33"/>
      <c r="E2757" s="34"/>
      <c r="F2757" s="32"/>
      <c r="G2757" s="35" t="str">
        <f aca="false">IF(A2757="","",A2757+7-WEEKDAY(A2757))</f>
        <v/>
      </c>
      <c r="H2757" s="36" t="str">
        <f aca="false">IF(A2757="","",DATE(YEAR(A2757),MONTH(A2757),1))</f>
        <v/>
      </c>
      <c r="I2757" s="37" t="str">
        <f aca="false">IF(B2757="","",IFERROR(INDEX(st_ID,MATCH(B2757,st_Name,0)),"Unknown"))</f>
        <v/>
      </c>
      <c r="J2757" s="37" t="str">
        <f aca="false">IF(C2757="","",IFERROR(INDEX(cl_Code,MATCH(C2757,cl_Name,0)),"Unknown"))</f>
        <v/>
      </c>
      <c r="K2757" s="37" t="str">
        <f aca="false">IF(D2757="","",IFERROR(INDEX(rt_Billable,MATCH(D2757,rt_Code,0)),"Unknown"))</f>
        <v/>
      </c>
      <c r="L2757" s="38" t="str">
        <f aca="false">IF(K2757&lt;&gt;"Yes","",IFERROR(INDEX(cr_Rate,MATCH(J2757&amp;"|"&amp;D2757,cr_Key,0)),INDEX(rt_Rate,MATCH(D2757,rt_Code,0))))</f>
        <v/>
      </c>
      <c r="M2757" s="25" t="str">
        <f aca="false">IF(L2757="","",ROUND(N(E2757)*L2757,2))</f>
        <v/>
      </c>
      <c r="N2757" s="39" t="str">
        <f aca="false">IF(OR(A2757="",B2757=""),"",SUMIFS(tl_Hours,tl_StaffID,I2757,tl_Date,A2757))</f>
        <v/>
      </c>
      <c r="O2757" s="40" t="str">
        <f aca="false">IF(A2757&amp;B2757&amp;D2757="","",IF(OR(A2757="",B2757="",D2757="",E2757=""),"Incomplete",IF(K2757="Unknown","Unknown code",IF(AND(K2757="Yes",C2757=""),"Billable, needs client",IF(N2757&gt;MaxDayHours,"Over "&amp;MaxDayHours&amp;" hours that day","")))))</f>
        <v/>
      </c>
    </row>
    <row r="2758" customFormat="false" ht="15" hidden="false" customHeight="false" outlineLevel="0" collapsed="false">
      <c r="A2758" s="31"/>
      <c r="B2758" s="32"/>
      <c r="C2758" s="32"/>
      <c r="D2758" s="33"/>
      <c r="E2758" s="34"/>
      <c r="F2758" s="32"/>
      <c r="G2758" s="35" t="str">
        <f aca="false">IF(A2758="","",A2758+7-WEEKDAY(A2758))</f>
        <v/>
      </c>
      <c r="H2758" s="36" t="str">
        <f aca="false">IF(A2758="","",DATE(YEAR(A2758),MONTH(A2758),1))</f>
        <v/>
      </c>
      <c r="I2758" s="37" t="str">
        <f aca="false">IF(B2758="","",IFERROR(INDEX(st_ID,MATCH(B2758,st_Name,0)),"Unknown"))</f>
        <v/>
      </c>
      <c r="J2758" s="37" t="str">
        <f aca="false">IF(C2758="","",IFERROR(INDEX(cl_Code,MATCH(C2758,cl_Name,0)),"Unknown"))</f>
        <v/>
      </c>
      <c r="K2758" s="37" t="str">
        <f aca="false">IF(D2758="","",IFERROR(INDEX(rt_Billable,MATCH(D2758,rt_Code,0)),"Unknown"))</f>
        <v/>
      </c>
      <c r="L2758" s="38" t="str">
        <f aca="false">IF(K2758&lt;&gt;"Yes","",IFERROR(INDEX(cr_Rate,MATCH(J2758&amp;"|"&amp;D2758,cr_Key,0)),INDEX(rt_Rate,MATCH(D2758,rt_Code,0))))</f>
        <v/>
      </c>
      <c r="M2758" s="25" t="str">
        <f aca="false">IF(L2758="","",ROUND(N(E2758)*L2758,2))</f>
        <v/>
      </c>
      <c r="N2758" s="39" t="str">
        <f aca="false">IF(OR(A2758="",B2758=""),"",SUMIFS(tl_Hours,tl_StaffID,I2758,tl_Date,A2758))</f>
        <v/>
      </c>
      <c r="O2758" s="40" t="str">
        <f aca="false">IF(A2758&amp;B2758&amp;D2758="","",IF(OR(A2758="",B2758="",D2758="",E2758=""),"Incomplete",IF(K2758="Unknown","Unknown code",IF(AND(K2758="Yes",C2758=""),"Billable, needs client",IF(N2758&gt;MaxDayHours,"Over "&amp;MaxDayHours&amp;" hours that day","")))))</f>
        <v/>
      </c>
    </row>
    <row r="2759" customFormat="false" ht="15" hidden="false" customHeight="false" outlineLevel="0" collapsed="false">
      <c r="A2759" s="31"/>
      <c r="B2759" s="32"/>
      <c r="C2759" s="32"/>
      <c r="D2759" s="33"/>
      <c r="E2759" s="34"/>
      <c r="F2759" s="32"/>
      <c r="G2759" s="35" t="str">
        <f aca="false">IF(A2759="","",A2759+7-WEEKDAY(A2759))</f>
        <v/>
      </c>
      <c r="H2759" s="36" t="str">
        <f aca="false">IF(A2759="","",DATE(YEAR(A2759),MONTH(A2759),1))</f>
        <v/>
      </c>
      <c r="I2759" s="37" t="str">
        <f aca="false">IF(B2759="","",IFERROR(INDEX(st_ID,MATCH(B2759,st_Name,0)),"Unknown"))</f>
        <v/>
      </c>
      <c r="J2759" s="37" t="str">
        <f aca="false">IF(C2759="","",IFERROR(INDEX(cl_Code,MATCH(C2759,cl_Name,0)),"Unknown"))</f>
        <v/>
      </c>
      <c r="K2759" s="37" t="str">
        <f aca="false">IF(D2759="","",IFERROR(INDEX(rt_Billable,MATCH(D2759,rt_Code,0)),"Unknown"))</f>
        <v/>
      </c>
      <c r="L2759" s="38" t="str">
        <f aca="false">IF(K2759&lt;&gt;"Yes","",IFERROR(INDEX(cr_Rate,MATCH(J2759&amp;"|"&amp;D2759,cr_Key,0)),INDEX(rt_Rate,MATCH(D2759,rt_Code,0))))</f>
        <v/>
      </c>
      <c r="M2759" s="25" t="str">
        <f aca="false">IF(L2759="","",ROUND(N(E2759)*L2759,2))</f>
        <v/>
      </c>
      <c r="N2759" s="39" t="str">
        <f aca="false">IF(OR(A2759="",B2759=""),"",SUMIFS(tl_Hours,tl_StaffID,I2759,tl_Date,A2759))</f>
        <v/>
      </c>
      <c r="O2759" s="40" t="str">
        <f aca="false">IF(A2759&amp;B2759&amp;D2759="","",IF(OR(A2759="",B2759="",D2759="",E2759=""),"Incomplete",IF(K2759="Unknown","Unknown code",IF(AND(K2759="Yes",C2759=""),"Billable, needs client",IF(N2759&gt;MaxDayHours,"Over "&amp;MaxDayHours&amp;" hours that day","")))))</f>
        <v/>
      </c>
    </row>
    <row r="2760" customFormat="false" ht="15" hidden="false" customHeight="false" outlineLevel="0" collapsed="false">
      <c r="A2760" s="31"/>
      <c r="B2760" s="32"/>
      <c r="C2760" s="32"/>
      <c r="D2760" s="33"/>
      <c r="E2760" s="34"/>
      <c r="F2760" s="32"/>
      <c r="G2760" s="35" t="str">
        <f aca="false">IF(A2760="","",A2760+7-WEEKDAY(A2760))</f>
        <v/>
      </c>
      <c r="H2760" s="36" t="str">
        <f aca="false">IF(A2760="","",DATE(YEAR(A2760),MONTH(A2760),1))</f>
        <v/>
      </c>
      <c r="I2760" s="37" t="str">
        <f aca="false">IF(B2760="","",IFERROR(INDEX(st_ID,MATCH(B2760,st_Name,0)),"Unknown"))</f>
        <v/>
      </c>
      <c r="J2760" s="37" t="str">
        <f aca="false">IF(C2760="","",IFERROR(INDEX(cl_Code,MATCH(C2760,cl_Name,0)),"Unknown"))</f>
        <v/>
      </c>
      <c r="K2760" s="37" t="str">
        <f aca="false">IF(D2760="","",IFERROR(INDEX(rt_Billable,MATCH(D2760,rt_Code,0)),"Unknown"))</f>
        <v/>
      </c>
      <c r="L2760" s="38" t="str">
        <f aca="false">IF(K2760&lt;&gt;"Yes","",IFERROR(INDEX(cr_Rate,MATCH(J2760&amp;"|"&amp;D2760,cr_Key,0)),INDEX(rt_Rate,MATCH(D2760,rt_Code,0))))</f>
        <v/>
      </c>
      <c r="M2760" s="25" t="str">
        <f aca="false">IF(L2760="","",ROUND(N(E2760)*L2760,2))</f>
        <v/>
      </c>
      <c r="N2760" s="39" t="str">
        <f aca="false">IF(OR(A2760="",B2760=""),"",SUMIFS(tl_Hours,tl_StaffID,I2760,tl_Date,A2760))</f>
        <v/>
      </c>
      <c r="O2760" s="40" t="str">
        <f aca="false">IF(A2760&amp;B2760&amp;D2760="","",IF(OR(A2760="",B2760="",D2760="",E2760=""),"Incomplete",IF(K2760="Unknown","Unknown code",IF(AND(K2760="Yes",C2760=""),"Billable, needs client",IF(N2760&gt;MaxDayHours,"Over "&amp;MaxDayHours&amp;" hours that day","")))))</f>
        <v/>
      </c>
    </row>
    <row r="2761" customFormat="false" ht="15" hidden="false" customHeight="false" outlineLevel="0" collapsed="false">
      <c r="A2761" s="31"/>
      <c r="B2761" s="32"/>
      <c r="C2761" s="32"/>
      <c r="D2761" s="33"/>
      <c r="E2761" s="34"/>
      <c r="F2761" s="32"/>
      <c r="G2761" s="35" t="str">
        <f aca="false">IF(A2761="","",A2761+7-WEEKDAY(A2761))</f>
        <v/>
      </c>
      <c r="H2761" s="36" t="str">
        <f aca="false">IF(A2761="","",DATE(YEAR(A2761),MONTH(A2761),1))</f>
        <v/>
      </c>
      <c r="I2761" s="37" t="str">
        <f aca="false">IF(B2761="","",IFERROR(INDEX(st_ID,MATCH(B2761,st_Name,0)),"Unknown"))</f>
        <v/>
      </c>
      <c r="J2761" s="37" t="str">
        <f aca="false">IF(C2761="","",IFERROR(INDEX(cl_Code,MATCH(C2761,cl_Name,0)),"Unknown"))</f>
        <v/>
      </c>
      <c r="K2761" s="37" t="str">
        <f aca="false">IF(D2761="","",IFERROR(INDEX(rt_Billable,MATCH(D2761,rt_Code,0)),"Unknown"))</f>
        <v/>
      </c>
      <c r="L2761" s="38" t="str">
        <f aca="false">IF(K2761&lt;&gt;"Yes","",IFERROR(INDEX(cr_Rate,MATCH(J2761&amp;"|"&amp;D2761,cr_Key,0)),INDEX(rt_Rate,MATCH(D2761,rt_Code,0))))</f>
        <v/>
      </c>
      <c r="M2761" s="25" t="str">
        <f aca="false">IF(L2761="","",ROUND(N(E2761)*L2761,2))</f>
        <v/>
      </c>
      <c r="N2761" s="39" t="str">
        <f aca="false">IF(OR(A2761="",B2761=""),"",SUMIFS(tl_Hours,tl_StaffID,I2761,tl_Date,A2761))</f>
        <v/>
      </c>
      <c r="O2761" s="40" t="str">
        <f aca="false">IF(A2761&amp;B2761&amp;D2761="","",IF(OR(A2761="",B2761="",D2761="",E2761=""),"Incomplete",IF(K2761="Unknown","Unknown code",IF(AND(K2761="Yes",C2761=""),"Billable, needs client",IF(N2761&gt;MaxDayHours,"Over "&amp;MaxDayHours&amp;" hours that day","")))))</f>
        <v/>
      </c>
    </row>
    <row r="2762" customFormat="false" ht="15" hidden="false" customHeight="false" outlineLevel="0" collapsed="false">
      <c r="A2762" s="31"/>
      <c r="B2762" s="32"/>
      <c r="C2762" s="32"/>
      <c r="D2762" s="33"/>
      <c r="E2762" s="34"/>
      <c r="F2762" s="32"/>
      <c r="G2762" s="35" t="str">
        <f aca="false">IF(A2762="","",A2762+7-WEEKDAY(A2762))</f>
        <v/>
      </c>
      <c r="H2762" s="36" t="str">
        <f aca="false">IF(A2762="","",DATE(YEAR(A2762),MONTH(A2762),1))</f>
        <v/>
      </c>
      <c r="I2762" s="37" t="str">
        <f aca="false">IF(B2762="","",IFERROR(INDEX(st_ID,MATCH(B2762,st_Name,0)),"Unknown"))</f>
        <v/>
      </c>
      <c r="J2762" s="37" t="str">
        <f aca="false">IF(C2762="","",IFERROR(INDEX(cl_Code,MATCH(C2762,cl_Name,0)),"Unknown"))</f>
        <v/>
      </c>
      <c r="K2762" s="37" t="str">
        <f aca="false">IF(D2762="","",IFERROR(INDEX(rt_Billable,MATCH(D2762,rt_Code,0)),"Unknown"))</f>
        <v/>
      </c>
      <c r="L2762" s="38" t="str">
        <f aca="false">IF(K2762&lt;&gt;"Yes","",IFERROR(INDEX(cr_Rate,MATCH(J2762&amp;"|"&amp;D2762,cr_Key,0)),INDEX(rt_Rate,MATCH(D2762,rt_Code,0))))</f>
        <v/>
      </c>
      <c r="M2762" s="25" t="str">
        <f aca="false">IF(L2762="","",ROUND(N(E2762)*L2762,2))</f>
        <v/>
      </c>
      <c r="N2762" s="39" t="str">
        <f aca="false">IF(OR(A2762="",B2762=""),"",SUMIFS(tl_Hours,tl_StaffID,I2762,tl_Date,A2762))</f>
        <v/>
      </c>
      <c r="O2762" s="40" t="str">
        <f aca="false">IF(A2762&amp;B2762&amp;D2762="","",IF(OR(A2762="",B2762="",D2762="",E2762=""),"Incomplete",IF(K2762="Unknown","Unknown code",IF(AND(K2762="Yes",C2762=""),"Billable, needs client",IF(N2762&gt;MaxDayHours,"Over "&amp;MaxDayHours&amp;" hours that day","")))))</f>
        <v/>
      </c>
    </row>
    <row r="2763" customFormat="false" ht="15" hidden="false" customHeight="false" outlineLevel="0" collapsed="false">
      <c r="A2763" s="31"/>
      <c r="B2763" s="32"/>
      <c r="C2763" s="32"/>
      <c r="D2763" s="33"/>
      <c r="E2763" s="34"/>
      <c r="F2763" s="32"/>
      <c r="G2763" s="35" t="str">
        <f aca="false">IF(A2763="","",A2763+7-WEEKDAY(A2763))</f>
        <v/>
      </c>
      <c r="H2763" s="36" t="str">
        <f aca="false">IF(A2763="","",DATE(YEAR(A2763),MONTH(A2763),1))</f>
        <v/>
      </c>
      <c r="I2763" s="37" t="str">
        <f aca="false">IF(B2763="","",IFERROR(INDEX(st_ID,MATCH(B2763,st_Name,0)),"Unknown"))</f>
        <v/>
      </c>
      <c r="J2763" s="37" t="str">
        <f aca="false">IF(C2763="","",IFERROR(INDEX(cl_Code,MATCH(C2763,cl_Name,0)),"Unknown"))</f>
        <v/>
      </c>
      <c r="K2763" s="37" t="str">
        <f aca="false">IF(D2763="","",IFERROR(INDEX(rt_Billable,MATCH(D2763,rt_Code,0)),"Unknown"))</f>
        <v/>
      </c>
      <c r="L2763" s="38" t="str">
        <f aca="false">IF(K2763&lt;&gt;"Yes","",IFERROR(INDEX(cr_Rate,MATCH(J2763&amp;"|"&amp;D2763,cr_Key,0)),INDEX(rt_Rate,MATCH(D2763,rt_Code,0))))</f>
        <v/>
      </c>
      <c r="M2763" s="25" t="str">
        <f aca="false">IF(L2763="","",ROUND(N(E2763)*L2763,2))</f>
        <v/>
      </c>
      <c r="N2763" s="39" t="str">
        <f aca="false">IF(OR(A2763="",B2763=""),"",SUMIFS(tl_Hours,tl_StaffID,I2763,tl_Date,A2763))</f>
        <v/>
      </c>
      <c r="O2763" s="40" t="str">
        <f aca="false">IF(A2763&amp;B2763&amp;D2763="","",IF(OR(A2763="",B2763="",D2763="",E2763=""),"Incomplete",IF(K2763="Unknown","Unknown code",IF(AND(K2763="Yes",C2763=""),"Billable, needs client",IF(N2763&gt;MaxDayHours,"Over "&amp;MaxDayHours&amp;" hours that day","")))))</f>
        <v/>
      </c>
    </row>
    <row r="2764" customFormat="false" ht="15" hidden="false" customHeight="false" outlineLevel="0" collapsed="false">
      <c r="A2764" s="31"/>
      <c r="B2764" s="32"/>
      <c r="C2764" s="32"/>
      <c r="D2764" s="33"/>
      <c r="E2764" s="34"/>
      <c r="F2764" s="32"/>
      <c r="G2764" s="35" t="str">
        <f aca="false">IF(A2764="","",A2764+7-WEEKDAY(A2764))</f>
        <v/>
      </c>
      <c r="H2764" s="36" t="str">
        <f aca="false">IF(A2764="","",DATE(YEAR(A2764),MONTH(A2764),1))</f>
        <v/>
      </c>
      <c r="I2764" s="37" t="str">
        <f aca="false">IF(B2764="","",IFERROR(INDEX(st_ID,MATCH(B2764,st_Name,0)),"Unknown"))</f>
        <v/>
      </c>
      <c r="J2764" s="37" t="str">
        <f aca="false">IF(C2764="","",IFERROR(INDEX(cl_Code,MATCH(C2764,cl_Name,0)),"Unknown"))</f>
        <v/>
      </c>
      <c r="K2764" s="37" t="str">
        <f aca="false">IF(D2764="","",IFERROR(INDEX(rt_Billable,MATCH(D2764,rt_Code,0)),"Unknown"))</f>
        <v/>
      </c>
      <c r="L2764" s="38" t="str">
        <f aca="false">IF(K2764&lt;&gt;"Yes","",IFERROR(INDEX(cr_Rate,MATCH(J2764&amp;"|"&amp;D2764,cr_Key,0)),INDEX(rt_Rate,MATCH(D2764,rt_Code,0))))</f>
        <v/>
      </c>
      <c r="M2764" s="25" t="str">
        <f aca="false">IF(L2764="","",ROUND(N(E2764)*L2764,2))</f>
        <v/>
      </c>
      <c r="N2764" s="39" t="str">
        <f aca="false">IF(OR(A2764="",B2764=""),"",SUMIFS(tl_Hours,tl_StaffID,I2764,tl_Date,A2764))</f>
        <v/>
      </c>
      <c r="O2764" s="40" t="str">
        <f aca="false">IF(A2764&amp;B2764&amp;D2764="","",IF(OR(A2764="",B2764="",D2764="",E2764=""),"Incomplete",IF(K2764="Unknown","Unknown code",IF(AND(K2764="Yes",C2764=""),"Billable, needs client",IF(N2764&gt;MaxDayHours,"Over "&amp;MaxDayHours&amp;" hours that day","")))))</f>
        <v/>
      </c>
    </row>
    <row r="2765" customFormat="false" ht="15" hidden="false" customHeight="false" outlineLevel="0" collapsed="false">
      <c r="A2765" s="31"/>
      <c r="B2765" s="32"/>
      <c r="C2765" s="32"/>
      <c r="D2765" s="33"/>
      <c r="E2765" s="34"/>
      <c r="F2765" s="32"/>
      <c r="G2765" s="35" t="str">
        <f aca="false">IF(A2765="","",A2765+7-WEEKDAY(A2765))</f>
        <v/>
      </c>
      <c r="H2765" s="36" t="str">
        <f aca="false">IF(A2765="","",DATE(YEAR(A2765),MONTH(A2765),1))</f>
        <v/>
      </c>
      <c r="I2765" s="37" t="str">
        <f aca="false">IF(B2765="","",IFERROR(INDEX(st_ID,MATCH(B2765,st_Name,0)),"Unknown"))</f>
        <v/>
      </c>
      <c r="J2765" s="37" t="str">
        <f aca="false">IF(C2765="","",IFERROR(INDEX(cl_Code,MATCH(C2765,cl_Name,0)),"Unknown"))</f>
        <v/>
      </c>
      <c r="K2765" s="37" t="str">
        <f aca="false">IF(D2765="","",IFERROR(INDEX(rt_Billable,MATCH(D2765,rt_Code,0)),"Unknown"))</f>
        <v/>
      </c>
      <c r="L2765" s="38" t="str">
        <f aca="false">IF(K2765&lt;&gt;"Yes","",IFERROR(INDEX(cr_Rate,MATCH(J2765&amp;"|"&amp;D2765,cr_Key,0)),INDEX(rt_Rate,MATCH(D2765,rt_Code,0))))</f>
        <v/>
      </c>
      <c r="M2765" s="25" t="str">
        <f aca="false">IF(L2765="","",ROUND(N(E2765)*L2765,2))</f>
        <v/>
      </c>
      <c r="N2765" s="39" t="str">
        <f aca="false">IF(OR(A2765="",B2765=""),"",SUMIFS(tl_Hours,tl_StaffID,I2765,tl_Date,A2765))</f>
        <v/>
      </c>
      <c r="O2765" s="40" t="str">
        <f aca="false">IF(A2765&amp;B2765&amp;D2765="","",IF(OR(A2765="",B2765="",D2765="",E2765=""),"Incomplete",IF(K2765="Unknown","Unknown code",IF(AND(K2765="Yes",C2765=""),"Billable, needs client",IF(N2765&gt;MaxDayHours,"Over "&amp;MaxDayHours&amp;" hours that day","")))))</f>
        <v/>
      </c>
    </row>
    <row r="2766" customFormat="false" ht="15" hidden="false" customHeight="false" outlineLevel="0" collapsed="false">
      <c r="A2766" s="31"/>
      <c r="B2766" s="32"/>
      <c r="C2766" s="32"/>
      <c r="D2766" s="33"/>
      <c r="E2766" s="34"/>
      <c r="F2766" s="32"/>
      <c r="G2766" s="35" t="str">
        <f aca="false">IF(A2766="","",A2766+7-WEEKDAY(A2766))</f>
        <v/>
      </c>
      <c r="H2766" s="36" t="str">
        <f aca="false">IF(A2766="","",DATE(YEAR(A2766),MONTH(A2766),1))</f>
        <v/>
      </c>
      <c r="I2766" s="37" t="str">
        <f aca="false">IF(B2766="","",IFERROR(INDEX(st_ID,MATCH(B2766,st_Name,0)),"Unknown"))</f>
        <v/>
      </c>
      <c r="J2766" s="37" t="str">
        <f aca="false">IF(C2766="","",IFERROR(INDEX(cl_Code,MATCH(C2766,cl_Name,0)),"Unknown"))</f>
        <v/>
      </c>
      <c r="K2766" s="37" t="str">
        <f aca="false">IF(D2766="","",IFERROR(INDEX(rt_Billable,MATCH(D2766,rt_Code,0)),"Unknown"))</f>
        <v/>
      </c>
      <c r="L2766" s="38" t="str">
        <f aca="false">IF(K2766&lt;&gt;"Yes","",IFERROR(INDEX(cr_Rate,MATCH(J2766&amp;"|"&amp;D2766,cr_Key,0)),INDEX(rt_Rate,MATCH(D2766,rt_Code,0))))</f>
        <v/>
      </c>
      <c r="M2766" s="25" t="str">
        <f aca="false">IF(L2766="","",ROUND(N(E2766)*L2766,2))</f>
        <v/>
      </c>
      <c r="N2766" s="39" t="str">
        <f aca="false">IF(OR(A2766="",B2766=""),"",SUMIFS(tl_Hours,tl_StaffID,I2766,tl_Date,A2766))</f>
        <v/>
      </c>
      <c r="O2766" s="40" t="str">
        <f aca="false">IF(A2766&amp;B2766&amp;D2766="","",IF(OR(A2766="",B2766="",D2766="",E2766=""),"Incomplete",IF(K2766="Unknown","Unknown code",IF(AND(K2766="Yes",C2766=""),"Billable, needs client",IF(N2766&gt;MaxDayHours,"Over "&amp;MaxDayHours&amp;" hours that day","")))))</f>
        <v/>
      </c>
    </row>
    <row r="2767" customFormat="false" ht="15" hidden="false" customHeight="false" outlineLevel="0" collapsed="false">
      <c r="A2767" s="31"/>
      <c r="B2767" s="32"/>
      <c r="C2767" s="32"/>
      <c r="D2767" s="33"/>
      <c r="E2767" s="34"/>
      <c r="F2767" s="32"/>
      <c r="G2767" s="35" t="str">
        <f aca="false">IF(A2767="","",A2767+7-WEEKDAY(A2767))</f>
        <v/>
      </c>
      <c r="H2767" s="36" t="str">
        <f aca="false">IF(A2767="","",DATE(YEAR(A2767),MONTH(A2767),1))</f>
        <v/>
      </c>
      <c r="I2767" s="37" t="str">
        <f aca="false">IF(B2767="","",IFERROR(INDEX(st_ID,MATCH(B2767,st_Name,0)),"Unknown"))</f>
        <v/>
      </c>
      <c r="J2767" s="37" t="str">
        <f aca="false">IF(C2767="","",IFERROR(INDEX(cl_Code,MATCH(C2767,cl_Name,0)),"Unknown"))</f>
        <v/>
      </c>
      <c r="K2767" s="37" t="str">
        <f aca="false">IF(D2767="","",IFERROR(INDEX(rt_Billable,MATCH(D2767,rt_Code,0)),"Unknown"))</f>
        <v/>
      </c>
      <c r="L2767" s="38" t="str">
        <f aca="false">IF(K2767&lt;&gt;"Yes","",IFERROR(INDEX(cr_Rate,MATCH(J2767&amp;"|"&amp;D2767,cr_Key,0)),INDEX(rt_Rate,MATCH(D2767,rt_Code,0))))</f>
        <v/>
      </c>
      <c r="M2767" s="25" t="str">
        <f aca="false">IF(L2767="","",ROUND(N(E2767)*L2767,2))</f>
        <v/>
      </c>
      <c r="N2767" s="39" t="str">
        <f aca="false">IF(OR(A2767="",B2767=""),"",SUMIFS(tl_Hours,tl_StaffID,I2767,tl_Date,A2767))</f>
        <v/>
      </c>
      <c r="O2767" s="40" t="str">
        <f aca="false">IF(A2767&amp;B2767&amp;D2767="","",IF(OR(A2767="",B2767="",D2767="",E2767=""),"Incomplete",IF(K2767="Unknown","Unknown code",IF(AND(K2767="Yes",C2767=""),"Billable, needs client",IF(N2767&gt;MaxDayHours,"Over "&amp;MaxDayHours&amp;" hours that day","")))))</f>
        <v/>
      </c>
    </row>
    <row r="2768" customFormat="false" ht="15" hidden="false" customHeight="false" outlineLevel="0" collapsed="false">
      <c r="A2768" s="31"/>
      <c r="B2768" s="32"/>
      <c r="C2768" s="32"/>
      <c r="D2768" s="33"/>
      <c r="E2768" s="34"/>
      <c r="F2768" s="32"/>
      <c r="G2768" s="35" t="str">
        <f aca="false">IF(A2768="","",A2768+7-WEEKDAY(A2768))</f>
        <v/>
      </c>
      <c r="H2768" s="36" t="str">
        <f aca="false">IF(A2768="","",DATE(YEAR(A2768),MONTH(A2768),1))</f>
        <v/>
      </c>
      <c r="I2768" s="37" t="str">
        <f aca="false">IF(B2768="","",IFERROR(INDEX(st_ID,MATCH(B2768,st_Name,0)),"Unknown"))</f>
        <v/>
      </c>
      <c r="J2768" s="37" t="str">
        <f aca="false">IF(C2768="","",IFERROR(INDEX(cl_Code,MATCH(C2768,cl_Name,0)),"Unknown"))</f>
        <v/>
      </c>
      <c r="K2768" s="37" t="str">
        <f aca="false">IF(D2768="","",IFERROR(INDEX(rt_Billable,MATCH(D2768,rt_Code,0)),"Unknown"))</f>
        <v/>
      </c>
      <c r="L2768" s="38" t="str">
        <f aca="false">IF(K2768&lt;&gt;"Yes","",IFERROR(INDEX(cr_Rate,MATCH(J2768&amp;"|"&amp;D2768,cr_Key,0)),INDEX(rt_Rate,MATCH(D2768,rt_Code,0))))</f>
        <v/>
      </c>
      <c r="M2768" s="25" t="str">
        <f aca="false">IF(L2768="","",ROUND(N(E2768)*L2768,2))</f>
        <v/>
      </c>
      <c r="N2768" s="39" t="str">
        <f aca="false">IF(OR(A2768="",B2768=""),"",SUMIFS(tl_Hours,tl_StaffID,I2768,tl_Date,A2768))</f>
        <v/>
      </c>
      <c r="O2768" s="40" t="str">
        <f aca="false">IF(A2768&amp;B2768&amp;D2768="","",IF(OR(A2768="",B2768="",D2768="",E2768=""),"Incomplete",IF(K2768="Unknown","Unknown code",IF(AND(K2768="Yes",C2768=""),"Billable, needs client",IF(N2768&gt;MaxDayHours,"Over "&amp;MaxDayHours&amp;" hours that day","")))))</f>
        <v/>
      </c>
    </row>
    <row r="2769" customFormat="false" ht="15" hidden="false" customHeight="false" outlineLevel="0" collapsed="false">
      <c r="A2769" s="31"/>
      <c r="B2769" s="32"/>
      <c r="C2769" s="32"/>
      <c r="D2769" s="33"/>
      <c r="E2769" s="34"/>
      <c r="F2769" s="32"/>
      <c r="G2769" s="35" t="str">
        <f aca="false">IF(A2769="","",A2769+7-WEEKDAY(A2769))</f>
        <v/>
      </c>
      <c r="H2769" s="36" t="str">
        <f aca="false">IF(A2769="","",DATE(YEAR(A2769),MONTH(A2769),1))</f>
        <v/>
      </c>
      <c r="I2769" s="37" t="str">
        <f aca="false">IF(B2769="","",IFERROR(INDEX(st_ID,MATCH(B2769,st_Name,0)),"Unknown"))</f>
        <v/>
      </c>
      <c r="J2769" s="37" t="str">
        <f aca="false">IF(C2769="","",IFERROR(INDEX(cl_Code,MATCH(C2769,cl_Name,0)),"Unknown"))</f>
        <v/>
      </c>
      <c r="K2769" s="37" t="str">
        <f aca="false">IF(D2769="","",IFERROR(INDEX(rt_Billable,MATCH(D2769,rt_Code,0)),"Unknown"))</f>
        <v/>
      </c>
      <c r="L2769" s="38" t="str">
        <f aca="false">IF(K2769&lt;&gt;"Yes","",IFERROR(INDEX(cr_Rate,MATCH(J2769&amp;"|"&amp;D2769,cr_Key,0)),INDEX(rt_Rate,MATCH(D2769,rt_Code,0))))</f>
        <v/>
      </c>
      <c r="M2769" s="25" t="str">
        <f aca="false">IF(L2769="","",ROUND(N(E2769)*L2769,2))</f>
        <v/>
      </c>
      <c r="N2769" s="39" t="str">
        <f aca="false">IF(OR(A2769="",B2769=""),"",SUMIFS(tl_Hours,tl_StaffID,I2769,tl_Date,A2769))</f>
        <v/>
      </c>
      <c r="O2769" s="40" t="str">
        <f aca="false">IF(A2769&amp;B2769&amp;D2769="","",IF(OR(A2769="",B2769="",D2769="",E2769=""),"Incomplete",IF(K2769="Unknown","Unknown code",IF(AND(K2769="Yes",C2769=""),"Billable, needs client",IF(N2769&gt;MaxDayHours,"Over "&amp;MaxDayHours&amp;" hours that day","")))))</f>
        <v/>
      </c>
    </row>
    <row r="2770" customFormat="false" ht="15" hidden="false" customHeight="false" outlineLevel="0" collapsed="false">
      <c r="A2770" s="31"/>
      <c r="B2770" s="32"/>
      <c r="C2770" s="32"/>
      <c r="D2770" s="33"/>
      <c r="E2770" s="34"/>
      <c r="F2770" s="32"/>
      <c r="G2770" s="35" t="str">
        <f aca="false">IF(A2770="","",A2770+7-WEEKDAY(A2770))</f>
        <v/>
      </c>
      <c r="H2770" s="36" t="str">
        <f aca="false">IF(A2770="","",DATE(YEAR(A2770),MONTH(A2770),1))</f>
        <v/>
      </c>
      <c r="I2770" s="37" t="str">
        <f aca="false">IF(B2770="","",IFERROR(INDEX(st_ID,MATCH(B2770,st_Name,0)),"Unknown"))</f>
        <v/>
      </c>
      <c r="J2770" s="37" t="str">
        <f aca="false">IF(C2770="","",IFERROR(INDEX(cl_Code,MATCH(C2770,cl_Name,0)),"Unknown"))</f>
        <v/>
      </c>
      <c r="K2770" s="37" t="str">
        <f aca="false">IF(D2770="","",IFERROR(INDEX(rt_Billable,MATCH(D2770,rt_Code,0)),"Unknown"))</f>
        <v/>
      </c>
      <c r="L2770" s="38" t="str">
        <f aca="false">IF(K2770&lt;&gt;"Yes","",IFERROR(INDEX(cr_Rate,MATCH(J2770&amp;"|"&amp;D2770,cr_Key,0)),INDEX(rt_Rate,MATCH(D2770,rt_Code,0))))</f>
        <v/>
      </c>
      <c r="M2770" s="25" t="str">
        <f aca="false">IF(L2770="","",ROUND(N(E2770)*L2770,2))</f>
        <v/>
      </c>
      <c r="N2770" s="39" t="str">
        <f aca="false">IF(OR(A2770="",B2770=""),"",SUMIFS(tl_Hours,tl_StaffID,I2770,tl_Date,A2770))</f>
        <v/>
      </c>
      <c r="O2770" s="40" t="str">
        <f aca="false">IF(A2770&amp;B2770&amp;D2770="","",IF(OR(A2770="",B2770="",D2770="",E2770=""),"Incomplete",IF(K2770="Unknown","Unknown code",IF(AND(K2770="Yes",C2770=""),"Billable, needs client",IF(N2770&gt;MaxDayHours,"Over "&amp;MaxDayHours&amp;" hours that day","")))))</f>
        <v/>
      </c>
    </row>
    <row r="2771" customFormat="false" ht="15" hidden="false" customHeight="false" outlineLevel="0" collapsed="false">
      <c r="A2771" s="31"/>
      <c r="B2771" s="32"/>
      <c r="C2771" s="32"/>
      <c r="D2771" s="33"/>
      <c r="E2771" s="34"/>
      <c r="F2771" s="32"/>
      <c r="G2771" s="35" t="str">
        <f aca="false">IF(A2771="","",A2771+7-WEEKDAY(A2771))</f>
        <v/>
      </c>
      <c r="H2771" s="36" t="str">
        <f aca="false">IF(A2771="","",DATE(YEAR(A2771),MONTH(A2771),1))</f>
        <v/>
      </c>
      <c r="I2771" s="37" t="str">
        <f aca="false">IF(B2771="","",IFERROR(INDEX(st_ID,MATCH(B2771,st_Name,0)),"Unknown"))</f>
        <v/>
      </c>
      <c r="J2771" s="37" t="str">
        <f aca="false">IF(C2771="","",IFERROR(INDEX(cl_Code,MATCH(C2771,cl_Name,0)),"Unknown"))</f>
        <v/>
      </c>
      <c r="K2771" s="37" t="str">
        <f aca="false">IF(D2771="","",IFERROR(INDEX(rt_Billable,MATCH(D2771,rt_Code,0)),"Unknown"))</f>
        <v/>
      </c>
      <c r="L2771" s="38" t="str">
        <f aca="false">IF(K2771&lt;&gt;"Yes","",IFERROR(INDEX(cr_Rate,MATCH(J2771&amp;"|"&amp;D2771,cr_Key,0)),INDEX(rt_Rate,MATCH(D2771,rt_Code,0))))</f>
        <v/>
      </c>
      <c r="M2771" s="25" t="str">
        <f aca="false">IF(L2771="","",ROUND(N(E2771)*L2771,2))</f>
        <v/>
      </c>
      <c r="N2771" s="39" t="str">
        <f aca="false">IF(OR(A2771="",B2771=""),"",SUMIFS(tl_Hours,tl_StaffID,I2771,tl_Date,A2771))</f>
        <v/>
      </c>
      <c r="O2771" s="40" t="str">
        <f aca="false">IF(A2771&amp;B2771&amp;D2771="","",IF(OR(A2771="",B2771="",D2771="",E2771=""),"Incomplete",IF(K2771="Unknown","Unknown code",IF(AND(K2771="Yes",C2771=""),"Billable, needs client",IF(N2771&gt;MaxDayHours,"Over "&amp;MaxDayHours&amp;" hours that day","")))))</f>
        <v/>
      </c>
    </row>
    <row r="2772" customFormat="false" ht="15" hidden="false" customHeight="false" outlineLevel="0" collapsed="false">
      <c r="A2772" s="31"/>
      <c r="B2772" s="32"/>
      <c r="C2772" s="32"/>
      <c r="D2772" s="33"/>
      <c r="E2772" s="34"/>
      <c r="F2772" s="32"/>
      <c r="G2772" s="35" t="str">
        <f aca="false">IF(A2772="","",A2772+7-WEEKDAY(A2772))</f>
        <v/>
      </c>
      <c r="H2772" s="36" t="str">
        <f aca="false">IF(A2772="","",DATE(YEAR(A2772),MONTH(A2772),1))</f>
        <v/>
      </c>
      <c r="I2772" s="37" t="str">
        <f aca="false">IF(B2772="","",IFERROR(INDEX(st_ID,MATCH(B2772,st_Name,0)),"Unknown"))</f>
        <v/>
      </c>
      <c r="J2772" s="37" t="str">
        <f aca="false">IF(C2772="","",IFERROR(INDEX(cl_Code,MATCH(C2772,cl_Name,0)),"Unknown"))</f>
        <v/>
      </c>
      <c r="K2772" s="37" t="str">
        <f aca="false">IF(D2772="","",IFERROR(INDEX(rt_Billable,MATCH(D2772,rt_Code,0)),"Unknown"))</f>
        <v/>
      </c>
      <c r="L2772" s="38" t="str">
        <f aca="false">IF(K2772&lt;&gt;"Yes","",IFERROR(INDEX(cr_Rate,MATCH(J2772&amp;"|"&amp;D2772,cr_Key,0)),INDEX(rt_Rate,MATCH(D2772,rt_Code,0))))</f>
        <v/>
      </c>
      <c r="M2772" s="25" t="str">
        <f aca="false">IF(L2772="","",ROUND(N(E2772)*L2772,2))</f>
        <v/>
      </c>
      <c r="N2772" s="39" t="str">
        <f aca="false">IF(OR(A2772="",B2772=""),"",SUMIFS(tl_Hours,tl_StaffID,I2772,tl_Date,A2772))</f>
        <v/>
      </c>
      <c r="O2772" s="40" t="str">
        <f aca="false">IF(A2772&amp;B2772&amp;D2772="","",IF(OR(A2772="",B2772="",D2772="",E2772=""),"Incomplete",IF(K2772="Unknown","Unknown code",IF(AND(K2772="Yes",C2772=""),"Billable, needs client",IF(N2772&gt;MaxDayHours,"Over "&amp;MaxDayHours&amp;" hours that day","")))))</f>
        <v/>
      </c>
    </row>
    <row r="2773" customFormat="false" ht="15" hidden="false" customHeight="false" outlineLevel="0" collapsed="false">
      <c r="A2773" s="31"/>
      <c r="B2773" s="32"/>
      <c r="C2773" s="32"/>
      <c r="D2773" s="33"/>
      <c r="E2773" s="34"/>
      <c r="F2773" s="32"/>
      <c r="G2773" s="35" t="str">
        <f aca="false">IF(A2773="","",A2773+7-WEEKDAY(A2773))</f>
        <v/>
      </c>
      <c r="H2773" s="36" t="str">
        <f aca="false">IF(A2773="","",DATE(YEAR(A2773),MONTH(A2773),1))</f>
        <v/>
      </c>
      <c r="I2773" s="37" t="str">
        <f aca="false">IF(B2773="","",IFERROR(INDEX(st_ID,MATCH(B2773,st_Name,0)),"Unknown"))</f>
        <v/>
      </c>
      <c r="J2773" s="37" t="str">
        <f aca="false">IF(C2773="","",IFERROR(INDEX(cl_Code,MATCH(C2773,cl_Name,0)),"Unknown"))</f>
        <v/>
      </c>
      <c r="K2773" s="37" t="str">
        <f aca="false">IF(D2773="","",IFERROR(INDEX(rt_Billable,MATCH(D2773,rt_Code,0)),"Unknown"))</f>
        <v/>
      </c>
      <c r="L2773" s="38" t="str">
        <f aca="false">IF(K2773&lt;&gt;"Yes","",IFERROR(INDEX(cr_Rate,MATCH(J2773&amp;"|"&amp;D2773,cr_Key,0)),INDEX(rt_Rate,MATCH(D2773,rt_Code,0))))</f>
        <v/>
      </c>
      <c r="M2773" s="25" t="str">
        <f aca="false">IF(L2773="","",ROUND(N(E2773)*L2773,2))</f>
        <v/>
      </c>
      <c r="N2773" s="39" t="str">
        <f aca="false">IF(OR(A2773="",B2773=""),"",SUMIFS(tl_Hours,tl_StaffID,I2773,tl_Date,A2773))</f>
        <v/>
      </c>
      <c r="O2773" s="40" t="str">
        <f aca="false">IF(A2773&amp;B2773&amp;D2773="","",IF(OR(A2773="",B2773="",D2773="",E2773=""),"Incomplete",IF(K2773="Unknown","Unknown code",IF(AND(K2773="Yes",C2773=""),"Billable, needs client",IF(N2773&gt;MaxDayHours,"Over "&amp;MaxDayHours&amp;" hours that day","")))))</f>
        <v/>
      </c>
    </row>
    <row r="2774" customFormat="false" ht="15" hidden="false" customHeight="false" outlineLevel="0" collapsed="false">
      <c r="A2774" s="31"/>
      <c r="B2774" s="32"/>
      <c r="C2774" s="32"/>
      <c r="D2774" s="33"/>
      <c r="E2774" s="34"/>
      <c r="F2774" s="32"/>
      <c r="G2774" s="35" t="str">
        <f aca="false">IF(A2774="","",A2774+7-WEEKDAY(A2774))</f>
        <v/>
      </c>
      <c r="H2774" s="36" t="str">
        <f aca="false">IF(A2774="","",DATE(YEAR(A2774),MONTH(A2774),1))</f>
        <v/>
      </c>
      <c r="I2774" s="37" t="str">
        <f aca="false">IF(B2774="","",IFERROR(INDEX(st_ID,MATCH(B2774,st_Name,0)),"Unknown"))</f>
        <v/>
      </c>
      <c r="J2774" s="37" t="str">
        <f aca="false">IF(C2774="","",IFERROR(INDEX(cl_Code,MATCH(C2774,cl_Name,0)),"Unknown"))</f>
        <v/>
      </c>
      <c r="K2774" s="37" t="str">
        <f aca="false">IF(D2774="","",IFERROR(INDEX(rt_Billable,MATCH(D2774,rt_Code,0)),"Unknown"))</f>
        <v/>
      </c>
      <c r="L2774" s="38" t="str">
        <f aca="false">IF(K2774&lt;&gt;"Yes","",IFERROR(INDEX(cr_Rate,MATCH(J2774&amp;"|"&amp;D2774,cr_Key,0)),INDEX(rt_Rate,MATCH(D2774,rt_Code,0))))</f>
        <v/>
      </c>
      <c r="M2774" s="25" t="str">
        <f aca="false">IF(L2774="","",ROUND(N(E2774)*L2774,2))</f>
        <v/>
      </c>
      <c r="N2774" s="39" t="str">
        <f aca="false">IF(OR(A2774="",B2774=""),"",SUMIFS(tl_Hours,tl_StaffID,I2774,tl_Date,A2774))</f>
        <v/>
      </c>
      <c r="O2774" s="40" t="str">
        <f aca="false">IF(A2774&amp;B2774&amp;D2774="","",IF(OR(A2774="",B2774="",D2774="",E2774=""),"Incomplete",IF(K2774="Unknown","Unknown code",IF(AND(K2774="Yes",C2774=""),"Billable, needs client",IF(N2774&gt;MaxDayHours,"Over "&amp;MaxDayHours&amp;" hours that day","")))))</f>
        <v/>
      </c>
    </row>
    <row r="2775" customFormat="false" ht="15" hidden="false" customHeight="false" outlineLevel="0" collapsed="false">
      <c r="A2775" s="31"/>
      <c r="B2775" s="32"/>
      <c r="C2775" s="32"/>
      <c r="D2775" s="33"/>
      <c r="E2775" s="34"/>
      <c r="F2775" s="32"/>
      <c r="G2775" s="35" t="str">
        <f aca="false">IF(A2775="","",A2775+7-WEEKDAY(A2775))</f>
        <v/>
      </c>
      <c r="H2775" s="36" t="str">
        <f aca="false">IF(A2775="","",DATE(YEAR(A2775),MONTH(A2775),1))</f>
        <v/>
      </c>
      <c r="I2775" s="37" t="str">
        <f aca="false">IF(B2775="","",IFERROR(INDEX(st_ID,MATCH(B2775,st_Name,0)),"Unknown"))</f>
        <v/>
      </c>
      <c r="J2775" s="37" t="str">
        <f aca="false">IF(C2775="","",IFERROR(INDEX(cl_Code,MATCH(C2775,cl_Name,0)),"Unknown"))</f>
        <v/>
      </c>
      <c r="K2775" s="37" t="str">
        <f aca="false">IF(D2775="","",IFERROR(INDEX(rt_Billable,MATCH(D2775,rt_Code,0)),"Unknown"))</f>
        <v/>
      </c>
      <c r="L2775" s="38" t="str">
        <f aca="false">IF(K2775&lt;&gt;"Yes","",IFERROR(INDEX(cr_Rate,MATCH(J2775&amp;"|"&amp;D2775,cr_Key,0)),INDEX(rt_Rate,MATCH(D2775,rt_Code,0))))</f>
        <v/>
      </c>
      <c r="M2775" s="25" t="str">
        <f aca="false">IF(L2775="","",ROUND(N(E2775)*L2775,2))</f>
        <v/>
      </c>
      <c r="N2775" s="39" t="str">
        <f aca="false">IF(OR(A2775="",B2775=""),"",SUMIFS(tl_Hours,tl_StaffID,I2775,tl_Date,A2775))</f>
        <v/>
      </c>
      <c r="O2775" s="40" t="str">
        <f aca="false">IF(A2775&amp;B2775&amp;D2775="","",IF(OR(A2775="",B2775="",D2775="",E2775=""),"Incomplete",IF(K2775="Unknown","Unknown code",IF(AND(K2775="Yes",C2775=""),"Billable, needs client",IF(N2775&gt;MaxDayHours,"Over "&amp;MaxDayHours&amp;" hours that day","")))))</f>
        <v/>
      </c>
    </row>
    <row r="2776" customFormat="false" ht="15" hidden="false" customHeight="false" outlineLevel="0" collapsed="false">
      <c r="A2776" s="31"/>
      <c r="B2776" s="32"/>
      <c r="C2776" s="32"/>
      <c r="D2776" s="33"/>
      <c r="E2776" s="34"/>
      <c r="F2776" s="32"/>
      <c r="G2776" s="35" t="str">
        <f aca="false">IF(A2776="","",A2776+7-WEEKDAY(A2776))</f>
        <v/>
      </c>
      <c r="H2776" s="36" t="str">
        <f aca="false">IF(A2776="","",DATE(YEAR(A2776),MONTH(A2776),1))</f>
        <v/>
      </c>
      <c r="I2776" s="37" t="str">
        <f aca="false">IF(B2776="","",IFERROR(INDEX(st_ID,MATCH(B2776,st_Name,0)),"Unknown"))</f>
        <v/>
      </c>
      <c r="J2776" s="37" t="str">
        <f aca="false">IF(C2776="","",IFERROR(INDEX(cl_Code,MATCH(C2776,cl_Name,0)),"Unknown"))</f>
        <v/>
      </c>
      <c r="K2776" s="37" t="str">
        <f aca="false">IF(D2776="","",IFERROR(INDEX(rt_Billable,MATCH(D2776,rt_Code,0)),"Unknown"))</f>
        <v/>
      </c>
      <c r="L2776" s="38" t="str">
        <f aca="false">IF(K2776&lt;&gt;"Yes","",IFERROR(INDEX(cr_Rate,MATCH(J2776&amp;"|"&amp;D2776,cr_Key,0)),INDEX(rt_Rate,MATCH(D2776,rt_Code,0))))</f>
        <v/>
      </c>
      <c r="M2776" s="25" t="str">
        <f aca="false">IF(L2776="","",ROUND(N(E2776)*L2776,2))</f>
        <v/>
      </c>
      <c r="N2776" s="39" t="str">
        <f aca="false">IF(OR(A2776="",B2776=""),"",SUMIFS(tl_Hours,tl_StaffID,I2776,tl_Date,A2776))</f>
        <v/>
      </c>
      <c r="O2776" s="40" t="str">
        <f aca="false">IF(A2776&amp;B2776&amp;D2776="","",IF(OR(A2776="",B2776="",D2776="",E2776=""),"Incomplete",IF(K2776="Unknown","Unknown code",IF(AND(K2776="Yes",C2776=""),"Billable, needs client",IF(N2776&gt;MaxDayHours,"Over "&amp;MaxDayHours&amp;" hours that day","")))))</f>
        <v/>
      </c>
    </row>
    <row r="2777" customFormat="false" ht="15" hidden="false" customHeight="false" outlineLevel="0" collapsed="false">
      <c r="A2777" s="31"/>
      <c r="B2777" s="32"/>
      <c r="C2777" s="32"/>
      <c r="D2777" s="33"/>
      <c r="E2777" s="34"/>
      <c r="F2777" s="32"/>
      <c r="G2777" s="35" t="str">
        <f aca="false">IF(A2777="","",A2777+7-WEEKDAY(A2777))</f>
        <v/>
      </c>
      <c r="H2777" s="36" t="str">
        <f aca="false">IF(A2777="","",DATE(YEAR(A2777),MONTH(A2777),1))</f>
        <v/>
      </c>
      <c r="I2777" s="37" t="str">
        <f aca="false">IF(B2777="","",IFERROR(INDEX(st_ID,MATCH(B2777,st_Name,0)),"Unknown"))</f>
        <v/>
      </c>
      <c r="J2777" s="37" t="str">
        <f aca="false">IF(C2777="","",IFERROR(INDEX(cl_Code,MATCH(C2777,cl_Name,0)),"Unknown"))</f>
        <v/>
      </c>
      <c r="K2777" s="37" t="str">
        <f aca="false">IF(D2777="","",IFERROR(INDEX(rt_Billable,MATCH(D2777,rt_Code,0)),"Unknown"))</f>
        <v/>
      </c>
      <c r="L2777" s="38" t="str">
        <f aca="false">IF(K2777&lt;&gt;"Yes","",IFERROR(INDEX(cr_Rate,MATCH(J2777&amp;"|"&amp;D2777,cr_Key,0)),INDEX(rt_Rate,MATCH(D2777,rt_Code,0))))</f>
        <v/>
      </c>
      <c r="M2777" s="25" t="str">
        <f aca="false">IF(L2777="","",ROUND(N(E2777)*L2777,2))</f>
        <v/>
      </c>
      <c r="N2777" s="39" t="str">
        <f aca="false">IF(OR(A2777="",B2777=""),"",SUMIFS(tl_Hours,tl_StaffID,I2777,tl_Date,A2777))</f>
        <v/>
      </c>
      <c r="O2777" s="40" t="str">
        <f aca="false">IF(A2777&amp;B2777&amp;D2777="","",IF(OR(A2777="",B2777="",D2777="",E2777=""),"Incomplete",IF(K2777="Unknown","Unknown code",IF(AND(K2777="Yes",C2777=""),"Billable, needs client",IF(N2777&gt;MaxDayHours,"Over "&amp;MaxDayHours&amp;" hours that day","")))))</f>
        <v/>
      </c>
    </row>
    <row r="2778" customFormat="false" ht="15" hidden="false" customHeight="false" outlineLevel="0" collapsed="false">
      <c r="A2778" s="31"/>
      <c r="B2778" s="32"/>
      <c r="C2778" s="32"/>
      <c r="D2778" s="33"/>
      <c r="E2778" s="34"/>
      <c r="F2778" s="32"/>
      <c r="G2778" s="35" t="str">
        <f aca="false">IF(A2778="","",A2778+7-WEEKDAY(A2778))</f>
        <v/>
      </c>
      <c r="H2778" s="36" t="str">
        <f aca="false">IF(A2778="","",DATE(YEAR(A2778),MONTH(A2778),1))</f>
        <v/>
      </c>
      <c r="I2778" s="37" t="str">
        <f aca="false">IF(B2778="","",IFERROR(INDEX(st_ID,MATCH(B2778,st_Name,0)),"Unknown"))</f>
        <v/>
      </c>
      <c r="J2778" s="37" t="str">
        <f aca="false">IF(C2778="","",IFERROR(INDEX(cl_Code,MATCH(C2778,cl_Name,0)),"Unknown"))</f>
        <v/>
      </c>
      <c r="K2778" s="37" t="str">
        <f aca="false">IF(D2778="","",IFERROR(INDEX(rt_Billable,MATCH(D2778,rt_Code,0)),"Unknown"))</f>
        <v/>
      </c>
      <c r="L2778" s="38" t="str">
        <f aca="false">IF(K2778&lt;&gt;"Yes","",IFERROR(INDEX(cr_Rate,MATCH(J2778&amp;"|"&amp;D2778,cr_Key,0)),INDEX(rt_Rate,MATCH(D2778,rt_Code,0))))</f>
        <v/>
      </c>
      <c r="M2778" s="25" t="str">
        <f aca="false">IF(L2778="","",ROUND(N(E2778)*L2778,2))</f>
        <v/>
      </c>
      <c r="N2778" s="39" t="str">
        <f aca="false">IF(OR(A2778="",B2778=""),"",SUMIFS(tl_Hours,tl_StaffID,I2778,tl_Date,A2778))</f>
        <v/>
      </c>
      <c r="O2778" s="40" t="str">
        <f aca="false">IF(A2778&amp;B2778&amp;D2778="","",IF(OR(A2778="",B2778="",D2778="",E2778=""),"Incomplete",IF(K2778="Unknown","Unknown code",IF(AND(K2778="Yes",C2778=""),"Billable, needs client",IF(N2778&gt;MaxDayHours,"Over "&amp;MaxDayHours&amp;" hours that day","")))))</f>
        <v/>
      </c>
    </row>
    <row r="2779" customFormat="false" ht="15" hidden="false" customHeight="false" outlineLevel="0" collapsed="false">
      <c r="A2779" s="31"/>
      <c r="B2779" s="32"/>
      <c r="C2779" s="32"/>
      <c r="D2779" s="33"/>
      <c r="E2779" s="34"/>
      <c r="F2779" s="32"/>
      <c r="G2779" s="35" t="str">
        <f aca="false">IF(A2779="","",A2779+7-WEEKDAY(A2779))</f>
        <v/>
      </c>
      <c r="H2779" s="36" t="str">
        <f aca="false">IF(A2779="","",DATE(YEAR(A2779),MONTH(A2779),1))</f>
        <v/>
      </c>
      <c r="I2779" s="37" t="str">
        <f aca="false">IF(B2779="","",IFERROR(INDEX(st_ID,MATCH(B2779,st_Name,0)),"Unknown"))</f>
        <v/>
      </c>
      <c r="J2779" s="37" t="str">
        <f aca="false">IF(C2779="","",IFERROR(INDEX(cl_Code,MATCH(C2779,cl_Name,0)),"Unknown"))</f>
        <v/>
      </c>
      <c r="K2779" s="37" t="str">
        <f aca="false">IF(D2779="","",IFERROR(INDEX(rt_Billable,MATCH(D2779,rt_Code,0)),"Unknown"))</f>
        <v/>
      </c>
      <c r="L2779" s="38" t="str">
        <f aca="false">IF(K2779&lt;&gt;"Yes","",IFERROR(INDEX(cr_Rate,MATCH(J2779&amp;"|"&amp;D2779,cr_Key,0)),INDEX(rt_Rate,MATCH(D2779,rt_Code,0))))</f>
        <v/>
      </c>
      <c r="M2779" s="25" t="str">
        <f aca="false">IF(L2779="","",ROUND(N(E2779)*L2779,2))</f>
        <v/>
      </c>
      <c r="N2779" s="39" t="str">
        <f aca="false">IF(OR(A2779="",B2779=""),"",SUMIFS(tl_Hours,tl_StaffID,I2779,tl_Date,A2779))</f>
        <v/>
      </c>
      <c r="O2779" s="40" t="str">
        <f aca="false">IF(A2779&amp;B2779&amp;D2779="","",IF(OR(A2779="",B2779="",D2779="",E2779=""),"Incomplete",IF(K2779="Unknown","Unknown code",IF(AND(K2779="Yes",C2779=""),"Billable, needs client",IF(N2779&gt;MaxDayHours,"Over "&amp;MaxDayHours&amp;" hours that day","")))))</f>
        <v/>
      </c>
    </row>
    <row r="2780" customFormat="false" ht="15" hidden="false" customHeight="false" outlineLevel="0" collapsed="false">
      <c r="A2780" s="31"/>
      <c r="B2780" s="32"/>
      <c r="C2780" s="32"/>
      <c r="D2780" s="33"/>
      <c r="E2780" s="34"/>
      <c r="F2780" s="32"/>
      <c r="G2780" s="35" t="str">
        <f aca="false">IF(A2780="","",A2780+7-WEEKDAY(A2780))</f>
        <v/>
      </c>
      <c r="H2780" s="36" t="str">
        <f aca="false">IF(A2780="","",DATE(YEAR(A2780),MONTH(A2780),1))</f>
        <v/>
      </c>
      <c r="I2780" s="37" t="str">
        <f aca="false">IF(B2780="","",IFERROR(INDEX(st_ID,MATCH(B2780,st_Name,0)),"Unknown"))</f>
        <v/>
      </c>
      <c r="J2780" s="37" t="str">
        <f aca="false">IF(C2780="","",IFERROR(INDEX(cl_Code,MATCH(C2780,cl_Name,0)),"Unknown"))</f>
        <v/>
      </c>
      <c r="K2780" s="37" t="str">
        <f aca="false">IF(D2780="","",IFERROR(INDEX(rt_Billable,MATCH(D2780,rt_Code,0)),"Unknown"))</f>
        <v/>
      </c>
      <c r="L2780" s="38" t="str">
        <f aca="false">IF(K2780&lt;&gt;"Yes","",IFERROR(INDEX(cr_Rate,MATCH(J2780&amp;"|"&amp;D2780,cr_Key,0)),INDEX(rt_Rate,MATCH(D2780,rt_Code,0))))</f>
        <v/>
      </c>
      <c r="M2780" s="25" t="str">
        <f aca="false">IF(L2780="","",ROUND(N(E2780)*L2780,2))</f>
        <v/>
      </c>
      <c r="N2780" s="39" t="str">
        <f aca="false">IF(OR(A2780="",B2780=""),"",SUMIFS(tl_Hours,tl_StaffID,I2780,tl_Date,A2780))</f>
        <v/>
      </c>
      <c r="O2780" s="40" t="str">
        <f aca="false">IF(A2780&amp;B2780&amp;D2780="","",IF(OR(A2780="",B2780="",D2780="",E2780=""),"Incomplete",IF(K2780="Unknown","Unknown code",IF(AND(K2780="Yes",C2780=""),"Billable, needs client",IF(N2780&gt;MaxDayHours,"Over "&amp;MaxDayHours&amp;" hours that day","")))))</f>
        <v/>
      </c>
    </row>
    <row r="2781" customFormat="false" ht="15" hidden="false" customHeight="false" outlineLevel="0" collapsed="false">
      <c r="A2781" s="31"/>
      <c r="B2781" s="32"/>
      <c r="C2781" s="32"/>
      <c r="D2781" s="33"/>
      <c r="E2781" s="34"/>
      <c r="F2781" s="32"/>
      <c r="G2781" s="35" t="str">
        <f aca="false">IF(A2781="","",A2781+7-WEEKDAY(A2781))</f>
        <v/>
      </c>
      <c r="H2781" s="36" t="str">
        <f aca="false">IF(A2781="","",DATE(YEAR(A2781),MONTH(A2781),1))</f>
        <v/>
      </c>
      <c r="I2781" s="37" t="str">
        <f aca="false">IF(B2781="","",IFERROR(INDEX(st_ID,MATCH(B2781,st_Name,0)),"Unknown"))</f>
        <v/>
      </c>
      <c r="J2781" s="37" t="str">
        <f aca="false">IF(C2781="","",IFERROR(INDEX(cl_Code,MATCH(C2781,cl_Name,0)),"Unknown"))</f>
        <v/>
      </c>
      <c r="K2781" s="37" t="str">
        <f aca="false">IF(D2781="","",IFERROR(INDEX(rt_Billable,MATCH(D2781,rt_Code,0)),"Unknown"))</f>
        <v/>
      </c>
      <c r="L2781" s="38" t="str">
        <f aca="false">IF(K2781&lt;&gt;"Yes","",IFERROR(INDEX(cr_Rate,MATCH(J2781&amp;"|"&amp;D2781,cr_Key,0)),INDEX(rt_Rate,MATCH(D2781,rt_Code,0))))</f>
        <v/>
      </c>
      <c r="M2781" s="25" t="str">
        <f aca="false">IF(L2781="","",ROUND(N(E2781)*L2781,2))</f>
        <v/>
      </c>
      <c r="N2781" s="39" t="str">
        <f aca="false">IF(OR(A2781="",B2781=""),"",SUMIFS(tl_Hours,tl_StaffID,I2781,tl_Date,A2781))</f>
        <v/>
      </c>
      <c r="O2781" s="40" t="str">
        <f aca="false">IF(A2781&amp;B2781&amp;D2781="","",IF(OR(A2781="",B2781="",D2781="",E2781=""),"Incomplete",IF(K2781="Unknown","Unknown code",IF(AND(K2781="Yes",C2781=""),"Billable, needs client",IF(N2781&gt;MaxDayHours,"Over "&amp;MaxDayHours&amp;" hours that day","")))))</f>
        <v/>
      </c>
    </row>
    <row r="2782" customFormat="false" ht="15" hidden="false" customHeight="false" outlineLevel="0" collapsed="false">
      <c r="A2782" s="31"/>
      <c r="B2782" s="32"/>
      <c r="C2782" s="32"/>
      <c r="D2782" s="33"/>
      <c r="E2782" s="34"/>
      <c r="F2782" s="32"/>
      <c r="G2782" s="35" t="str">
        <f aca="false">IF(A2782="","",A2782+7-WEEKDAY(A2782))</f>
        <v/>
      </c>
      <c r="H2782" s="36" t="str">
        <f aca="false">IF(A2782="","",DATE(YEAR(A2782),MONTH(A2782),1))</f>
        <v/>
      </c>
      <c r="I2782" s="37" t="str">
        <f aca="false">IF(B2782="","",IFERROR(INDEX(st_ID,MATCH(B2782,st_Name,0)),"Unknown"))</f>
        <v/>
      </c>
      <c r="J2782" s="37" t="str">
        <f aca="false">IF(C2782="","",IFERROR(INDEX(cl_Code,MATCH(C2782,cl_Name,0)),"Unknown"))</f>
        <v/>
      </c>
      <c r="K2782" s="37" t="str">
        <f aca="false">IF(D2782="","",IFERROR(INDEX(rt_Billable,MATCH(D2782,rt_Code,0)),"Unknown"))</f>
        <v/>
      </c>
      <c r="L2782" s="38" t="str">
        <f aca="false">IF(K2782&lt;&gt;"Yes","",IFERROR(INDEX(cr_Rate,MATCH(J2782&amp;"|"&amp;D2782,cr_Key,0)),INDEX(rt_Rate,MATCH(D2782,rt_Code,0))))</f>
        <v/>
      </c>
      <c r="M2782" s="25" t="str">
        <f aca="false">IF(L2782="","",ROUND(N(E2782)*L2782,2))</f>
        <v/>
      </c>
      <c r="N2782" s="39" t="str">
        <f aca="false">IF(OR(A2782="",B2782=""),"",SUMIFS(tl_Hours,tl_StaffID,I2782,tl_Date,A2782))</f>
        <v/>
      </c>
      <c r="O2782" s="40" t="str">
        <f aca="false">IF(A2782&amp;B2782&amp;D2782="","",IF(OR(A2782="",B2782="",D2782="",E2782=""),"Incomplete",IF(K2782="Unknown","Unknown code",IF(AND(K2782="Yes",C2782=""),"Billable, needs client",IF(N2782&gt;MaxDayHours,"Over "&amp;MaxDayHours&amp;" hours that day","")))))</f>
        <v/>
      </c>
    </row>
    <row r="2783" customFormat="false" ht="15" hidden="false" customHeight="false" outlineLevel="0" collapsed="false">
      <c r="A2783" s="31"/>
      <c r="B2783" s="32"/>
      <c r="C2783" s="32"/>
      <c r="D2783" s="33"/>
      <c r="E2783" s="34"/>
      <c r="F2783" s="32"/>
      <c r="G2783" s="35" t="str">
        <f aca="false">IF(A2783="","",A2783+7-WEEKDAY(A2783))</f>
        <v/>
      </c>
      <c r="H2783" s="36" t="str">
        <f aca="false">IF(A2783="","",DATE(YEAR(A2783),MONTH(A2783),1))</f>
        <v/>
      </c>
      <c r="I2783" s="37" t="str">
        <f aca="false">IF(B2783="","",IFERROR(INDEX(st_ID,MATCH(B2783,st_Name,0)),"Unknown"))</f>
        <v/>
      </c>
      <c r="J2783" s="37" t="str">
        <f aca="false">IF(C2783="","",IFERROR(INDEX(cl_Code,MATCH(C2783,cl_Name,0)),"Unknown"))</f>
        <v/>
      </c>
      <c r="K2783" s="37" t="str">
        <f aca="false">IF(D2783="","",IFERROR(INDEX(rt_Billable,MATCH(D2783,rt_Code,0)),"Unknown"))</f>
        <v/>
      </c>
      <c r="L2783" s="38" t="str">
        <f aca="false">IF(K2783&lt;&gt;"Yes","",IFERROR(INDEX(cr_Rate,MATCH(J2783&amp;"|"&amp;D2783,cr_Key,0)),INDEX(rt_Rate,MATCH(D2783,rt_Code,0))))</f>
        <v/>
      </c>
      <c r="M2783" s="25" t="str">
        <f aca="false">IF(L2783="","",ROUND(N(E2783)*L2783,2))</f>
        <v/>
      </c>
      <c r="N2783" s="39" t="str">
        <f aca="false">IF(OR(A2783="",B2783=""),"",SUMIFS(tl_Hours,tl_StaffID,I2783,tl_Date,A2783))</f>
        <v/>
      </c>
      <c r="O2783" s="40" t="str">
        <f aca="false">IF(A2783&amp;B2783&amp;D2783="","",IF(OR(A2783="",B2783="",D2783="",E2783=""),"Incomplete",IF(K2783="Unknown","Unknown code",IF(AND(K2783="Yes",C2783=""),"Billable, needs client",IF(N2783&gt;MaxDayHours,"Over "&amp;MaxDayHours&amp;" hours that day","")))))</f>
        <v/>
      </c>
    </row>
    <row r="2784" customFormat="false" ht="15" hidden="false" customHeight="false" outlineLevel="0" collapsed="false">
      <c r="A2784" s="31"/>
      <c r="B2784" s="32"/>
      <c r="C2784" s="32"/>
      <c r="D2784" s="33"/>
      <c r="E2784" s="34"/>
      <c r="F2784" s="32"/>
      <c r="G2784" s="35" t="str">
        <f aca="false">IF(A2784="","",A2784+7-WEEKDAY(A2784))</f>
        <v/>
      </c>
      <c r="H2784" s="36" t="str">
        <f aca="false">IF(A2784="","",DATE(YEAR(A2784),MONTH(A2784),1))</f>
        <v/>
      </c>
      <c r="I2784" s="37" t="str">
        <f aca="false">IF(B2784="","",IFERROR(INDEX(st_ID,MATCH(B2784,st_Name,0)),"Unknown"))</f>
        <v/>
      </c>
      <c r="J2784" s="37" t="str">
        <f aca="false">IF(C2784="","",IFERROR(INDEX(cl_Code,MATCH(C2784,cl_Name,0)),"Unknown"))</f>
        <v/>
      </c>
      <c r="K2784" s="37" t="str">
        <f aca="false">IF(D2784="","",IFERROR(INDEX(rt_Billable,MATCH(D2784,rt_Code,0)),"Unknown"))</f>
        <v/>
      </c>
      <c r="L2784" s="38" t="str">
        <f aca="false">IF(K2784&lt;&gt;"Yes","",IFERROR(INDEX(cr_Rate,MATCH(J2784&amp;"|"&amp;D2784,cr_Key,0)),INDEX(rt_Rate,MATCH(D2784,rt_Code,0))))</f>
        <v/>
      </c>
      <c r="M2784" s="25" t="str">
        <f aca="false">IF(L2784="","",ROUND(N(E2784)*L2784,2))</f>
        <v/>
      </c>
      <c r="N2784" s="39" t="str">
        <f aca="false">IF(OR(A2784="",B2784=""),"",SUMIFS(tl_Hours,tl_StaffID,I2784,tl_Date,A2784))</f>
        <v/>
      </c>
      <c r="O2784" s="40" t="str">
        <f aca="false">IF(A2784&amp;B2784&amp;D2784="","",IF(OR(A2784="",B2784="",D2784="",E2784=""),"Incomplete",IF(K2784="Unknown","Unknown code",IF(AND(K2784="Yes",C2784=""),"Billable, needs client",IF(N2784&gt;MaxDayHours,"Over "&amp;MaxDayHours&amp;" hours that day","")))))</f>
        <v/>
      </c>
    </row>
    <row r="2785" customFormat="false" ht="15" hidden="false" customHeight="false" outlineLevel="0" collapsed="false">
      <c r="A2785" s="31"/>
      <c r="B2785" s="32"/>
      <c r="C2785" s="32"/>
      <c r="D2785" s="33"/>
      <c r="E2785" s="34"/>
      <c r="F2785" s="32"/>
      <c r="G2785" s="35" t="str">
        <f aca="false">IF(A2785="","",A2785+7-WEEKDAY(A2785))</f>
        <v/>
      </c>
      <c r="H2785" s="36" t="str">
        <f aca="false">IF(A2785="","",DATE(YEAR(A2785),MONTH(A2785),1))</f>
        <v/>
      </c>
      <c r="I2785" s="37" t="str">
        <f aca="false">IF(B2785="","",IFERROR(INDEX(st_ID,MATCH(B2785,st_Name,0)),"Unknown"))</f>
        <v/>
      </c>
      <c r="J2785" s="37" t="str">
        <f aca="false">IF(C2785="","",IFERROR(INDEX(cl_Code,MATCH(C2785,cl_Name,0)),"Unknown"))</f>
        <v/>
      </c>
      <c r="K2785" s="37" t="str">
        <f aca="false">IF(D2785="","",IFERROR(INDEX(rt_Billable,MATCH(D2785,rt_Code,0)),"Unknown"))</f>
        <v/>
      </c>
      <c r="L2785" s="38" t="str">
        <f aca="false">IF(K2785&lt;&gt;"Yes","",IFERROR(INDEX(cr_Rate,MATCH(J2785&amp;"|"&amp;D2785,cr_Key,0)),INDEX(rt_Rate,MATCH(D2785,rt_Code,0))))</f>
        <v/>
      </c>
      <c r="M2785" s="25" t="str">
        <f aca="false">IF(L2785="","",ROUND(N(E2785)*L2785,2))</f>
        <v/>
      </c>
      <c r="N2785" s="39" t="str">
        <f aca="false">IF(OR(A2785="",B2785=""),"",SUMIFS(tl_Hours,tl_StaffID,I2785,tl_Date,A2785))</f>
        <v/>
      </c>
      <c r="O2785" s="40" t="str">
        <f aca="false">IF(A2785&amp;B2785&amp;D2785="","",IF(OR(A2785="",B2785="",D2785="",E2785=""),"Incomplete",IF(K2785="Unknown","Unknown code",IF(AND(K2785="Yes",C2785=""),"Billable, needs client",IF(N2785&gt;MaxDayHours,"Over "&amp;MaxDayHours&amp;" hours that day","")))))</f>
        <v/>
      </c>
    </row>
    <row r="2786" customFormat="false" ht="15" hidden="false" customHeight="false" outlineLevel="0" collapsed="false">
      <c r="A2786" s="31"/>
      <c r="B2786" s="32"/>
      <c r="C2786" s="32"/>
      <c r="D2786" s="33"/>
      <c r="E2786" s="34"/>
      <c r="F2786" s="32"/>
      <c r="G2786" s="35" t="str">
        <f aca="false">IF(A2786="","",A2786+7-WEEKDAY(A2786))</f>
        <v/>
      </c>
      <c r="H2786" s="36" t="str">
        <f aca="false">IF(A2786="","",DATE(YEAR(A2786),MONTH(A2786),1))</f>
        <v/>
      </c>
      <c r="I2786" s="37" t="str">
        <f aca="false">IF(B2786="","",IFERROR(INDEX(st_ID,MATCH(B2786,st_Name,0)),"Unknown"))</f>
        <v/>
      </c>
      <c r="J2786" s="37" t="str">
        <f aca="false">IF(C2786="","",IFERROR(INDEX(cl_Code,MATCH(C2786,cl_Name,0)),"Unknown"))</f>
        <v/>
      </c>
      <c r="K2786" s="37" t="str">
        <f aca="false">IF(D2786="","",IFERROR(INDEX(rt_Billable,MATCH(D2786,rt_Code,0)),"Unknown"))</f>
        <v/>
      </c>
      <c r="L2786" s="38" t="str">
        <f aca="false">IF(K2786&lt;&gt;"Yes","",IFERROR(INDEX(cr_Rate,MATCH(J2786&amp;"|"&amp;D2786,cr_Key,0)),INDEX(rt_Rate,MATCH(D2786,rt_Code,0))))</f>
        <v/>
      </c>
      <c r="M2786" s="25" t="str">
        <f aca="false">IF(L2786="","",ROUND(N(E2786)*L2786,2))</f>
        <v/>
      </c>
      <c r="N2786" s="39" t="str">
        <f aca="false">IF(OR(A2786="",B2786=""),"",SUMIFS(tl_Hours,tl_StaffID,I2786,tl_Date,A2786))</f>
        <v/>
      </c>
      <c r="O2786" s="40" t="str">
        <f aca="false">IF(A2786&amp;B2786&amp;D2786="","",IF(OR(A2786="",B2786="",D2786="",E2786=""),"Incomplete",IF(K2786="Unknown","Unknown code",IF(AND(K2786="Yes",C2786=""),"Billable, needs client",IF(N2786&gt;MaxDayHours,"Over "&amp;MaxDayHours&amp;" hours that day","")))))</f>
        <v/>
      </c>
    </row>
    <row r="2787" customFormat="false" ht="15" hidden="false" customHeight="false" outlineLevel="0" collapsed="false">
      <c r="A2787" s="31"/>
      <c r="B2787" s="32"/>
      <c r="C2787" s="32"/>
      <c r="D2787" s="33"/>
      <c r="E2787" s="34"/>
      <c r="F2787" s="32"/>
      <c r="G2787" s="35" t="str">
        <f aca="false">IF(A2787="","",A2787+7-WEEKDAY(A2787))</f>
        <v/>
      </c>
      <c r="H2787" s="36" t="str">
        <f aca="false">IF(A2787="","",DATE(YEAR(A2787),MONTH(A2787),1))</f>
        <v/>
      </c>
      <c r="I2787" s="37" t="str">
        <f aca="false">IF(B2787="","",IFERROR(INDEX(st_ID,MATCH(B2787,st_Name,0)),"Unknown"))</f>
        <v/>
      </c>
      <c r="J2787" s="37" t="str">
        <f aca="false">IF(C2787="","",IFERROR(INDEX(cl_Code,MATCH(C2787,cl_Name,0)),"Unknown"))</f>
        <v/>
      </c>
      <c r="K2787" s="37" t="str">
        <f aca="false">IF(D2787="","",IFERROR(INDEX(rt_Billable,MATCH(D2787,rt_Code,0)),"Unknown"))</f>
        <v/>
      </c>
      <c r="L2787" s="38" t="str">
        <f aca="false">IF(K2787&lt;&gt;"Yes","",IFERROR(INDEX(cr_Rate,MATCH(J2787&amp;"|"&amp;D2787,cr_Key,0)),INDEX(rt_Rate,MATCH(D2787,rt_Code,0))))</f>
        <v/>
      </c>
      <c r="M2787" s="25" t="str">
        <f aca="false">IF(L2787="","",ROUND(N(E2787)*L2787,2))</f>
        <v/>
      </c>
      <c r="N2787" s="39" t="str">
        <f aca="false">IF(OR(A2787="",B2787=""),"",SUMIFS(tl_Hours,tl_StaffID,I2787,tl_Date,A2787))</f>
        <v/>
      </c>
      <c r="O2787" s="40" t="str">
        <f aca="false">IF(A2787&amp;B2787&amp;D2787="","",IF(OR(A2787="",B2787="",D2787="",E2787=""),"Incomplete",IF(K2787="Unknown","Unknown code",IF(AND(K2787="Yes",C2787=""),"Billable, needs client",IF(N2787&gt;MaxDayHours,"Over "&amp;MaxDayHours&amp;" hours that day","")))))</f>
        <v/>
      </c>
    </row>
    <row r="2788" customFormat="false" ht="15" hidden="false" customHeight="false" outlineLevel="0" collapsed="false">
      <c r="A2788" s="31"/>
      <c r="B2788" s="32"/>
      <c r="C2788" s="32"/>
      <c r="D2788" s="33"/>
      <c r="E2788" s="34"/>
      <c r="F2788" s="32"/>
      <c r="G2788" s="35" t="str">
        <f aca="false">IF(A2788="","",A2788+7-WEEKDAY(A2788))</f>
        <v/>
      </c>
      <c r="H2788" s="36" t="str">
        <f aca="false">IF(A2788="","",DATE(YEAR(A2788),MONTH(A2788),1))</f>
        <v/>
      </c>
      <c r="I2788" s="37" t="str">
        <f aca="false">IF(B2788="","",IFERROR(INDEX(st_ID,MATCH(B2788,st_Name,0)),"Unknown"))</f>
        <v/>
      </c>
      <c r="J2788" s="37" t="str">
        <f aca="false">IF(C2788="","",IFERROR(INDEX(cl_Code,MATCH(C2788,cl_Name,0)),"Unknown"))</f>
        <v/>
      </c>
      <c r="K2788" s="37" t="str">
        <f aca="false">IF(D2788="","",IFERROR(INDEX(rt_Billable,MATCH(D2788,rt_Code,0)),"Unknown"))</f>
        <v/>
      </c>
      <c r="L2788" s="38" t="str">
        <f aca="false">IF(K2788&lt;&gt;"Yes","",IFERROR(INDEX(cr_Rate,MATCH(J2788&amp;"|"&amp;D2788,cr_Key,0)),INDEX(rt_Rate,MATCH(D2788,rt_Code,0))))</f>
        <v/>
      </c>
      <c r="M2788" s="25" t="str">
        <f aca="false">IF(L2788="","",ROUND(N(E2788)*L2788,2))</f>
        <v/>
      </c>
      <c r="N2788" s="39" t="str">
        <f aca="false">IF(OR(A2788="",B2788=""),"",SUMIFS(tl_Hours,tl_StaffID,I2788,tl_Date,A2788))</f>
        <v/>
      </c>
      <c r="O2788" s="40" t="str">
        <f aca="false">IF(A2788&amp;B2788&amp;D2788="","",IF(OR(A2788="",B2788="",D2788="",E2788=""),"Incomplete",IF(K2788="Unknown","Unknown code",IF(AND(K2788="Yes",C2788=""),"Billable, needs client",IF(N2788&gt;MaxDayHours,"Over "&amp;MaxDayHours&amp;" hours that day","")))))</f>
        <v/>
      </c>
    </row>
    <row r="2789" customFormat="false" ht="15" hidden="false" customHeight="false" outlineLevel="0" collapsed="false">
      <c r="A2789" s="31"/>
      <c r="B2789" s="32"/>
      <c r="C2789" s="32"/>
      <c r="D2789" s="33"/>
      <c r="E2789" s="34"/>
      <c r="F2789" s="32"/>
      <c r="G2789" s="35" t="str">
        <f aca="false">IF(A2789="","",A2789+7-WEEKDAY(A2789))</f>
        <v/>
      </c>
      <c r="H2789" s="36" t="str">
        <f aca="false">IF(A2789="","",DATE(YEAR(A2789),MONTH(A2789),1))</f>
        <v/>
      </c>
      <c r="I2789" s="37" t="str">
        <f aca="false">IF(B2789="","",IFERROR(INDEX(st_ID,MATCH(B2789,st_Name,0)),"Unknown"))</f>
        <v/>
      </c>
      <c r="J2789" s="37" t="str">
        <f aca="false">IF(C2789="","",IFERROR(INDEX(cl_Code,MATCH(C2789,cl_Name,0)),"Unknown"))</f>
        <v/>
      </c>
      <c r="K2789" s="37" t="str">
        <f aca="false">IF(D2789="","",IFERROR(INDEX(rt_Billable,MATCH(D2789,rt_Code,0)),"Unknown"))</f>
        <v/>
      </c>
      <c r="L2789" s="38" t="str">
        <f aca="false">IF(K2789&lt;&gt;"Yes","",IFERROR(INDEX(cr_Rate,MATCH(J2789&amp;"|"&amp;D2789,cr_Key,0)),INDEX(rt_Rate,MATCH(D2789,rt_Code,0))))</f>
        <v/>
      </c>
      <c r="M2789" s="25" t="str">
        <f aca="false">IF(L2789="","",ROUND(N(E2789)*L2789,2))</f>
        <v/>
      </c>
      <c r="N2789" s="39" t="str">
        <f aca="false">IF(OR(A2789="",B2789=""),"",SUMIFS(tl_Hours,tl_StaffID,I2789,tl_Date,A2789))</f>
        <v/>
      </c>
      <c r="O2789" s="40" t="str">
        <f aca="false">IF(A2789&amp;B2789&amp;D2789="","",IF(OR(A2789="",B2789="",D2789="",E2789=""),"Incomplete",IF(K2789="Unknown","Unknown code",IF(AND(K2789="Yes",C2789=""),"Billable, needs client",IF(N2789&gt;MaxDayHours,"Over "&amp;MaxDayHours&amp;" hours that day","")))))</f>
        <v/>
      </c>
    </row>
    <row r="2790" customFormat="false" ht="15" hidden="false" customHeight="false" outlineLevel="0" collapsed="false">
      <c r="A2790" s="31"/>
      <c r="B2790" s="32"/>
      <c r="C2790" s="32"/>
      <c r="D2790" s="33"/>
      <c r="E2790" s="34"/>
      <c r="F2790" s="32"/>
      <c r="G2790" s="35" t="str">
        <f aca="false">IF(A2790="","",A2790+7-WEEKDAY(A2790))</f>
        <v/>
      </c>
      <c r="H2790" s="36" t="str">
        <f aca="false">IF(A2790="","",DATE(YEAR(A2790),MONTH(A2790),1))</f>
        <v/>
      </c>
      <c r="I2790" s="37" t="str">
        <f aca="false">IF(B2790="","",IFERROR(INDEX(st_ID,MATCH(B2790,st_Name,0)),"Unknown"))</f>
        <v/>
      </c>
      <c r="J2790" s="37" t="str">
        <f aca="false">IF(C2790="","",IFERROR(INDEX(cl_Code,MATCH(C2790,cl_Name,0)),"Unknown"))</f>
        <v/>
      </c>
      <c r="K2790" s="37" t="str">
        <f aca="false">IF(D2790="","",IFERROR(INDEX(rt_Billable,MATCH(D2790,rt_Code,0)),"Unknown"))</f>
        <v/>
      </c>
      <c r="L2790" s="38" t="str">
        <f aca="false">IF(K2790&lt;&gt;"Yes","",IFERROR(INDEX(cr_Rate,MATCH(J2790&amp;"|"&amp;D2790,cr_Key,0)),INDEX(rt_Rate,MATCH(D2790,rt_Code,0))))</f>
        <v/>
      </c>
      <c r="M2790" s="25" t="str">
        <f aca="false">IF(L2790="","",ROUND(N(E2790)*L2790,2))</f>
        <v/>
      </c>
      <c r="N2790" s="39" t="str">
        <f aca="false">IF(OR(A2790="",B2790=""),"",SUMIFS(tl_Hours,tl_StaffID,I2790,tl_Date,A2790))</f>
        <v/>
      </c>
      <c r="O2790" s="40" t="str">
        <f aca="false">IF(A2790&amp;B2790&amp;D2790="","",IF(OR(A2790="",B2790="",D2790="",E2790=""),"Incomplete",IF(K2790="Unknown","Unknown code",IF(AND(K2790="Yes",C2790=""),"Billable, needs client",IF(N2790&gt;MaxDayHours,"Over "&amp;MaxDayHours&amp;" hours that day","")))))</f>
        <v/>
      </c>
    </row>
    <row r="2791" customFormat="false" ht="15" hidden="false" customHeight="false" outlineLevel="0" collapsed="false">
      <c r="A2791" s="31"/>
      <c r="B2791" s="32"/>
      <c r="C2791" s="32"/>
      <c r="D2791" s="33"/>
      <c r="E2791" s="34"/>
      <c r="F2791" s="32"/>
      <c r="G2791" s="35" t="str">
        <f aca="false">IF(A2791="","",A2791+7-WEEKDAY(A2791))</f>
        <v/>
      </c>
      <c r="H2791" s="36" t="str">
        <f aca="false">IF(A2791="","",DATE(YEAR(A2791),MONTH(A2791),1))</f>
        <v/>
      </c>
      <c r="I2791" s="37" t="str">
        <f aca="false">IF(B2791="","",IFERROR(INDEX(st_ID,MATCH(B2791,st_Name,0)),"Unknown"))</f>
        <v/>
      </c>
      <c r="J2791" s="37" t="str">
        <f aca="false">IF(C2791="","",IFERROR(INDEX(cl_Code,MATCH(C2791,cl_Name,0)),"Unknown"))</f>
        <v/>
      </c>
      <c r="K2791" s="37" t="str">
        <f aca="false">IF(D2791="","",IFERROR(INDEX(rt_Billable,MATCH(D2791,rt_Code,0)),"Unknown"))</f>
        <v/>
      </c>
      <c r="L2791" s="38" t="str">
        <f aca="false">IF(K2791&lt;&gt;"Yes","",IFERROR(INDEX(cr_Rate,MATCH(J2791&amp;"|"&amp;D2791,cr_Key,0)),INDEX(rt_Rate,MATCH(D2791,rt_Code,0))))</f>
        <v/>
      </c>
      <c r="M2791" s="25" t="str">
        <f aca="false">IF(L2791="","",ROUND(N(E2791)*L2791,2))</f>
        <v/>
      </c>
      <c r="N2791" s="39" t="str">
        <f aca="false">IF(OR(A2791="",B2791=""),"",SUMIFS(tl_Hours,tl_StaffID,I2791,tl_Date,A2791))</f>
        <v/>
      </c>
      <c r="O2791" s="40" t="str">
        <f aca="false">IF(A2791&amp;B2791&amp;D2791="","",IF(OR(A2791="",B2791="",D2791="",E2791=""),"Incomplete",IF(K2791="Unknown","Unknown code",IF(AND(K2791="Yes",C2791=""),"Billable, needs client",IF(N2791&gt;MaxDayHours,"Over "&amp;MaxDayHours&amp;" hours that day","")))))</f>
        <v/>
      </c>
    </row>
    <row r="2792" customFormat="false" ht="15" hidden="false" customHeight="false" outlineLevel="0" collapsed="false">
      <c r="A2792" s="31"/>
      <c r="B2792" s="32"/>
      <c r="C2792" s="32"/>
      <c r="D2792" s="33"/>
      <c r="E2792" s="34"/>
      <c r="F2792" s="32"/>
      <c r="G2792" s="35" t="str">
        <f aca="false">IF(A2792="","",A2792+7-WEEKDAY(A2792))</f>
        <v/>
      </c>
      <c r="H2792" s="36" t="str">
        <f aca="false">IF(A2792="","",DATE(YEAR(A2792),MONTH(A2792),1))</f>
        <v/>
      </c>
      <c r="I2792" s="37" t="str">
        <f aca="false">IF(B2792="","",IFERROR(INDEX(st_ID,MATCH(B2792,st_Name,0)),"Unknown"))</f>
        <v/>
      </c>
      <c r="J2792" s="37" t="str">
        <f aca="false">IF(C2792="","",IFERROR(INDEX(cl_Code,MATCH(C2792,cl_Name,0)),"Unknown"))</f>
        <v/>
      </c>
      <c r="K2792" s="37" t="str">
        <f aca="false">IF(D2792="","",IFERROR(INDEX(rt_Billable,MATCH(D2792,rt_Code,0)),"Unknown"))</f>
        <v/>
      </c>
      <c r="L2792" s="38" t="str">
        <f aca="false">IF(K2792&lt;&gt;"Yes","",IFERROR(INDEX(cr_Rate,MATCH(J2792&amp;"|"&amp;D2792,cr_Key,0)),INDEX(rt_Rate,MATCH(D2792,rt_Code,0))))</f>
        <v/>
      </c>
      <c r="M2792" s="25" t="str">
        <f aca="false">IF(L2792="","",ROUND(N(E2792)*L2792,2))</f>
        <v/>
      </c>
      <c r="N2792" s="39" t="str">
        <f aca="false">IF(OR(A2792="",B2792=""),"",SUMIFS(tl_Hours,tl_StaffID,I2792,tl_Date,A2792))</f>
        <v/>
      </c>
      <c r="O2792" s="40" t="str">
        <f aca="false">IF(A2792&amp;B2792&amp;D2792="","",IF(OR(A2792="",B2792="",D2792="",E2792=""),"Incomplete",IF(K2792="Unknown","Unknown code",IF(AND(K2792="Yes",C2792=""),"Billable, needs client",IF(N2792&gt;MaxDayHours,"Over "&amp;MaxDayHours&amp;" hours that day","")))))</f>
        <v/>
      </c>
    </row>
    <row r="2793" customFormat="false" ht="15" hidden="false" customHeight="false" outlineLevel="0" collapsed="false">
      <c r="A2793" s="31"/>
      <c r="B2793" s="32"/>
      <c r="C2793" s="32"/>
      <c r="D2793" s="33"/>
      <c r="E2793" s="34"/>
      <c r="F2793" s="32"/>
      <c r="G2793" s="35" t="str">
        <f aca="false">IF(A2793="","",A2793+7-WEEKDAY(A2793))</f>
        <v/>
      </c>
      <c r="H2793" s="36" t="str">
        <f aca="false">IF(A2793="","",DATE(YEAR(A2793),MONTH(A2793),1))</f>
        <v/>
      </c>
      <c r="I2793" s="37" t="str">
        <f aca="false">IF(B2793="","",IFERROR(INDEX(st_ID,MATCH(B2793,st_Name,0)),"Unknown"))</f>
        <v/>
      </c>
      <c r="J2793" s="37" t="str">
        <f aca="false">IF(C2793="","",IFERROR(INDEX(cl_Code,MATCH(C2793,cl_Name,0)),"Unknown"))</f>
        <v/>
      </c>
      <c r="K2793" s="37" t="str">
        <f aca="false">IF(D2793="","",IFERROR(INDEX(rt_Billable,MATCH(D2793,rt_Code,0)),"Unknown"))</f>
        <v/>
      </c>
      <c r="L2793" s="38" t="str">
        <f aca="false">IF(K2793&lt;&gt;"Yes","",IFERROR(INDEX(cr_Rate,MATCH(J2793&amp;"|"&amp;D2793,cr_Key,0)),INDEX(rt_Rate,MATCH(D2793,rt_Code,0))))</f>
        <v/>
      </c>
      <c r="M2793" s="25" t="str">
        <f aca="false">IF(L2793="","",ROUND(N(E2793)*L2793,2))</f>
        <v/>
      </c>
      <c r="N2793" s="39" t="str">
        <f aca="false">IF(OR(A2793="",B2793=""),"",SUMIFS(tl_Hours,tl_StaffID,I2793,tl_Date,A2793))</f>
        <v/>
      </c>
      <c r="O2793" s="40" t="str">
        <f aca="false">IF(A2793&amp;B2793&amp;D2793="","",IF(OR(A2793="",B2793="",D2793="",E2793=""),"Incomplete",IF(K2793="Unknown","Unknown code",IF(AND(K2793="Yes",C2793=""),"Billable, needs client",IF(N2793&gt;MaxDayHours,"Over "&amp;MaxDayHours&amp;" hours that day","")))))</f>
        <v/>
      </c>
    </row>
    <row r="2794" customFormat="false" ht="15" hidden="false" customHeight="false" outlineLevel="0" collapsed="false">
      <c r="A2794" s="31"/>
      <c r="B2794" s="32"/>
      <c r="C2794" s="32"/>
      <c r="D2794" s="33"/>
      <c r="E2794" s="34"/>
      <c r="F2794" s="32"/>
      <c r="G2794" s="35" t="str">
        <f aca="false">IF(A2794="","",A2794+7-WEEKDAY(A2794))</f>
        <v/>
      </c>
      <c r="H2794" s="36" t="str">
        <f aca="false">IF(A2794="","",DATE(YEAR(A2794),MONTH(A2794),1))</f>
        <v/>
      </c>
      <c r="I2794" s="37" t="str">
        <f aca="false">IF(B2794="","",IFERROR(INDEX(st_ID,MATCH(B2794,st_Name,0)),"Unknown"))</f>
        <v/>
      </c>
      <c r="J2794" s="37" t="str">
        <f aca="false">IF(C2794="","",IFERROR(INDEX(cl_Code,MATCH(C2794,cl_Name,0)),"Unknown"))</f>
        <v/>
      </c>
      <c r="K2794" s="37" t="str">
        <f aca="false">IF(D2794="","",IFERROR(INDEX(rt_Billable,MATCH(D2794,rt_Code,0)),"Unknown"))</f>
        <v/>
      </c>
      <c r="L2794" s="38" t="str">
        <f aca="false">IF(K2794&lt;&gt;"Yes","",IFERROR(INDEX(cr_Rate,MATCH(J2794&amp;"|"&amp;D2794,cr_Key,0)),INDEX(rt_Rate,MATCH(D2794,rt_Code,0))))</f>
        <v/>
      </c>
      <c r="M2794" s="25" t="str">
        <f aca="false">IF(L2794="","",ROUND(N(E2794)*L2794,2))</f>
        <v/>
      </c>
      <c r="N2794" s="39" t="str">
        <f aca="false">IF(OR(A2794="",B2794=""),"",SUMIFS(tl_Hours,tl_StaffID,I2794,tl_Date,A2794))</f>
        <v/>
      </c>
      <c r="O2794" s="40" t="str">
        <f aca="false">IF(A2794&amp;B2794&amp;D2794="","",IF(OR(A2794="",B2794="",D2794="",E2794=""),"Incomplete",IF(K2794="Unknown","Unknown code",IF(AND(K2794="Yes",C2794=""),"Billable, needs client",IF(N2794&gt;MaxDayHours,"Over "&amp;MaxDayHours&amp;" hours that day","")))))</f>
        <v/>
      </c>
    </row>
    <row r="2795" customFormat="false" ht="15" hidden="false" customHeight="false" outlineLevel="0" collapsed="false">
      <c r="A2795" s="31"/>
      <c r="B2795" s="32"/>
      <c r="C2795" s="32"/>
      <c r="D2795" s="33"/>
      <c r="E2795" s="34"/>
      <c r="F2795" s="32"/>
      <c r="G2795" s="35" t="str">
        <f aca="false">IF(A2795="","",A2795+7-WEEKDAY(A2795))</f>
        <v/>
      </c>
      <c r="H2795" s="36" t="str">
        <f aca="false">IF(A2795="","",DATE(YEAR(A2795),MONTH(A2795),1))</f>
        <v/>
      </c>
      <c r="I2795" s="37" t="str">
        <f aca="false">IF(B2795="","",IFERROR(INDEX(st_ID,MATCH(B2795,st_Name,0)),"Unknown"))</f>
        <v/>
      </c>
      <c r="J2795" s="37" t="str">
        <f aca="false">IF(C2795="","",IFERROR(INDEX(cl_Code,MATCH(C2795,cl_Name,0)),"Unknown"))</f>
        <v/>
      </c>
      <c r="K2795" s="37" t="str">
        <f aca="false">IF(D2795="","",IFERROR(INDEX(rt_Billable,MATCH(D2795,rt_Code,0)),"Unknown"))</f>
        <v/>
      </c>
      <c r="L2795" s="38" t="str">
        <f aca="false">IF(K2795&lt;&gt;"Yes","",IFERROR(INDEX(cr_Rate,MATCH(J2795&amp;"|"&amp;D2795,cr_Key,0)),INDEX(rt_Rate,MATCH(D2795,rt_Code,0))))</f>
        <v/>
      </c>
      <c r="M2795" s="25" t="str">
        <f aca="false">IF(L2795="","",ROUND(N(E2795)*L2795,2))</f>
        <v/>
      </c>
      <c r="N2795" s="39" t="str">
        <f aca="false">IF(OR(A2795="",B2795=""),"",SUMIFS(tl_Hours,tl_StaffID,I2795,tl_Date,A2795))</f>
        <v/>
      </c>
      <c r="O2795" s="40" t="str">
        <f aca="false">IF(A2795&amp;B2795&amp;D2795="","",IF(OR(A2795="",B2795="",D2795="",E2795=""),"Incomplete",IF(K2795="Unknown","Unknown code",IF(AND(K2795="Yes",C2795=""),"Billable, needs client",IF(N2795&gt;MaxDayHours,"Over "&amp;MaxDayHours&amp;" hours that day","")))))</f>
        <v/>
      </c>
    </row>
    <row r="2796" customFormat="false" ht="15" hidden="false" customHeight="false" outlineLevel="0" collapsed="false">
      <c r="A2796" s="31"/>
      <c r="B2796" s="32"/>
      <c r="C2796" s="32"/>
      <c r="D2796" s="33"/>
      <c r="E2796" s="34"/>
      <c r="F2796" s="32"/>
      <c r="G2796" s="35" t="str">
        <f aca="false">IF(A2796="","",A2796+7-WEEKDAY(A2796))</f>
        <v/>
      </c>
      <c r="H2796" s="36" t="str">
        <f aca="false">IF(A2796="","",DATE(YEAR(A2796),MONTH(A2796),1))</f>
        <v/>
      </c>
      <c r="I2796" s="37" t="str">
        <f aca="false">IF(B2796="","",IFERROR(INDEX(st_ID,MATCH(B2796,st_Name,0)),"Unknown"))</f>
        <v/>
      </c>
      <c r="J2796" s="37" t="str">
        <f aca="false">IF(C2796="","",IFERROR(INDEX(cl_Code,MATCH(C2796,cl_Name,0)),"Unknown"))</f>
        <v/>
      </c>
      <c r="K2796" s="37" t="str">
        <f aca="false">IF(D2796="","",IFERROR(INDEX(rt_Billable,MATCH(D2796,rt_Code,0)),"Unknown"))</f>
        <v/>
      </c>
      <c r="L2796" s="38" t="str">
        <f aca="false">IF(K2796&lt;&gt;"Yes","",IFERROR(INDEX(cr_Rate,MATCH(J2796&amp;"|"&amp;D2796,cr_Key,0)),INDEX(rt_Rate,MATCH(D2796,rt_Code,0))))</f>
        <v/>
      </c>
      <c r="M2796" s="25" t="str">
        <f aca="false">IF(L2796="","",ROUND(N(E2796)*L2796,2))</f>
        <v/>
      </c>
      <c r="N2796" s="39" t="str">
        <f aca="false">IF(OR(A2796="",B2796=""),"",SUMIFS(tl_Hours,tl_StaffID,I2796,tl_Date,A2796))</f>
        <v/>
      </c>
      <c r="O2796" s="40" t="str">
        <f aca="false">IF(A2796&amp;B2796&amp;D2796="","",IF(OR(A2796="",B2796="",D2796="",E2796=""),"Incomplete",IF(K2796="Unknown","Unknown code",IF(AND(K2796="Yes",C2796=""),"Billable, needs client",IF(N2796&gt;MaxDayHours,"Over "&amp;MaxDayHours&amp;" hours that day","")))))</f>
        <v/>
      </c>
    </row>
    <row r="2797" customFormat="false" ht="15" hidden="false" customHeight="false" outlineLevel="0" collapsed="false">
      <c r="A2797" s="31"/>
      <c r="B2797" s="32"/>
      <c r="C2797" s="32"/>
      <c r="D2797" s="33"/>
      <c r="E2797" s="34"/>
      <c r="F2797" s="32"/>
      <c r="G2797" s="35" t="str">
        <f aca="false">IF(A2797="","",A2797+7-WEEKDAY(A2797))</f>
        <v/>
      </c>
      <c r="H2797" s="36" t="str">
        <f aca="false">IF(A2797="","",DATE(YEAR(A2797),MONTH(A2797),1))</f>
        <v/>
      </c>
      <c r="I2797" s="37" t="str">
        <f aca="false">IF(B2797="","",IFERROR(INDEX(st_ID,MATCH(B2797,st_Name,0)),"Unknown"))</f>
        <v/>
      </c>
      <c r="J2797" s="37" t="str">
        <f aca="false">IF(C2797="","",IFERROR(INDEX(cl_Code,MATCH(C2797,cl_Name,0)),"Unknown"))</f>
        <v/>
      </c>
      <c r="K2797" s="37" t="str">
        <f aca="false">IF(D2797="","",IFERROR(INDEX(rt_Billable,MATCH(D2797,rt_Code,0)),"Unknown"))</f>
        <v/>
      </c>
      <c r="L2797" s="38" t="str">
        <f aca="false">IF(K2797&lt;&gt;"Yes","",IFERROR(INDEX(cr_Rate,MATCH(J2797&amp;"|"&amp;D2797,cr_Key,0)),INDEX(rt_Rate,MATCH(D2797,rt_Code,0))))</f>
        <v/>
      </c>
      <c r="M2797" s="25" t="str">
        <f aca="false">IF(L2797="","",ROUND(N(E2797)*L2797,2))</f>
        <v/>
      </c>
      <c r="N2797" s="39" t="str">
        <f aca="false">IF(OR(A2797="",B2797=""),"",SUMIFS(tl_Hours,tl_StaffID,I2797,tl_Date,A2797))</f>
        <v/>
      </c>
      <c r="O2797" s="40" t="str">
        <f aca="false">IF(A2797&amp;B2797&amp;D2797="","",IF(OR(A2797="",B2797="",D2797="",E2797=""),"Incomplete",IF(K2797="Unknown","Unknown code",IF(AND(K2797="Yes",C2797=""),"Billable, needs client",IF(N2797&gt;MaxDayHours,"Over "&amp;MaxDayHours&amp;" hours that day","")))))</f>
        <v/>
      </c>
    </row>
    <row r="2798" customFormat="false" ht="15" hidden="false" customHeight="false" outlineLevel="0" collapsed="false">
      <c r="A2798" s="31"/>
      <c r="B2798" s="32"/>
      <c r="C2798" s="32"/>
      <c r="D2798" s="33"/>
      <c r="E2798" s="34"/>
      <c r="F2798" s="32"/>
      <c r="G2798" s="35" t="str">
        <f aca="false">IF(A2798="","",A2798+7-WEEKDAY(A2798))</f>
        <v/>
      </c>
      <c r="H2798" s="36" t="str">
        <f aca="false">IF(A2798="","",DATE(YEAR(A2798),MONTH(A2798),1))</f>
        <v/>
      </c>
      <c r="I2798" s="37" t="str">
        <f aca="false">IF(B2798="","",IFERROR(INDEX(st_ID,MATCH(B2798,st_Name,0)),"Unknown"))</f>
        <v/>
      </c>
      <c r="J2798" s="37" t="str">
        <f aca="false">IF(C2798="","",IFERROR(INDEX(cl_Code,MATCH(C2798,cl_Name,0)),"Unknown"))</f>
        <v/>
      </c>
      <c r="K2798" s="37" t="str">
        <f aca="false">IF(D2798="","",IFERROR(INDEX(rt_Billable,MATCH(D2798,rt_Code,0)),"Unknown"))</f>
        <v/>
      </c>
      <c r="L2798" s="38" t="str">
        <f aca="false">IF(K2798&lt;&gt;"Yes","",IFERROR(INDEX(cr_Rate,MATCH(J2798&amp;"|"&amp;D2798,cr_Key,0)),INDEX(rt_Rate,MATCH(D2798,rt_Code,0))))</f>
        <v/>
      </c>
      <c r="M2798" s="25" t="str">
        <f aca="false">IF(L2798="","",ROUND(N(E2798)*L2798,2))</f>
        <v/>
      </c>
      <c r="N2798" s="39" t="str">
        <f aca="false">IF(OR(A2798="",B2798=""),"",SUMIFS(tl_Hours,tl_StaffID,I2798,tl_Date,A2798))</f>
        <v/>
      </c>
      <c r="O2798" s="40" t="str">
        <f aca="false">IF(A2798&amp;B2798&amp;D2798="","",IF(OR(A2798="",B2798="",D2798="",E2798=""),"Incomplete",IF(K2798="Unknown","Unknown code",IF(AND(K2798="Yes",C2798=""),"Billable, needs client",IF(N2798&gt;MaxDayHours,"Over "&amp;MaxDayHours&amp;" hours that day","")))))</f>
        <v/>
      </c>
    </row>
    <row r="2799" customFormat="false" ht="15" hidden="false" customHeight="false" outlineLevel="0" collapsed="false">
      <c r="A2799" s="31"/>
      <c r="B2799" s="32"/>
      <c r="C2799" s="32"/>
      <c r="D2799" s="33"/>
      <c r="E2799" s="34"/>
      <c r="F2799" s="32"/>
      <c r="G2799" s="35" t="str">
        <f aca="false">IF(A2799="","",A2799+7-WEEKDAY(A2799))</f>
        <v/>
      </c>
      <c r="H2799" s="36" t="str">
        <f aca="false">IF(A2799="","",DATE(YEAR(A2799),MONTH(A2799),1))</f>
        <v/>
      </c>
      <c r="I2799" s="37" t="str">
        <f aca="false">IF(B2799="","",IFERROR(INDEX(st_ID,MATCH(B2799,st_Name,0)),"Unknown"))</f>
        <v/>
      </c>
      <c r="J2799" s="37" t="str">
        <f aca="false">IF(C2799="","",IFERROR(INDEX(cl_Code,MATCH(C2799,cl_Name,0)),"Unknown"))</f>
        <v/>
      </c>
      <c r="K2799" s="37" t="str">
        <f aca="false">IF(D2799="","",IFERROR(INDEX(rt_Billable,MATCH(D2799,rt_Code,0)),"Unknown"))</f>
        <v/>
      </c>
      <c r="L2799" s="38" t="str">
        <f aca="false">IF(K2799&lt;&gt;"Yes","",IFERROR(INDEX(cr_Rate,MATCH(J2799&amp;"|"&amp;D2799,cr_Key,0)),INDEX(rt_Rate,MATCH(D2799,rt_Code,0))))</f>
        <v/>
      </c>
      <c r="M2799" s="25" t="str">
        <f aca="false">IF(L2799="","",ROUND(N(E2799)*L2799,2))</f>
        <v/>
      </c>
      <c r="N2799" s="39" t="str">
        <f aca="false">IF(OR(A2799="",B2799=""),"",SUMIFS(tl_Hours,tl_StaffID,I2799,tl_Date,A2799))</f>
        <v/>
      </c>
      <c r="O2799" s="40" t="str">
        <f aca="false">IF(A2799&amp;B2799&amp;D2799="","",IF(OR(A2799="",B2799="",D2799="",E2799=""),"Incomplete",IF(K2799="Unknown","Unknown code",IF(AND(K2799="Yes",C2799=""),"Billable, needs client",IF(N2799&gt;MaxDayHours,"Over "&amp;MaxDayHours&amp;" hours that day","")))))</f>
        <v/>
      </c>
    </row>
    <row r="2800" customFormat="false" ht="15" hidden="false" customHeight="false" outlineLevel="0" collapsed="false">
      <c r="A2800" s="31"/>
      <c r="B2800" s="32"/>
      <c r="C2800" s="32"/>
      <c r="D2800" s="33"/>
      <c r="E2800" s="34"/>
      <c r="F2800" s="32"/>
      <c r="G2800" s="35" t="str">
        <f aca="false">IF(A2800="","",A2800+7-WEEKDAY(A2800))</f>
        <v/>
      </c>
      <c r="H2800" s="36" t="str">
        <f aca="false">IF(A2800="","",DATE(YEAR(A2800),MONTH(A2800),1))</f>
        <v/>
      </c>
      <c r="I2800" s="37" t="str">
        <f aca="false">IF(B2800="","",IFERROR(INDEX(st_ID,MATCH(B2800,st_Name,0)),"Unknown"))</f>
        <v/>
      </c>
      <c r="J2800" s="37" t="str">
        <f aca="false">IF(C2800="","",IFERROR(INDEX(cl_Code,MATCH(C2800,cl_Name,0)),"Unknown"))</f>
        <v/>
      </c>
      <c r="K2800" s="37" t="str">
        <f aca="false">IF(D2800="","",IFERROR(INDEX(rt_Billable,MATCH(D2800,rt_Code,0)),"Unknown"))</f>
        <v/>
      </c>
      <c r="L2800" s="38" t="str">
        <f aca="false">IF(K2800&lt;&gt;"Yes","",IFERROR(INDEX(cr_Rate,MATCH(J2800&amp;"|"&amp;D2800,cr_Key,0)),INDEX(rt_Rate,MATCH(D2800,rt_Code,0))))</f>
        <v/>
      </c>
      <c r="M2800" s="25" t="str">
        <f aca="false">IF(L2800="","",ROUND(N(E2800)*L2800,2))</f>
        <v/>
      </c>
      <c r="N2800" s="39" t="str">
        <f aca="false">IF(OR(A2800="",B2800=""),"",SUMIFS(tl_Hours,tl_StaffID,I2800,tl_Date,A2800))</f>
        <v/>
      </c>
      <c r="O2800" s="40" t="str">
        <f aca="false">IF(A2800&amp;B2800&amp;D2800="","",IF(OR(A2800="",B2800="",D2800="",E2800=""),"Incomplete",IF(K2800="Unknown","Unknown code",IF(AND(K2800="Yes",C2800=""),"Billable, needs client",IF(N2800&gt;MaxDayHours,"Over "&amp;MaxDayHours&amp;" hours that day","")))))</f>
        <v/>
      </c>
    </row>
    <row r="2801" customFormat="false" ht="15" hidden="false" customHeight="false" outlineLevel="0" collapsed="false">
      <c r="A2801" s="31"/>
      <c r="B2801" s="32"/>
      <c r="C2801" s="32"/>
      <c r="D2801" s="33"/>
      <c r="E2801" s="34"/>
      <c r="F2801" s="32"/>
      <c r="G2801" s="35" t="str">
        <f aca="false">IF(A2801="","",A2801+7-WEEKDAY(A2801))</f>
        <v/>
      </c>
      <c r="H2801" s="36" t="str">
        <f aca="false">IF(A2801="","",DATE(YEAR(A2801),MONTH(A2801),1))</f>
        <v/>
      </c>
      <c r="I2801" s="37" t="str">
        <f aca="false">IF(B2801="","",IFERROR(INDEX(st_ID,MATCH(B2801,st_Name,0)),"Unknown"))</f>
        <v/>
      </c>
      <c r="J2801" s="37" t="str">
        <f aca="false">IF(C2801="","",IFERROR(INDEX(cl_Code,MATCH(C2801,cl_Name,0)),"Unknown"))</f>
        <v/>
      </c>
      <c r="K2801" s="37" t="str">
        <f aca="false">IF(D2801="","",IFERROR(INDEX(rt_Billable,MATCH(D2801,rt_Code,0)),"Unknown"))</f>
        <v/>
      </c>
      <c r="L2801" s="38" t="str">
        <f aca="false">IF(K2801&lt;&gt;"Yes","",IFERROR(INDEX(cr_Rate,MATCH(J2801&amp;"|"&amp;D2801,cr_Key,0)),INDEX(rt_Rate,MATCH(D2801,rt_Code,0))))</f>
        <v/>
      </c>
      <c r="M2801" s="25" t="str">
        <f aca="false">IF(L2801="","",ROUND(N(E2801)*L2801,2))</f>
        <v/>
      </c>
      <c r="N2801" s="39" t="str">
        <f aca="false">IF(OR(A2801="",B2801=""),"",SUMIFS(tl_Hours,tl_StaffID,I2801,tl_Date,A2801))</f>
        <v/>
      </c>
      <c r="O2801" s="40" t="str">
        <f aca="false">IF(A2801&amp;B2801&amp;D2801="","",IF(OR(A2801="",B2801="",D2801="",E2801=""),"Incomplete",IF(K2801="Unknown","Unknown code",IF(AND(K2801="Yes",C2801=""),"Billable, needs client",IF(N2801&gt;MaxDayHours,"Over "&amp;MaxDayHours&amp;" hours that day","")))))</f>
        <v/>
      </c>
    </row>
    <row r="2802" customFormat="false" ht="15" hidden="false" customHeight="false" outlineLevel="0" collapsed="false">
      <c r="A2802" s="31"/>
      <c r="B2802" s="32"/>
      <c r="C2802" s="32"/>
      <c r="D2802" s="33"/>
      <c r="E2802" s="34"/>
      <c r="F2802" s="32"/>
      <c r="G2802" s="35" t="str">
        <f aca="false">IF(A2802="","",A2802+7-WEEKDAY(A2802))</f>
        <v/>
      </c>
      <c r="H2802" s="36" t="str">
        <f aca="false">IF(A2802="","",DATE(YEAR(A2802),MONTH(A2802),1))</f>
        <v/>
      </c>
      <c r="I2802" s="37" t="str">
        <f aca="false">IF(B2802="","",IFERROR(INDEX(st_ID,MATCH(B2802,st_Name,0)),"Unknown"))</f>
        <v/>
      </c>
      <c r="J2802" s="37" t="str">
        <f aca="false">IF(C2802="","",IFERROR(INDEX(cl_Code,MATCH(C2802,cl_Name,0)),"Unknown"))</f>
        <v/>
      </c>
      <c r="K2802" s="37" t="str">
        <f aca="false">IF(D2802="","",IFERROR(INDEX(rt_Billable,MATCH(D2802,rt_Code,0)),"Unknown"))</f>
        <v/>
      </c>
      <c r="L2802" s="38" t="str">
        <f aca="false">IF(K2802&lt;&gt;"Yes","",IFERROR(INDEX(cr_Rate,MATCH(J2802&amp;"|"&amp;D2802,cr_Key,0)),INDEX(rt_Rate,MATCH(D2802,rt_Code,0))))</f>
        <v/>
      </c>
      <c r="M2802" s="25" t="str">
        <f aca="false">IF(L2802="","",ROUND(N(E2802)*L2802,2))</f>
        <v/>
      </c>
      <c r="N2802" s="39" t="str">
        <f aca="false">IF(OR(A2802="",B2802=""),"",SUMIFS(tl_Hours,tl_StaffID,I2802,tl_Date,A2802))</f>
        <v/>
      </c>
      <c r="O2802" s="40" t="str">
        <f aca="false">IF(A2802&amp;B2802&amp;D2802="","",IF(OR(A2802="",B2802="",D2802="",E2802=""),"Incomplete",IF(K2802="Unknown","Unknown code",IF(AND(K2802="Yes",C2802=""),"Billable, needs client",IF(N2802&gt;MaxDayHours,"Over "&amp;MaxDayHours&amp;" hours that day","")))))</f>
        <v/>
      </c>
    </row>
    <row r="2803" customFormat="false" ht="15" hidden="false" customHeight="false" outlineLevel="0" collapsed="false">
      <c r="A2803" s="31"/>
      <c r="B2803" s="32"/>
      <c r="C2803" s="32"/>
      <c r="D2803" s="33"/>
      <c r="E2803" s="34"/>
      <c r="F2803" s="32"/>
      <c r="G2803" s="35" t="str">
        <f aca="false">IF(A2803="","",A2803+7-WEEKDAY(A2803))</f>
        <v/>
      </c>
      <c r="H2803" s="36" t="str">
        <f aca="false">IF(A2803="","",DATE(YEAR(A2803),MONTH(A2803),1))</f>
        <v/>
      </c>
      <c r="I2803" s="37" t="str">
        <f aca="false">IF(B2803="","",IFERROR(INDEX(st_ID,MATCH(B2803,st_Name,0)),"Unknown"))</f>
        <v/>
      </c>
      <c r="J2803" s="37" t="str">
        <f aca="false">IF(C2803="","",IFERROR(INDEX(cl_Code,MATCH(C2803,cl_Name,0)),"Unknown"))</f>
        <v/>
      </c>
      <c r="K2803" s="37" t="str">
        <f aca="false">IF(D2803="","",IFERROR(INDEX(rt_Billable,MATCH(D2803,rt_Code,0)),"Unknown"))</f>
        <v/>
      </c>
      <c r="L2803" s="38" t="str">
        <f aca="false">IF(K2803&lt;&gt;"Yes","",IFERROR(INDEX(cr_Rate,MATCH(J2803&amp;"|"&amp;D2803,cr_Key,0)),INDEX(rt_Rate,MATCH(D2803,rt_Code,0))))</f>
        <v/>
      </c>
      <c r="M2803" s="25" t="str">
        <f aca="false">IF(L2803="","",ROUND(N(E2803)*L2803,2))</f>
        <v/>
      </c>
      <c r="N2803" s="39" t="str">
        <f aca="false">IF(OR(A2803="",B2803=""),"",SUMIFS(tl_Hours,tl_StaffID,I2803,tl_Date,A2803))</f>
        <v/>
      </c>
      <c r="O2803" s="40" t="str">
        <f aca="false">IF(A2803&amp;B2803&amp;D2803="","",IF(OR(A2803="",B2803="",D2803="",E2803=""),"Incomplete",IF(K2803="Unknown","Unknown code",IF(AND(K2803="Yes",C2803=""),"Billable, needs client",IF(N2803&gt;MaxDayHours,"Over "&amp;MaxDayHours&amp;" hours that day","")))))</f>
        <v/>
      </c>
    </row>
    <row r="2804" customFormat="false" ht="15" hidden="false" customHeight="false" outlineLevel="0" collapsed="false">
      <c r="A2804" s="31"/>
      <c r="B2804" s="32"/>
      <c r="C2804" s="32"/>
      <c r="D2804" s="33"/>
      <c r="E2804" s="34"/>
      <c r="F2804" s="32"/>
      <c r="G2804" s="35" t="str">
        <f aca="false">IF(A2804="","",A2804+7-WEEKDAY(A2804))</f>
        <v/>
      </c>
      <c r="H2804" s="36" t="str">
        <f aca="false">IF(A2804="","",DATE(YEAR(A2804),MONTH(A2804),1))</f>
        <v/>
      </c>
      <c r="I2804" s="37" t="str">
        <f aca="false">IF(B2804="","",IFERROR(INDEX(st_ID,MATCH(B2804,st_Name,0)),"Unknown"))</f>
        <v/>
      </c>
      <c r="J2804" s="37" t="str">
        <f aca="false">IF(C2804="","",IFERROR(INDEX(cl_Code,MATCH(C2804,cl_Name,0)),"Unknown"))</f>
        <v/>
      </c>
      <c r="K2804" s="37" t="str">
        <f aca="false">IF(D2804="","",IFERROR(INDEX(rt_Billable,MATCH(D2804,rt_Code,0)),"Unknown"))</f>
        <v/>
      </c>
      <c r="L2804" s="38" t="str">
        <f aca="false">IF(K2804&lt;&gt;"Yes","",IFERROR(INDEX(cr_Rate,MATCH(J2804&amp;"|"&amp;D2804,cr_Key,0)),INDEX(rt_Rate,MATCH(D2804,rt_Code,0))))</f>
        <v/>
      </c>
      <c r="M2804" s="25" t="str">
        <f aca="false">IF(L2804="","",ROUND(N(E2804)*L2804,2))</f>
        <v/>
      </c>
      <c r="N2804" s="39" t="str">
        <f aca="false">IF(OR(A2804="",B2804=""),"",SUMIFS(tl_Hours,tl_StaffID,I2804,tl_Date,A2804))</f>
        <v/>
      </c>
      <c r="O2804" s="40" t="str">
        <f aca="false">IF(A2804&amp;B2804&amp;D2804="","",IF(OR(A2804="",B2804="",D2804="",E2804=""),"Incomplete",IF(K2804="Unknown","Unknown code",IF(AND(K2804="Yes",C2804=""),"Billable, needs client",IF(N2804&gt;MaxDayHours,"Over "&amp;MaxDayHours&amp;" hours that day","")))))</f>
        <v/>
      </c>
    </row>
    <row r="2805" customFormat="false" ht="15" hidden="false" customHeight="false" outlineLevel="0" collapsed="false">
      <c r="A2805" s="31"/>
      <c r="B2805" s="32"/>
      <c r="C2805" s="32"/>
      <c r="D2805" s="33"/>
      <c r="E2805" s="34"/>
      <c r="F2805" s="32"/>
      <c r="G2805" s="35" t="str">
        <f aca="false">IF(A2805="","",A2805+7-WEEKDAY(A2805))</f>
        <v/>
      </c>
      <c r="H2805" s="36" t="str">
        <f aca="false">IF(A2805="","",DATE(YEAR(A2805),MONTH(A2805),1))</f>
        <v/>
      </c>
      <c r="I2805" s="37" t="str">
        <f aca="false">IF(B2805="","",IFERROR(INDEX(st_ID,MATCH(B2805,st_Name,0)),"Unknown"))</f>
        <v/>
      </c>
      <c r="J2805" s="37" t="str">
        <f aca="false">IF(C2805="","",IFERROR(INDEX(cl_Code,MATCH(C2805,cl_Name,0)),"Unknown"))</f>
        <v/>
      </c>
      <c r="K2805" s="37" t="str">
        <f aca="false">IF(D2805="","",IFERROR(INDEX(rt_Billable,MATCH(D2805,rt_Code,0)),"Unknown"))</f>
        <v/>
      </c>
      <c r="L2805" s="38" t="str">
        <f aca="false">IF(K2805&lt;&gt;"Yes","",IFERROR(INDEX(cr_Rate,MATCH(J2805&amp;"|"&amp;D2805,cr_Key,0)),INDEX(rt_Rate,MATCH(D2805,rt_Code,0))))</f>
        <v/>
      </c>
      <c r="M2805" s="25" t="str">
        <f aca="false">IF(L2805="","",ROUND(N(E2805)*L2805,2))</f>
        <v/>
      </c>
      <c r="N2805" s="39" t="str">
        <f aca="false">IF(OR(A2805="",B2805=""),"",SUMIFS(tl_Hours,tl_StaffID,I2805,tl_Date,A2805))</f>
        <v/>
      </c>
      <c r="O2805" s="40" t="str">
        <f aca="false">IF(A2805&amp;B2805&amp;D2805="","",IF(OR(A2805="",B2805="",D2805="",E2805=""),"Incomplete",IF(K2805="Unknown","Unknown code",IF(AND(K2805="Yes",C2805=""),"Billable, needs client",IF(N2805&gt;MaxDayHours,"Over "&amp;MaxDayHours&amp;" hours that day","")))))</f>
        <v/>
      </c>
    </row>
    <row r="2806" customFormat="false" ht="15" hidden="false" customHeight="false" outlineLevel="0" collapsed="false">
      <c r="A2806" s="31"/>
      <c r="B2806" s="32"/>
      <c r="C2806" s="32"/>
      <c r="D2806" s="33"/>
      <c r="E2806" s="34"/>
      <c r="F2806" s="32"/>
      <c r="G2806" s="35" t="str">
        <f aca="false">IF(A2806="","",A2806+7-WEEKDAY(A2806))</f>
        <v/>
      </c>
      <c r="H2806" s="36" t="str">
        <f aca="false">IF(A2806="","",DATE(YEAR(A2806),MONTH(A2806),1))</f>
        <v/>
      </c>
      <c r="I2806" s="37" t="str">
        <f aca="false">IF(B2806="","",IFERROR(INDEX(st_ID,MATCH(B2806,st_Name,0)),"Unknown"))</f>
        <v/>
      </c>
      <c r="J2806" s="37" t="str">
        <f aca="false">IF(C2806="","",IFERROR(INDEX(cl_Code,MATCH(C2806,cl_Name,0)),"Unknown"))</f>
        <v/>
      </c>
      <c r="K2806" s="37" t="str">
        <f aca="false">IF(D2806="","",IFERROR(INDEX(rt_Billable,MATCH(D2806,rt_Code,0)),"Unknown"))</f>
        <v/>
      </c>
      <c r="L2806" s="38" t="str">
        <f aca="false">IF(K2806&lt;&gt;"Yes","",IFERROR(INDEX(cr_Rate,MATCH(J2806&amp;"|"&amp;D2806,cr_Key,0)),INDEX(rt_Rate,MATCH(D2806,rt_Code,0))))</f>
        <v/>
      </c>
      <c r="M2806" s="25" t="str">
        <f aca="false">IF(L2806="","",ROUND(N(E2806)*L2806,2))</f>
        <v/>
      </c>
      <c r="N2806" s="39" t="str">
        <f aca="false">IF(OR(A2806="",B2806=""),"",SUMIFS(tl_Hours,tl_StaffID,I2806,tl_Date,A2806))</f>
        <v/>
      </c>
      <c r="O2806" s="40" t="str">
        <f aca="false">IF(A2806&amp;B2806&amp;D2806="","",IF(OR(A2806="",B2806="",D2806="",E2806=""),"Incomplete",IF(K2806="Unknown","Unknown code",IF(AND(K2806="Yes",C2806=""),"Billable, needs client",IF(N2806&gt;MaxDayHours,"Over "&amp;MaxDayHours&amp;" hours that day","")))))</f>
        <v/>
      </c>
    </row>
    <row r="2807" customFormat="false" ht="15" hidden="false" customHeight="false" outlineLevel="0" collapsed="false">
      <c r="A2807" s="31"/>
      <c r="B2807" s="32"/>
      <c r="C2807" s="32"/>
      <c r="D2807" s="33"/>
      <c r="E2807" s="34"/>
      <c r="F2807" s="32"/>
      <c r="G2807" s="35" t="str">
        <f aca="false">IF(A2807="","",A2807+7-WEEKDAY(A2807))</f>
        <v/>
      </c>
      <c r="H2807" s="36" t="str">
        <f aca="false">IF(A2807="","",DATE(YEAR(A2807),MONTH(A2807),1))</f>
        <v/>
      </c>
      <c r="I2807" s="37" t="str">
        <f aca="false">IF(B2807="","",IFERROR(INDEX(st_ID,MATCH(B2807,st_Name,0)),"Unknown"))</f>
        <v/>
      </c>
      <c r="J2807" s="37" t="str">
        <f aca="false">IF(C2807="","",IFERROR(INDEX(cl_Code,MATCH(C2807,cl_Name,0)),"Unknown"))</f>
        <v/>
      </c>
      <c r="K2807" s="37" t="str">
        <f aca="false">IF(D2807="","",IFERROR(INDEX(rt_Billable,MATCH(D2807,rt_Code,0)),"Unknown"))</f>
        <v/>
      </c>
      <c r="L2807" s="38" t="str">
        <f aca="false">IF(K2807&lt;&gt;"Yes","",IFERROR(INDEX(cr_Rate,MATCH(J2807&amp;"|"&amp;D2807,cr_Key,0)),INDEX(rt_Rate,MATCH(D2807,rt_Code,0))))</f>
        <v/>
      </c>
      <c r="M2807" s="25" t="str">
        <f aca="false">IF(L2807="","",ROUND(N(E2807)*L2807,2))</f>
        <v/>
      </c>
      <c r="N2807" s="39" t="str">
        <f aca="false">IF(OR(A2807="",B2807=""),"",SUMIFS(tl_Hours,tl_StaffID,I2807,tl_Date,A2807))</f>
        <v/>
      </c>
      <c r="O2807" s="40" t="str">
        <f aca="false">IF(A2807&amp;B2807&amp;D2807="","",IF(OR(A2807="",B2807="",D2807="",E2807=""),"Incomplete",IF(K2807="Unknown","Unknown code",IF(AND(K2807="Yes",C2807=""),"Billable, needs client",IF(N2807&gt;MaxDayHours,"Over "&amp;MaxDayHours&amp;" hours that day","")))))</f>
        <v/>
      </c>
    </row>
    <row r="2808" customFormat="false" ht="15" hidden="false" customHeight="false" outlineLevel="0" collapsed="false">
      <c r="A2808" s="31"/>
      <c r="B2808" s="32"/>
      <c r="C2808" s="32"/>
      <c r="D2808" s="33"/>
      <c r="E2808" s="34"/>
      <c r="F2808" s="32"/>
      <c r="G2808" s="35" t="str">
        <f aca="false">IF(A2808="","",A2808+7-WEEKDAY(A2808))</f>
        <v/>
      </c>
      <c r="H2808" s="36" t="str">
        <f aca="false">IF(A2808="","",DATE(YEAR(A2808),MONTH(A2808),1))</f>
        <v/>
      </c>
      <c r="I2808" s="37" t="str">
        <f aca="false">IF(B2808="","",IFERROR(INDEX(st_ID,MATCH(B2808,st_Name,0)),"Unknown"))</f>
        <v/>
      </c>
      <c r="J2808" s="37" t="str">
        <f aca="false">IF(C2808="","",IFERROR(INDEX(cl_Code,MATCH(C2808,cl_Name,0)),"Unknown"))</f>
        <v/>
      </c>
      <c r="K2808" s="37" t="str">
        <f aca="false">IF(D2808="","",IFERROR(INDEX(rt_Billable,MATCH(D2808,rt_Code,0)),"Unknown"))</f>
        <v/>
      </c>
      <c r="L2808" s="38" t="str">
        <f aca="false">IF(K2808&lt;&gt;"Yes","",IFERROR(INDEX(cr_Rate,MATCH(J2808&amp;"|"&amp;D2808,cr_Key,0)),INDEX(rt_Rate,MATCH(D2808,rt_Code,0))))</f>
        <v/>
      </c>
      <c r="M2808" s="25" t="str">
        <f aca="false">IF(L2808="","",ROUND(N(E2808)*L2808,2))</f>
        <v/>
      </c>
      <c r="N2808" s="39" t="str">
        <f aca="false">IF(OR(A2808="",B2808=""),"",SUMIFS(tl_Hours,tl_StaffID,I2808,tl_Date,A2808))</f>
        <v/>
      </c>
      <c r="O2808" s="40" t="str">
        <f aca="false">IF(A2808&amp;B2808&amp;D2808="","",IF(OR(A2808="",B2808="",D2808="",E2808=""),"Incomplete",IF(K2808="Unknown","Unknown code",IF(AND(K2808="Yes",C2808=""),"Billable, needs client",IF(N2808&gt;MaxDayHours,"Over "&amp;MaxDayHours&amp;" hours that day","")))))</f>
        <v/>
      </c>
    </row>
    <row r="2809" customFormat="false" ht="15" hidden="false" customHeight="false" outlineLevel="0" collapsed="false">
      <c r="A2809" s="31"/>
      <c r="B2809" s="32"/>
      <c r="C2809" s="32"/>
      <c r="D2809" s="33"/>
      <c r="E2809" s="34"/>
      <c r="F2809" s="32"/>
      <c r="G2809" s="35" t="str">
        <f aca="false">IF(A2809="","",A2809+7-WEEKDAY(A2809))</f>
        <v/>
      </c>
      <c r="H2809" s="36" t="str">
        <f aca="false">IF(A2809="","",DATE(YEAR(A2809),MONTH(A2809),1))</f>
        <v/>
      </c>
      <c r="I2809" s="37" t="str">
        <f aca="false">IF(B2809="","",IFERROR(INDEX(st_ID,MATCH(B2809,st_Name,0)),"Unknown"))</f>
        <v/>
      </c>
      <c r="J2809" s="37" t="str">
        <f aca="false">IF(C2809="","",IFERROR(INDEX(cl_Code,MATCH(C2809,cl_Name,0)),"Unknown"))</f>
        <v/>
      </c>
      <c r="K2809" s="37" t="str">
        <f aca="false">IF(D2809="","",IFERROR(INDEX(rt_Billable,MATCH(D2809,rt_Code,0)),"Unknown"))</f>
        <v/>
      </c>
      <c r="L2809" s="38" t="str">
        <f aca="false">IF(K2809&lt;&gt;"Yes","",IFERROR(INDEX(cr_Rate,MATCH(J2809&amp;"|"&amp;D2809,cr_Key,0)),INDEX(rt_Rate,MATCH(D2809,rt_Code,0))))</f>
        <v/>
      </c>
      <c r="M2809" s="25" t="str">
        <f aca="false">IF(L2809="","",ROUND(N(E2809)*L2809,2))</f>
        <v/>
      </c>
      <c r="N2809" s="39" t="str">
        <f aca="false">IF(OR(A2809="",B2809=""),"",SUMIFS(tl_Hours,tl_StaffID,I2809,tl_Date,A2809))</f>
        <v/>
      </c>
      <c r="O2809" s="40" t="str">
        <f aca="false">IF(A2809&amp;B2809&amp;D2809="","",IF(OR(A2809="",B2809="",D2809="",E2809=""),"Incomplete",IF(K2809="Unknown","Unknown code",IF(AND(K2809="Yes",C2809=""),"Billable, needs client",IF(N2809&gt;MaxDayHours,"Over "&amp;MaxDayHours&amp;" hours that day","")))))</f>
        <v/>
      </c>
    </row>
    <row r="2810" customFormat="false" ht="15" hidden="false" customHeight="false" outlineLevel="0" collapsed="false">
      <c r="A2810" s="31"/>
      <c r="B2810" s="32"/>
      <c r="C2810" s="32"/>
      <c r="D2810" s="33"/>
      <c r="E2810" s="34"/>
      <c r="F2810" s="32"/>
      <c r="G2810" s="35" t="str">
        <f aca="false">IF(A2810="","",A2810+7-WEEKDAY(A2810))</f>
        <v/>
      </c>
      <c r="H2810" s="36" t="str">
        <f aca="false">IF(A2810="","",DATE(YEAR(A2810),MONTH(A2810),1))</f>
        <v/>
      </c>
      <c r="I2810" s="37" t="str">
        <f aca="false">IF(B2810="","",IFERROR(INDEX(st_ID,MATCH(B2810,st_Name,0)),"Unknown"))</f>
        <v/>
      </c>
      <c r="J2810" s="37" t="str">
        <f aca="false">IF(C2810="","",IFERROR(INDEX(cl_Code,MATCH(C2810,cl_Name,0)),"Unknown"))</f>
        <v/>
      </c>
      <c r="K2810" s="37" t="str">
        <f aca="false">IF(D2810="","",IFERROR(INDEX(rt_Billable,MATCH(D2810,rt_Code,0)),"Unknown"))</f>
        <v/>
      </c>
      <c r="L2810" s="38" t="str">
        <f aca="false">IF(K2810&lt;&gt;"Yes","",IFERROR(INDEX(cr_Rate,MATCH(J2810&amp;"|"&amp;D2810,cr_Key,0)),INDEX(rt_Rate,MATCH(D2810,rt_Code,0))))</f>
        <v/>
      </c>
      <c r="M2810" s="25" t="str">
        <f aca="false">IF(L2810="","",ROUND(N(E2810)*L2810,2))</f>
        <v/>
      </c>
      <c r="N2810" s="39" t="str">
        <f aca="false">IF(OR(A2810="",B2810=""),"",SUMIFS(tl_Hours,tl_StaffID,I2810,tl_Date,A2810))</f>
        <v/>
      </c>
      <c r="O2810" s="40" t="str">
        <f aca="false">IF(A2810&amp;B2810&amp;D2810="","",IF(OR(A2810="",B2810="",D2810="",E2810=""),"Incomplete",IF(K2810="Unknown","Unknown code",IF(AND(K2810="Yes",C2810=""),"Billable, needs client",IF(N2810&gt;MaxDayHours,"Over "&amp;MaxDayHours&amp;" hours that day","")))))</f>
        <v/>
      </c>
    </row>
    <row r="2811" customFormat="false" ht="15" hidden="false" customHeight="false" outlineLevel="0" collapsed="false">
      <c r="A2811" s="31"/>
      <c r="B2811" s="32"/>
      <c r="C2811" s="32"/>
      <c r="D2811" s="33"/>
      <c r="E2811" s="34"/>
      <c r="F2811" s="32"/>
      <c r="G2811" s="35" t="str">
        <f aca="false">IF(A2811="","",A2811+7-WEEKDAY(A2811))</f>
        <v/>
      </c>
      <c r="H2811" s="36" t="str">
        <f aca="false">IF(A2811="","",DATE(YEAR(A2811),MONTH(A2811),1))</f>
        <v/>
      </c>
      <c r="I2811" s="37" t="str">
        <f aca="false">IF(B2811="","",IFERROR(INDEX(st_ID,MATCH(B2811,st_Name,0)),"Unknown"))</f>
        <v/>
      </c>
      <c r="J2811" s="37" t="str">
        <f aca="false">IF(C2811="","",IFERROR(INDEX(cl_Code,MATCH(C2811,cl_Name,0)),"Unknown"))</f>
        <v/>
      </c>
      <c r="K2811" s="37" t="str">
        <f aca="false">IF(D2811="","",IFERROR(INDEX(rt_Billable,MATCH(D2811,rt_Code,0)),"Unknown"))</f>
        <v/>
      </c>
      <c r="L2811" s="38" t="str">
        <f aca="false">IF(K2811&lt;&gt;"Yes","",IFERROR(INDEX(cr_Rate,MATCH(J2811&amp;"|"&amp;D2811,cr_Key,0)),INDEX(rt_Rate,MATCH(D2811,rt_Code,0))))</f>
        <v/>
      </c>
      <c r="M2811" s="25" t="str">
        <f aca="false">IF(L2811="","",ROUND(N(E2811)*L2811,2))</f>
        <v/>
      </c>
      <c r="N2811" s="39" t="str">
        <f aca="false">IF(OR(A2811="",B2811=""),"",SUMIFS(tl_Hours,tl_StaffID,I2811,tl_Date,A2811))</f>
        <v/>
      </c>
      <c r="O2811" s="40" t="str">
        <f aca="false">IF(A2811&amp;B2811&amp;D2811="","",IF(OR(A2811="",B2811="",D2811="",E2811=""),"Incomplete",IF(K2811="Unknown","Unknown code",IF(AND(K2811="Yes",C2811=""),"Billable, needs client",IF(N2811&gt;MaxDayHours,"Over "&amp;MaxDayHours&amp;" hours that day","")))))</f>
        <v/>
      </c>
    </row>
    <row r="2812" customFormat="false" ht="15" hidden="false" customHeight="false" outlineLevel="0" collapsed="false">
      <c r="A2812" s="31"/>
      <c r="B2812" s="32"/>
      <c r="C2812" s="32"/>
      <c r="D2812" s="33"/>
      <c r="E2812" s="34"/>
      <c r="F2812" s="32"/>
      <c r="G2812" s="35" t="str">
        <f aca="false">IF(A2812="","",A2812+7-WEEKDAY(A2812))</f>
        <v/>
      </c>
      <c r="H2812" s="36" t="str">
        <f aca="false">IF(A2812="","",DATE(YEAR(A2812),MONTH(A2812),1))</f>
        <v/>
      </c>
      <c r="I2812" s="37" t="str">
        <f aca="false">IF(B2812="","",IFERROR(INDEX(st_ID,MATCH(B2812,st_Name,0)),"Unknown"))</f>
        <v/>
      </c>
      <c r="J2812" s="37" t="str">
        <f aca="false">IF(C2812="","",IFERROR(INDEX(cl_Code,MATCH(C2812,cl_Name,0)),"Unknown"))</f>
        <v/>
      </c>
      <c r="K2812" s="37" t="str">
        <f aca="false">IF(D2812="","",IFERROR(INDEX(rt_Billable,MATCH(D2812,rt_Code,0)),"Unknown"))</f>
        <v/>
      </c>
      <c r="L2812" s="38" t="str">
        <f aca="false">IF(K2812&lt;&gt;"Yes","",IFERROR(INDEX(cr_Rate,MATCH(J2812&amp;"|"&amp;D2812,cr_Key,0)),INDEX(rt_Rate,MATCH(D2812,rt_Code,0))))</f>
        <v/>
      </c>
      <c r="M2812" s="25" t="str">
        <f aca="false">IF(L2812="","",ROUND(N(E2812)*L2812,2))</f>
        <v/>
      </c>
      <c r="N2812" s="39" t="str">
        <f aca="false">IF(OR(A2812="",B2812=""),"",SUMIFS(tl_Hours,tl_StaffID,I2812,tl_Date,A2812))</f>
        <v/>
      </c>
      <c r="O2812" s="40" t="str">
        <f aca="false">IF(A2812&amp;B2812&amp;D2812="","",IF(OR(A2812="",B2812="",D2812="",E2812=""),"Incomplete",IF(K2812="Unknown","Unknown code",IF(AND(K2812="Yes",C2812=""),"Billable, needs client",IF(N2812&gt;MaxDayHours,"Over "&amp;MaxDayHours&amp;" hours that day","")))))</f>
        <v/>
      </c>
    </row>
    <row r="2813" customFormat="false" ht="15" hidden="false" customHeight="false" outlineLevel="0" collapsed="false">
      <c r="A2813" s="31"/>
      <c r="B2813" s="32"/>
      <c r="C2813" s="32"/>
      <c r="D2813" s="33"/>
      <c r="E2813" s="34"/>
      <c r="F2813" s="32"/>
      <c r="G2813" s="35" t="str">
        <f aca="false">IF(A2813="","",A2813+7-WEEKDAY(A2813))</f>
        <v/>
      </c>
      <c r="H2813" s="36" t="str">
        <f aca="false">IF(A2813="","",DATE(YEAR(A2813),MONTH(A2813),1))</f>
        <v/>
      </c>
      <c r="I2813" s="37" t="str">
        <f aca="false">IF(B2813="","",IFERROR(INDEX(st_ID,MATCH(B2813,st_Name,0)),"Unknown"))</f>
        <v/>
      </c>
      <c r="J2813" s="37" t="str">
        <f aca="false">IF(C2813="","",IFERROR(INDEX(cl_Code,MATCH(C2813,cl_Name,0)),"Unknown"))</f>
        <v/>
      </c>
      <c r="K2813" s="37" t="str">
        <f aca="false">IF(D2813="","",IFERROR(INDEX(rt_Billable,MATCH(D2813,rt_Code,0)),"Unknown"))</f>
        <v/>
      </c>
      <c r="L2813" s="38" t="str">
        <f aca="false">IF(K2813&lt;&gt;"Yes","",IFERROR(INDEX(cr_Rate,MATCH(J2813&amp;"|"&amp;D2813,cr_Key,0)),INDEX(rt_Rate,MATCH(D2813,rt_Code,0))))</f>
        <v/>
      </c>
      <c r="M2813" s="25" t="str">
        <f aca="false">IF(L2813="","",ROUND(N(E2813)*L2813,2))</f>
        <v/>
      </c>
      <c r="N2813" s="39" t="str">
        <f aca="false">IF(OR(A2813="",B2813=""),"",SUMIFS(tl_Hours,tl_StaffID,I2813,tl_Date,A2813))</f>
        <v/>
      </c>
      <c r="O2813" s="40" t="str">
        <f aca="false">IF(A2813&amp;B2813&amp;D2813="","",IF(OR(A2813="",B2813="",D2813="",E2813=""),"Incomplete",IF(K2813="Unknown","Unknown code",IF(AND(K2813="Yes",C2813=""),"Billable, needs client",IF(N2813&gt;MaxDayHours,"Over "&amp;MaxDayHours&amp;" hours that day","")))))</f>
        <v/>
      </c>
    </row>
    <row r="2814" customFormat="false" ht="15" hidden="false" customHeight="false" outlineLevel="0" collapsed="false">
      <c r="A2814" s="31"/>
      <c r="B2814" s="32"/>
      <c r="C2814" s="32"/>
      <c r="D2814" s="33"/>
      <c r="E2814" s="34"/>
      <c r="F2814" s="32"/>
      <c r="G2814" s="35" t="str">
        <f aca="false">IF(A2814="","",A2814+7-WEEKDAY(A2814))</f>
        <v/>
      </c>
      <c r="H2814" s="36" t="str">
        <f aca="false">IF(A2814="","",DATE(YEAR(A2814),MONTH(A2814),1))</f>
        <v/>
      </c>
      <c r="I2814" s="37" t="str">
        <f aca="false">IF(B2814="","",IFERROR(INDEX(st_ID,MATCH(B2814,st_Name,0)),"Unknown"))</f>
        <v/>
      </c>
      <c r="J2814" s="37" t="str">
        <f aca="false">IF(C2814="","",IFERROR(INDEX(cl_Code,MATCH(C2814,cl_Name,0)),"Unknown"))</f>
        <v/>
      </c>
      <c r="K2814" s="37" t="str">
        <f aca="false">IF(D2814="","",IFERROR(INDEX(rt_Billable,MATCH(D2814,rt_Code,0)),"Unknown"))</f>
        <v/>
      </c>
      <c r="L2814" s="38" t="str">
        <f aca="false">IF(K2814&lt;&gt;"Yes","",IFERROR(INDEX(cr_Rate,MATCH(J2814&amp;"|"&amp;D2814,cr_Key,0)),INDEX(rt_Rate,MATCH(D2814,rt_Code,0))))</f>
        <v/>
      </c>
      <c r="M2814" s="25" t="str">
        <f aca="false">IF(L2814="","",ROUND(N(E2814)*L2814,2))</f>
        <v/>
      </c>
      <c r="N2814" s="39" t="str">
        <f aca="false">IF(OR(A2814="",B2814=""),"",SUMIFS(tl_Hours,tl_StaffID,I2814,tl_Date,A2814))</f>
        <v/>
      </c>
      <c r="O2814" s="40" t="str">
        <f aca="false">IF(A2814&amp;B2814&amp;D2814="","",IF(OR(A2814="",B2814="",D2814="",E2814=""),"Incomplete",IF(K2814="Unknown","Unknown code",IF(AND(K2814="Yes",C2814=""),"Billable, needs client",IF(N2814&gt;MaxDayHours,"Over "&amp;MaxDayHours&amp;" hours that day","")))))</f>
        <v/>
      </c>
    </row>
    <row r="2815" customFormat="false" ht="15" hidden="false" customHeight="false" outlineLevel="0" collapsed="false">
      <c r="A2815" s="31"/>
      <c r="B2815" s="32"/>
      <c r="C2815" s="32"/>
      <c r="D2815" s="33"/>
      <c r="E2815" s="34"/>
      <c r="F2815" s="32"/>
      <c r="G2815" s="35" t="str">
        <f aca="false">IF(A2815="","",A2815+7-WEEKDAY(A2815))</f>
        <v/>
      </c>
      <c r="H2815" s="36" t="str">
        <f aca="false">IF(A2815="","",DATE(YEAR(A2815),MONTH(A2815),1))</f>
        <v/>
      </c>
      <c r="I2815" s="37" t="str">
        <f aca="false">IF(B2815="","",IFERROR(INDEX(st_ID,MATCH(B2815,st_Name,0)),"Unknown"))</f>
        <v/>
      </c>
      <c r="J2815" s="37" t="str">
        <f aca="false">IF(C2815="","",IFERROR(INDEX(cl_Code,MATCH(C2815,cl_Name,0)),"Unknown"))</f>
        <v/>
      </c>
      <c r="K2815" s="37" t="str">
        <f aca="false">IF(D2815="","",IFERROR(INDEX(rt_Billable,MATCH(D2815,rt_Code,0)),"Unknown"))</f>
        <v/>
      </c>
      <c r="L2815" s="38" t="str">
        <f aca="false">IF(K2815&lt;&gt;"Yes","",IFERROR(INDEX(cr_Rate,MATCH(J2815&amp;"|"&amp;D2815,cr_Key,0)),INDEX(rt_Rate,MATCH(D2815,rt_Code,0))))</f>
        <v/>
      </c>
      <c r="M2815" s="25" t="str">
        <f aca="false">IF(L2815="","",ROUND(N(E2815)*L2815,2))</f>
        <v/>
      </c>
      <c r="N2815" s="39" t="str">
        <f aca="false">IF(OR(A2815="",B2815=""),"",SUMIFS(tl_Hours,tl_StaffID,I2815,tl_Date,A2815))</f>
        <v/>
      </c>
      <c r="O2815" s="40" t="str">
        <f aca="false">IF(A2815&amp;B2815&amp;D2815="","",IF(OR(A2815="",B2815="",D2815="",E2815=""),"Incomplete",IF(K2815="Unknown","Unknown code",IF(AND(K2815="Yes",C2815=""),"Billable, needs client",IF(N2815&gt;MaxDayHours,"Over "&amp;MaxDayHours&amp;" hours that day","")))))</f>
        <v/>
      </c>
    </row>
    <row r="2816" customFormat="false" ht="15" hidden="false" customHeight="false" outlineLevel="0" collapsed="false">
      <c r="A2816" s="31"/>
      <c r="B2816" s="32"/>
      <c r="C2816" s="32"/>
      <c r="D2816" s="33"/>
      <c r="E2816" s="34"/>
      <c r="F2816" s="32"/>
      <c r="G2816" s="35" t="str">
        <f aca="false">IF(A2816="","",A2816+7-WEEKDAY(A2816))</f>
        <v/>
      </c>
      <c r="H2816" s="36" t="str">
        <f aca="false">IF(A2816="","",DATE(YEAR(A2816),MONTH(A2816),1))</f>
        <v/>
      </c>
      <c r="I2816" s="37" t="str">
        <f aca="false">IF(B2816="","",IFERROR(INDEX(st_ID,MATCH(B2816,st_Name,0)),"Unknown"))</f>
        <v/>
      </c>
      <c r="J2816" s="37" t="str">
        <f aca="false">IF(C2816="","",IFERROR(INDEX(cl_Code,MATCH(C2816,cl_Name,0)),"Unknown"))</f>
        <v/>
      </c>
      <c r="K2816" s="37" t="str">
        <f aca="false">IF(D2816="","",IFERROR(INDEX(rt_Billable,MATCH(D2816,rt_Code,0)),"Unknown"))</f>
        <v/>
      </c>
      <c r="L2816" s="38" t="str">
        <f aca="false">IF(K2816&lt;&gt;"Yes","",IFERROR(INDEX(cr_Rate,MATCH(J2816&amp;"|"&amp;D2816,cr_Key,0)),INDEX(rt_Rate,MATCH(D2816,rt_Code,0))))</f>
        <v/>
      </c>
      <c r="M2816" s="25" t="str">
        <f aca="false">IF(L2816="","",ROUND(N(E2816)*L2816,2))</f>
        <v/>
      </c>
      <c r="N2816" s="39" t="str">
        <f aca="false">IF(OR(A2816="",B2816=""),"",SUMIFS(tl_Hours,tl_StaffID,I2816,tl_Date,A2816))</f>
        <v/>
      </c>
      <c r="O2816" s="40" t="str">
        <f aca="false">IF(A2816&amp;B2816&amp;D2816="","",IF(OR(A2816="",B2816="",D2816="",E2816=""),"Incomplete",IF(K2816="Unknown","Unknown code",IF(AND(K2816="Yes",C2816=""),"Billable, needs client",IF(N2816&gt;MaxDayHours,"Over "&amp;MaxDayHours&amp;" hours that day","")))))</f>
        <v/>
      </c>
    </row>
    <row r="2817" customFormat="false" ht="15" hidden="false" customHeight="false" outlineLevel="0" collapsed="false">
      <c r="A2817" s="31"/>
      <c r="B2817" s="32"/>
      <c r="C2817" s="32"/>
      <c r="D2817" s="33"/>
      <c r="E2817" s="34"/>
      <c r="F2817" s="32"/>
      <c r="G2817" s="35" t="str">
        <f aca="false">IF(A2817="","",A2817+7-WEEKDAY(A2817))</f>
        <v/>
      </c>
      <c r="H2817" s="36" t="str">
        <f aca="false">IF(A2817="","",DATE(YEAR(A2817),MONTH(A2817),1))</f>
        <v/>
      </c>
      <c r="I2817" s="37" t="str">
        <f aca="false">IF(B2817="","",IFERROR(INDEX(st_ID,MATCH(B2817,st_Name,0)),"Unknown"))</f>
        <v/>
      </c>
      <c r="J2817" s="37" t="str">
        <f aca="false">IF(C2817="","",IFERROR(INDEX(cl_Code,MATCH(C2817,cl_Name,0)),"Unknown"))</f>
        <v/>
      </c>
      <c r="K2817" s="37" t="str">
        <f aca="false">IF(D2817="","",IFERROR(INDEX(rt_Billable,MATCH(D2817,rt_Code,0)),"Unknown"))</f>
        <v/>
      </c>
      <c r="L2817" s="38" t="str">
        <f aca="false">IF(K2817&lt;&gt;"Yes","",IFERROR(INDEX(cr_Rate,MATCH(J2817&amp;"|"&amp;D2817,cr_Key,0)),INDEX(rt_Rate,MATCH(D2817,rt_Code,0))))</f>
        <v/>
      </c>
      <c r="M2817" s="25" t="str">
        <f aca="false">IF(L2817="","",ROUND(N(E2817)*L2817,2))</f>
        <v/>
      </c>
      <c r="N2817" s="39" t="str">
        <f aca="false">IF(OR(A2817="",B2817=""),"",SUMIFS(tl_Hours,tl_StaffID,I2817,tl_Date,A2817))</f>
        <v/>
      </c>
      <c r="O2817" s="40" t="str">
        <f aca="false">IF(A2817&amp;B2817&amp;D2817="","",IF(OR(A2817="",B2817="",D2817="",E2817=""),"Incomplete",IF(K2817="Unknown","Unknown code",IF(AND(K2817="Yes",C2817=""),"Billable, needs client",IF(N2817&gt;MaxDayHours,"Over "&amp;MaxDayHours&amp;" hours that day","")))))</f>
        <v/>
      </c>
    </row>
    <row r="2818" customFormat="false" ht="15" hidden="false" customHeight="false" outlineLevel="0" collapsed="false">
      <c r="A2818" s="31"/>
      <c r="B2818" s="32"/>
      <c r="C2818" s="32"/>
      <c r="D2818" s="33"/>
      <c r="E2818" s="34"/>
      <c r="F2818" s="32"/>
      <c r="G2818" s="35" t="str">
        <f aca="false">IF(A2818="","",A2818+7-WEEKDAY(A2818))</f>
        <v/>
      </c>
      <c r="H2818" s="36" t="str">
        <f aca="false">IF(A2818="","",DATE(YEAR(A2818),MONTH(A2818),1))</f>
        <v/>
      </c>
      <c r="I2818" s="37" t="str">
        <f aca="false">IF(B2818="","",IFERROR(INDEX(st_ID,MATCH(B2818,st_Name,0)),"Unknown"))</f>
        <v/>
      </c>
      <c r="J2818" s="37" t="str">
        <f aca="false">IF(C2818="","",IFERROR(INDEX(cl_Code,MATCH(C2818,cl_Name,0)),"Unknown"))</f>
        <v/>
      </c>
      <c r="K2818" s="37" t="str">
        <f aca="false">IF(D2818="","",IFERROR(INDEX(rt_Billable,MATCH(D2818,rt_Code,0)),"Unknown"))</f>
        <v/>
      </c>
      <c r="L2818" s="38" t="str">
        <f aca="false">IF(K2818&lt;&gt;"Yes","",IFERROR(INDEX(cr_Rate,MATCH(J2818&amp;"|"&amp;D2818,cr_Key,0)),INDEX(rt_Rate,MATCH(D2818,rt_Code,0))))</f>
        <v/>
      </c>
      <c r="M2818" s="25" t="str">
        <f aca="false">IF(L2818="","",ROUND(N(E2818)*L2818,2))</f>
        <v/>
      </c>
      <c r="N2818" s="39" t="str">
        <f aca="false">IF(OR(A2818="",B2818=""),"",SUMIFS(tl_Hours,tl_StaffID,I2818,tl_Date,A2818))</f>
        <v/>
      </c>
      <c r="O2818" s="40" t="str">
        <f aca="false">IF(A2818&amp;B2818&amp;D2818="","",IF(OR(A2818="",B2818="",D2818="",E2818=""),"Incomplete",IF(K2818="Unknown","Unknown code",IF(AND(K2818="Yes",C2818=""),"Billable, needs client",IF(N2818&gt;MaxDayHours,"Over "&amp;MaxDayHours&amp;" hours that day","")))))</f>
        <v/>
      </c>
    </row>
    <row r="2819" customFormat="false" ht="15" hidden="false" customHeight="false" outlineLevel="0" collapsed="false">
      <c r="A2819" s="31"/>
      <c r="B2819" s="32"/>
      <c r="C2819" s="32"/>
      <c r="D2819" s="33"/>
      <c r="E2819" s="34"/>
      <c r="F2819" s="32"/>
      <c r="G2819" s="35" t="str">
        <f aca="false">IF(A2819="","",A2819+7-WEEKDAY(A2819))</f>
        <v/>
      </c>
      <c r="H2819" s="36" t="str">
        <f aca="false">IF(A2819="","",DATE(YEAR(A2819),MONTH(A2819),1))</f>
        <v/>
      </c>
      <c r="I2819" s="37" t="str">
        <f aca="false">IF(B2819="","",IFERROR(INDEX(st_ID,MATCH(B2819,st_Name,0)),"Unknown"))</f>
        <v/>
      </c>
      <c r="J2819" s="37" t="str">
        <f aca="false">IF(C2819="","",IFERROR(INDEX(cl_Code,MATCH(C2819,cl_Name,0)),"Unknown"))</f>
        <v/>
      </c>
      <c r="K2819" s="37" t="str">
        <f aca="false">IF(D2819="","",IFERROR(INDEX(rt_Billable,MATCH(D2819,rt_Code,0)),"Unknown"))</f>
        <v/>
      </c>
      <c r="L2819" s="38" t="str">
        <f aca="false">IF(K2819&lt;&gt;"Yes","",IFERROR(INDEX(cr_Rate,MATCH(J2819&amp;"|"&amp;D2819,cr_Key,0)),INDEX(rt_Rate,MATCH(D2819,rt_Code,0))))</f>
        <v/>
      </c>
      <c r="M2819" s="25" t="str">
        <f aca="false">IF(L2819="","",ROUND(N(E2819)*L2819,2))</f>
        <v/>
      </c>
      <c r="N2819" s="39" t="str">
        <f aca="false">IF(OR(A2819="",B2819=""),"",SUMIFS(tl_Hours,tl_StaffID,I2819,tl_Date,A2819))</f>
        <v/>
      </c>
      <c r="O2819" s="40" t="str">
        <f aca="false">IF(A2819&amp;B2819&amp;D2819="","",IF(OR(A2819="",B2819="",D2819="",E2819=""),"Incomplete",IF(K2819="Unknown","Unknown code",IF(AND(K2819="Yes",C2819=""),"Billable, needs client",IF(N2819&gt;MaxDayHours,"Over "&amp;MaxDayHours&amp;" hours that day","")))))</f>
        <v/>
      </c>
    </row>
    <row r="2820" customFormat="false" ht="15" hidden="false" customHeight="false" outlineLevel="0" collapsed="false">
      <c r="A2820" s="31"/>
      <c r="B2820" s="32"/>
      <c r="C2820" s="32"/>
      <c r="D2820" s="33"/>
      <c r="E2820" s="34"/>
      <c r="F2820" s="32"/>
      <c r="G2820" s="35" t="str">
        <f aca="false">IF(A2820="","",A2820+7-WEEKDAY(A2820))</f>
        <v/>
      </c>
      <c r="H2820" s="36" t="str">
        <f aca="false">IF(A2820="","",DATE(YEAR(A2820),MONTH(A2820),1))</f>
        <v/>
      </c>
      <c r="I2820" s="37" t="str">
        <f aca="false">IF(B2820="","",IFERROR(INDEX(st_ID,MATCH(B2820,st_Name,0)),"Unknown"))</f>
        <v/>
      </c>
      <c r="J2820" s="37" t="str">
        <f aca="false">IF(C2820="","",IFERROR(INDEX(cl_Code,MATCH(C2820,cl_Name,0)),"Unknown"))</f>
        <v/>
      </c>
      <c r="K2820" s="37" t="str">
        <f aca="false">IF(D2820="","",IFERROR(INDEX(rt_Billable,MATCH(D2820,rt_Code,0)),"Unknown"))</f>
        <v/>
      </c>
      <c r="L2820" s="38" t="str">
        <f aca="false">IF(K2820&lt;&gt;"Yes","",IFERROR(INDEX(cr_Rate,MATCH(J2820&amp;"|"&amp;D2820,cr_Key,0)),INDEX(rt_Rate,MATCH(D2820,rt_Code,0))))</f>
        <v/>
      </c>
      <c r="M2820" s="25" t="str">
        <f aca="false">IF(L2820="","",ROUND(N(E2820)*L2820,2))</f>
        <v/>
      </c>
      <c r="N2820" s="39" t="str">
        <f aca="false">IF(OR(A2820="",B2820=""),"",SUMIFS(tl_Hours,tl_StaffID,I2820,tl_Date,A2820))</f>
        <v/>
      </c>
      <c r="O2820" s="40" t="str">
        <f aca="false">IF(A2820&amp;B2820&amp;D2820="","",IF(OR(A2820="",B2820="",D2820="",E2820=""),"Incomplete",IF(K2820="Unknown","Unknown code",IF(AND(K2820="Yes",C2820=""),"Billable, needs client",IF(N2820&gt;MaxDayHours,"Over "&amp;MaxDayHours&amp;" hours that day","")))))</f>
        <v/>
      </c>
    </row>
    <row r="2821" customFormat="false" ht="15" hidden="false" customHeight="false" outlineLevel="0" collapsed="false">
      <c r="A2821" s="31"/>
      <c r="B2821" s="32"/>
      <c r="C2821" s="32"/>
      <c r="D2821" s="33"/>
      <c r="E2821" s="34"/>
      <c r="F2821" s="32"/>
      <c r="G2821" s="35" t="str">
        <f aca="false">IF(A2821="","",A2821+7-WEEKDAY(A2821))</f>
        <v/>
      </c>
      <c r="H2821" s="36" t="str">
        <f aca="false">IF(A2821="","",DATE(YEAR(A2821),MONTH(A2821),1))</f>
        <v/>
      </c>
      <c r="I2821" s="37" t="str">
        <f aca="false">IF(B2821="","",IFERROR(INDEX(st_ID,MATCH(B2821,st_Name,0)),"Unknown"))</f>
        <v/>
      </c>
      <c r="J2821" s="37" t="str">
        <f aca="false">IF(C2821="","",IFERROR(INDEX(cl_Code,MATCH(C2821,cl_Name,0)),"Unknown"))</f>
        <v/>
      </c>
      <c r="K2821" s="37" t="str">
        <f aca="false">IF(D2821="","",IFERROR(INDEX(rt_Billable,MATCH(D2821,rt_Code,0)),"Unknown"))</f>
        <v/>
      </c>
      <c r="L2821" s="38" t="str">
        <f aca="false">IF(K2821&lt;&gt;"Yes","",IFERROR(INDEX(cr_Rate,MATCH(J2821&amp;"|"&amp;D2821,cr_Key,0)),INDEX(rt_Rate,MATCH(D2821,rt_Code,0))))</f>
        <v/>
      </c>
      <c r="M2821" s="25" t="str">
        <f aca="false">IF(L2821="","",ROUND(N(E2821)*L2821,2))</f>
        <v/>
      </c>
      <c r="N2821" s="39" t="str">
        <f aca="false">IF(OR(A2821="",B2821=""),"",SUMIFS(tl_Hours,tl_StaffID,I2821,tl_Date,A2821))</f>
        <v/>
      </c>
      <c r="O2821" s="40" t="str">
        <f aca="false">IF(A2821&amp;B2821&amp;D2821="","",IF(OR(A2821="",B2821="",D2821="",E2821=""),"Incomplete",IF(K2821="Unknown","Unknown code",IF(AND(K2821="Yes",C2821=""),"Billable, needs client",IF(N2821&gt;MaxDayHours,"Over "&amp;MaxDayHours&amp;" hours that day","")))))</f>
        <v/>
      </c>
    </row>
    <row r="2822" customFormat="false" ht="15" hidden="false" customHeight="false" outlineLevel="0" collapsed="false">
      <c r="A2822" s="31"/>
      <c r="B2822" s="32"/>
      <c r="C2822" s="32"/>
      <c r="D2822" s="33"/>
      <c r="E2822" s="34"/>
      <c r="F2822" s="32"/>
      <c r="G2822" s="35" t="str">
        <f aca="false">IF(A2822="","",A2822+7-WEEKDAY(A2822))</f>
        <v/>
      </c>
      <c r="H2822" s="36" t="str">
        <f aca="false">IF(A2822="","",DATE(YEAR(A2822),MONTH(A2822),1))</f>
        <v/>
      </c>
      <c r="I2822" s="37" t="str">
        <f aca="false">IF(B2822="","",IFERROR(INDEX(st_ID,MATCH(B2822,st_Name,0)),"Unknown"))</f>
        <v/>
      </c>
      <c r="J2822" s="37" t="str">
        <f aca="false">IF(C2822="","",IFERROR(INDEX(cl_Code,MATCH(C2822,cl_Name,0)),"Unknown"))</f>
        <v/>
      </c>
      <c r="K2822" s="37" t="str">
        <f aca="false">IF(D2822="","",IFERROR(INDEX(rt_Billable,MATCH(D2822,rt_Code,0)),"Unknown"))</f>
        <v/>
      </c>
      <c r="L2822" s="38" t="str">
        <f aca="false">IF(K2822&lt;&gt;"Yes","",IFERROR(INDEX(cr_Rate,MATCH(J2822&amp;"|"&amp;D2822,cr_Key,0)),INDEX(rt_Rate,MATCH(D2822,rt_Code,0))))</f>
        <v/>
      </c>
      <c r="M2822" s="25" t="str">
        <f aca="false">IF(L2822="","",ROUND(N(E2822)*L2822,2))</f>
        <v/>
      </c>
      <c r="N2822" s="39" t="str">
        <f aca="false">IF(OR(A2822="",B2822=""),"",SUMIFS(tl_Hours,tl_StaffID,I2822,tl_Date,A2822))</f>
        <v/>
      </c>
      <c r="O2822" s="40" t="str">
        <f aca="false">IF(A2822&amp;B2822&amp;D2822="","",IF(OR(A2822="",B2822="",D2822="",E2822=""),"Incomplete",IF(K2822="Unknown","Unknown code",IF(AND(K2822="Yes",C2822=""),"Billable, needs client",IF(N2822&gt;MaxDayHours,"Over "&amp;MaxDayHours&amp;" hours that day","")))))</f>
        <v/>
      </c>
    </row>
    <row r="2823" customFormat="false" ht="15" hidden="false" customHeight="false" outlineLevel="0" collapsed="false">
      <c r="A2823" s="31"/>
      <c r="B2823" s="32"/>
      <c r="C2823" s="32"/>
      <c r="D2823" s="33"/>
      <c r="E2823" s="34"/>
      <c r="F2823" s="32"/>
      <c r="G2823" s="35" t="str">
        <f aca="false">IF(A2823="","",A2823+7-WEEKDAY(A2823))</f>
        <v/>
      </c>
      <c r="H2823" s="36" t="str">
        <f aca="false">IF(A2823="","",DATE(YEAR(A2823),MONTH(A2823),1))</f>
        <v/>
      </c>
      <c r="I2823" s="37" t="str">
        <f aca="false">IF(B2823="","",IFERROR(INDEX(st_ID,MATCH(B2823,st_Name,0)),"Unknown"))</f>
        <v/>
      </c>
      <c r="J2823" s="37" t="str">
        <f aca="false">IF(C2823="","",IFERROR(INDEX(cl_Code,MATCH(C2823,cl_Name,0)),"Unknown"))</f>
        <v/>
      </c>
      <c r="K2823" s="37" t="str">
        <f aca="false">IF(D2823="","",IFERROR(INDEX(rt_Billable,MATCH(D2823,rt_Code,0)),"Unknown"))</f>
        <v/>
      </c>
      <c r="L2823" s="38" t="str">
        <f aca="false">IF(K2823&lt;&gt;"Yes","",IFERROR(INDEX(cr_Rate,MATCH(J2823&amp;"|"&amp;D2823,cr_Key,0)),INDEX(rt_Rate,MATCH(D2823,rt_Code,0))))</f>
        <v/>
      </c>
      <c r="M2823" s="25" t="str">
        <f aca="false">IF(L2823="","",ROUND(N(E2823)*L2823,2))</f>
        <v/>
      </c>
      <c r="N2823" s="39" t="str">
        <f aca="false">IF(OR(A2823="",B2823=""),"",SUMIFS(tl_Hours,tl_StaffID,I2823,tl_Date,A2823))</f>
        <v/>
      </c>
      <c r="O2823" s="40" t="str">
        <f aca="false">IF(A2823&amp;B2823&amp;D2823="","",IF(OR(A2823="",B2823="",D2823="",E2823=""),"Incomplete",IF(K2823="Unknown","Unknown code",IF(AND(K2823="Yes",C2823=""),"Billable, needs client",IF(N2823&gt;MaxDayHours,"Over "&amp;MaxDayHours&amp;" hours that day","")))))</f>
        <v/>
      </c>
    </row>
    <row r="2824" customFormat="false" ht="15" hidden="false" customHeight="false" outlineLevel="0" collapsed="false">
      <c r="A2824" s="31"/>
      <c r="B2824" s="32"/>
      <c r="C2824" s="32"/>
      <c r="D2824" s="33"/>
      <c r="E2824" s="34"/>
      <c r="F2824" s="32"/>
      <c r="G2824" s="35" t="str">
        <f aca="false">IF(A2824="","",A2824+7-WEEKDAY(A2824))</f>
        <v/>
      </c>
      <c r="H2824" s="36" t="str">
        <f aca="false">IF(A2824="","",DATE(YEAR(A2824),MONTH(A2824),1))</f>
        <v/>
      </c>
      <c r="I2824" s="37" t="str">
        <f aca="false">IF(B2824="","",IFERROR(INDEX(st_ID,MATCH(B2824,st_Name,0)),"Unknown"))</f>
        <v/>
      </c>
      <c r="J2824" s="37" t="str">
        <f aca="false">IF(C2824="","",IFERROR(INDEX(cl_Code,MATCH(C2824,cl_Name,0)),"Unknown"))</f>
        <v/>
      </c>
      <c r="K2824" s="37" t="str">
        <f aca="false">IF(D2824="","",IFERROR(INDEX(rt_Billable,MATCH(D2824,rt_Code,0)),"Unknown"))</f>
        <v/>
      </c>
      <c r="L2824" s="38" t="str">
        <f aca="false">IF(K2824&lt;&gt;"Yes","",IFERROR(INDEX(cr_Rate,MATCH(J2824&amp;"|"&amp;D2824,cr_Key,0)),INDEX(rt_Rate,MATCH(D2824,rt_Code,0))))</f>
        <v/>
      </c>
      <c r="M2824" s="25" t="str">
        <f aca="false">IF(L2824="","",ROUND(N(E2824)*L2824,2))</f>
        <v/>
      </c>
      <c r="N2824" s="39" t="str">
        <f aca="false">IF(OR(A2824="",B2824=""),"",SUMIFS(tl_Hours,tl_StaffID,I2824,tl_Date,A2824))</f>
        <v/>
      </c>
      <c r="O2824" s="40" t="str">
        <f aca="false">IF(A2824&amp;B2824&amp;D2824="","",IF(OR(A2824="",B2824="",D2824="",E2824=""),"Incomplete",IF(K2824="Unknown","Unknown code",IF(AND(K2824="Yes",C2824=""),"Billable, needs client",IF(N2824&gt;MaxDayHours,"Over "&amp;MaxDayHours&amp;" hours that day","")))))</f>
        <v/>
      </c>
    </row>
    <row r="2825" customFormat="false" ht="15" hidden="false" customHeight="false" outlineLevel="0" collapsed="false">
      <c r="A2825" s="31"/>
      <c r="B2825" s="32"/>
      <c r="C2825" s="32"/>
      <c r="D2825" s="33"/>
      <c r="E2825" s="34"/>
      <c r="F2825" s="32"/>
      <c r="G2825" s="35" t="str">
        <f aca="false">IF(A2825="","",A2825+7-WEEKDAY(A2825))</f>
        <v/>
      </c>
      <c r="H2825" s="36" t="str">
        <f aca="false">IF(A2825="","",DATE(YEAR(A2825),MONTH(A2825),1))</f>
        <v/>
      </c>
      <c r="I2825" s="37" t="str">
        <f aca="false">IF(B2825="","",IFERROR(INDEX(st_ID,MATCH(B2825,st_Name,0)),"Unknown"))</f>
        <v/>
      </c>
      <c r="J2825" s="37" t="str">
        <f aca="false">IF(C2825="","",IFERROR(INDEX(cl_Code,MATCH(C2825,cl_Name,0)),"Unknown"))</f>
        <v/>
      </c>
      <c r="K2825" s="37" t="str">
        <f aca="false">IF(D2825="","",IFERROR(INDEX(rt_Billable,MATCH(D2825,rt_Code,0)),"Unknown"))</f>
        <v/>
      </c>
      <c r="L2825" s="38" t="str">
        <f aca="false">IF(K2825&lt;&gt;"Yes","",IFERROR(INDEX(cr_Rate,MATCH(J2825&amp;"|"&amp;D2825,cr_Key,0)),INDEX(rt_Rate,MATCH(D2825,rt_Code,0))))</f>
        <v/>
      </c>
      <c r="M2825" s="25" t="str">
        <f aca="false">IF(L2825="","",ROUND(N(E2825)*L2825,2))</f>
        <v/>
      </c>
      <c r="N2825" s="39" t="str">
        <f aca="false">IF(OR(A2825="",B2825=""),"",SUMIFS(tl_Hours,tl_StaffID,I2825,tl_Date,A2825))</f>
        <v/>
      </c>
      <c r="O2825" s="40" t="str">
        <f aca="false">IF(A2825&amp;B2825&amp;D2825="","",IF(OR(A2825="",B2825="",D2825="",E2825=""),"Incomplete",IF(K2825="Unknown","Unknown code",IF(AND(K2825="Yes",C2825=""),"Billable, needs client",IF(N2825&gt;MaxDayHours,"Over "&amp;MaxDayHours&amp;" hours that day","")))))</f>
        <v/>
      </c>
    </row>
    <row r="2826" customFormat="false" ht="15" hidden="false" customHeight="false" outlineLevel="0" collapsed="false">
      <c r="A2826" s="31"/>
      <c r="B2826" s="32"/>
      <c r="C2826" s="32"/>
      <c r="D2826" s="33"/>
      <c r="E2826" s="34"/>
      <c r="F2826" s="32"/>
      <c r="G2826" s="35" t="str">
        <f aca="false">IF(A2826="","",A2826+7-WEEKDAY(A2826))</f>
        <v/>
      </c>
      <c r="H2826" s="36" t="str">
        <f aca="false">IF(A2826="","",DATE(YEAR(A2826),MONTH(A2826),1))</f>
        <v/>
      </c>
      <c r="I2826" s="37" t="str">
        <f aca="false">IF(B2826="","",IFERROR(INDEX(st_ID,MATCH(B2826,st_Name,0)),"Unknown"))</f>
        <v/>
      </c>
      <c r="J2826" s="37" t="str">
        <f aca="false">IF(C2826="","",IFERROR(INDEX(cl_Code,MATCH(C2826,cl_Name,0)),"Unknown"))</f>
        <v/>
      </c>
      <c r="K2826" s="37" t="str">
        <f aca="false">IF(D2826="","",IFERROR(INDEX(rt_Billable,MATCH(D2826,rt_Code,0)),"Unknown"))</f>
        <v/>
      </c>
      <c r="L2826" s="38" t="str">
        <f aca="false">IF(K2826&lt;&gt;"Yes","",IFERROR(INDEX(cr_Rate,MATCH(J2826&amp;"|"&amp;D2826,cr_Key,0)),INDEX(rt_Rate,MATCH(D2826,rt_Code,0))))</f>
        <v/>
      </c>
      <c r="M2826" s="25" t="str">
        <f aca="false">IF(L2826="","",ROUND(N(E2826)*L2826,2))</f>
        <v/>
      </c>
      <c r="N2826" s="39" t="str">
        <f aca="false">IF(OR(A2826="",B2826=""),"",SUMIFS(tl_Hours,tl_StaffID,I2826,tl_Date,A2826))</f>
        <v/>
      </c>
      <c r="O2826" s="40" t="str">
        <f aca="false">IF(A2826&amp;B2826&amp;D2826="","",IF(OR(A2826="",B2826="",D2826="",E2826=""),"Incomplete",IF(K2826="Unknown","Unknown code",IF(AND(K2826="Yes",C2826=""),"Billable, needs client",IF(N2826&gt;MaxDayHours,"Over "&amp;MaxDayHours&amp;" hours that day","")))))</f>
        <v/>
      </c>
    </row>
    <row r="2827" customFormat="false" ht="15" hidden="false" customHeight="false" outlineLevel="0" collapsed="false">
      <c r="A2827" s="31"/>
      <c r="B2827" s="32"/>
      <c r="C2827" s="32"/>
      <c r="D2827" s="33"/>
      <c r="E2827" s="34"/>
      <c r="F2827" s="32"/>
      <c r="G2827" s="35" t="str">
        <f aca="false">IF(A2827="","",A2827+7-WEEKDAY(A2827))</f>
        <v/>
      </c>
      <c r="H2827" s="36" t="str">
        <f aca="false">IF(A2827="","",DATE(YEAR(A2827),MONTH(A2827),1))</f>
        <v/>
      </c>
      <c r="I2827" s="37" t="str">
        <f aca="false">IF(B2827="","",IFERROR(INDEX(st_ID,MATCH(B2827,st_Name,0)),"Unknown"))</f>
        <v/>
      </c>
      <c r="J2827" s="37" t="str">
        <f aca="false">IF(C2827="","",IFERROR(INDEX(cl_Code,MATCH(C2827,cl_Name,0)),"Unknown"))</f>
        <v/>
      </c>
      <c r="K2827" s="37" t="str">
        <f aca="false">IF(D2827="","",IFERROR(INDEX(rt_Billable,MATCH(D2827,rt_Code,0)),"Unknown"))</f>
        <v/>
      </c>
      <c r="L2827" s="38" t="str">
        <f aca="false">IF(K2827&lt;&gt;"Yes","",IFERROR(INDEX(cr_Rate,MATCH(J2827&amp;"|"&amp;D2827,cr_Key,0)),INDEX(rt_Rate,MATCH(D2827,rt_Code,0))))</f>
        <v/>
      </c>
      <c r="M2827" s="25" t="str">
        <f aca="false">IF(L2827="","",ROUND(N(E2827)*L2827,2))</f>
        <v/>
      </c>
      <c r="N2827" s="39" t="str">
        <f aca="false">IF(OR(A2827="",B2827=""),"",SUMIFS(tl_Hours,tl_StaffID,I2827,tl_Date,A2827))</f>
        <v/>
      </c>
      <c r="O2827" s="40" t="str">
        <f aca="false">IF(A2827&amp;B2827&amp;D2827="","",IF(OR(A2827="",B2827="",D2827="",E2827=""),"Incomplete",IF(K2827="Unknown","Unknown code",IF(AND(K2827="Yes",C2827=""),"Billable, needs client",IF(N2827&gt;MaxDayHours,"Over "&amp;MaxDayHours&amp;" hours that day","")))))</f>
        <v/>
      </c>
    </row>
    <row r="2828" customFormat="false" ht="15" hidden="false" customHeight="false" outlineLevel="0" collapsed="false">
      <c r="A2828" s="31"/>
      <c r="B2828" s="32"/>
      <c r="C2828" s="32"/>
      <c r="D2828" s="33"/>
      <c r="E2828" s="34"/>
      <c r="F2828" s="32"/>
      <c r="G2828" s="35" t="str">
        <f aca="false">IF(A2828="","",A2828+7-WEEKDAY(A2828))</f>
        <v/>
      </c>
      <c r="H2828" s="36" t="str">
        <f aca="false">IF(A2828="","",DATE(YEAR(A2828),MONTH(A2828),1))</f>
        <v/>
      </c>
      <c r="I2828" s="37" t="str">
        <f aca="false">IF(B2828="","",IFERROR(INDEX(st_ID,MATCH(B2828,st_Name,0)),"Unknown"))</f>
        <v/>
      </c>
      <c r="J2828" s="37" t="str">
        <f aca="false">IF(C2828="","",IFERROR(INDEX(cl_Code,MATCH(C2828,cl_Name,0)),"Unknown"))</f>
        <v/>
      </c>
      <c r="K2828" s="37" t="str">
        <f aca="false">IF(D2828="","",IFERROR(INDEX(rt_Billable,MATCH(D2828,rt_Code,0)),"Unknown"))</f>
        <v/>
      </c>
      <c r="L2828" s="38" t="str">
        <f aca="false">IF(K2828&lt;&gt;"Yes","",IFERROR(INDEX(cr_Rate,MATCH(J2828&amp;"|"&amp;D2828,cr_Key,0)),INDEX(rt_Rate,MATCH(D2828,rt_Code,0))))</f>
        <v/>
      </c>
      <c r="M2828" s="25" t="str">
        <f aca="false">IF(L2828="","",ROUND(N(E2828)*L2828,2))</f>
        <v/>
      </c>
      <c r="N2828" s="39" t="str">
        <f aca="false">IF(OR(A2828="",B2828=""),"",SUMIFS(tl_Hours,tl_StaffID,I2828,tl_Date,A2828))</f>
        <v/>
      </c>
      <c r="O2828" s="40" t="str">
        <f aca="false">IF(A2828&amp;B2828&amp;D2828="","",IF(OR(A2828="",B2828="",D2828="",E2828=""),"Incomplete",IF(K2828="Unknown","Unknown code",IF(AND(K2828="Yes",C2828=""),"Billable, needs client",IF(N2828&gt;MaxDayHours,"Over "&amp;MaxDayHours&amp;" hours that day","")))))</f>
        <v/>
      </c>
    </row>
    <row r="2829" customFormat="false" ht="15" hidden="false" customHeight="false" outlineLevel="0" collapsed="false">
      <c r="A2829" s="31"/>
      <c r="B2829" s="32"/>
      <c r="C2829" s="32"/>
      <c r="D2829" s="33"/>
      <c r="E2829" s="34"/>
      <c r="F2829" s="32"/>
      <c r="G2829" s="35" t="str">
        <f aca="false">IF(A2829="","",A2829+7-WEEKDAY(A2829))</f>
        <v/>
      </c>
      <c r="H2829" s="36" t="str">
        <f aca="false">IF(A2829="","",DATE(YEAR(A2829),MONTH(A2829),1))</f>
        <v/>
      </c>
      <c r="I2829" s="37" t="str">
        <f aca="false">IF(B2829="","",IFERROR(INDEX(st_ID,MATCH(B2829,st_Name,0)),"Unknown"))</f>
        <v/>
      </c>
      <c r="J2829" s="37" t="str">
        <f aca="false">IF(C2829="","",IFERROR(INDEX(cl_Code,MATCH(C2829,cl_Name,0)),"Unknown"))</f>
        <v/>
      </c>
      <c r="K2829" s="37" t="str">
        <f aca="false">IF(D2829="","",IFERROR(INDEX(rt_Billable,MATCH(D2829,rt_Code,0)),"Unknown"))</f>
        <v/>
      </c>
      <c r="L2829" s="38" t="str">
        <f aca="false">IF(K2829&lt;&gt;"Yes","",IFERROR(INDEX(cr_Rate,MATCH(J2829&amp;"|"&amp;D2829,cr_Key,0)),INDEX(rt_Rate,MATCH(D2829,rt_Code,0))))</f>
        <v/>
      </c>
      <c r="M2829" s="25" t="str">
        <f aca="false">IF(L2829="","",ROUND(N(E2829)*L2829,2))</f>
        <v/>
      </c>
      <c r="N2829" s="39" t="str">
        <f aca="false">IF(OR(A2829="",B2829=""),"",SUMIFS(tl_Hours,tl_StaffID,I2829,tl_Date,A2829))</f>
        <v/>
      </c>
      <c r="O2829" s="40" t="str">
        <f aca="false">IF(A2829&amp;B2829&amp;D2829="","",IF(OR(A2829="",B2829="",D2829="",E2829=""),"Incomplete",IF(K2829="Unknown","Unknown code",IF(AND(K2829="Yes",C2829=""),"Billable, needs client",IF(N2829&gt;MaxDayHours,"Over "&amp;MaxDayHours&amp;" hours that day","")))))</f>
        <v/>
      </c>
    </row>
    <row r="2830" customFormat="false" ht="15" hidden="false" customHeight="false" outlineLevel="0" collapsed="false">
      <c r="A2830" s="31"/>
      <c r="B2830" s="32"/>
      <c r="C2830" s="32"/>
      <c r="D2830" s="33"/>
      <c r="E2830" s="34"/>
      <c r="F2830" s="32"/>
      <c r="G2830" s="35" t="str">
        <f aca="false">IF(A2830="","",A2830+7-WEEKDAY(A2830))</f>
        <v/>
      </c>
      <c r="H2830" s="36" t="str">
        <f aca="false">IF(A2830="","",DATE(YEAR(A2830),MONTH(A2830),1))</f>
        <v/>
      </c>
      <c r="I2830" s="37" t="str">
        <f aca="false">IF(B2830="","",IFERROR(INDEX(st_ID,MATCH(B2830,st_Name,0)),"Unknown"))</f>
        <v/>
      </c>
      <c r="J2830" s="37" t="str">
        <f aca="false">IF(C2830="","",IFERROR(INDEX(cl_Code,MATCH(C2830,cl_Name,0)),"Unknown"))</f>
        <v/>
      </c>
      <c r="K2830" s="37" t="str">
        <f aca="false">IF(D2830="","",IFERROR(INDEX(rt_Billable,MATCH(D2830,rt_Code,0)),"Unknown"))</f>
        <v/>
      </c>
      <c r="L2830" s="38" t="str">
        <f aca="false">IF(K2830&lt;&gt;"Yes","",IFERROR(INDEX(cr_Rate,MATCH(J2830&amp;"|"&amp;D2830,cr_Key,0)),INDEX(rt_Rate,MATCH(D2830,rt_Code,0))))</f>
        <v/>
      </c>
      <c r="M2830" s="25" t="str">
        <f aca="false">IF(L2830="","",ROUND(N(E2830)*L2830,2))</f>
        <v/>
      </c>
      <c r="N2830" s="39" t="str">
        <f aca="false">IF(OR(A2830="",B2830=""),"",SUMIFS(tl_Hours,tl_StaffID,I2830,tl_Date,A2830))</f>
        <v/>
      </c>
      <c r="O2830" s="40" t="str">
        <f aca="false">IF(A2830&amp;B2830&amp;D2830="","",IF(OR(A2830="",B2830="",D2830="",E2830=""),"Incomplete",IF(K2830="Unknown","Unknown code",IF(AND(K2830="Yes",C2830=""),"Billable, needs client",IF(N2830&gt;MaxDayHours,"Over "&amp;MaxDayHours&amp;" hours that day","")))))</f>
        <v/>
      </c>
    </row>
    <row r="2831" customFormat="false" ht="15" hidden="false" customHeight="false" outlineLevel="0" collapsed="false">
      <c r="A2831" s="31"/>
      <c r="B2831" s="32"/>
      <c r="C2831" s="32"/>
      <c r="D2831" s="33"/>
      <c r="E2831" s="34"/>
      <c r="F2831" s="32"/>
      <c r="G2831" s="35" t="str">
        <f aca="false">IF(A2831="","",A2831+7-WEEKDAY(A2831))</f>
        <v/>
      </c>
      <c r="H2831" s="36" t="str">
        <f aca="false">IF(A2831="","",DATE(YEAR(A2831),MONTH(A2831),1))</f>
        <v/>
      </c>
      <c r="I2831" s="37" t="str">
        <f aca="false">IF(B2831="","",IFERROR(INDEX(st_ID,MATCH(B2831,st_Name,0)),"Unknown"))</f>
        <v/>
      </c>
      <c r="J2831" s="37" t="str">
        <f aca="false">IF(C2831="","",IFERROR(INDEX(cl_Code,MATCH(C2831,cl_Name,0)),"Unknown"))</f>
        <v/>
      </c>
      <c r="K2831" s="37" t="str">
        <f aca="false">IF(D2831="","",IFERROR(INDEX(rt_Billable,MATCH(D2831,rt_Code,0)),"Unknown"))</f>
        <v/>
      </c>
      <c r="L2831" s="38" t="str">
        <f aca="false">IF(K2831&lt;&gt;"Yes","",IFERROR(INDEX(cr_Rate,MATCH(J2831&amp;"|"&amp;D2831,cr_Key,0)),INDEX(rt_Rate,MATCH(D2831,rt_Code,0))))</f>
        <v/>
      </c>
      <c r="M2831" s="25" t="str">
        <f aca="false">IF(L2831="","",ROUND(N(E2831)*L2831,2))</f>
        <v/>
      </c>
      <c r="N2831" s="39" t="str">
        <f aca="false">IF(OR(A2831="",B2831=""),"",SUMIFS(tl_Hours,tl_StaffID,I2831,tl_Date,A2831))</f>
        <v/>
      </c>
      <c r="O2831" s="40" t="str">
        <f aca="false">IF(A2831&amp;B2831&amp;D2831="","",IF(OR(A2831="",B2831="",D2831="",E2831=""),"Incomplete",IF(K2831="Unknown","Unknown code",IF(AND(K2831="Yes",C2831=""),"Billable, needs client",IF(N2831&gt;MaxDayHours,"Over "&amp;MaxDayHours&amp;" hours that day","")))))</f>
        <v/>
      </c>
    </row>
    <row r="2832" customFormat="false" ht="15" hidden="false" customHeight="false" outlineLevel="0" collapsed="false">
      <c r="A2832" s="31"/>
      <c r="B2832" s="32"/>
      <c r="C2832" s="32"/>
      <c r="D2832" s="33"/>
      <c r="E2832" s="34"/>
      <c r="F2832" s="32"/>
      <c r="G2832" s="35" t="str">
        <f aca="false">IF(A2832="","",A2832+7-WEEKDAY(A2832))</f>
        <v/>
      </c>
      <c r="H2832" s="36" t="str">
        <f aca="false">IF(A2832="","",DATE(YEAR(A2832),MONTH(A2832),1))</f>
        <v/>
      </c>
      <c r="I2832" s="37" t="str">
        <f aca="false">IF(B2832="","",IFERROR(INDEX(st_ID,MATCH(B2832,st_Name,0)),"Unknown"))</f>
        <v/>
      </c>
      <c r="J2832" s="37" t="str">
        <f aca="false">IF(C2832="","",IFERROR(INDEX(cl_Code,MATCH(C2832,cl_Name,0)),"Unknown"))</f>
        <v/>
      </c>
      <c r="K2832" s="37" t="str">
        <f aca="false">IF(D2832="","",IFERROR(INDEX(rt_Billable,MATCH(D2832,rt_Code,0)),"Unknown"))</f>
        <v/>
      </c>
      <c r="L2832" s="38" t="str">
        <f aca="false">IF(K2832&lt;&gt;"Yes","",IFERROR(INDEX(cr_Rate,MATCH(J2832&amp;"|"&amp;D2832,cr_Key,0)),INDEX(rt_Rate,MATCH(D2832,rt_Code,0))))</f>
        <v/>
      </c>
      <c r="M2832" s="25" t="str">
        <f aca="false">IF(L2832="","",ROUND(N(E2832)*L2832,2))</f>
        <v/>
      </c>
      <c r="N2832" s="39" t="str">
        <f aca="false">IF(OR(A2832="",B2832=""),"",SUMIFS(tl_Hours,tl_StaffID,I2832,tl_Date,A2832))</f>
        <v/>
      </c>
      <c r="O2832" s="40" t="str">
        <f aca="false">IF(A2832&amp;B2832&amp;D2832="","",IF(OR(A2832="",B2832="",D2832="",E2832=""),"Incomplete",IF(K2832="Unknown","Unknown code",IF(AND(K2832="Yes",C2832=""),"Billable, needs client",IF(N2832&gt;MaxDayHours,"Over "&amp;MaxDayHours&amp;" hours that day","")))))</f>
        <v/>
      </c>
    </row>
    <row r="2833" customFormat="false" ht="15" hidden="false" customHeight="false" outlineLevel="0" collapsed="false">
      <c r="A2833" s="31"/>
      <c r="B2833" s="32"/>
      <c r="C2833" s="32"/>
      <c r="D2833" s="33"/>
      <c r="E2833" s="34"/>
      <c r="F2833" s="32"/>
      <c r="G2833" s="35" t="str">
        <f aca="false">IF(A2833="","",A2833+7-WEEKDAY(A2833))</f>
        <v/>
      </c>
      <c r="H2833" s="36" t="str">
        <f aca="false">IF(A2833="","",DATE(YEAR(A2833),MONTH(A2833),1))</f>
        <v/>
      </c>
      <c r="I2833" s="37" t="str">
        <f aca="false">IF(B2833="","",IFERROR(INDEX(st_ID,MATCH(B2833,st_Name,0)),"Unknown"))</f>
        <v/>
      </c>
      <c r="J2833" s="37" t="str">
        <f aca="false">IF(C2833="","",IFERROR(INDEX(cl_Code,MATCH(C2833,cl_Name,0)),"Unknown"))</f>
        <v/>
      </c>
      <c r="K2833" s="37" t="str">
        <f aca="false">IF(D2833="","",IFERROR(INDEX(rt_Billable,MATCH(D2833,rt_Code,0)),"Unknown"))</f>
        <v/>
      </c>
      <c r="L2833" s="38" t="str">
        <f aca="false">IF(K2833&lt;&gt;"Yes","",IFERROR(INDEX(cr_Rate,MATCH(J2833&amp;"|"&amp;D2833,cr_Key,0)),INDEX(rt_Rate,MATCH(D2833,rt_Code,0))))</f>
        <v/>
      </c>
      <c r="M2833" s="25" t="str">
        <f aca="false">IF(L2833="","",ROUND(N(E2833)*L2833,2))</f>
        <v/>
      </c>
      <c r="N2833" s="39" t="str">
        <f aca="false">IF(OR(A2833="",B2833=""),"",SUMIFS(tl_Hours,tl_StaffID,I2833,tl_Date,A2833))</f>
        <v/>
      </c>
      <c r="O2833" s="40" t="str">
        <f aca="false">IF(A2833&amp;B2833&amp;D2833="","",IF(OR(A2833="",B2833="",D2833="",E2833=""),"Incomplete",IF(K2833="Unknown","Unknown code",IF(AND(K2833="Yes",C2833=""),"Billable, needs client",IF(N2833&gt;MaxDayHours,"Over "&amp;MaxDayHours&amp;" hours that day","")))))</f>
        <v/>
      </c>
    </row>
    <row r="2834" customFormat="false" ht="15" hidden="false" customHeight="false" outlineLevel="0" collapsed="false">
      <c r="A2834" s="31"/>
      <c r="B2834" s="32"/>
      <c r="C2834" s="32"/>
      <c r="D2834" s="33"/>
      <c r="E2834" s="34"/>
      <c r="F2834" s="32"/>
      <c r="G2834" s="35" t="str">
        <f aca="false">IF(A2834="","",A2834+7-WEEKDAY(A2834))</f>
        <v/>
      </c>
      <c r="H2834" s="36" t="str">
        <f aca="false">IF(A2834="","",DATE(YEAR(A2834),MONTH(A2834),1))</f>
        <v/>
      </c>
      <c r="I2834" s="37" t="str">
        <f aca="false">IF(B2834="","",IFERROR(INDEX(st_ID,MATCH(B2834,st_Name,0)),"Unknown"))</f>
        <v/>
      </c>
      <c r="J2834" s="37" t="str">
        <f aca="false">IF(C2834="","",IFERROR(INDEX(cl_Code,MATCH(C2834,cl_Name,0)),"Unknown"))</f>
        <v/>
      </c>
      <c r="K2834" s="37" t="str">
        <f aca="false">IF(D2834="","",IFERROR(INDEX(rt_Billable,MATCH(D2834,rt_Code,0)),"Unknown"))</f>
        <v/>
      </c>
      <c r="L2834" s="38" t="str">
        <f aca="false">IF(K2834&lt;&gt;"Yes","",IFERROR(INDEX(cr_Rate,MATCH(J2834&amp;"|"&amp;D2834,cr_Key,0)),INDEX(rt_Rate,MATCH(D2834,rt_Code,0))))</f>
        <v/>
      </c>
      <c r="M2834" s="25" t="str">
        <f aca="false">IF(L2834="","",ROUND(N(E2834)*L2834,2))</f>
        <v/>
      </c>
      <c r="N2834" s="39" t="str">
        <f aca="false">IF(OR(A2834="",B2834=""),"",SUMIFS(tl_Hours,tl_StaffID,I2834,tl_Date,A2834))</f>
        <v/>
      </c>
      <c r="O2834" s="40" t="str">
        <f aca="false">IF(A2834&amp;B2834&amp;D2834="","",IF(OR(A2834="",B2834="",D2834="",E2834=""),"Incomplete",IF(K2834="Unknown","Unknown code",IF(AND(K2834="Yes",C2834=""),"Billable, needs client",IF(N2834&gt;MaxDayHours,"Over "&amp;MaxDayHours&amp;" hours that day","")))))</f>
        <v/>
      </c>
    </row>
    <row r="2835" customFormat="false" ht="15" hidden="false" customHeight="false" outlineLevel="0" collapsed="false">
      <c r="A2835" s="31"/>
      <c r="B2835" s="32"/>
      <c r="C2835" s="32"/>
      <c r="D2835" s="33"/>
      <c r="E2835" s="34"/>
      <c r="F2835" s="32"/>
      <c r="G2835" s="35" t="str">
        <f aca="false">IF(A2835="","",A2835+7-WEEKDAY(A2835))</f>
        <v/>
      </c>
      <c r="H2835" s="36" t="str">
        <f aca="false">IF(A2835="","",DATE(YEAR(A2835),MONTH(A2835),1))</f>
        <v/>
      </c>
      <c r="I2835" s="37" t="str">
        <f aca="false">IF(B2835="","",IFERROR(INDEX(st_ID,MATCH(B2835,st_Name,0)),"Unknown"))</f>
        <v/>
      </c>
      <c r="J2835" s="37" t="str">
        <f aca="false">IF(C2835="","",IFERROR(INDEX(cl_Code,MATCH(C2835,cl_Name,0)),"Unknown"))</f>
        <v/>
      </c>
      <c r="K2835" s="37" t="str">
        <f aca="false">IF(D2835="","",IFERROR(INDEX(rt_Billable,MATCH(D2835,rt_Code,0)),"Unknown"))</f>
        <v/>
      </c>
      <c r="L2835" s="38" t="str">
        <f aca="false">IF(K2835&lt;&gt;"Yes","",IFERROR(INDEX(cr_Rate,MATCH(J2835&amp;"|"&amp;D2835,cr_Key,0)),INDEX(rt_Rate,MATCH(D2835,rt_Code,0))))</f>
        <v/>
      </c>
      <c r="M2835" s="25" t="str">
        <f aca="false">IF(L2835="","",ROUND(N(E2835)*L2835,2))</f>
        <v/>
      </c>
      <c r="N2835" s="39" t="str">
        <f aca="false">IF(OR(A2835="",B2835=""),"",SUMIFS(tl_Hours,tl_StaffID,I2835,tl_Date,A2835))</f>
        <v/>
      </c>
      <c r="O2835" s="40" t="str">
        <f aca="false">IF(A2835&amp;B2835&amp;D2835="","",IF(OR(A2835="",B2835="",D2835="",E2835=""),"Incomplete",IF(K2835="Unknown","Unknown code",IF(AND(K2835="Yes",C2835=""),"Billable, needs client",IF(N2835&gt;MaxDayHours,"Over "&amp;MaxDayHours&amp;" hours that day","")))))</f>
        <v/>
      </c>
    </row>
    <row r="2836" customFormat="false" ht="15" hidden="false" customHeight="false" outlineLevel="0" collapsed="false">
      <c r="A2836" s="31"/>
      <c r="B2836" s="32"/>
      <c r="C2836" s="32"/>
      <c r="D2836" s="33"/>
      <c r="E2836" s="34"/>
      <c r="F2836" s="32"/>
      <c r="G2836" s="35" t="str">
        <f aca="false">IF(A2836="","",A2836+7-WEEKDAY(A2836))</f>
        <v/>
      </c>
      <c r="H2836" s="36" t="str">
        <f aca="false">IF(A2836="","",DATE(YEAR(A2836),MONTH(A2836),1))</f>
        <v/>
      </c>
      <c r="I2836" s="37" t="str">
        <f aca="false">IF(B2836="","",IFERROR(INDEX(st_ID,MATCH(B2836,st_Name,0)),"Unknown"))</f>
        <v/>
      </c>
      <c r="J2836" s="37" t="str">
        <f aca="false">IF(C2836="","",IFERROR(INDEX(cl_Code,MATCH(C2836,cl_Name,0)),"Unknown"))</f>
        <v/>
      </c>
      <c r="K2836" s="37" t="str">
        <f aca="false">IF(D2836="","",IFERROR(INDEX(rt_Billable,MATCH(D2836,rt_Code,0)),"Unknown"))</f>
        <v/>
      </c>
      <c r="L2836" s="38" t="str">
        <f aca="false">IF(K2836&lt;&gt;"Yes","",IFERROR(INDEX(cr_Rate,MATCH(J2836&amp;"|"&amp;D2836,cr_Key,0)),INDEX(rt_Rate,MATCH(D2836,rt_Code,0))))</f>
        <v/>
      </c>
      <c r="M2836" s="25" t="str">
        <f aca="false">IF(L2836="","",ROUND(N(E2836)*L2836,2))</f>
        <v/>
      </c>
      <c r="N2836" s="39" t="str">
        <f aca="false">IF(OR(A2836="",B2836=""),"",SUMIFS(tl_Hours,tl_StaffID,I2836,tl_Date,A2836))</f>
        <v/>
      </c>
      <c r="O2836" s="40" t="str">
        <f aca="false">IF(A2836&amp;B2836&amp;D2836="","",IF(OR(A2836="",B2836="",D2836="",E2836=""),"Incomplete",IF(K2836="Unknown","Unknown code",IF(AND(K2836="Yes",C2836=""),"Billable, needs client",IF(N2836&gt;MaxDayHours,"Over "&amp;MaxDayHours&amp;" hours that day","")))))</f>
        <v/>
      </c>
    </row>
    <row r="2837" customFormat="false" ht="15" hidden="false" customHeight="false" outlineLevel="0" collapsed="false">
      <c r="A2837" s="31"/>
      <c r="B2837" s="32"/>
      <c r="C2837" s="32"/>
      <c r="D2837" s="33"/>
      <c r="E2837" s="34"/>
      <c r="F2837" s="32"/>
      <c r="G2837" s="35" t="str">
        <f aca="false">IF(A2837="","",A2837+7-WEEKDAY(A2837))</f>
        <v/>
      </c>
      <c r="H2837" s="36" t="str">
        <f aca="false">IF(A2837="","",DATE(YEAR(A2837),MONTH(A2837),1))</f>
        <v/>
      </c>
      <c r="I2837" s="37" t="str">
        <f aca="false">IF(B2837="","",IFERROR(INDEX(st_ID,MATCH(B2837,st_Name,0)),"Unknown"))</f>
        <v/>
      </c>
      <c r="J2837" s="37" t="str">
        <f aca="false">IF(C2837="","",IFERROR(INDEX(cl_Code,MATCH(C2837,cl_Name,0)),"Unknown"))</f>
        <v/>
      </c>
      <c r="K2837" s="37" t="str">
        <f aca="false">IF(D2837="","",IFERROR(INDEX(rt_Billable,MATCH(D2837,rt_Code,0)),"Unknown"))</f>
        <v/>
      </c>
      <c r="L2837" s="38" t="str">
        <f aca="false">IF(K2837&lt;&gt;"Yes","",IFERROR(INDEX(cr_Rate,MATCH(J2837&amp;"|"&amp;D2837,cr_Key,0)),INDEX(rt_Rate,MATCH(D2837,rt_Code,0))))</f>
        <v/>
      </c>
      <c r="M2837" s="25" t="str">
        <f aca="false">IF(L2837="","",ROUND(N(E2837)*L2837,2))</f>
        <v/>
      </c>
      <c r="N2837" s="39" t="str">
        <f aca="false">IF(OR(A2837="",B2837=""),"",SUMIFS(tl_Hours,tl_StaffID,I2837,tl_Date,A2837))</f>
        <v/>
      </c>
      <c r="O2837" s="40" t="str">
        <f aca="false">IF(A2837&amp;B2837&amp;D2837="","",IF(OR(A2837="",B2837="",D2837="",E2837=""),"Incomplete",IF(K2837="Unknown","Unknown code",IF(AND(K2837="Yes",C2837=""),"Billable, needs client",IF(N2837&gt;MaxDayHours,"Over "&amp;MaxDayHours&amp;" hours that day","")))))</f>
        <v/>
      </c>
    </row>
    <row r="2838" customFormat="false" ht="15" hidden="false" customHeight="false" outlineLevel="0" collapsed="false">
      <c r="A2838" s="31"/>
      <c r="B2838" s="32"/>
      <c r="C2838" s="32"/>
      <c r="D2838" s="33"/>
      <c r="E2838" s="34"/>
      <c r="F2838" s="32"/>
      <c r="G2838" s="35" t="str">
        <f aca="false">IF(A2838="","",A2838+7-WEEKDAY(A2838))</f>
        <v/>
      </c>
      <c r="H2838" s="36" t="str">
        <f aca="false">IF(A2838="","",DATE(YEAR(A2838),MONTH(A2838),1))</f>
        <v/>
      </c>
      <c r="I2838" s="37" t="str">
        <f aca="false">IF(B2838="","",IFERROR(INDEX(st_ID,MATCH(B2838,st_Name,0)),"Unknown"))</f>
        <v/>
      </c>
      <c r="J2838" s="37" t="str">
        <f aca="false">IF(C2838="","",IFERROR(INDEX(cl_Code,MATCH(C2838,cl_Name,0)),"Unknown"))</f>
        <v/>
      </c>
      <c r="K2838" s="37" t="str">
        <f aca="false">IF(D2838="","",IFERROR(INDEX(rt_Billable,MATCH(D2838,rt_Code,0)),"Unknown"))</f>
        <v/>
      </c>
      <c r="L2838" s="38" t="str">
        <f aca="false">IF(K2838&lt;&gt;"Yes","",IFERROR(INDEX(cr_Rate,MATCH(J2838&amp;"|"&amp;D2838,cr_Key,0)),INDEX(rt_Rate,MATCH(D2838,rt_Code,0))))</f>
        <v/>
      </c>
      <c r="M2838" s="25" t="str">
        <f aca="false">IF(L2838="","",ROUND(N(E2838)*L2838,2))</f>
        <v/>
      </c>
      <c r="N2838" s="39" t="str">
        <f aca="false">IF(OR(A2838="",B2838=""),"",SUMIFS(tl_Hours,tl_StaffID,I2838,tl_Date,A2838))</f>
        <v/>
      </c>
      <c r="O2838" s="40" t="str">
        <f aca="false">IF(A2838&amp;B2838&amp;D2838="","",IF(OR(A2838="",B2838="",D2838="",E2838=""),"Incomplete",IF(K2838="Unknown","Unknown code",IF(AND(K2838="Yes",C2838=""),"Billable, needs client",IF(N2838&gt;MaxDayHours,"Over "&amp;MaxDayHours&amp;" hours that day","")))))</f>
        <v/>
      </c>
    </row>
    <row r="2839" customFormat="false" ht="15" hidden="false" customHeight="false" outlineLevel="0" collapsed="false">
      <c r="A2839" s="31"/>
      <c r="B2839" s="32"/>
      <c r="C2839" s="32"/>
      <c r="D2839" s="33"/>
      <c r="E2839" s="34"/>
      <c r="F2839" s="32"/>
      <c r="G2839" s="35" t="str">
        <f aca="false">IF(A2839="","",A2839+7-WEEKDAY(A2839))</f>
        <v/>
      </c>
      <c r="H2839" s="36" t="str">
        <f aca="false">IF(A2839="","",DATE(YEAR(A2839),MONTH(A2839),1))</f>
        <v/>
      </c>
      <c r="I2839" s="37" t="str">
        <f aca="false">IF(B2839="","",IFERROR(INDEX(st_ID,MATCH(B2839,st_Name,0)),"Unknown"))</f>
        <v/>
      </c>
      <c r="J2839" s="37" t="str">
        <f aca="false">IF(C2839="","",IFERROR(INDEX(cl_Code,MATCH(C2839,cl_Name,0)),"Unknown"))</f>
        <v/>
      </c>
      <c r="K2839" s="37" t="str">
        <f aca="false">IF(D2839="","",IFERROR(INDEX(rt_Billable,MATCH(D2839,rt_Code,0)),"Unknown"))</f>
        <v/>
      </c>
      <c r="L2839" s="38" t="str">
        <f aca="false">IF(K2839&lt;&gt;"Yes","",IFERROR(INDEX(cr_Rate,MATCH(J2839&amp;"|"&amp;D2839,cr_Key,0)),INDEX(rt_Rate,MATCH(D2839,rt_Code,0))))</f>
        <v/>
      </c>
      <c r="M2839" s="25" t="str">
        <f aca="false">IF(L2839="","",ROUND(N(E2839)*L2839,2))</f>
        <v/>
      </c>
      <c r="N2839" s="39" t="str">
        <f aca="false">IF(OR(A2839="",B2839=""),"",SUMIFS(tl_Hours,tl_StaffID,I2839,tl_Date,A2839))</f>
        <v/>
      </c>
      <c r="O2839" s="40" t="str">
        <f aca="false">IF(A2839&amp;B2839&amp;D2839="","",IF(OR(A2839="",B2839="",D2839="",E2839=""),"Incomplete",IF(K2839="Unknown","Unknown code",IF(AND(K2839="Yes",C2839=""),"Billable, needs client",IF(N2839&gt;MaxDayHours,"Over "&amp;MaxDayHours&amp;" hours that day","")))))</f>
        <v/>
      </c>
    </row>
    <row r="2840" customFormat="false" ht="15" hidden="false" customHeight="false" outlineLevel="0" collapsed="false">
      <c r="A2840" s="31"/>
      <c r="B2840" s="32"/>
      <c r="C2840" s="32"/>
      <c r="D2840" s="33"/>
      <c r="E2840" s="34"/>
      <c r="F2840" s="32"/>
      <c r="G2840" s="35" t="str">
        <f aca="false">IF(A2840="","",A2840+7-WEEKDAY(A2840))</f>
        <v/>
      </c>
      <c r="H2840" s="36" t="str">
        <f aca="false">IF(A2840="","",DATE(YEAR(A2840),MONTH(A2840),1))</f>
        <v/>
      </c>
      <c r="I2840" s="37" t="str">
        <f aca="false">IF(B2840="","",IFERROR(INDEX(st_ID,MATCH(B2840,st_Name,0)),"Unknown"))</f>
        <v/>
      </c>
      <c r="J2840" s="37" t="str">
        <f aca="false">IF(C2840="","",IFERROR(INDEX(cl_Code,MATCH(C2840,cl_Name,0)),"Unknown"))</f>
        <v/>
      </c>
      <c r="K2840" s="37" t="str">
        <f aca="false">IF(D2840="","",IFERROR(INDEX(rt_Billable,MATCH(D2840,rt_Code,0)),"Unknown"))</f>
        <v/>
      </c>
      <c r="L2840" s="38" t="str">
        <f aca="false">IF(K2840&lt;&gt;"Yes","",IFERROR(INDEX(cr_Rate,MATCH(J2840&amp;"|"&amp;D2840,cr_Key,0)),INDEX(rt_Rate,MATCH(D2840,rt_Code,0))))</f>
        <v/>
      </c>
      <c r="M2840" s="25" t="str">
        <f aca="false">IF(L2840="","",ROUND(N(E2840)*L2840,2))</f>
        <v/>
      </c>
      <c r="N2840" s="39" t="str">
        <f aca="false">IF(OR(A2840="",B2840=""),"",SUMIFS(tl_Hours,tl_StaffID,I2840,tl_Date,A2840))</f>
        <v/>
      </c>
      <c r="O2840" s="40" t="str">
        <f aca="false">IF(A2840&amp;B2840&amp;D2840="","",IF(OR(A2840="",B2840="",D2840="",E2840=""),"Incomplete",IF(K2840="Unknown","Unknown code",IF(AND(K2840="Yes",C2840=""),"Billable, needs client",IF(N2840&gt;MaxDayHours,"Over "&amp;MaxDayHours&amp;" hours that day","")))))</f>
        <v/>
      </c>
    </row>
    <row r="2841" customFormat="false" ht="15" hidden="false" customHeight="false" outlineLevel="0" collapsed="false">
      <c r="A2841" s="31"/>
      <c r="B2841" s="32"/>
      <c r="C2841" s="32"/>
      <c r="D2841" s="33"/>
      <c r="E2841" s="34"/>
      <c r="F2841" s="32"/>
      <c r="G2841" s="35" t="str">
        <f aca="false">IF(A2841="","",A2841+7-WEEKDAY(A2841))</f>
        <v/>
      </c>
      <c r="H2841" s="36" t="str">
        <f aca="false">IF(A2841="","",DATE(YEAR(A2841),MONTH(A2841),1))</f>
        <v/>
      </c>
      <c r="I2841" s="37" t="str">
        <f aca="false">IF(B2841="","",IFERROR(INDEX(st_ID,MATCH(B2841,st_Name,0)),"Unknown"))</f>
        <v/>
      </c>
      <c r="J2841" s="37" t="str">
        <f aca="false">IF(C2841="","",IFERROR(INDEX(cl_Code,MATCH(C2841,cl_Name,0)),"Unknown"))</f>
        <v/>
      </c>
      <c r="K2841" s="37" t="str">
        <f aca="false">IF(D2841="","",IFERROR(INDEX(rt_Billable,MATCH(D2841,rt_Code,0)),"Unknown"))</f>
        <v/>
      </c>
      <c r="L2841" s="38" t="str">
        <f aca="false">IF(K2841&lt;&gt;"Yes","",IFERROR(INDEX(cr_Rate,MATCH(J2841&amp;"|"&amp;D2841,cr_Key,0)),INDEX(rt_Rate,MATCH(D2841,rt_Code,0))))</f>
        <v/>
      </c>
      <c r="M2841" s="25" t="str">
        <f aca="false">IF(L2841="","",ROUND(N(E2841)*L2841,2))</f>
        <v/>
      </c>
      <c r="N2841" s="39" t="str">
        <f aca="false">IF(OR(A2841="",B2841=""),"",SUMIFS(tl_Hours,tl_StaffID,I2841,tl_Date,A2841))</f>
        <v/>
      </c>
      <c r="O2841" s="40" t="str">
        <f aca="false">IF(A2841&amp;B2841&amp;D2841="","",IF(OR(A2841="",B2841="",D2841="",E2841=""),"Incomplete",IF(K2841="Unknown","Unknown code",IF(AND(K2841="Yes",C2841=""),"Billable, needs client",IF(N2841&gt;MaxDayHours,"Over "&amp;MaxDayHours&amp;" hours that day","")))))</f>
        <v/>
      </c>
    </row>
    <row r="2842" customFormat="false" ht="15" hidden="false" customHeight="false" outlineLevel="0" collapsed="false">
      <c r="A2842" s="31"/>
      <c r="B2842" s="32"/>
      <c r="C2842" s="32"/>
      <c r="D2842" s="33"/>
      <c r="E2842" s="34"/>
      <c r="F2842" s="32"/>
      <c r="G2842" s="35" t="str">
        <f aca="false">IF(A2842="","",A2842+7-WEEKDAY(A2842))</f>
        <v/>
      </c>
      <c r="H2842" s="36" t="str">
        <f aca="false">IF(A2842="","",DATE(YEAR(A2842),MONTH(A2842),1))</f>
        <v/>
      </c>
      <c r="I2842" s="37" t="str">
        <f aca="false">IF(B2842="","",IFERROR(INDEX(st_ID,MATCH(B2842,st_Name,0)),"Unknown"))</f>
        <v/>
      </c>
      <c r="J2842" s="37" t="str">
        <f aca="false">IF(C2842="","",IFERROR(INDEX(cl_Code,MATCH(C2842,cl_Name,0)),"Unknown"))</f>
        <v/>
      </c>
      <c r="K2842" s="37" t="str">
        <f aca="false">IF(D2842="","",IFERROR(INDEX(rt_Billable,MATCH(D2842,rt_Code,0)),"Unknown"))</f>
        <v/>
      </c>
      <c r="L2842" s="38" t="str">
        <f aca="false">IF(K2842&lt;&gt;"Yes","",IFERROR(INDEX(cr_Rate,MATCH(J2842&amp;"|"&amp;D2842,cr_Key,0)),INDEX(rt_Rate,MATCH(D2842,rt_Code,0))))</f>
        <v/>
      </c>
      <c r="M2842" s="25" t="str">
        <f aca="false">IF(L2842="","",ROUND(N(E2842)*L2842,2))</f>
        <v/>
      </c>
      <c r="N2842" s="39" t="str">
        <f aca="false">IF(OR(A2842="",B2842=""),"",SUMIFS(tl_Hours,tl_StaffID,I2842,tl_Date,A2842))</f>
        <v/>
      </c>
      <c r="O2842" s="40" t="str">
        <f aca="false">IF(A2842&amp;B2842&amp;D2842="","",IF(OR(A2842="",B2842="",D2842="",E2842=""),"Incomplete",IF(K2842="Unknown","Unknown code",IF(AND(K2842="Yes",C2842=""),"Billable, needs client",IF(N2842&gt;MaxDayHours,"Over "&amp;MaxDayHours&amp;" hours that day","")))))</f>
        <v/>
      </c>
    </row>
    <row r="2843" customFormat="false" ht="15" hidden="false" customHeight="false" outlineLevel="0" collapsed="false">
      <c r="A2843" s="31"/>
      <c r="B2843" s="32"/>
      <c r="C2843" s="32"/>
      <c r="D2843" s="33"/>
      <c r="E2843" s="34"/>
      <c r="F2843" s="32"/>
      <c r="G2843" s="35" t="str">
        <f aca="false">IF(A2843="","",A2843+7-WEEKDAY(A2843))</f>
        <v/>
      </c>
      <c r="H2843" s="36" t="str">
        <f aca="false">IF(A2843="","",DATE(YEAR(A2843),MONTH(A2843),1))</f>
        <v/>
      </c>
      <c r="I2843" s="37" t="str">
        <f aca="false">IF(B2843="","",IFERROR(INDEX(st_ID,MATCH(B2843,st_Name,0)),"Unknown"))</f>
        <v/>
      </c>
      <c r="J2843" s="37" t="str">
        <f aca="false">IF(C2843="","",IFERROR(INDEX(cl_Code,MATCH(C2843,cl_Name,0)),"Unknown"))</f>
        <v/>
      </c>
      <c r="K2843" s="37" t="str">
        <f aca="false">IF(D2843="","",IFERROR(INDEX(rt_Billable,MATCH(D2843,rt_Code,0)),"Unknown"))</f>
        <v/>
      </c>
      <c r="L2843" s="38" t="str">
        <f aca="false">IF(K2843&lt;&gt;"Yes","",IFERROR(INDEX(cr_Rate,MATCH(J2843&amp;"|"&amp;D2843,cr_Key,0)),INDEX(rt_Rate,MATCH(D2843,rt_Code,0))))</f>
        <v/>
      </c>
      <c r="M2843" s="25" t="str">
        <f aca="false">IF(L2843="","",ROUND(N(E2843)*L2843,2))</f>
        <v/>
      </c>
      <c r="N2843" s="39" t="str">
        <f aca="false">IF(OR(A2843="",B2843=""),"",SUMIFS(tl_Hours,tl_StaffID,I2843,tl_Date,A2843))</f>
        <v/>
      </c>
      <c r="O2843" s="40" t="str">
        <f aca="false">IF(A2843&amp;B2843&amp;D2843="","",IF(OR(A2843="",B2843="",D2843="",E2843=""),"Incomplete",IF(K2843="Unknown","Unknown code",IF(AND(K2843="Yes",C2843=""),"Billable, needs client",IF(N2843&gt;MaxDayHours,"Over "&amp;MaxDayHours&amp;" hours that day","")))))</f>
        <v/>
      </c>
    </row>
    <row r="2844" customFormat="false" ht="15" hidden="false" customHeight="false" outlineLevel="0" collapsed="false">
      <c r="A2844" s="31"/>
      <c r="B2844" s="32"/>
      <c r="C2844" s="32"/>
      <c r="D2844" s="33"/>
      <c r="E2844" s="34"/>
      <c r="F2844" s="32"/>
      <c r="G2844" s="35" t="str">
        <f aca="false">IF(A2844="","",A2844+7-WEEKDAY(A2844))</f>
        <v/>
      </c>
      <c r="H2844" s="36" t="str">
        <f aca="false">IF(A2844="","",DATE(YEAR(A2844),MONTH(A2844),1))</f>
        <v/>
      </c>
      <c r="I2844" s="37" t="str">
        <f aca="false">IF(B2844="","",IFERROR(INDEX(st_ID,MATCH(B2844,st_Name,0)),"Unknown"))</f>
        <v/>
      </c>
      <c r="J2844" s="37" t="str">
        <f aca="false">IF(C2844="","",IFERROR(INDEX(cl_Code,MATCH(C2844,cl_Name,0)),"Unknown"))</f>
        <v/>
      </c>
      <c r="K2844" s="37" t="str">
        <f aca="false">IF(D2844="","",IFERROR(INDEX(rt_Billable,MATCH(D2844,rt_Code,0)),"Unknown"))</f>
        <v/>
      </c>
      <c r="L2844" s="38" t="str">
        <f aca="false">IF(K2844&lt;&gt;"Yes","",IFERROR(INDEX(cr_Rate,MATCH(J2844&amp;"|"&amp;D2844,cr_Key,0)),INDEX(rt_Rate,MATCH(D2844,rt_Code,0))))</f>
        <v/>
      </c>
      <c r="M2844" s="25" t="str">
        <f aca="false">IF(L2844="","",ROUND(N(E2844)*L2844,2))</f>
        <v/>
      </c>
      <c r="N2844" s="39" t="str">
        <f aca="false">IF(OR(A2844="",B2844=""),"",SUMIFS(tl_Hours,tl_StaffID,I2844,tl_Date,A2844))</f>
        <v/>
      </c>
      <c r="O2844" s="40" t="str">
        <f aca="false">IF(A2844&amp;B2844&amp;D2844="","",IF(OR(A2844="",B2844="",D2844="",E2844=""),"Incomplete",IF(K2844="Unknown","Unknown code",IF(AND(K2844="Yes",C2844=""),"Billable, needs client",IF(N2844&gt;MaxDayHours,"Over "&amp;MaxDayHours&amp;" hours that day","")))))</f>
        <v/>
      </c>
    </row>
    <row r="2845" customFormat="false" ht="15" hidden="false" customHeight="false" outlineLevel="0" collapsed="false">
      <c r="A2845" s="31"/>
      <c r="B2845" s="32"/>
      <c r="C2845" s="32"/>
      <c r="D2845" s="33"/>
      <c r="E2845" s="34"/>
      <c r="F2845" s="32"/>
      <c r="G2845" s="35" t="str">
        <f aca="false">IF(A2845="","",A2845+7-WEEKDAY(A2845))</f>
        <v/>
      </c>
      <c r="H2845" s="36" t="str">
        <f aca="false">IF(A2845="","",DATE(YEAR(A2845),MONTH(A2845),1))</f>
        <v/>
      </c>
      <c r="I2845" s="37" t="str">
        <f aca="false">IF(B2845="","",IFERROR(INDEX(st_ID,MATCH(B2845,st_Name,0)),"Unknown"))</f>
        <v/>
      </c>
      <c r="J2845" s="37" t="str">
        <f aca="false">IF(C2845="","",IFERROR(INDEX(cl_Code,MATCH(C2845,cl_Name,0)),"Unknown"))</f>
        <v/>
      </c>
      <c r="K2845" s="37" t="str">
        <f aca="false">IF(D2845="","",IFERROR(INDEX(rt_Billable,MATCH(D2845,rt_Code,0)),"Unknown"))</f>
        <v/>
      </c>
      <c r="L2845" s="38" t="str">
        <f aca="false">IF(K2845&lt;&gt;"Yes","",IFERROR(INDEX(cr_Rate,MATCH(J2845&amp;"|"&amp;D2845,cr_Key,0)),INDEX(rt_Rate,MATCH(D2845,rt_Code,0))))</f>
        <v/>
      </c>
      <c r="M2845" s="25" t="str">
        <f aca="false">IF(L2845="","",ROUND(N(E2845)*L2845,2))</f>
        <v/>
      </c>
      <c r="N2845" s="39" t="str">
        <f aca="false">IF(OR(A2845="",B2845=""),"",SUMIFS(tl_Hours,tl_StaffID,I2845,tl_Date,A2845))</f>
        <v/>
      </c>
      <c r="O2845" s="40" t="str">
        <f aca="false">IF(A2845&amp;B2845&amp;D2845="","",IF(OR(A2845="",B2845="",D2845="",E2845=""),"Incomplete",IF(K2845="Unknown","Unknown code",IF(AND(K2845="Yes",C2845=""),"Billable, needs client",IF(N2845&gt;MaxDayHours,"Over "&amp;MaxDayHours&amp;" hours that day","")))))</f>
        <v/>
      </c>
    </row>
    <row r="2846" customFormat="false" ht="15" hidden="false" customHeight="false" outlineLevel="0" collapsed="false">
      <c r="A2846" s="31"/>
      <c r="B2846" s="32"/>
      <c r="C2846" s="32"/>
      <c r="D2846" s="33"/>
      <c r="E2846" s="34"/>
      <c r="F2846" s="32"/>
      <c r="G2846" s="35" t="str">
        <f aca="false">IF(A2846="","",A2846+7-WEEKDAY(A2846))</f>
        <v/>
      </c>
      <c r="H2846" s="36" t="str">
        <f aca="false">IF(A2846="","",DATE(YEAR(A2846),MONTH(A2846),1))</f>
        <v/>
      </c>
      <c r="I2846" s="37" t="str">
        <f aca="false">IF(B2846="","",IFERROR(INDEX(st_ID,MATCH(B2846,st_Name,0)),"Unknown"))</f>
        <v/>
      </c>
      <c r="J2846" s="37" t="str">
        <f aca="false">IF(C2846="","",IFERROR(INDEX(cl_Code,MATCH(C2846,cl_Name,0)),"Unknown"))</f>
        <v/>
      </c>
      <c r="K2846" s="37" t="str">
        <f aca="false">IF(D2846="","",IFERROR(INDEX(rt_Billable,MATCH(D2846,rt_Code,0)),"Unknown"))</f>
        <v/>
      </c>
      <c r="L2846" s="38" t="str">
        <f aca="false">IF(K2846&lt;&gt;"Yes","",IFERROR(INDEX(cr_Rate,MATCH(J2846&amp;"|"&amp;D2846,cr_Key,0)),INDEX(rt_Rate,MATCH(D2846,rt_Code,0))))</f>
        <v/>
      </c>
      <c r="M2846" s="25" t="str">
        <f aca="false">IF(L2846="","",ROUND(N(E2846)*L2846,2))</f>
        <v/>
      </c>
      <c r="N2846" s="39" t="str">
        <f aca="false">IF(OR(A2846="",B2846=""),"",SUMIFS(tl_Hours,tl_StaffID,I2846,tl_Date,A2846))</f>
        <v/>
      </c>
      <c r="O2846" s="40" t="str">
        <f aca="false">IF(A2846&amp;B2846&amp;D2846="","",IF(OR(A2846="",B2846="",D2846="",E2846=""),"Incomplete",IF(K2846="Unknown","Unknown code",IF(AND(K2846="Yes",C2846=""),"Billable, needs client",IF(N2846&gt;MaxDayHours,"Over "&amp;MaxDayHours&amp;" hours that day","")))))</f>
        <v/>
      </c>
    </row>
    <row r="2847" customFormat="false" ht="15" hidden="false" customHeight="false" outlineLevel="0" collapsed="false">
      <c r="A2847" s="31"/>
      <c r="B2847" s="32"/>
      <c r="C2847" s="32"/>
      <c r="D2847" s="33"/>
      <c r="E2847" s="34"/>
      <c r="F2847" s="32"/>
      <c r="G2847" s="35" t="str">
        <f aca="false">IF(A2847="","",A2847+7-WEEKDAY(A2847))</f>
        <v/>
      </c>
      <c r="H2847" s="36" t="str">
        <f aca="false">IF(A2847="","",DATE(YEAR(A2847),MONTH(A2847),1))</f>
        <v/>
      </c>
      <c r="I2847" s="37" t="str">
        <f aca="false">IF(B2847="","",IFERROR(INDEX(st_ID,MATCH(B2847,st_Name,0)),"Unknown"))</f>
        <v/>
      </c>
      <c r="J2847" s="37" t="str">
        <f aca="false">IF(C2847="","",IFERROR(INDEX(cl_Code,MATCH(C2847,cl_Name,0)),"Unknown"))</f>
        <v/>
      </c>
      <c r="K2847" s="37" t="str">
        <f aca="false">IF(D2847="","",IFERROR(INDEX(rt_Billable,MATCH(D2847,rt_Code,0)),"Unknown"))</f>
        <v/>
      </c>
      <c r="L2847" s="38" t="str">
        <f aca="false">IF(K2847&lt;&gt;"Yes","",IFERROR(INDEX(cr_Rate,MATCH(J2847&amp;"|"&amp;D2847,cr_Key,0)),INDEX(rt_Rate,MATCH(D2847,rt_Code,0))))</f>
        <v/>
      </c>
      <c r="M2847" s="25" t="str">
        <f aca="false">IF(L2847="","",ROUND(N(E2847)*L2847,2))</f>
        <v/>
      </c>
      <c r="N2847" s="39" t="str">
        <f aca="false">IF(OR(A2847="",B2847=""),"",SUMIFS(tl_Hours,tl_StaffID,I2847,tl_Date,A2847))</f>
        <v/>
      </c>
      <c r="O2847" s="40" t="str">
        <f aca="false">IF(A2847&amp;B2847&amp;D2847="","",IF(OR(A2847="",B2847="",D2847="",E2847=""),"Incomplete",IF(K2847="Unknown","Unknown code",IF(AND(K2847="Yes",C2847=""),"Billable, needs client",IF(N2847&gt;MaxDayHours,"Over "&amp;MaxDayHours&amp;" hours that day","")))))</f>
        <v/>
      </c>
    </row>
    <row r="2848" customFormat="false" ht="15" hidden="false" customHeight="false" outlineLevel="0" collapsed="false">
      <c r="A2848" s="31"/>
      <c r="B2848" s="32"/>
      <c r="C2848" s="32"/>
      <c r="D2848" s="33"/>
      <c r="E2848" s="34"/>
      <c r="F2848" s="32"/>
      <c r="G2848" s="35" t="str">
        <f aca="false">IF(A2848="","",A2848+7-WEEKDAY(A2848))</f>
        <v/>
      </c>
      <c r="H2848" s="36" t="str">
        <f aca="false">IF(A2848="","",DATE(YEAR(A2848),MONTH(A2848),1))</f>
        <v/>
      </c>
      <c r="I2848" s="37" t="str">
        <f aca="false">IF(B2848="","",IFERROR(INDEX(st_ID,MATCH(B2848,st_Name,0)),"Unknown"))</f>
        <v/>
      </c>
      <c r="J2848" s="37" t="str">
        <f aca="false">IF(C2848="","",IFERROR(INDEX(cl_Code,MATCH(C2848,cl_Name,0)),"Unknown"))</f>
        <v/>
      </c>
      <c r="K2848" s="37" t="str">
        <f aca="false">IF(D2848="","",IFERROR(INDEX(rt_Billable,MATCH(D2848,rt_Code,0)),"Unknown"))</f>
        <v/>
      </c>
      <c r="L2848" s="38" t="str">
        <f aca="false">IF(K2848&lt;&gt;"Yes","",IFERROR(INDEX(cr_Rate,MATCH(J2848&amp;"|"&amp;D2848,cr_Key,0)),INDEX(rt_Rate,MATCH(D2848,rt_Code,0))))</f>
        <v/>
      </c>
      <c r="M2848" s="25" t="str">
        <f aca="false">IF(L2848="","",ROUND(N(E2848)*L2848,2))</f>
        <v/>
      </c>
      <c r="N2848" s="39" t="str">
        <f aca="false">IF(OR(A2848="",B2848=""),"",SUMIFS(tl_Hours,tl_StaffID,I2848,tl_Date,A2848))</f>
        <v/>
      </c>
      <c r="O2848" s="40" t="str">
        <f aca="false">IF(A2848&amp;B2848&amp;D2848="","",IF(OR(A2848="",B2848="",D2848="",E2848=""),"Incomplete",IF(K2848="Unknown","Unknown code",IF(AND(K2848="Yes",C2848=""),"Billable, needs client",IF(N2848&gt;MaxDayHours,"Over "&amp;MaxDayHours&amp;" hours that day","")))))</f>
        <v/>
      </c>
    </row>
    <row r="2849" customFormat="false" ht="15" hidden="false" customHeight="false" outlineLevel="0" collapsed="false">
      <c r="A2849" s="31"/>
      <c r="B2849" s="32"/>
      <c r="C2849" s="32"/>
      <c r="D2849" s="33"/>
      <c r="E2849" s="34"/>
      <c r="F2849" s="32"/>
      <c r="G2849" s="35" t="str">
        <f aca="false">IF(A2849="","",A2849+7-WEEKDAY(A2849))</f>
        <v/>
      </c>
      <c r="H2849" s="36" t="str">
        <f aca="false">IF(A2849="","",DATE(YEAR(A2849),MONTH(A2849),1))</f>
        <v/>
      </c>
      <c r="I2849" s="37" t="str">
        <f aca="false">IF(B2849="","",IFERROR(INDEX(st_ID,MATCH(B2849,st_Name,0)),"Unknown"))</f>
        <v/>
      </c>
      <c r="J2849" s="37" t="str">
        <f aca="false">IF(C2849="","",IFERROR(INDEX(cl_Code,MATCH(C2849,cl_Name,0)),"Unknown"))</f>
        <v/>
      </c>
      <c r="K2849" s="37" t="str">
        <f aca="false">IF(D2849="","",IFERROR(INDEX(rt_Billable,MATCH(D2849,rt_Code,0)),"Unknown"))</f>
        <v/>
      </c>
      <c r="L2849" s="38" t="str">
        <f aca="false">IF(K2849&lt;&gt;"Yes","",IFERROR(INDEX(cr_Rate,MATCH(J2849&amp;"|"&amp;D2849,cr_Key,0)),INDEX(rt_Rate,MATCH(D2849,rt_Code,0))))</f>
        <v/>
      </c>
      <c r="M2849" s="25" t="str">
        <f aca="false">IF(L2849="","",ROUND(N(E2849)*L2849,2))</f>
        <v/>
      </c>
      <c r="N2849" s="39" t="str">
        <f aca="false">IF(OR(A2849="",B2849=""),"",SUMIFS(tl_Hours,tl_StaffID,I2849,tl_Date,A2849))</f>
        <v/>
      </c>
      <c r="O2849" s="40" t="str">
        <f aca="false">IF(A2849&amp;B2849&amp;D2849="","",IF(OR(A2849="",B2849="",D2849="",E2849=""),"Incomplete",IF(K2849="Unknown","Unknown code",IF(AND(K2849="Yes",C2849=""),"Billable, needs client",IF(N2849&gt;MaxDayHours,"Over "&amp;MaxDayHours&amp;" hours that day","")))))</f>
        <v/>
      </c>
    </row>
    <row r="2850" customFormat="false" ht="15" hidden="false" customHeight="false" outlineLevel="0" collapsed="false">
      <c r="A2850" s="31"/>
      <c r="B2850" s="32"/>
      <c r="C2850" s="32"/>
      <c r="D2850" s="33"/>
      <c r="E2850" s="34"/>
      <c r="F2850" s="32"/>
      <c r="G2850" s="35" t="str">
        <f aca="false">IF(A2850="","",A2850+7-WEEKDAY(A2850))</f>
        <v/>
      </c>
      <c r="H2850" s="36" t="str">
        <f aca="false">IF(A2850="","",DATE(YEAR(A2850),MONTH(A2850),1))</f>
        <v/>
      </c>
      <c r="I2850" s="37" t="str">
        <f aca="false">IF(B2850="","",IFERROR(INDEX(st_ID,MATCH(B2850,st_Name,0)),"Unknown"))</f>
        <v/>
      </c>
      <c r="J2850" s="37" t="str">
        <f aca="false">IF(C2850="","",IFERROR(INDEX(cl_Code,MATCH(C2850,cl_Name,0)),"Unknown"))</f>
        <v/>
      </c>
      <c r="K2850" s="37" t="str">
        <f aca="false">IF(D2850="","",IFERROR(INDEX(rt_Billable,MATCH(D2850,rt_Code,0)),"Unknown"))</f>
        <v/>
      </c>
      <c r="L2850" s="38" t="str">
        <f aca="false">IF(K2850&lt;&gt;"Yes","",IFERROR(INDEX(cr_Rate,MATCH(J2850&amp;"|"&amp;D2850,cr_Key,0)),INDEX(rt_Rate,MATCH(D2850,rt_Code,0))))</f>
        <v/>
      </c>
      <c r="M2850" s="25" t="str">
        <f aca="false">IF(L2850="","",ROUND(N(E2850)*L2850,2))</f>
        <v/>
      </c>
      <c r="N2850" s="39" t="str">
        <f aca="false">IF(OR(A2850="",B2850=""),"",SUMIFS(tl_Hours,tl_StaffID,I2850,tl_Date,A2850))</f>
        <v/>
      </c>
      <c r="O2850" s="40" t="str">
        <f aca="false">IF(A2850&amp;B2850&amp;D2850="","",IF(OR(A2850="",B2850="",D2850="",E2850=""),"Incomplete",IF(K2850="Unknown","Unknown code",IF(AND(K2850="Yes",C2850=""),"Billable, needs client",IF(N2850&gt;MaxDayHours,"Over "&amp;MaxDayHours&amp;" hours that day","")))))</f>
        <v/>
      </c>
    </row>
    <row r="2851" customFormat="false" ht="15" hidden="false" customHeight="false" outlineLevel="0" collapsed="false">
      <c r="A2851" s="31"/>
      <c r="B2851" s="32"/>
      <c r="C2851" s="32"/>
      <c r="D2851" s="33"/>
      <c r="E2851" s="34"/>
      <c r="F2851" s="32"/>
      <c r="G2851" s="35" t="str">
        <f aca="false">IF(A2851="","",A2851+7-WEEKDAY(A2851))</f>
        <v/>
      </c>
      <c r="H2851" s="36" t="str">
        <f aca="false">IF(A2851="","",DATE(YEAR(A2851),MONTH(A2851),1))</f>
        <v/>
      </c>
      <c r="I2851" s="37" t="str">
        <f aca="false">IF(B2851="","",IFERROR(INDEX(st_ID,MATCH(B2851,st_Name,0)),"Unknown"))</f>
        <v/>
      </c>
      <c r="J2851" s="37" t="str">
        <f aca="false">IF(C2851="","",IFERROR(INDEX(cl_Code,MATCH(C2851,cl_Name,0)),"Unknown"))</f>
        <v/>
      </c>
      <c r="K2851" s="37" t="str">
        <f aca="false">IF(D2851="","",IFERROR(INDEX(rt_Billable,MATCH(D2851,rt_Code,0)),"Unknown"))</f>
        <v/>
      </c>
      <c r="L2851" s="38" t="str">
        <f aca="false">IF(K2851&lt;&gt;"Yes","",IFERROR(INDEX(cr_Rate,MATCH(J2851&amp;"|"&amp;D2851,cr_Key,0)),INDEX(rt_Rate,MATCH(D2851,rt_Code,0))))</f>
        <v/>
      </c>
      <c r="M2851" s="25" t="str">
        <f aca="false">IF(L2851="","",ROUND(N(E2851)*L2851,2))</f>
        <v/>
      </c>
      <c r="N2851" s="39" t="str">
        <f aca="false">IF(OR(A2851="",B2851=""),"",SUMIFS(tl_Hours,tl_StaffID,I2851,tl_Date,A2851))</f>
        <v/>
      </c>
      <c r="O2851" s="40" t="str">
        <f aca="false">IF(A2851&amp;B2851&amp;D2851="","",IF(OR(A2851="",B2851="",D2851="",E2851=""),"Incomplete",IF(K2851="Unknown","Unknown code",IF(AND(K2851="Yes",C2851=""),"Billable, needs client",IF(N2851&gt;MaxDayHours,"Over "&amp;MaxDayHours&amp;" hours that day","")))))</f>
        <v/>
      </c>
    </row>
    <row r="2852" customFormat="false" ht="15" hidden="false" customHeight="false" outlineLevel="0" collapsed="false">
      <c r="A2852" s="31"/>
      <c r="B2852" s="32"/>
      <c r="C2852" s="32"/>
      <c r="D2852" s="33"/>
      <c r="E2852" s="34"/>
      <c r="F2852" s="32"/>
      <c r="G2852" s="35" t="str">
        <f aca="false">IF(A2852="","",A2852+7-WEEKDAY(A2852))</f>
        <v/>
      </c>
      <c r="H2852" s="36" t="str">
        <f aca="false">IF(A2852="","",DATE(YEAR(A2852),MONTH(A2852),1))</f>
        <v/>
      </c>
      <c r="I2852" s="37" t="str">
        <f aca="false">IF(B2852="","",IFERROR(INDEX(st_ID,MATCH(B2852,st_Name,0)),"Unknown"))</f>
        <v/>
      </c>
      <c r="J2852" s="37" t="str">
        <f aca="false">IF(C2852="","",IFERROR(INDEX(cl_Code,MATCH(C2852,cl_Name,0)),"Unknown"))</f>
        <v/>
      </c>
      <c r="K2852" s="37" t="str">
        <f aca="false">IF(D2852="","",IFERROR(INDEX(rt_Billable,MATCH(D2852,rt_Code,0)),"Unknown"))</f>
        <v/>
      </c>
      <c r="L2852" s="38" t="str">
        <f aca="false">IF(K2852&lt;&gt;"Yes","",IFERROR(INDEX(cr_Rate,MATCH(J2852&amp;"|"&amp;D2852,cr_Key,0)),INDEX(rt_Rate,MATCH(D2852,rt_Code,0))))</f>
        <v/>
      </c>
      <c r="M2852" s="25" t="str">
        <f aca="false">IF(L2852="","",ROUND(N(E2852)*L2852,2))</f>
        <v/>
      </c>
      <c r="N2852" s="39" t="str">
        <f aca="false">IF(OR(A2852="",B2852=""),"",SUMIFS(tl_Hours,tl_StaffID,I2852,tl_Date,A2852))</f>
        <v/>
      </c>
      <c r="O2852" s="40" t="str">
        <f aca="false">IF(A2852&amp;B2852&amp;D2852="","",IF(OR(A2852="",B2852="",D2852="",E2852=""),"Incomplete",IF(K2852="Unknown","Unknown code",IF(AND(K2852="Yes",C2852=""),"Billable, needs client",IF(N2852&gt;MaxDayHours,"Over "&amp;MaxDayHours&amp;" hours that day","")))))</f>
        <v/>
      </c>
    </row>
    <row r="2853" customFormat="false" ht="15" hidden="false" customHeight="false" outlineLevel="0" collapsed="false">
      <c r="A2853" s="31"/>
      <c r="B2853" s="32"/>
      <c r="C2853" s="32"/>
      <c r="D2853" s="33"/>
      <c r="E2853" s="34"/>
      <c r="F2853" s="32"/>
      <c r="G2853" s="35" t="str">
        <f aca="false">IF(A2853="","",A2853+7-WEEKDAY(A2853))</f>
        <v/>
      </c>
      <c r="H2853" s="36" t="str">
        <f aca="false">IF(A2853="","",DATE(YEAR(A2853),MONTH(A2853),1))</f>
        <v/>
      </c>
      <c r="I2853" s="37" t="str">
        <f aca="false">IF(B2853="","",IFERROR(INDEX(st_ID,MATCH(B2853,st_Name,0)),"Unknown"))</f>
        <v/>
      </c>
      <c r="J2853" s="37" t="str">
        <f aca="false">IF(C2853="","",IFERROR(INDEX(cl_Code,MATCH(C2853,cl_Name,0)),"Unknown"))</f>
        <v/>
      </c>
      <c r="K2853" s="37" t="str">
        <f aca="false">IF(D2853="","",IFERROR(INDEX(rt_Billable,MATCH(D2853,rt_Code,0)),"Unknown"))</f>
        <v/>
      </c>
      <c r="L2853" s="38" t="str">
        <f aca="false">IF(K2853&lt;&gt;"Yes","",IFERROR(INDEX(cr_Rate,MATCH(J2853&amp;"|"&amp;D2853,cr_Key,0)),INDEX(rt_Rate,MATCH(D2853,rt_Code,0))))</f>
        <v/>
      </c>
      <c r="M2853" s="25" t="str">
        <f aca="false">IF(L2853="","",ROUND(N(E2853)*L2853,2))</f>
        <v/>
      </c>
      <c r="N2853" s="39" t="str">
        <f aca="false">IF(OR(A2853="",B2853=""),"",SUMIFS(tl_Hours,tl_StaffID,I2853,tl_Date,A2853))</f>
        <v/>
      </c>
      <c r="O2853" s="40" t="str">
        <f aca="false">IF(A2853&amp;B2853&amp;D2853="","",IF(OR(A2853="",B2853="",D2853="",E2853=""),"Incomplete",IF(K2853="Unknown","Unknown code",IF(AND(K2853="Yes",C2853=""),"Billable, needs client",IF(N2853&gt;MaxDayHours,"Over "&amp;MaxDayHours&amp;" hours that day","")))))</f>
        <v/>
      </c>
    </row>
    <row r="2854" customFormat="false" ht="15" hidden="false" customHeight="false" outlineLevel="0" collapsed="false">
      <c r="A2854" s="31"/>
      <c r="B2854" s="32"/>
      <c r="C2854" s="32"/>
      <c r="D2854" s="33"/>
      <c r="E2854" s="34"/>
      <c r="F2854" s="32"/>
      <c r="G2854" s="35" t="str">
        <f aca="false">IF(A2854="","",A2854+7-WEEKDAY(A2854))</f>
        <v/>
      </c>
      <c r="H2854" s="36" t="str">
        <f aca="false">IF(A2854="","",DATE(YEAR(A2854),MONTH(A2854),1))</f>
        <v/>
      </c>
      <c r="I2854" s="37" t="str">
        <f aca="false">IF(B2854="","",IFERROR(INDEX(st_ID,MATCH(B2854,st_Name,0)),"Unknown"))</f>
        <v/>
      </c>
      <c r="J2854" s="37" t="str">
        <f aca="false">IF(C2854="","",IFERROR(INDEX(cl_Code,MATCH(C2854,cl_Name,0)),"Unknown"))</f>
        <v/>
      </c>
      <c r="K2854" s="37" t="str">
        <f aca="false">IF(D2854="","",IFERROR(INDEX(rt_Billable,MATCH(D2854,rt_Code,0)),"Unknown"))</f>
        <v/>
      </c>
      <c r="L2854" s="38" t="str">
        <f aca="false">IF(K2854&lt;&gt;"Yes","",IFERROR(INDEX(cr_Rate,MATCH(J2854&amp;"|"&amp;D2854,cr_Key,0)),INDEX(rt_Rate,MATCH(D2854,rt_Code,0))))</f>
        <v/>
      </c>
      <c r="M2854" s="25" t="str">
        <f aca="false">IF(L2854="","",ROUND(N(E2854)*L2854,2))</f>
        <v/>
      </c>
      <c r="N2854" s="39" t="str">
        <f aca="false">IF(OR(A2854="",B2854=""),"",SUMIFS(tl_Hours,tl_StaffID,I2854,tl_Date,A2854))</f>
        <v/>
      </c>
      <c r="O2854" s="40" t="str">
        <f aca="false">IF(A2854&amp;B2854&amp;D2854="","",IF(OR(A2854="",B2854="",D2854="",E2854=""),"Incomplete",IF(K2854="Unknown","Unknown code",IF(AND(K2854="Yes",C2854=""),"Billable, needs client",IF(N2854&gt;MaxDayHours,"Over "&amp;MaxDayHours&amp;" hours that day","")))))</f>
        <v/>
      </c>
    </row>
    <row r="2855" customFormat="false" ht="15" hidden="false" customHeight="false" outlineLevel="0" collapsed="false">
      <c r="A2855" s="31"/>
      <c r="B2855" s="32"/>
      <c r="C2855" s="32"/>
      <c r="D2855" s="33"/>
      <c r="E2855" s="34"/>
      <c r="F2855" s="32"/>
      <c r="G2855" s="35" t="str">
        <f aca="false">IF(A2855="","",A2855+7-WEEKDAY(A2855))</f>
        <v/>
      </c>
      <c r="H2855" s="36" t="str">
        <f aca="false">IF(A2855="","",DATE(YEAR(A2855),MONTH(A2855),1))</f>
        <v/>
      </c>
      <c r="I2855" s="37" t="str">
        <f aca="false">IF(B2855="","",IFERROR(INDEX(st_ID,MATCH(B2855,st_Name,0)),"Unknown"))</f>
        <v/>
      </c>
      <c r="J2855" s="37" t="str">
        <f aca="false">IF(C2855="","",IFERROR(INDEX(cl_Code,MATCH(C2855,cl_Name,0)),"Unknown"))</f>
        <v/>
      </c>
      <c r="K2855" s="37" t="str">
        <f aca="false">IF(D2855="","",IFERROR(INDEX(rt_Billable,MATCH(D2855,rt_Code,0)),"Unknown"))</f>
        <v/>
      </c>
      <c r="L2855" s="38" t="str">
        <f aca="false">IF(K2855&lt;&gt;"Yes","",IFERROR(INDEX(cr_Rate,MATCH(J2855&amp;"|"&amp;D2855,cr_Key,0)),INDEX(rt_Rate,MATCH(D2855,rt_Code,0))))</f>
        <v/>
      </c>
      <c r="M2855" s="25" t="str">
        <f aca="false">IF(L2855="","",ROUND(N(E2855)*L2855,2))</f>
        <v/>
      </c>
      <c r="N2855" s="39" t="str">
        <f aca="false">IF(OR(A2855="",B2855=""),"",SUMIFS(tl_Hours,tl_StaffID,I2855,tl_Date,A2855))</f>
        <v/>
      </c>
      <c r="O2855" s="40" t="str">
        <f aca="false">IF(A2855&amp;B2855&amp;D2855="","",IF(OR(A2855="",B2855="",D2855="",E2855=""),"Incomplete",IF(K2855="Unknown","Unknown code",IF(AND(K2855="Yes",C2855=""),"Billable, needs client",IF(N2855&gt;MaxDayHours,"Over "&amp;MaxDayHours&amp;" hours that day","")))))</f>
        <v/>
      </c>
    </row>
    <row r="2856" customFormat="false" ht="15" hidden="false" customHeight="false" outlineLevel="0" collapsed="false">
      <c r="A2856" s="31"/>
      <c r="B2856" s="32"/>
      <c r="C2856" s="32"/>
      <c r="D2856" s="33"/>
      <c r="E2856" s="34"/>
      <c r="F2856" s="32"/>
      <c r="G2856" s="35" t="str">
        <f aca="false">IF(A2856="","",A2856+7-WEEKDAY(A2856))</f>
        <v/>
      </c>
      <c r="H2856" s="36" t="str">
        <f aca="false">IF(A2856="","",DATE(YEAR(A2856),MONTH(A2856),1))</f>
        <v/>
      </c>
      <c r="I2856" s="37" t="str">
        <f aca="false">IF(B2856="","",IFERROR(INDEX(st_ID,MATCH(B2856,st_Name,0)),"Unknown"))</f>
        <v/>
      </c>
      <c r="J2856" s="37" t="str">
        <f aca="false">IF(C2856="","",IFERROR(INDEX(cl_Code,MATCH(C2856,cl_Name,0)),"Unknown"))</f>
        <v/>
      </c>
      <c r="K2856" s="37" t="str">
        <f aca="false">IF(D2856="","",IFERROR(INDEX(rt_Billable,MATCH(D2856,rt_Code,0)),"Unknown"))</f>
        <v/>
      </c>
      <c r="L2856" s="38" t="str">
        <f aca="false">IF(K2856&lt;&gt;"Yes","",IFERROR(INDEX(cr_Rate,MATCH(J2856&amp;"|"&amp;D2856,cr_Key,0)),INDEX(rt_Rate,MATCH(D2856,rt_Code,0))))</f>
        <v/>
      </c>
      <c r="M2856" s="25" t="str">
        <f aca="false">IF(L2856="","",ROUND(N(E2856)*L2856,2))</f>
        <v/>
      </c>
      <c r="N2856" s="39" t="str">
        <f aca="false">IF(OR(A2856="",B2856=""),"",SUMIFS(tl_Hours,tl_StaffID,I2856,tl_Date,A2856))</f>
        <v/>
      </c>
      <c r="O2856" s="40" t="str">
        <f aca="false">IF(A2856&amp;B2856&amp;D2856="","",IF(OR(A2856="",B2856="",D2856="",E2856=""),"Incomplete",IF(K2856="Unknown","Unknown code",IF(AND(K2856="Yes",C2856=""),"Billable, needs client",IF(N2856&gt;MaxDayHours,"Over "&amp;MaxDayHours&amp;" hours that day","")))))</f>
        <v/>
      </c>
    </row>
    <row r="2857" customFormat="false" ht="15" hidden="false" customHeight="false" outlineLevel="0" collapsed="false">
      <c r="A2857" s="31"/>
      <c r="B2857" s="32"/>
      <c r="C2857" s="32"/>
      <c r="D2857" s="33"/>
      <c r="E2857" s="34"/>
      <c r="F2857" s="32"/>
      <c r="G2857" s="35" t="str">
        <f aca="false">IF(A2857="","",A2857+7-WEEKDAY(A2857))</f>
        <v/>
      </c>
      <c r="H2857" s="36" t="str">
        <f aca="false">IF(A2857="","",DATE(YEAR(A2857),MONTH(A2857),1))</f>
        <v/>
      </c>
      <c r="I2857" s="37" t="str">
        <f aca="false">IF(B2857="","",IFERROR(INDEX(st_ID,MATCH(B2857,st_Name,0)),"Unknown"))</f>
        <v/>
      </c>
      <c r="J2857" s="37" t="str">
        <f aca="false">IF(C2857="","",IFERROR(INDEX(cl_Code,MATCH(C2857,cl_Name,0)),"Unknown"))</f>
        <v/>
      </c>
      <c r="K2857" s="37" t="str">
        <f aca="false">IF(D2857="","",IFERROR(INDEX(rt_Billable,MATCH(D2857,rt_Code,0)),"Unknown"))</f>
        <v/>
      </c>
      <c r="L2857" s="38" t="str">
        <f aca="false">IF(K2857&lt;&gt;"Yes","",IFERROR(INDEX(cr_Rate,MATCH(J2857&amp;"|"&amp;D2857,cr_Key,0)),INDEX(rt_Rate,MATCH(D2857,rt_Code,0))))</f>
        <v/>
      </c>
      <c r="M2857" s="25" t="str">
        <f aca="false">IF(L2857="","",ROUND(N(E2857)*L2857,2))</f>
        <v/>
      </c>
      <c r="N2857" s="39" t="str">
        <f aca="false">IF(OR(A2857="",B2857=""),"",SUMIFS(tl_Hours,tl_StaffID,I2857,tl_Date,A2857))</f>
        <v/>
      </c>
      <c r="O2857" s="40" t="str">
        <f aca="false">IF(A2857&amp;B2857&amp;D2857="","",IF(OR(A2857="",B2857="",D2857="",E2857=""),"Incomplete",IF(K2857="Unknown","Unknown code",IF(AND(K2857="Yes",C2857=""),"Billable, needs client",IF(N2857&gt;MaxDayHours,"Over "&amp;MaxDayHours&amp;" hours that day","")))))</f>
        <v/>
      </c>
    </row>
    <row r="2858" customFormat="false" ht="15" hidden="false" customHeight="false" outlineLevel="0" collapsed="false">
      <c r="A2858" s="31"/>
      <c r="B2858" s="32"/>
      <c r="C2858" s="32"/>
      <c r="D2858" s="33"/>
      <c r="E2858" s="34"/>
      <c r="F2858" s="32"/>
      <c r="G2858" s="35" t="str">
        <f aca="false">IF(A2858="","",A2858+7-WEEKDAY(A2858))</f>
        <v/>
      </c>
      <c r="H2858" s="36" t="str">
        <f aca="false">IF(A2858="","",DATE(YEAR(A2858),MONTH(A2858),1))</f>
        <v/>
      </c>
      <c r="I2858" s="37" t="str">
        <f aca="false">IF(B2858="","",IFERROR(INDEX(st_ID,MATCH(B2858,st_Name,0)),"Unknown"))</f>
        <v/>
      </c>
      <c r="J2858" s="37" t="str">
        <f aca="false">IF(C2858="","",IFERROR(INDEX(cl_Code,MATCH(C2858,cl_Name,0)),"Unknown"))</f>
        <v/>
      </c>
      <c r="K2858" s="37" t="str">
        <f aca="false">IF(D2858="","",IFERROR(INDEX(rt_Billable,MATCH(D2858,rt_Code,0)),"Unknown"))</f>
        <v/>
      </c>
      <c r="L2858" s="38" t="str">
        <f aca="false">IF(K2858&lt;&gt;"Yes","",IFERROR(INDEX(cr_Rate,MATCH(J2858&amp;"|"&amp;D2858,cr_Key,0)),INDEX(rt_Rate,MATCH(D2858,rt_Code,0))))</f>
        <v/>
      </c>
      <c r="M2858" s="25" t="str">
        <f aca="false">IF(L2858="","",ROUND(N(E2858)*L2858,2))</f>
        <v/>
      </c>
      <c r="N2858" s="39" t="str">
        <f aca="false">IF(OR(A2858="",B2858=""),"",SUMIFS(tl_Hours,tl_StaffID,I2858,tl_Date,A2858))</f>
        <v/>
      </c>
      <c r="O2858" s="40" t="str">
        <f aca="false">IF(A2858&amp;B2858&amp;D2858="","",IF(OR(A2858="",B2858="",D2858="",E2858=""),"Incomplete",IF(K2858="Unknown","Unknown code",IF(AND(K2858="Yes",C2858=""),"Billable, needs client",IF(N2858&gt;MaxDayHours,"Over "&amp;MaxDayHours&amp;" hours that day","")))))</f>
        <v/>
      </c>
    </row>
    <row r="2859" customFormat="false" ht="15" hidden="false" customHeight="false" outlineLevel="0" collapsed="false">
      <c r="A2859" s="31"/>
      <c r="B2859" s="32"/>
      <c r="C2859" s="32"/>
      <c r="D2859" s="33"/>
      <c r="E2859" s="34"/>
      <c r="F2859" s="32"/>
      <c r="G2859" s="35" t="str">
        <f aca="false">IF(A2859="","",A2859+7-WEEKDAY(A2859))</f>
        <v/>
      </c>
      <c r="H2859" s="36" t="str">
        <f aca="false">IF(A2859="","",DATE(YEAR(A2859),MONTH(A2859),1))</f>
        <v/>
      </c>
      <c r="I2859" s="37" t="str">
        <f aca="false">IF(B2859="","",IFERROR(INDEX(st_ID,MATCH(B2859,st_Name,0)),"Unknown"))</f>
        <v/>
      </c>
      <c r="J2859" s="37" t="str">
        <f aca="false">IF(C2859="","",IFERROR(INDEX(cl_Code,MATCH(C2859,cl_Name,0)),"Unknown"))</f>
        <v/>
      </c>
      <c r="K2859" s="37" t="str">
        <f aca="false">IF(D2859="","",IFERROR(INDEX(rt_Billable,MATCH(D2859,rt_Code,0)),"Unknown"))</f>
        <v/>
      </c>
      <c r="L2859" s="38" t="str">
        <f aca="false">IF(K2859&lt;&gt;"Yes","",IFERROR(INDEX(cr_Rate,MATCH(J2859&amp;"|"&amp;D2859,cr_Key,0)),INDEX(rt_Rate,MATCH(D2859,rt_Code,0))))</f>
        <v/>
      </c>
      <c r="M2859" s="25" t="str">
        <f aca="false">IF(L2859="","",ROUND(N(E2859)*L2859,2))</f>
        <v/>
      </c>
      <c r="N2859" s="39" t="str">
        <f aca="false">IF(OR(A2859="",B2859=""),"",SUMIFS(tl_Hours,tl_StaffID,I2859,tl_Date,A2859))</f>
        <v/>
      </c>
      <c r="O2859" s="40" t="str">
        <f aca="false">IF(A2859&amp;B2859&amp;D2859="","",IF(OR(A2859="",B2859="",D2859="",E2859=""),"Incomplete",IF(K2859="Unknown","Unknown code",IF(AND(K2859="Yes",C2859=""),"Billable, needs client",IF(N2859&gt;MaxDayHours,"Over "&amp;MaxDayHours&amp;" hours that day","")))))</f>
        <v/>
      </c>
    </row>
    <row r="2860" customFormat="false" ht="15" hidden="false" customHeight="false" outlineLevel="0" collapsed="false">
      <c r="A2860" s="31"/>
      <c r="B2860" s="32"/>
      <c r="C2860" s="32"/>
      <c r="D2860" s="33"/>
      <c r="E2860" s="34"/>
      <c r="F2860" s="32"/>
      <c r="G2860" s="35" t="str">
        <f aca="false">IF(A2860="","",A2860+7-WEEKDAY(A2860))</f>
        <v/>
      </c>
      <c r="H2860" s="36" t="str">
        <f aca="false">IF(A2860="","",DATE(YEAR(A2860),MONTH(A2860),1))</f>
        <v/>
      </c>
      <c r="I2860" s="37" t="str">
        <f aca="false">IF(B2860="","",IFERROR(INDEX(st_ID,MATCH(B2860,st_Name,0)),"Unknown"))</f>
        <v/>
      </c>
      <c r="J2860" s="37" t="str">
        <f aca="false">IF(C2860="","",IFERROR(INDEX(cl_Code,MATCH(C2860,cl_Name,0)),"Unknown"))</f>
        <v/>
      </c>
      <c r="K2860" s="37" t="str">
        <f aca="false">IF(D2860="","",IFERROR(INDEX(rt_Billable,MATCH(D2860,rt_Code,0)),"Unknown"))</f>
        <v/>
      </c>
      <c r="L2860" s="38" t="str">
        <f aca="false">IF(K2860&lt;&gt;"Yes","",IFERROR(INDEX(cr_Rate,MATCH(J2860&amp;"|"&amp;D2860,cr_Key,0)),INDEX(rt_Rate,MATCH(D2860,rt_Code,0))))</f>
        <v/>
      </c>
      <c r="M2860" s="25" t="str">
        <f aca="false">IF(L2860="","",ROUND(N(E2860)*L2860,2))</f>
        <v/>
      </c>
      <c r="N2860" s="39" t="str">
        <f aca="false">IF(OR(A2860="",B2860=""),"",SUMIFS(tl_Hours,tl_StaffID,I2860,tl_Date,A2860))</f>
        <v/>
      </c>
      <c r="O2860" s="40" t="str">
        <f aca="false">IF(A2860&amp;B2860&amp;D2860="","",IF(OR(A2860="",B2860="",D2860="",E2860=""),"Incomplete",IF(K2860="Unknown","Unknown code",IF(AND(K2860="Yes",C2860=""),"Billable, needs client",IF(N2860&gt;MaxDayHours,"Over "&amp;MaxDayHours&amp;" hours that day","")))))</f>
        <v/>
      </c>
    </row>
    <row r="2861" customFormat="false" ht="15" hidden="false" customHeight="false" outlineLevel="0" collapsed="false">
      <c r="A2861" s="31"/>
      <c r="B2861" s="32"/>
      <c r="C2861" s="32"/>
      <c r="D2861" s="33"/>
      <c r="E2861" s="34"/>
      <c r="F2861" s="32"/>
      <c r="G2861" s="35" t="str">
        <f aca="false">IF(A2861="","",A2861+7-WEEKDAY(A2861))</f>
        <v/>
      </c>
      <c r="H2861" s="36" t="str">
        <f aca="false">IF(A2861="","",DATE(YEAR(A2861),MONTH(A2861),1))</f>
        <v/>
      </c>
      <c r="I2861" s="37" t="str">
        <f aca="false">IF(B2861="","",IFERROR(INDEX(st_ID,MATCH(B2861,st_Name,0)),"Unknown"))</f>
        <v/>
      </c>
      <c r="J2861" s="37" t="str">
        <f aca="false">IF(C2861="","",IFERROR(INDEX(cl_Code,MATCH(C2861,cl_Name,0)),"Unknown"))</f>
        <v/>
      </c>
      <c r="K2861" s="37" t="str">
        <f aca="false">IF(D2861="","",IFERROR(INDEX(rt_Billable,MATCH(D2861,rt_Code,0)),"Unknown"))</f>
        <v/>
      </c>
      <c r="L2861" s="38" t="str">
        <f aca="false">IF(K2861&lt;&gt;"Yes","",IFERROR(INDEX(cr_Rate,MATCH(J2861&amp;"|"&amp;D2861,cr_Key,0)),INDEX(rt_Rate,MATCH(D2861,rt_Code,0))))</f>
        <v/>
      </c>
      <c r="M2861" s="25" t="str">
        <f aca="false">IF(L2861="","",ROUND(N(E2861)*L2861,2))</f>
        <v/>
      </c>
      <c r="N2861" s="39" t="str">
        <f aca="false">IF(OR(A2861="",B2861=""),"",SUMIFS(tl_Hours,tl_StaffID,I2861,tl_Date,A2861))</f>
        <v/>
      </c>
      <c r="O2861" s="40" t="str">
        <f aca="false">IF(A2861&amp;B2861&amp;D2861="","",IF(OR(A2861="",B2861="",D2861="",E2861=""),"Incomplete",IF(K2861="Unknown","Unknown code",IF(AND(K2861="Yes",C2861=""),"Billable, needs client",IF(N2861&gt;MaxDayHours,"Over "&amp;MaxDayHours&amp;" hours that day","")))))</f>
        <v/>
      </c>
    </row>
    <row r="2862" customFormat="false" ht="15" hidden="false" customHeight="false" outlineLevel="0" collapsed="false">
      <c r="A2862" s="31"/>
      <c r="B2862" s="32"/>
      <c r="C2862" s="32"/>
      <c r="D2862" s="33"/>
      <c r="E2862" s="34"/>
      <c r="F2862" s="32"/>
      <c r="G2862" s="35" t="str">
        <f aca="false">IF(A2862="","",A2862+7-WEEKDAY(A2862))</f>
        <v/>
      </c>
      <c r="H2862" s="36" t="str">
        <f aca="false">IF(A2862="","",DATE(YEAR(A2862),MONTH(A2862),1))</f>
        <v/>
      </c>
      <c r="I2862" s="37" t="str">
        <f aca="false">IF(B2862="","",IFERROR(INDEX(st_ID,MATCH(B2862,st_Name,0)),"Unknown"))</f>
        <v/>
      </c>
      <c r="J2862" s="37" t="str">
        <f aca="false">IF(C2862="","",IFERROR(INDEX(cl_Code,MATCH(C2862,cl_Name,0)),"Unknown"))</f>
        <v/>
      </c>
      <c r="K2862" s="37" t="str">
        <f aca="false">IF(D2862="","",IFERROR(INDEX(rt_Billable,MATCH(D2862,rt_Code,0)),"Unknown"))</f>
        <v/>
      </c>
      <c r="L2862" s="38" t="str">
        <f aca="false">IF(K2862&lt;&gt;"Yes","",IFERROR(INDEX(cr_Rate,MATCH(J2862&amp;"|"&amp;D2862,cr_Key,0)),INDEX(rt_Rate,MATCH(D2862,rt_Code,0))))</f>
        <v/>
      </c>
      <c r="M2862" s="25" t="str">
        <f aca="false">IF(L2862="","",ROUND(N(E2862)*L2862,2))</f>
        <v/>
      </c>
      <c r="N2862" s="39" t="str">
        <f aca="false">IF(OR(A2862="",B2862=""),"",SUMIFS(tl_Hours,tl_StaffID,I2862,tl_Date,A2862))</f>
        <v/>
      </c>
      <c r="O2862" s="40" t="str">
        <f aca="false">IF(A2862&amp;B2862&amp;D2862="","",IF(OR(A2862="",B2862="",D2862="",E2862=""),"Incomplete",IF(K2862="Unknown","Unknown code",IF(AND(K2862="Yes",C2862=""),"Billable, needs client",IF(N2862&gt;MaxDayHours,"Over "&amp;MaxDayHours&amp;" hours that day","")))))</f>
        <v/>
      </c>
    </row>
    <row r="2863" customFormat="false" ht="15" hidden="false" customHeight="false" outlineLevel="0" collapsed="false">
      <c r="A2863" s="31"/>
      <c r="B2863" s="32"/>
      <c r="C2863" s="32"/>
      <c r="D2863" s="33"/>
      <c r="E2863" s="34"/>
      <c r="F2863" s="32"/>
      <c r="G2863" s="35" t="str">
        <f aca="false">IF(A2863="","",A2863+7-WEEKDAY(A2863))</f>
        <v/>
      </c>
      <c r="H2863" s="36" t="str">
        <f aca="false">IF(A2863="","",DATE(YEAR(A2863),MONTH(A2863),1))</f>
        <v/>
      </c>
      <c r="I2863" s="37" t="str">
        <f aca="false">IF(B2863="","",IFERROR(INDEX(st_ID,MATCH(B2863,st_Name,0)),"Unknown"))</f>
        <v/>
      </c>
      <c r="J2863" s="37" t="str">
        <f aca="false">IF(C2863="","",IFERROR(INDEX(cl_Code,MATCH(C2863,cl_Name,0)),"Unknown"))</f>
        <v/>
      </c>
      <c r="K2863" s="37" t="str">
        <f aca="false">IF(D2863="","",IFERROR(INDEX(rt_Billable,MATCH(D2863,rt_Code,0)),"Unknown"))</f>
        <v/>
      </c>
      <c r="L2863" s="38" t="str">
        <f aca="false">IF(K2863&lt;&gt;"Yes","",IFERROR(INDEX(cr_Rate,MATCH(J2863&amp;"|"&amp;D2863,cr_Key,0)),INDEX(rt_Rate,MATCH(D2863,rt_Code,0))))</f>
        <v/>
      </c>
      <c r="M2863" s="25" t="str">
        <f aca="false">IF(L2863="","",ROUND(N(E2863)*L2863,2))</f>
        <v/>
      </c>
      <c r="N2863" s="39" t="str">
        <f aca="false">IF(OR(A2863="",B2863=""),"",SUMIFS(tl_Hours,tl_StaffID,I2863,tl_Date,A2863))</f>
        <v/>
      </c>
      <c r="O2863" s="40" t="str">
        <f aca="false">IF(A2863&amp;B2863&amp;D2863="","",IF(OR(A2863="",B2863="",D2863="",E2863=""),"Incomplete",IF(K2863="Unknown","Unknown code",IF(AND(K2863="Yes",C2863=""),"Billable, needs client",IF(N2863&gt;MaxDayHours,"Over "&amp;MaxDayHours&amp;" hours that day","")))))</f>
        <v/>
      </c>
    </row>
    <row r="2864" customFormat="false" ht="15" hidden="false" customHeight="false" outlineLevel="0" collapsed="false">
      <c r="A2864" s="31"/>
      <c r="B2864" s="32"/>
      <c r="C2864" s="32"/>
      <c r="D2864" s="33"/>
      <c r="E2864" s="34"/>
      <c r="F2864" s="32"/>
      <c r="G2864" s="35" t="str">
        <f aca="false">IF(A2864="","",A2864+7-WEEKDAY(A2864))</f>
        <v/>
      </c>
      <c r="H2864" s="36" t="str">
        <f aca="false">IF(A2864="","",DATE(YEAR(A2864),MONTH(A2864),1))</f>
        <v/>
      </c>
      <c r="I2864" s="37" t="str">
        <f aca="false">IF(B2864="","",IFERROR(INDEX(st_ID,MATCH(B2864,st_Name,0)),"Unknown"))</f>
        <v/>
      </c>
      <c r="J2864" s="37" t="str">
        <f aca="false">IF(C2864="","",IFERROR(INDEX(cl_Code,MATCH(C2864,cl_Name,0)),"Unknown"))</f>
        <v/>
      </c>
      <c r="K2864" s="37" t="str">
        <f aca="false">IF(D2864="","",IFERROR(INDEX(rt_Billable,MATCH(D2864,rt_Code,0)),"Unknown"))</f>
        <v/>
      </c>
      <c r="L2864" s="38" t="str">
        <f aca="false">IF(K2864&lt;&gt;"Yes","",IFERROR(INDEX(cr_Rate,MATCH(J2864&amp;"|"&amp;D2864,cr_Key,0)),INDEX(rt_Rate,MATCH(D2864,rt_Code,0))))</f>
        <v/>
      </c>
      <c r="M2864" s="25" t="str">
        <f aca="false">IF(L2864="","",ROUND(N(E2864)*L2864,2))</f>
        <v/>
      </c>
      <c r="N2864" s="39" t="str">
        <f aca="false">IF(OR(A2864="",B2864=""),"",SUMIFS(tl_Hours,tl_StaffID,I2864,tl_Date,A2864))</f>
        <v/>
      </c>
      <c r="O2864" s="40" t="str">
        <f aca="false">IF(A2864&amp;B2864&amp;D2864="","",IF(OR(A2864="",B2864="",D2864="",E2864=""),"Incomplete",IF(K2864="Unknown","Unknown code",IF(AND(K2864="Yes",C2864=""),"Billable, needs client",IF(N2864&gt;MaxDayHours,"Over "&amp;MaxDayHours&amp;" hours that day","")))))</f>
        <v/>
      </c>
    </row>
    <row r="2865" customFormat="false" ht="15" hidden="false" customHeight="false" outlineLevel="0" collapsed="false">
      <c r="A2865" s="31"/>
      <c r="B2865" s="32"/>
      <c r="C2865" s="32"/>
      <c r="D2865" s="33"/>
      <c r="E2865" s="34"/>
      <c r="F2865" s="32"/>
      <c r="G2865" s="35" t="str">
        <f aca="false">IF(A2865="","",A2865+7-WEEKDAY(A2865))</f>
        <v/>
      </c>
      <c r="H2865" s="36" t="str">
        <f aca="false">IF(A2865="","",DATE(YEAR(A2865),MONTH(A2865),1))</f>
        <v/>
      </c>
      <c r="I2865" s="37" t="str">
        <f aca="false">IF(B2865="","",IFERROR(INDEX(st_ID,MATCH(B2865,st_Name,0)),"Unknown"))</f>
        <v/>
      </c>
      <c r="J2865" s="37" t="str">
        <f aca="false">IF(C2865="","",IFERROR(INDEX(cl_Code,MATCH(C2865,cl_Name,0)),"Unknown"))</f>
        <v/>
      </c>
      <c r="K2865" s="37" t="str">
        <f aca="false">IF(D2865="","",IFERROR(INDEX(rt_Billable,MATCH(D2865,rt_Code,0)),"Unknown"))</f>
        <v/>
      </c>
      <c r="L2865" s="38" t="str">
        <f aca="false">IF(K2865&lt;&gt;"Yes","",IFERROR(INDEX(cr_Rate,MATCH(J2865&amp;"|"&amp;D2865,cr_Key,0)),INDEX(rt_Rate,MATCH(D2865,rt_Code,0))))</f>
        <v/>
      </c>
      <c r="M2865" s="25" t="str">
        <f aca="false">IF(L2865="","",ROUND(N(E2865)*L2865,2))</f>
        <v/>
      </c>
      <c r="N2865" s="39" t="str">
        <f aca="false">IF(OR(A2865="",B2865=""),"",SUMIFS(tl_Hours,tl_StaffID,I2865,tl_Date,A2865))</f>
        <v/>
      </c>
      <c r="O2865" s="40" t="str">
        <f aca="false">IF(A2865&amp;B2865&amp;D2865="","",IF(OR(A2865="",B2865="",D2865="",E2865=""),"Incomplete",IF(K2865="Unknown","Unknown code",IF(AND(K2865="Yes",C2865=""),"Billable, needs client",IF(N2865&gt;MaxDayHours,"Over "&amp;MaxDayHours&amp;" hours that day","")))))</f>
        <v/>
      </c>
    </row>
    <row r="2866" customFormat="false" ht="15" hidden="false" customHeight="false" outlineLevel="0" collapsed="false">
      <c r="A2866" s="31"/>
      <c r="B2866" s="32"/>
      <c r="C2866" s="32"/>
      <c r="D2866" s="33"/>
      <c r="E2866" s="34"/>
      <c r="F2866" s="32"/>
      <c r="G2866" s="35" t="str">
        <f aca="false">IF(A2866="","",A2866+7-WEEKDAY(A2866))</f>
        <v/>
      </c>
      <c r="H2866" s="36" t="str">
        <f aca="false">IF(A2866="","",DATE(YEAR(A2866),MONTH(A2866),1))</f>
        <v/>
      </c>
      <c r="I2866" s="37" t="str">
        <f aca="false">IF(B2866="","",IFERROR(INDEX(st_ID,MATCH(B2866,st_Name,0)),"Unknown"))</f>
        <v/>
      </c>
      <c r="J2866" s="37" t="str">
        <f aca="false">IF(C2866="","",IFERROR(INDEX(cl_Code,MATCH(C2866,cl_Name,0)),"Unknown"))</f>
        <v/>
      </c>
      <c r="K2866" s="37" t="str">
        <f aca="false">IF(D2866="","",IFERROR(INDEX(rt_Billable,MATCH(D2866,rt_Code,0)),"Unknown"))</f>
        <v/>
      </c>
      <c r="L2866" s="38" t="str">
        <f aca="false">IF(K2866&lt;&gt;"Yes","",IFERROR(INDEX(cr_Rate,MATCH(J2866&amp;"|"&amp;D2866,cr_Key,0)),INDEX(rt_Rate,MATCH(D2866,rt_Code,0))))</f>
        <v/>
      </c>
      <c r="M2866" s="25" t="str">
        <f aca="false">IF(L2866="","",ROUND(N(E2866)*L2866,2))</f>
        <v/>
      </c>
      <c r="N2866" s="39" t="str">
        <f aca="false">IF(OR(A2866="",B2866=""),"",SUMIFS(tl_Hours,tl_StaffID,I2866,tl_Date,A2866))</f>
        <v/>
      </c>
      <c r="O2866" s="40" t="str">
        <f aca="false">IF(A2866&amp;B2866&amp;D2866="","",IF(OR(A2866="",B2866="",D2866="",E2866=""),"Incomplete",IF(K2866="Unknown","Unknown code",IF(AND(K2866="Yes",C2866=""),"Billable, needs client",IF(N2866&gt;MaxDayHours,"Over "&amp;MaxDayHours&amp;" hours that day","")))))</f>
        <v/>
      </c>
    </row>
    <row r="2867" customFormat="false" ht="15" hidden="false" customHeight="false" outlineLevel="0" collapsed="false">
      <c r="A2867" s="31"/>
      <c r="B2867" s="32"/>
      <c r="C2867" s="32"/>
      <c r="D2867" s="33"/>
      <c r="E2867" s="34"/>
      <c r="F2867" s="32"/>
      <c r="G2867" s="35" t="str">
        <f aca="false">IF(A2867="","",A2867+7-WEEKDAY(A2867))</f>
        <v/>
      </c>
      <c r="H2867" s="36" t="str">
        <f aca="false">IF(A2867="","",DATE(YEAR(A2867),MONTH(A2867),1))</f>
        <v/>
      </c>
      <c r="I2867" s="37" t="str">
        <f aca="false">IF(B2867="","",IFERROR(INDEX(st_ID,MATCH(B2867,st_Name,0)),"Unknown"))</f>
        <v/>
      </c>
      <c r="J2867" s="37" t="str">
        <f aca="false">IF(C2867="","",IFERROR(INDEX(cl_Code,MATCH(C2867,cl_Name,0)),"Unknown"))</f>
        <v/>
      </c>
      <c r="K2867" s="37" t="str">
        <f aca="false">IF(D2867="","",IFERROR(INDEX(rt_Billable,MATCH(D2867,rt_Code,0)),"Unknown"))</f>
        <v/>
      </c>
      <c r="L2867" s="38" t="str">
        <f aca="false">IF(K2867&lt;&gt;"Yes","",IFERROR(INDEX(cr_Rate,MATCH(J2867&amp;"|"&amp;D2867,cr_Key,0)),INDEX(rt_Rate,MATCH(D2867,rt_Code,0))))</f>
        <v/>
      </c>
      <c r="M2867" s="25" t="str">
        <f aca="false">IF(L2867="","",ROUND(N(E2867)*L2867,2))</f>
        <v/>
      </c>
      <c r="N2867" s="39" t="str">
        <f aca="false">IF(OR(A2867="",B2867=""),"",SUMIFS(tl_Hours,tl_StaffID,I2867,tl_Date,A2867))</f>
        <v/>
      </c>
      <c r="O2867" s="40" t="str">
        <f aca="false">IF(A2867&amp;B2867&amp;D2867="","",IF(OR(A2867="",B2867="",D2867="",E2867=""),"Incomplete",IF(K2867="Unknown","Unknown code",IF(AND(K2867="Yes",C2867=""),"Billable, needs client",IF(N2867&gt;MaxDayHours,"Over "&amp;MaxDayHours&amp;" hours that day","")))))</f>
        <v/>
      </c>
    </row>
    <row r="2868" customFormat="false" ht="15" hidden="false" customHeight="false" outlineLevel="0" collapsed="false">
      <c r="A2868" s="31"/>
      <c r="B2868" s="32"/>
      <c r="C2868" s="32"/>
      <c r="D2868" s="33"/>
      <c r="E2868" s="34"/>
      <c r="F2868" s="32"/>
      <c r="G2868" s="35" t="str">
        <f aca="false">IF(A2868="","",A2868+7-WEEKDAY(A2868))</f>
        <v/>
      </c>
      <c r="H2868" s="36" t="str">
        <f aca="false">IF(A2868="","",DATE(YEAR(A2868),MONTH(A2868),1))</f>
        <v/>
      </c>
      <c r="I2868" s="37" t="str">
        <f aca="false">IF(B2868="","",IFERROR(INDEX(st_ID,MATCH(B2868,st_Name,0)),"Unknown"))</f>
        <v/>
      </c>
      <c r="J2868" s="37" t="str">
        <f aca="false">IF(C2868="","",IFERROR(INDEX(cl_Code,MATCH(C2868,cl_Name,0)),"Unknown"))</f>
        <v/>
      </c>
      <c r="K2868" s="37" t="str">
        <f aca="false">IF(D2868="","",IFERROR(INDEX(rt_Billable,MATCH(D2868,rt_Code,0)),"Unknown"))</f>
        <v/>
      </c>
      <c r="L2868" s="38" t="str">
        <f aca="false">IF(K2868&lt;&gt;"Yes","",IFERROR(INDEX(cr_Rate,MATCH(J2868&amp;"|"&amp;D2868,cr_Key,0)),INDEX(rt_Rate,MATCH(D2868,rt_Code,0))))</f>
        <v/>
      </c>
      <c r="M2868" s="25" t="str">
        <f aca="false">IF(L2868="","",ROUND(N(E2868)*L2868,2))</f>
        <v/>
      </c>
      <c r="N2868" s="39" t="str">
        <f aca="false">IF(OR(A2868="",B2868=""),"",SUMIFS(tl_Hours,tl_StaffID,I2868,tl_Date,A2868))</f>
        <v/>
      </c>
      <c r="O2868" s="40" t="str">
        <f aca="false">IF(A2868&amp;B2868&amp;D2868="","",IF(OR(A2868="",B2868="",D2868="",E2868=""),"Incomplete",IF(K2868="Unknown","Unknown code",IF(AND(K2868="Yes",C2868=""),"Billable, needs client",IF(N2868&gt;MaxDayHours,"Over "&amp;MaxDayHours&amp;" hours that day","")))))</f>
        <v/>
      </c>
    </row>
    <row r="2869" customFormat="false" ht="15" hidden="false" customHeight="false" outlineLevel="0" collapsed="false">
      <c r="A2869" s="31"/>
      <c r="B2869" s="32"/>
      <c r="C2869" s="32"/>
      <c r="D2869" s="33"/>
      <c r="E2869" s="34"/>
      <c r="F2869" s="32"/>
      <c r="G2869" s="35" t="str">
        <f aca="false">IF(A2869="","",A2869+7-WEEKDAY(A2869))</f>
        <v/>
      </c>
      <c r="H2869" s="36" t="str">
        <f aca="false">IF(A2869="","",DATE(YEAR(A2869),MONTH(A2869),1))</f>
        <v/>
      </c>
      <c r="I2869" s="37" t="str">
        <f aca="false">IF(B2869="","",IFERROR(INDEX(st_ID,MATCH(B2869,st_Name,0)),"Unknown"))</f>
        <v/>
      </c>
      <c r="J2869" s="37" t="str">
        <f aca="false">IF(C2869="","",IFERROR(INDEX(cl_Code,MATCH(C2869,cl_Name,0)),"Unknown"))</f>
        <v/>
      </c>
      <c r="K2869" s="37" t="str">
        <f aca="false">IF(D2869="","",IFERROR(INDEX(rt_Billable,MATCH(D2869,rt_Code,0)),"Unknown"))</f>
        <v/>
      </c>
      <c r="L2869" s="38" t="str">
        <f aca="false">IF(K2869&lt;&gt;"Yes","",IFERROR(INDEX(cr_Rate,MATCH(J2869&amp;"|"&amp;D2869,cr_Key,0)),INDEX(rt_Rate,MATCH(D2869,rt_Code,0))))</f>
        <v/>
      </c>
      <c r="M2869" s="25" t="str">
        <f aca="false">IF(L2869="","",ROUND(N(E2869)*L2869,2))</f>
        <v/>
      </c>
      <c r="N2869" s="39" t="str">
        <f aca="false">IF(OR(A2869="",B2869=""),"",SUMIFS(tl_Hours,tl_StaffID,I2869,tl_Date,A2869))</f>
        <v/>
      </c>
      <c r="O2869" s="40" t="str">
        <f aca="false">IF(A2869&amp;B2869&amp;D2869="","",IF(OR(A2869="",B2869="",D2869="",E2869=""),"Incomplete",IF(K2869="Unknown","Unknown code",IF(AND(K2869="Yes",C2869=""),"Billable, needs client",IF(N2869&gt;MaxDayHours,"Over "&amp;MaxDayHours&amp;" hours that day","")))))</f>
        <v/>
      </c>
    </row>
    <row r="2870" customFormat="false" ht="15" hidden="false" customHeight="false" outlineLevel="0" collapsed="false">
      <c r="A2870" s="31"/>
      <c r="B2870" s="32"/>
      <c r="C2870" s="32"/>
      <c r="D2870" s="33"/>
      <c r="E2870" s="34"/>
      <c r="F2870" s="32"/>
      <c r="G2870" s="35" t="str">
        <f aca="false">IF(A2870="","",A2870+7-WEEKDAY(A2870))</f>
        <v/>
      </c>
      <c r="H2870" s="36" t="str">
        <f aca="false">IF(A2870="","",DATE(YEAR(A2870),MONTH(A2870),1))</f>
        <v/>
      </c>
      <c r="I2870" s="37" t="str">
        <f aca="false">IF(B2870="","",IFERROR(INDEX(st_ID,MATCH(B2870,st_Name,0)),"Unknown"))</f>
        <v/>
      </c>
      <c r="J2870" s="37" t="str">
        <f aca="false">IF(C2870="","",IFERROR(INDEX(cl_Code,MATCH(C2870,cl_Name,0)),"Unknown"))</f>
        <v/>
      </c>
      <c r="K2870" s="37" t="str">
        <f aca="false">IF(D2870="","",IFERROR(INDEX(rt_Billable,MATCH(D2870,rt_Code,0)),"Unknown"))</f>
        <v/>
      </c>
      <c r="L2870" s="38" t="str">
        <f aca="false">IF(K2870&lt;&gt;"Yes","",IFERROR(INDEX(cr_Rate,MATCH(J2870&amp;"|"&amp;D2870,cr_Key,0)),INDEX(rt_Rate,MATCH(D2870,rt_Code,0))))</f>
        <v/>
      </c>
      <c r="M2870" s="25" t="str">
        <f aca="false">IF(L2870="","",ROUND(N(E2870)*L2870,2))</f>
        <v/>
      </c>
      <c r="N2870" s="39" t="str">
        <f aca="false">IF(OR(A2870="",B2870=""),"",SUMIFS(tl_Hours,tl_StaffID,I2870,tl_Date,A2870))</f>
        <v/>
      </c>
      <c r="O2870" s="40" t="str">
        <f aca="false">IF(A2870&amp;B2870&amp;D2870="","",IF(OR(A2870="",B2870="",D2870="",E2870=""),"Incomplete",IF(K2870="Unknown","Unknown code",IF(AND(K2870="Yes",C2870=""),"Billable, needs client",IF(N2870&gt;MaxDayHours,"Over "&amp;MaxDayHours&amp;" hours that day","")))))</f>
        <v/>
      </c>
    </row>
    <row r="2871" customFormat="false" ht="15" hidden="false" customHeight="false" outlineLevel="0" collapsed="false">
      <c r="A2871" s="31"/>
      <c r="B2871" s="32"/>
      <c r="C2871" s="32"/>
      <c r="D2871" s="33"/>
      <c r="E2871" s="34"/>
      <c r="F2871" s="32"/>
      <c r="G2871" s="35" t="str">
        <f aca="false">IF(A2871="","",A2871+7-WEEKDAY(A2871))</f>
        <v/>
      </c>
      <c r="H2871" s="36" t="str">
        <f aca="false">IF(A2871="","",DATE(YEAR(A2871),MONTH(A2871),1))</f>
        <v/>
      </c>
      <c r="I2871" s="37" t="str">
        <f aca="false">IF(B2871="","",IFERROR(INDEX(st_ID,MATCH(B2871,st_Name,0)),"Unknown"))</f>
        <v/>
      </c>
      <c r="J2871" s="37" t="str">
        <f aca="false">IF(C2871="","",IFERROR(INDEX(cl_Code,MATCH(C2871,cl_Name,0)),"Unknown"))</f>
        <v/>
      </c>
      <c r="K2871" s="37" t="str">
        <f aca="false">IF(D2871="","",IFERROR(INDEX(rt_Billable,MATCH(D2871,rt_Code,0)),"Unknown"))</f>
        <v/>
      </c>
      <c r="L2871" s="38" t="str">
        <f aca="false">IF(K2871&lt;&gt;"Yes","",IFERROR(INDEX(cr_Rate,MATCH(J2871&amp;"|"&amp;D2871,cr_Key,0)),INDEX(rt_Rate,MATCH(D2871,rt_Code,0))))</f>
        <v/>
      </c>
      <c r="M2871" s="25" t="str">
        <f aca="false">IF(L2871="","",ROUND(N(E2871)*L2871,2))</f>
        <v/>
      </c>
      <c r="N2871" s="39" t="str">
        <f aca="false">IF(OR(A2871="",B2871=""),"",SUMIFS(tl_Hours,tl_StaffID,I2871,tl_Date,A2871))</f>
        <v/>
      </c>
      <c r="O2871" s="40" t="str">
        <f aca="false">IF(A2871&amp;B2871&amp;D2871="","",IF(OR(A2871="",B2871="",D2871="",E2871=""),"Incomplete",IF(K2871="Unknown","Unknown code",IF(AND(K2871="Yes",C2871=""),"Billable, needs client",IF(N2871&gt;MaxDayHours,"Over "&amp;MaxDayHours&amp;" hours that day","")))))</f>
        <v/>
      </c>
    </row>
    <row r="2872" customFormat="false" ht="15" hidden="false" customHeight="false" outlineLevel="0" collapsed="false">
      <c r="A2872" s="31"/>
      <c r="B2872" s="32"/>
      <c r="C2872" s="32"/>
      <c r="D2872" s="33"/>
      <c r="E2872" s="34"/>
      <c r="F2872" s="32"/>
      <c r="G2872" s="35" t="str">
        <f aca="false">IF(A2872="","",A2872+7-WEEKDAY(A2872))</f>
        <v/>
      </c>
      <c r="H2872" s="36" t="str">
        <f aca="false">IF(A2872="","",DATE(YEAR(A2872),MONTH(A2872),1))</f>
        <v/>
      </c>
      <c r="I2872" s="37" t="str">
        <f aca="false">IF(B2872="","",IFERROR(INDEX(st_ID,MATCH(B2872,st_Name,0)),"Unknown"))</f>
        <v/>
      </c>
      <c r="J2872" s="37" t="str">
        <f aca="false">IF(C2872="","",IFERROR(INDEX(cl_Code,MATCH(C2872,cl_Name,0)),"Unknown"))</f>
        <v/>
      </c>
      <c r="K2872" s="37" t="str">
        <f aca="false">IF(D2872="","",IFERROR(INDEX(rt_Billable,MATCH(D2872,rt_Code,0)),"Unknown"))</f>
        <v/>
      </c>
      <c r="L2872" s="38" t="str">
        <f aca="false">IF(K2872&lt;&gt;"Yes","",IFERROR(INDEX(cr_Rate,MATCH(J2872&amp;"|"&amp;D2872,cr_Key,0)),INDEX(rt_Rate,MATCH(D2872,rt_Code,0))))</f>
        <v/>
      </c>
      <c r="M2872" s="25" t="str">
        <f aca="false">IF(L2872="","",ROUND(N(E2872)*L2872,2))</f>
        <v/>
      </c>
      <c r="N2872" s="39" t="str">
        <f aca="false">IF(OR(A2872="",B2872=""),"",SUMIFS(tl_Hours,tl_StaffID,I2872,tl_Date,A2872))</f>
        <v/>
      </c>
      <c r="O2872" s="40" t="str">
        <f aca="false">IF(A2872&amp;B2872&amp;D2872="","",IF(OR(A2872="",B2872="",D2872="",E2872=""),"Incomplete",IF(K2872="Unknown","Unknown code",IF(AND(K2872="Yes",C2872=""),"Billable, needs client",IF(N2872&gt;MaxDayHours,"Over "&amp;MaxDayHours&amp;" hours that day","")))))</f>
        <v/>
      </c>
    </row>
    <row r="2873" customFormat="false" ht="15" hidden="false" customHeight="false" outlineLevel="0" collapsed="false">
      <c r="A2873" s="31"/>
      <c r="B2873" s="32"/>
      <c r="C2873" s="32"/>
      <c r="D2873" s="33"/>
      <c r="E2873" s="34"/>
      <c r="F2873" s="32"/>
      <c r="G2873" s="35" t="str">
        <f aca="false">IF(A2873="","",A2873+7-WEEKDAY(A2873))</f>
        <v/>
      </c>
      <c r="H2873" s="36" t="str">
        <f aca="false">IF(A2873="","",DATE(YEAR(A2873),MONTH(A2873),1))</f>
        <v/>
      </c>
      <c r="I2873" s="37" t="str">
        <f aca="false">IF(B2873="","",IFERROR(INDEX(st_ID,MATCH(B2873,st_Name,0)),"Unknown"))</f>
        <v/>
      </c>
      <c r="J2873" s="37" t="str">
        <f aca="false">IF(C2873="","",IFERROR(INDEX(cl_Code,MATCH(C2873,cl_Name,0)),"Unknown"))</f>
        <v/>
      </c>
      <c r="K2873" s="37" t="str">
        <f aca="false">IF(D2873="","",IFERROR(INDEX(rt_Billable,MATCH(D2873,rt_Code,0)),"Unknown"))</f>
        <v/>
      </c>
      <c r="L2873" s="38" t="str">
        <f aca="false">IF(K2873&lt;&gt;"Yes","",IFERROR(INDEX(cr_Rate,MATCH(J2873&amp;"|"&amp;D2873,cr_Key,0)),INDEX(rt_Rate,MATCH(D2873,rt_Code,0))))</f>
        <v/>
      </c>
      <c r="M2873" s="25" t="str">
        <f aca="false">IF(L2873="","",ROUND(N(E2873)*L2873,2))</f>
        <v/>
      </c>
      <c r="N2873" s="39" t="str">
        <f aca="false">IF(OR(A2873="",B2873=""),"",SUMIFS(tl_Hours,tl_StaffID,I2873,tl_Date,A2873))</f>
        <v/>
      </c>
      <c r="O2873" s="40" t="str">
        <f aca="false">IF(A2873&amp;B2873&amp;D2873="","",IF(OR(A2873="",B2873="",D2873="",E2873=""),"Incomplete",IF(K2873="Unknown","Unknown code",IF(AND(K2873="Yes",C2873=""),"Billable, needs client",IF(N2873&gt;MaxDayHours,"Over "&amp;MaxDayHours&amp;" hours that day","")))))</f>
        <v/>
      </c>
    </row>
    <row r="2874" customFormat="false" ht="15" hidden="false" customHeight="false" outlineLevel="0" collapsed="false">
      <c r="A2874" s="31"/>
      <c r="B2874" s="32"/>
      <c r="C2874" s="32"/>
      <c r="D2874" s="33"/>
      <c r="E2874" s="34"/>
      <c r="F2874" s="32"/>
      <c r="G2874" s="35" t="str">
        <f aca="false">IF(A2874="","",A2874+7-WEEKDAY(A2874))</f>
        <v/>
      </c>
      <c r="H2874" s="36" t="str">
        <f aca="false">IF(A2874="","",DATE(YEAR(A2874),MONTH(A2874),1))</f>
        <v/>
      </c>
      <c r="I2874" s="37" t="str">
        <f aca="false">IF(B2874="","",IFERROR(INDEX(st_ID,MATCH(B2874,st_Name,0)),"Unknown"))</f>
        <v/>
      </c>
      <c r="J2874" s="37" t="str">
        <f aca="false">IF(C2874="","",IFERROR(INDEX(cl_Code,MATCH(C2874,cl_Name,0)),"Unknown"))</f>
        <v/>
      </c>
      <c r="K2874" s="37" t="str">
        <f aca="false">IF(D2874="","",IFERROR(INDEX(rt_Billable,MATCH(D2874,rt_Code,0)),"Unknown"))</f>
        <v/>
      </c>
      <c r="L2874" s="38" t="str">
        <f aca="false">IF(K2874&lt;&gt;"Yes","",IFERROR(INDEX(cr_Rate,MATCH(J2874&amp;"|"&amp;D2874,cr_Key,0)),INDEX(rt_Rate,MATCH(D2874,rt_Code,0))))</f>
        <v/>
      </c>
      <c r="M2874" s="25" t="str">
        <f aca="false">IF(L2874="","",ROUND(N(E2874)*L2874,2))</f>
        <v/>
      </c>
      <c r="N2874" s="39" t="str">
        <f aca="false">IF(OR(A2874="",B2874=""),"",SUMIFS(tl_Hours,tl_StaffID,I2874,tl_Date,A2874))</f>
        <v/>
      </c>
      <c r="O2874" s="40" t="str">
        <f aca="false">IF(A2874&amp;B2874&amp;D2874="","",IF(OR(A2874="",B2874="",D2874="",E2874=""),"Incomplete",IF(K2874="Unknown","Unknown code",IF(AND(K2874="Yes",C2874=""),"Billable, needs client",IF(N2874&gt;MaxDayHours,"Over "&amp;MaxDayHours&amp;" hours that day","")))))</f>
        <v/>
      </c>
    </row>
    <row r="2875" customFormat="false" ht="15" hidden="false" customHeight="false" outlineLevel="0" collapsed="false">
      <c r="A2875" s="31"/>
      <c r="B2875" s="32"/>
      <c r="C2875" s="32"/>
      <c r="D2875" s="33"/>
      <c r="E2875" s="34"/>
      <c r="F2875" s="32"/>
      <c r="G2875" s="35" t="str">
        <f aca="false">IF(A2875="","",A2875+7-WEEKDAY(A2875))</f>
        <v/>
      </c>
      <c r="H2875" s="36" t="str">
        <f aca="false">IF(A2875="","",DATE(YEAR(A2875),MONTH(A2875),1))</f>
        <v/>
      </c>
      <c r="I2875" s="37" t="str">
        <f aca="false">IF(B2875="","",IFERROR(INDEX(st_ID,MATCH(B2875,st_Name,0)),"Unknown"))</f>
        <v/>
      </c>
      <c r="J2875" s="37" t="str">
        <f aca="false">IF(C2875="","",IFERROR(INDEX(cl_Code,MATCH(C2875,cl_Name,0)),"Unknown"))</f>
        <v/>
      </c>
      <c r="K2875" s="37" t="str">
        <f aca="false">IF(D2875="","",IFERROR(INDEX(rt_Billable,MATCH(D2875,rt_Code,0)),"Unknown"))</f>
        <v/>
      </c>
      <c r="L2875" s="38" t="str">
        <f aca="false">IF(K2875&lt;&gt;"Yes","",IFERROR(INDEX(cr_Rate,MATCH(J2875&amp;"|"&amp;D2875,cr_Key,0)),INDEX(rt_Rate,MATCH(D2875,rt_Code,0))))</f>
        <v/>
      </c>
      <c r="M2875" s="25" t="str">
        <f aca="false">IF(L2875="","",ROUND(N(E2875)*L2875,2))</f>
        <v/>
      </c>
      <c r="N2875" s="39" t="str">
        <f aca="false">IF(OR(A2875="",B2875=""),"",SUMIFS(tl_Hours,tl_StaffID,I2875,tl_Date,A2875))</f>
        <v/>
      </c>
      <c r="O2875" s="40" t="str">
        <f aca="false">IF(A2875&amp;B2875&amp;D2875="","",IF(OR(A2875="",B2875="",D2875="",E2875=""),"Incomplete",IF(K2875="Unknown","Unknown code",IF(AND(K2875="Yes",C2875=""),"Billable, needs client",IF(N2875&gt;MaxDayHours,"Over "&amp;MaxDayHours&amp;" hours that day","")))))</f>
        <v/>
      </c>
    </row>
    <row r="2876" customFormat="false" ht="15" hidden="false" customHeight="false" outlineLevel="0" collapsed="false">
      <c r="A2876" s="31"/>
      <c r="B2876" s="32"/>
      <c r="C2876" s="32"/>
      <c r="D2876" s="33"/>
      <c r="E2876" s="34"/>
      <c r="F2876" s="32"/>
      <c r="G2876" s="35" t="str">
        <f aca="false">IF(A2876="","",A2876+7-WEEKDAY(A2876))</f>
        <v/>
      </c>
      <c r="H2876" s="36" t="str">
        <f aca="false">IF(A2876="","",DATE(YEAR(A2876),MONTH(A2876),1))</f>
        <v/>
      </c>
      <c r="I2876" s="37" t="str">
        <f aca="false">IF(B2876="","",IFERROR(INDEX(st_ID,MATCH(B2876,st_Name,0)),"Unknown"))</f>
        <v/>
      </c>
      <c r="J2876" s="37" t="str">
        <f aca="false">IF(C2876="","",IFERROR(INDEX(cl_Code,MATCH(C2876,cl_Name,0)),"Unknown"))</f>
        <v/>
      </c>
      <c r="K2876" s="37" t="str">
        <f aca="false">IF(D2876="","",IFERROR(INDEX(rt_Billable,MATCH(D2876,rt_Code,0)),"Unknown"))</f>
        <v/>
      </c>
      <c r="L2876" s="38" t="str">
        <f aca="false">IF(K2876&lt;&gt;"Yes","",IFERROR(INDEX(cr_Rate,MATCH(J2876&amp;"|"&amp;D2876,cr_Key,0)),INDEX(rt_Rate,MATCH(D2876,rt_Code,0))))</f>
        <v/>
      </c>
      <c r="M2876" s="25" t="str">
        <f aca="false">IF(L2876="","",ROUND(N(E2876)*L2876,2))</f>
        <v/>
      </c>
      <c r="N2876" s="39" t="str">
        <f aca="false">IF(OR(A2876="",B2876=""),"",SUMIFS(tl_Hours,tl_StaffID,I2876,tl_Date,A2876))</f>
        <v/>
      </c>
      <c r="O2876" s="40" t="str">
        <f aca="false">IF(A2876&amp;B2876&amp;D2876="","",IF(OR(A2876="",B2876="",D2876="",E2876=""),"Incomplete",IF(K2876="Unknown","Unknown code",IF(AND(K2876="Yes",C2876=""),"Billable, needs client",IF(N2876&gt;MaxDayHours,"Over "&amp;MaxDayHours&amp;" hours that day","")))))</f>
        <v/>
      </c>
    </row>
    <row r="2877" customFormat="false" ht="15" hidden="false" customHeight="false" outlineLevel="0" collapsed="false">
      <c r="A2877" s="31"/>
      <c r="B2877" s="32"/>
      <c r="C2877" s="32"/>
      <c r="D2877" s="33"/>
      <c r="E2877" s="34"/>
      <c r="F2877" s="32"/>
      <c r="G2877" s="35" t="str">
        <f aca="false">IF(A2877="","",A2877+7-WEEKDAY(A2877))</f>
        <v/>
      </c>
      <c r="H2877" s="36" t="str">
        <f aca="false">IF(A2877="","",DATE(YEAR(A2877),MONTH(A2877),1))</f>
        <v/>
      </c>
      <c r="I2877" s="37" t="str">
        <f aca="false">IF(B2877="","",IFERROR(INDEX(st_ID,MATCH(B2877,st_Name,0)),"Unknown"))</f>
        <v/>
      </c>
      <c r="J2877" s="37" t="str">
        <f aca="false">IF(C2877="","",IFERROR(INDEX(cl_Code,MATCH(C2877,cl_Name,0)),"Unknown"))</f>
        <v/>
      </c>
      <c r="K2877" s="37" t="str">
        <f aca="false">IF(D2877="","",IFERROR(INDEX(rt_Billable,MATCH(D2877,rt_Code,0)),"Unknown"))</f>
        <v/>
      </c>
      <c r="L2877" s="38" t="str">
        <f aca="false">IF(K2877&lt;&gt;"Yes","",IFERROR(INDEX(cr_Rate,MATCH(J2877&amp;"|"&amp;D2877,cr_Key,0)),INDEX(rt_Rate,MATCH(D2877,rt_Code,0))))</f>
        <v/>
      </c>
      <c r="M2877" s="25" t="str">
        <f aca="false">IF(L2877="","",ROUND(N(E2877)*L2877,2))</f>
        <v/>
      </c>
      <c r="N2877" s="39" t="str">
        <f aca="false">IF(OR(A2877="",B2877=""),"",SUMIFS(tl_Hours,tl_StaffID,I2877,tl_Date,A2877))</f>
        <v/>
      </c>
      <c r="O2877" s="40" t="str">
        <f aca="false">IF(A2877&amp;B2877&amp;D2877="","",IF(OR(A2877="",B2877="",D2877="",E2877=""),"Incomplete",IF(K2877="Unknown","Unknown code",IF(AND(K2877="Yes",C2877=""),"Billable, needs client",IF(N2877&gt;MaxDayHours,"Over "&amp;MaxDayHours&amp;" hours that day","")))))</f>
        <v/>
      </c>
    </row>
    <row r="2878" customFormat="false" ht="15" hidden="false" customHeight="false" outlineLevel="0" collapsed="false">
      <c r="A2878" s="31"/>
      <c r="B2878" s="32"/>
      <c r="C2878" s="32"/>
      <c r="D2878" s="33"/>
      <c r="E2878" s="34"/>
      <c r="F2878" s="32"/>
      <c r="G2878" s="35" t="str">
        <f aca="false">IF(A2878="","",A2878+7-WEEKDAY(A2878))</f>
        <v/>
      </c>
      <c r="H2878" s="36" t="str">
        <f aca="false">IF(A2878="","",DATE(YEAR(A2878),MONTH(A2878),1))</f>
        <v/>
      </c>
      <c r="I2878" s="37" t="str">
        <f aca="false">IF(B2878="","",IFERROR(INDEX(st_ID,MATCH(B2878,st_Name,0)),"Unknown"))</f>
        <v/>
      </c>
      <c r="J2878" s="37" t="str">
        <f aca="false">IF(C2878="","",IFERROR(INDEX(cl_Code,MATCH(C2878,cl_Name,0)),"Unknown"))</f>
        <v/>
      </c>
      <c r="K2878" s="37" t="str">
        <f aca="false">IF(D2878="","",IFERROR(INDEX(rt_Billable,MATCH(D2878,rt_Code,0)),"Unknown"))</f>
        <v/>
      </c>
      <c r="L2878" s="38" t="str">
        <f aca="false">IF(K2878&lt;&gt;"Yes","",IFERROR(INDEX(cr_Rate,MATCH(J2878&amp;"|"&amp;D2878,cr_Key,0)),INDEX(rt_Rate,MATCH(D2878,rt_Code,0))))</f>
        <v/>
      </c>
      <c r="M2878" s="25" t="str">
        <f aca="false">IF(L2878="","",ROUND(N(E2878)*L2878,2))</f>
        <v/>
      </c>
      <c r="N2878" s="39" t="str">
        <f aca="false">IF(OR(A2878="",B2878=""),"",SUMIFS(tl_Hours,tl_StaffID,I2878,tl_Date,A2878))</f>
        <v/>
      </c>
      <c r="O2878" s="40" t="str">
        <f aca="false">IF(A2878&amp;B2878&amp;D2878="","",IF(OR(A2878="",B2878="",D2878="",E2878=""),"Incomplete",IF(K2878="Unknown","Unknown code",IF(AND(K2878="Yes",C2878=""),"Billable, needs client",IF(N2878&gt;MaxDayHours,"Over "&amp;MaxDayHours&amp;" hours that day","")))))</f>
        <v/>
      </c>
    </row>
    <row r="2879" customFormat="false" ht="15" hidden="false" customHeight="false" outlineLevel="0" collapsed="false">
      <c r="A2879" s="31"/>
      <c r="B2879" s="32"/>
      <c r="C2879" s="32"/>
      <c r="D2879" s="33"/>
      <c r="E2879" s="34"/>
      <c r="F2879" s="32"/>
      <c r="G2879" s="35" t="str">
        <f aca="false">IF(A2879="","",A2879+7-WEEKDAY(A2879))</f>
        <v/>
      </c>
      <c r="H2879" s="36" t="str">
        <f aca="false">IF(A2879="","",DATE(YEAR(A2879),MONTH(A2879),1))</f>
        <v/>
      </c>
      <c r="I2879" s="37" t="str">
        <f aca="false">IF(B2879="","",IFERROR(INDEX(st_ID,MATCH(B2879,st_Name,0)),"Unknown"))</f>
        <v/>
      </c>
      <c r="J2879" s="37" t="str">
        <f aca="false">IF(C2879="","",IFERROR(INDEX(cl_Code,MATCH(C2879,cl_Name,0)),"Unknown"))</f>
        <v/>
      </c>
      <c r="K2879" s="37" t="str">
        <f aca="false">IF(D2879="","",IFERROR(INDEX(rt_Billable,MATCH(D2879,rt_Code,0)),"Unknown"))</f>
        <v/>
      </c>
      <c r="L2879" s="38" t="str">
        <f aca="false">IF(K2879&lt;&gt;"Yes","",IFERROR(INDEX(cr_Rate,MATCH(J2879&amp;"|"&amp;D2879,cr_Key,0)),INDEX(rt_Rate,MATCH(D2879,rt_Code,0))))</f>
        <v/>
      </c>
      <c r="M2879" s="25" t="str">
        <f aca="false">IF(L2879="","",ROUND(N(E2879)*L2879,2))</f>
        <v/>
      </c>
      <c r="N2879" s="39" t="str">
        <f aca="false">IF(OR(A2879="",B2879=""),"",SUMIFS(tl_Hours,tl_StaffID,I2879,tl_Date,A2879))</f>
        <v/>
      </c>
      <c r="O2879" s="40" t="str">
        <f aca="false">IF(A2879&amp;B2879&amp;D2879="","",IF(OR(A2879="",B2879="",D2879="",E2879=""),"Incomplete",IF(K2879="Unknown","Unknown code",IF(AND(K2879="Yes",C2879=""),"Billable, needs client",IF(N2879&gt;MaxDayHours,"Over "&amp;MaxDayHours&amp;" hours that day","")))))</f>
        <v/>
      </c>
    </row>
    <row r="2880" customFormat="false" ht="15" hidden="false" customHeight="false" outlineLevel="0" collapsed="false">
      <c r="A2880" s="31"/>
      <c r="B2880" s="32"/>
      <c r="C2880" s="32"/>
      <c r="D2880" s="33"/>
      <c r="E2880" s="34"/>
      <c r="F2880" s="32"/>
      <c r="G2880" s="35" t="str">
        <f aca="false">IF(A2880="","",A2880+7-WEEKDAY(A2880))</f>
        <v/>
      </c>
      <c r="H2880" s="36" t="str">
        <f aca="false">IF(A2880="","",DATE(YEAR(A2880),MONTH(A2880),1))</f>
        <v/>
      </c>
      <c r="I2880" s="37" t="str">
        <f aca="false">IF(B2880="","",IFERROR(INDEX(st_ID,MATCH(B2880,st_Name,0)),"Unknown"))</f>
        <v/>
      </c>
      <c r="J2880" s="37" t="str">
        <f aca="false">IF(C2880="","",IFERROR(INDEX(cl_Code,MATCH(C2880,cl_Name,0)),"Unknown"))</f>
        <v/>
      </c>
      <c r="K2880" s="37" t="str">
        <f aca="false">IF(D2880="","",IFERROR(INDEX(rt_Billable,MATCH(D2880,rt_Code,0)),"Unknown"))</f>
        <v/>
      </c>
      <c r="L2880" s="38" t="str">
        <f aca="false">IF(K2880&lt;&gt;"Yes","",IFERROR(INDEX(cr_Rate,MATCH(J2880&amp;"|"&amp;D2880,cr_Key,0)),INDEX(rt_Rate,MATCH(D2880,rt_Code,0))))</f>
        <v/>
      </c>
      <c r="M2880" s="25" t="str">
        <f aca="false">IF(L2880="","",ROUND(N(E2880)*L2880,2))</f>
        <v/>
      </c>
      <c r="N2880" s="39" t="str">
        <f aca="false">IF(OR(A2880="",B2880=""),"",SUMIFS(tl_Hours,tl_StaffID,I2880,tl_Date,A2880))</f>
        <v/>
      </c>
      <c r="O2880" s="40" t="str">
        <f aca="false">IF(A2880&amp;B2880&amp;D2880="","",IF(OR(A2880="",B2880="",D2880="",E2880=""),"Incomplete",IF(K2880="Unknown","Unknown code",IF(AND(K2880="Yes",C2880=""),"Billable, needs client",IF(N2880&gt;MaxDayHours,"Over "&amp;MaxDayHours&amp;" hours that day","")))))</f>
        <v/>
      </c>
    </row>
    <row r="2881" customFormat="false" ht="15" hidden="false" customHeight="false" outlineLevel="0" collapsed="false">
      <c r="A2881" s="31"/>
      <c r="B2881" s="32"/>
      <c r="C2881" s="32"/>
      <c r="D2881" s="33"/>
      <c r="E2881" s="34"/>
      <c r="F2881" s="32"/>
      <c r="G2881" s="35" t="str">
        <f aca="false">IF(A2881="","",A2881+7-WEEKDAY(A2881))</f>
        <v/>
      </c>
      <c r="H2881" s="36" t="str">
        <f aca="false">IF(A2881="","",DATE(YEAR(A2881),MONTH(A2881),1))</f>
        <v/>
      </c>
      <c r="I2881" s="37" t="str">
        <f aca="false">IF(B2881="","",IFERROR(INDEX(st_ID,MATCH(B2881,st_Name,0)),"Unknown"))</f>
        <v/>
      </c>
      <c r="J2881" s="37" t="str">
        <f aca="false">IF(C2881="","",IFERROR(INDEX(cl_Code,MATCH(C2881,cl_Name,0)),"Unknown"))</f>
        <v/>
      </c>
      <c r="K2881" s="37" t="str">
        <f aca="false">IF(D2881="","",IFERROR(INDEX(rt_Billable,MATCH(D2881,rt_Code,0)),"Unknown"))</f>
        <v/>
      </c>
      <c r="L2881" s="38" t="str">
        <f aca="false">IF(K2881&lt;&gt;"Yes","",IFERROR(INDEX(cr_Rate,MATCH(J2881&amp;"|"&amp;D2881,cr_Key,0)),INDEX(rt_Rate,MATCH(D2881,rt_Code,0))))</f>
        <v/>
      </c>
      <c r="M2881" s="25" t="str">
        <f aca="false">IF(L2881="","",ROUND(N(E2881)*L2881,2))</f>
        <v/>
      </c>
      <c r="N2881" s="39" t="str">
        <f aca="false">IF(OR(A2881="",B2881=""),"",SUMIFS(tl_Hours,tl_StaffID,I2881,tl_Date,A2881))</f>
        <v/>
      </c>
      <c r="O2881" s="40" t="str">
        <f aca="false">IF(A2881&amp;B2881&amp;D2881="","",IF(OR(A2881="",B2881="",D2881="",E2881=""),"Incomplete",IF(K2881="Unknown","Unknown code",IF(AND(K2881="Yes",C2881=""),"Billable, needs client",IF(N2881&gt;MaxDayHours,"Over "&amp;MaxDayHours&amp;" hours that day","")))))</f>
        <v/>
      </c>
    </row>
    <row r="2882" customFormat="false" ht="15" hidden="false" customHeight="false" outlineLevel="0" collapsed="false">
      <c r="A2882" s="31"/>
      <c r="B2882" s="32"/>
      <c r="C2882" s="32"/>
      <c r="D2882" s="33"/>
      <c r="E2882" s="34"/>
      <c r="F2882" s="32"/>
      <c r="G2882" s="35" t="str">
        <f aca="false">IF(A2882="","",A2882+7-WEEKDAY(A2882))</f>
        <v/>
      </c>
      <c r="H2882" s="36" t="str">
        <f aca="false">IF(A2882="","",DATE(YEAR(A2882),MONTH(A2882),1))</f>
        <v/>
      </c>
      <c r="I2882" s="37" t="str">
        <f aca="false">IF(B2882="","",IFERROR(INDEX(st_ID,MATCH(B2882,st_Name,0)),"Unknown"))</f>
        <v/>
      </c>
      <c r="J2882" s="37" t="str">
        <f aca="false">IF(C2882="","",IFERROR(INDEX(cl_Code,MATCH(C2882,cl_Name,0)),"Unknown"))</f>
        <v/>
      </c>
      <c r="K2882" s="37" t="str">
        <f aca="false">IF(D2882="","",IFERROR(INDEX(rt_Billable,MATCH(D2882,rt_Code,0)),"Unknown"))</f>
        <v/>
      </c>
      <c r="L2882" s="38" t="str">
        <f aca="false">IF(K2882&lt;&gt;"Yes","",IFERROR(INDEX(cr_Rate,MATCH(J2882&amp;"|"&amp;D2882,cr_Key,0)),INDEX(rt_Rate,MATCH(D2882,rt_Code,0))))</f>
        <v/>
      </c>
      <c r="M2882" s="25" t="str">
        <f aca="false">IF(L2882="","",ROUND(N(E2882)*L2882,2))</f>
        <v/>
      </c>
      <c r="N2882" s="39" t="str">
        <f aca="false">IF(OR(A2882="",B2882=""),"",SUMIFS(tl_Hours,tl_StaffID,I2882,tl_Date,A2882))</f>
        <v/>
      </c>
      <c r="O2882" s="40" t="str">
        <f aca="false">IF(A2882&amp;B2882&amp;D2882="","",IF(OR(A2882="",B2882="",D2882="",E2882=""),"Incomplete",IF(K2882="Unknown","Unknown code",IF(AND(K2882="Yes",C2882=""),"Billable, needs client",IF(N2882&gt;MaxDayHours,"Over "&amp;MaxDayHours&amp;" hours that day","")))))</f>
        <v/>
      </c>
    </row>
    <row r="2883" customFormat="false" ht="15" hidden="false" customHeight="false" outlineLevel="0" collapsed="false">
      <c r="A2883" s="31"/>
      <c r="B2883" s="32"/>
      <c r="C2883" s="32"/>
      <c r="D2883" s="33"/>
      <c r="E2883" s="34"/>
      <c r="F2883" s="32"/>
      <c r="G2883" s="35" t="str">
        <f aca="false">IF(A2883="","",A2883+7-WEEKDAY(A2883))</f>
        <v/>
      </c>
      <c r="H2883" s="36" t="str">
        <f aca="false">IF(A2883="","",DATE(YEAR(A2883),MONTH(A2883),1))</f>
        <v/>
      </c>
      <c r="I2883" s="37" t="str">
        <f aca="false">IF(B2883="","",IFERROR(INDEX(st_ID,MATCH(B2883,st_Name,0)),"Unknown"))</f>
        <v/>
      </c>
      <c r="J2883" s="37" t="str">
        <f aca="false">IF(C2883="","",IFERROR(INDEX(cl_Code,MATCH(C2883,cl_Name,0)),"Unknown"))</f>
        <v/>
      </c>
      <c r="K2883" s="37" t="str">
        <f aca="false">IF(D2883="","",IFERROR(INDEX(rt_Billable,MATCH(D2883,rt_Code,0)),"Unknown"))</f>
        <v/>
      </c>
      <c r="L2883" s="38" t="str">
        <f aca="false">IF(K2883&lt;&gt;"Yes","",IFERROR(INDEX(cr_Rate,MATCH(J2883&amp;"|"&amp;D2883,cr_Key,0)),INDEX(rt_Rate,MATCH(D2883,rt_Code,0))))</f>
        <v/>
      </c>
      <c r="M2883" s="25" t="str">
        <f aca="false">IF(L2883="","",ROUND(N(E2883)*L2883,2))</f>
        <v/>
      </c>
      <c r="N2883" s="39" t="str">
        <f aca="false">IF(OR(A2883="",B2883=""),"",SUMIFS(tl_Hours,tl_StaffID,I2883,tl_Date,A2883))</f>
        <v/>
      </c>
      <c r="O2883" s="40" t="str">
        <f aca="false">IF(A2883&amp;B2883&amp;D2883="","",IF(OR(A2883="",B2883="",D2883="",E2883=""),"Incomplete",IF(K2883="Unknown","Unknown code",IF(AND(K2883="Yes",C2883=""),"Billable, needs client",IF(N2883&gt;MaxDayHours,"Over "&amp;MaxDayHours&amp;" hours that day","")))))</f>
        <v/>
      </c>
    </row>
    <row r="2884" customFormat="false" ht="15" hidden="false" customHeight="false" outlineLevel="0" collapsed="false">
      <c r="A2884" s="31"/>
      <c r="B2884" s="32"/>
      <c r="C2884" s="32"/>
      <c r="D2884" s="33"/>
      <c r="E2884" s="34"/>
      <c r="F2884" s="32"/>
      <c r="G2884" s="35" t="str">
        <f aca="false">IF(A2884="","",A2884+7-WEEKDAY(A2884))</f>
        <v/>
      </c>
      <c r="H2884" s="36" t="str">
        <f aca="false">IF(A2884="","",DATE(YEAR(A2884),MONTH(A2884),1))</f>
        <v/>
      </c>
      <c r="I2884" s="37" t="str">
        <f aca="false">IF(B2884="","",IFERROR(INDEX(st_ID,MATCH(B2884,st_Name,0)),"Unknown"))</f>
        <v/>
      </c>
      <c r="J2884" s="37" t="str">
        <f aca="false">IF(C2884="","",IFERROR(INDEX(cl_Code,MATCH(C2884,cl_Name,0)),"Unknown"))</f>
        <v/>
      </c>
      <c r="K2884" s="37" t="str">
        <f aca="false">IF(D2884="","",IFERROR(INDEX(rt_Billable,MATCH(D2884,rt_Code,0)),"Unknown"))</f>
        <v/>
      </c>
      <c r="L2884" s="38" t="str">
        <f aca="false">IF(K2884&lt;&gt;"Yes","",IFERROR(INDEX(cr_Rate,MATCH(J2884&amp;"|"&amp;D2884,cr_Key,0)),INDEX(rt_Rate,MATCH(D2884,rt_Code,0))))</f>
        <v/>
      </c>
      <c r="M2884" s="25" t="str">
        <f aca="false">IF(L2884="","",ROUND(N(E2884)*L2884,2))</f>
        <v/>
      </c>
      <c r="N2884" s="39" t="str">
        <f aca="false">IF(OR(A2884="",B2884=""),"",SUMIFS(tl_Hours,tl_StaffID,I2884,tl_Date,A2884))</f>
        <v/>
      </c>
      <c r="O2884" s="40" t="str">
        <f aca="false">IF(A2884&amp;B2884&amp;D2884="","",IF(OR(A2884="",B2884="",D2884="",E2884=""),"Incomplete",IF(K2884="Unknown","Unknown code",IF(AND(K2884="Yes",C2884=""),"Billable, needs client",IF(N2884&gt;MaxDayHours,"Over "&amp;MaxDayHours&amp;" hours that day","")))))</f>
        <v/>
      </c>
    </row>
    <row r="2885" customFormat="false" ht="15" hidden="false" customHeight="false" outlineLevel="0" collapsed="false">
      <c r="A2885" s="31"/>
      <c r="B2885" s="32"/>
      <c r="C2885" s="32"/>
      <c r="D2885" s="33"/>
      <c r="E2885" s="34"/>
      <c r="F2885" s="32"/>
      <c r="G2885" s="35" t="str">
        <f aca="false">IF(A2885="","",A2885+7-WEEKDAY(A2885))</f>
        <v/>
      </c>
      <c r="H2885" s="36" t="str">
        <f aca="false">IF(A2885="","",DATE(YEAR(A2885),MONTH(A2885),1))</f>
        <v/>
      </c>
      <c r="I2885" s="37" t="str">
        <f aca="false">IF(B2885="","",IFERROR(INDEX(st_ID,MATCH(B2885,st_Name,0)),"Unknown"))</f>
        <v/>
      </c>
      <c r="J2885" s="37" t="str">
        <f aca="false">IF(C2885="","",IFERROR(INDEX(cl_Code,MATCH(C2885,cl_Name,0)),"Unknown"))</f>
        <v/>
      </c>
      <c r="K2885" s="37" t="str">
        <f aca="false">IF(D2885="","",IFERROR(INDEX(rt_Billable,MATCH(D2885,rt_Code,0)),"Unknown"))</f>
        <v/>
      </c>
      <c r="L2885" s="38" t="str">
        <f aca="false">IF(K2885&lt;&gt;"Yes","",IFERROR(INDEX(cr_Rate,MATCH(J2885&amp;"|"&amp;D2885,cr_Key,0)),INDEX(rt_Rate,MATCH(D2885,rt_Code,0))))</f>
        <v/>
      </c>
      <c r="M2885" s="25" t="str">
        <f aca="false">IF(L2885="","",ROUND(N(E2885)*L2885,2))</f>
        <v/>
      </c>
      <c r="N2885" s="39" t="str">
        <f aca="false">IF(OR(A2885="",B2885=""),"",SUMIFS(tl_Hours,tl_StaffID,I2885,tl_Date,A2885))</f>
        <v/>
      </c>
      <c r="O2885" s="40" t="str">
        <f aca="false">IF(A2885&amp;B2885&amp;D2885="","",IF(OR(A2885="",B2885="",D2885="",E2885=""),"Incomplete",IF(K2885="Unknown","Unknown code",IF(AND(K2885="Yes",C2885=""),"Billable, needs client",IF(N2885&gt;MaxDayHours,"Over "&amp;MaxDayHours&amp;" hours that day","")))))</f>
        <v/>
      </c>
    </row>
    <row r="2886" customFormat="false" ht="15" hidden="false" customHeight="false" outlineLevel="0" collapsed="false">
      <c r="A2886" s="31"/>
      <c r="B2886" s="32"/>
      <c r="C2886" s="32"/>
      <c r="D2886" s="33"/>
      <c r="E2886" s="34"/>
      <c r="F2886" s="32"/>
      <c r="G2886" s="35" t="str">
        <f aca="false">IF(A2886="","",A2886+7-WEEKDAY(A2886))</f>
        <v/>
      </c>
      <c r="H2886" s="36" t="str">
        <f aca="false">IF(A2886="","",DATE(YEAR(A2886),MONTH(A2886),1))</f>
        <v/>
      </c>
      <c r="I2886" s="37" t="str">
        <f aca="false">IF(B2886="","",IFERROR(INDEX(st_ID,MATCH(B2886,st_Name,0)),"Unknown"))</f>
        <v/>
      </c>
      <c r="J2886" s="37" t="str">
        <f aca="false">IF(C2886="","",IFERROR(INDEX(cl_Code,MATCH(C2886,cl_Name,0)),"Unknown"))</f>
        <v/>
      </c>
      <c r="K2886" s="37" t="str">
        <f aca="false">IF(D2886="","",IFERROR(INDEX(rt_Billable,MATCH(D2886,rt_Code,0)),"Unknown"))</f>
        <v/>
      </c>
      <c r="L2886" s="38" t="str">
        <f aca="false">IF(K2886&lt;&gt;"Yes","",IFERROR(INDEX(cr_Rate,MATCH(J2886&amp;"|"&amp;D2886,cr_Key,0)),INDEX(rt_Rate,MATCH(D2886,rt_Code,0))))</f>
        <v/>
      </c>
      <c r="M2886" s="25" t="str">
        <f aca="false">IF(L2886="","",ROUND(N(E2886)*L2886,2))</f>
        <v/>
      </c>
      <c r="N2886" s="39" t="str">
        <f aca="false">IF(OR(A2886="",B2886=""),"",SUMIFS(tl_Hours,tl_StaffID,I2886,tl_Date,A2886))</f>
        <v/>
      </c>
      <c r="O2886" s="40" t="str">
        <f aca="false">IF(A2886&amp;B2886&amp;D2886="","",IF(OR(A2886="",B2886="",D2886="",E2886=""),"Incomplete",IF(K2886="Unknown","Unknown code",IF(AND(K2886="Yes",C2886=""),"Billable, needs client",IF(N2886&gt;MaxDayHours,"Over "&amp;MaxDayHours&amp;" hours that day","")))))</f>
        <v/>
      </c>
    </row>
    <row r="2887" customFormat="false" ht="15" hidden="false" customHeight="false" outlineLevel="0" collapsed="false">
      <c r="A2887" s="31"/>
      <c r="B2887" s="32"/>
      <c r="C2887" s="32"/>
      <c r="D2887" s="33"/>
      <c r="E2887" s="34"/>
      <c r="F2887" s="32"/>
      <c r="G2887" s="35" t="str">
        <f aca="false">IF(A2887="","",A2887+7-WEEKDAY(A2887))</f>
        <v/>
      </c>
      <c r="H2887" s="36" t="str">
        <f aca="false">IF(A2887="","",DATE(YEAR(A2887),MONTH(A2887),1))</f>
        <v/>
      </c>
      <c r="I2887" s="37" t="str">
        <f aca="false">IF(B2887="","",IFERROR(INDEX(st_ID,MATCH(B2887,st_Name,0)),"Unknown"))</f>
        <v/>
      </c>
      <c r="J2887" s="37" t="str">
        <f aca="false">IF(C2887="","",IFERROR(INDEX(cl_Code,MATCH(C2887,cl_Name,0)),"Unknown"))</f>
        <v/>
      </c>
      <c r="K2887" s="37" t="str">
        <f aca="false">IF(D2887="","",IFERROR(INDEX(rt_Billable,MATCH(D2887,rt_Code,0)),"Unknown"))</f>
        <v/>
      </c>
      <c r="L2887" s="38" t="str">
        <f aca="false">IF(K2887&lt;&gt;"Yes","",IFERROR(INDEX(cr_Rate,MATCH(J2887&amp;"|"&amp;D2887,cr_Key,0)),INDEX(rt_Rate,MATCH(D2887,rt_Code,0))))</f>
        <v/>
      </c>
      <c r="M2887" s="25" t="str">
        <f aca="false">IF(L2887="","",ROUND(N(E2887)*L2887,2))</f>
        <v/>
      </c>
      <c r="N2887" s="39" t="str">
        <f aca="false">IF(OR(A2887="",B2887=""),"",SUMIFS(tl_Hours,tl_StaffID,I2887,tl_Date,A2887))</f>
        <v/>
      </c>
      <c r="O2887" s="40" t="str">
        <f aca="false">IF(A2887&amp;B2887&amp;D2887="","",IF(OR(A2887="",B2887="",D2887="",E2887=""),"Incomplete",IF(K2887="Unknown","Unknown code",IF(AND(K2887="Yes",C2887=""),"Billable, needs client",IF(N2887&gt;MaxDayHours,"Over "&amp;MaxDayHours&amp;" hours that day","")))))</f>
        <v/>
      </c>
    </row>
    <row r="2888" customFormat="false" ht="15" hidden="false" customHeight="false" outlineLevel="0" collapsed="false">
      <c r="A2888" s="31"/>
      <c r="B2888" s="32"/>
      <c r="C2888" s="32"/>
      <c r="D2888" s="33"/>
      <c r="E2888" s="34"/>
      <c r="F2888" s="32"/>
      <c r="G2888" s="35" t="str">
        <f aca="false">IF(A2888="","",A2888+7-WEEKDAY(A2888))</f>
        <v/>
      </c>
      <c r="H2888" s="36" t="str">
        <f aca="false">IF(A2888="","",DATE(YEAR(A2888),MONTH(A2888),1))</f>
        <v/>
      </c>
      <c r="I2888" s="37" t="str">
        <f aca="false">IF(B2888="","",IFERROR(INDEX(st_ID,MATCH(B2888,st_Name,0)),"Unknown"))</f>
        <v/>
      </c>
      <c r="J2888" s="37" t="str">
        <f aca="false">IF(C2888="","",IFERROR(INDEX(cl_Code,MATCH(C2888,cl_Name,0)),"Unknown"))</f>
        <v/>
      </c>
      <c r="K2888" s="37" t="str">
        <f aca="false">IF(D2888="","",IFERROR(INDEX(rt_Billable,MATCH(D2888,rt_Code,0)),"Unknown"))</f>
        <v/>
      </c>
      <c r="L2888" s="38" t="str">
        <f aca="false">IF(K2888&lt;&gt;"Yes","",IFERROR(INDEX(cr_Rate,MATCH(J2888&amp;"|"&amp;D2888,cr_Key,0)),INDEX(rt_Rate,MATCH(D2888,rt_Code,0))))</f>
        <v/>
      </c>
      <c r="M2888" s="25" t="str">
        <f aca="false">IF(L2888="","",ROUND(N(E2888)*L2888,2))</f>
        <v/>
      </c>
      <c r="N2888" s="39" t="str">
        <f aca="false">IF(OR(A2888="",B2888=""),"",SUMIFS(tl_Hours,tl_StaffID,I2888,tl_Date,A2888))</f>
        <v/>
      </c>
      <c r="O2888" s="40" t="str">
        <f aca="false">IF(A2888&amp;B2888&amp;D2888="","",IF(OR(A2888="",B2888="",D2888="",E2888=""),"Incomplete",IF(K2888="Unknown","Unknown code",IF(AND(K2888="Yes",C2888=""),"Billable, needs client",IF(N2888&gt;MaxDayHours,"Over "&amp;MaxDayHours&amp;" hours that day","")))))</f>
        <v/>
      </c>
    </row>
    <row r="2889" customFormat="false" ht="15" hidden="false" customHeight="false" outlineLevel="0" collapsed="false">
      <c r="A2889" s="31"/>
      <c r="B2889" s="32"/>
      <c r="C2889" s="32"/>
      <c r="D2889" s="33"/>
      <c r="E2889" s="34"/>
      <c r="F2889" s="32"/>
      <c r="G2889" s="35" t="str">
        <f aca="false">IF(A2889="","",A2889+7-WEEKDAY(A2889))</f>
        <v/>
      </c>
      <c r="H2889" s="36" t="str">
        <f aca="false">IF(A2889="","",DATE(YEAR(A2889),MONTH(A2889),1))</f>
        <v/>
      </c>
      <c r="I2889" s="37" t="str">
        <f aca="false">IF(B2889="","",IFERROR(INDEX(st_ID,MATCH(B2889,st_Name,0)),"Unknown"))</f>
        <v/>
      </c>
      <c r="J2889" s="37" t="str">
        <f aca="false">IF(C2889="","",IFERROR(INDEX(cl_Code,MATCH(C2889,cl_Name,0)),"Unknown"))</f>
        <v/>
      </c>
      <c r="K2889" s="37" t="str">
        <f aca="false">IF(D2889="","",IFERROR(INDEX(rt_Billable,MATCH(D2889,rt_Code,0)),"Unknown"))</f>
        <v/>
      </c>
      <c r="L2889" s="38" t="str">
        <f aca="false">IF(K2889&lt;&gt;"Yes","",IFERROR(INDEX(cr_Rate,MATCH(J2889&amp;"|"&amp;D2889,cr_Key,0)),INDEX(rt_Rate,MATCH(D2889,rt_Code,0))))</f>
        <v/>
      </c>
      <c r="M2889" s="25" t="str">
        <f aca="false">IF(L2889="","",ROUND(N(E2889)*L2889,2))</f>
        <v/>
      </c>
      <c r="N2889" s="39" t="str">
        <f aca="false">IF(OR(A2889="",B2889=""),"",SUMIFS(tl_Hours,tl_StaffID,I2889,tl_Date,A2889))</f>
        <v/>
      </c>
      <c r="O2889" s="40" t="str">
        <f aca="false">IF(A2889&amp;B2889&amp;D2889="","",IF(OR(A2889="",B2889="",D2889="",E2889=""),"Incomplete",IF(K2889="Unknown","Unknown code",IF(AND(K2889="Yes",C2889=""),"Billable, needs client",IF(N2889&gt;MaxDayHours,"Over "&amp;MaxDayHours&amp;" hours that day","")))))</f>
        <v/>
      </c>
    </row>
    <row r="2890" customFormat="false" ht="15" hidden="false" customHeight="false" outlineLevel="0" collapsed="false">
      <c r="A2890" s="31"/>
      <c r="B2890" s="32"/>
      <c r="C2890" s="32"/>
      <c r="D2890" s="33"/>
      <c r="E2890" s="34"/>
      <c r="F2890" s="32"/>
      <c r="G2890" s="35" t="str">
        <f aca="false">IF(A2890="","",A2890+7-WEEKDAY(A2890))</f>
        <v/>
      </c>
      <c r="H2890" s="36" t="str">
        <f aca="false">IF(A2890="","",DATE(YEAR(A2890),MONTH(A2890),1))</f>
        <v/>
      </c>
      <c r="I2890" s="37" t="str">
        <f aca="false">IF(B2890="","",IFERROR(INDEX(st_ID,MATCH(B2890,st_Name,0)),"Unknown"))</f>
        <v/>
      </c>
      <c r="J2890" s="37" t="str">
        <f aca="false">IF(C2890="","",IFERROR(INDEX(cl_Code,MATCH(C2890,cl_Name,0)),"Unknown"))</f>
        <v/>
      </c>
      <c r="K2890" s="37" t="str">
        <f aca="false">IF(D2890="","",IFERROR(INDEX(rt_Billable,MATCH(D2890,rt_Code,0)),"Unknown"))</f>
        <v/>
      </c>
      <c r="L2890" s="38" t="str">
        <f aca="false">IF(K2890&lt;&gt;"Yes","",IFERROR(INDEX(cr_Rate,MATCH(J2890&amp;"|"&amp;D2890,cr_Key,0)),INDEX(rt_Rate,MATCH(D2890,rt_Code,0))))</f>
        <v/>
      </c>
      <c r="M2890" s="25" t="str">
        <f aca="false">IF(L2890="","",ROUND(N(E2890)*L2890,2))</f>
        <v/>
      </c>
      <c r="N2890" s="39" t="str">
        <f aca="false">IF(OR(A2890="",B2890=""),"",SUMIFS(tl_Hours,tl_StaffID,I2890,tl_Date,A2890))</f>
        <v/>
      </c>
      <c r="O2890" s="40" t="str">
        <f aca="false">IF(A2890&amp;B2890&amp;D2890="","",IF(OR(A2890="",B2890="",D2890="",E2890=""),"Incomplete",IF(K2890="Unknown","Unknown code",IF(AND(K2890="Yes",C2890=""),"Billable, needs client",IF(N2890&gt;MaxDayHours,"Over "&amp;MaxDayHours&amp;" hours that day","")))))</f>
        <v/>
      </c>
    </row>
    <row r="2891" customFormat="false" ht="15" hidden="false" customHeight="false" outlineLevel="0" collapsed="false">
      <c r="A2891" s="31"/>
      <c r="B2891" s="32"/>
      <c r="C2891" s="32"/>
      <c r="D2891" s="33"/>
      <c r="E2891" s="34"/>
      <c r="F2891" s="32"/>
      <c r="G2891" s="35" t="str">
        <f aca="false">IF(A2891="","",A2891+7-WEEKDAY(A2891))</f>
        <v/>
      </c>
      <c r="H2891" s="36" t="str">
        <f aca="false">IF(A2891="","",DATE(YEAR(A2891),MONTH(A2891),1))</f>
        <v/>
      </c>
      <c r="I2891" s="37" t="str">
        <f aca="false">IF(B2891="","",IFERROR(INDEX(st_ID,MATCH(B2891,st_Name,0)),"Unknown"))</f>
        <v/>
      </c>
      <c r="J2891" s="37" t="str">
        <f aca="false">IF(C2891="","",IFERROR(INDEX(cl_Code,MATCH(C2891,cl_Name,0)),"Unknown"))</f>
        <v/>
      </c>
      <c r="K2891" s="37" t="str">
        <f aca="false">IF(D2891="","",IFERROR(INDEX(rt_Billable,MATCH(D2891,rt_Code,0)),"Unknown"))</f>
        <v/>
      </c>
      <c r="L2891" s="38" t="str">
        <f aca="false">IF(K2891&lt;&gt;"Yes","",IFERROR(INDEX(cr_Rate,MATCH(J2891&amp;"|"&amp;D2891,cr_Key,0)),INDEX(rt_Rate,MATCH(D2891,rt_Code,0))))</f>
        <v/>
      </c>
      <c r="M2891" s="25" t="str">
        <f aca="false">IF(L2891="","",ROUND(N(E2891)*L2891,2))</f>
        <v/>
      </c>
      <c r="N2891" s="39" t="str">
        <f aca="false">IF(OR(A2891="",B2891=""),"",SUMIFS(tl_Hours,tl_StaffID,I2891,tl_Date,A2891))</f>
        <v/>
      </c>
      <c r="O2891" s="40" t="str">
        <f aca="false">IF(A2891&amp;B2891&amp;D2891="","",IF(OR(A2891="",B2891="",D2891="",E2891=""),"Incomplete",IF(K2891="Unknown","Unknown code",IF(AND(K2891="Yes",C2891=""),"Billable, needs client",IF(N2891&gt;MaxDayHours,"Over "&amp;MaxDayHours&amp;" hours that day","")))))</f>
        <v/>
      </c>
    </row>
    <row r="2892" customFormat="false" ht="15" hidden="false" customHeight="false" outlineLevel="0" collapsed="false">
      <c r="A2892" s="31"/>
      <c r="B2892" s="32"/>
      <c r="C2892" s="32"/>
      <c r="D2892" s="33"/>
      <c r="E2892" s="34"/>
      <c r="F2892" s="32"/>
      <c r="G2892" s="35" t="str">
        <f aca="false">IF(A2892="","",A2892+7-WEEKDAY(A2892))</f>
        <v/>
      </c>
      <c r="H2892" s="36" t="str">
        <f aca="false">IF(A2892="","",DATE(YEAR(A2892),MONTH(A2892),1))</f>
        <v/>
      </c>
      <c r="I2892" s="37" t="str">
        <f aca="false">IF(B2892="","",IFERROR(INDEX(st_ID,MATCH(B2892,st_Name,0)),"Unknown"))</f>
        <v/>
      </c>
      <c r="J2892" s="37" t="str">
        <f aca="false">IF(C2892="","",IFERROR(INDEX(cl_Code,MATCH(C2892,cl_Name,0)),"Unknown"))</f>
        <v/>
      </c>
      <c r="K2892" s="37" t="str">
        <f aca="false">IF(D2892="","",IFERROR(INDEX(rt_Billable,MATCH(D2892,rt_Code,0)),"Unknown"))</f>
        <v/>
      </c>
      <c r="L2892" s="38" t="str">
        <f aca="false">IF(K2892&lt;&gt;"Yes","",IFERROR(INDEX(cr_Rate,MATCH(J2892&amp;"|"&amp;D2892,cr_Key,0)),INDEX(rt_Rate,MATCH(D2892,rt_Code,0))))</f>
        <v/>
      </c>
      <c r="M2892" s="25" t="str">
        <f aca="false">IF(L2892="","",ROUND(N(E2892)*L2892,2))</f>
        <v/>
      </c>
      <c r="N2892" s="39" t="str">
        <f aca="false">IF(OR(A2892="",B2892=""),"",SUMIFS(tl_Hours,tl_StaffID,I2892,tl_Date,A2892))</f>
        <v/>
      </c>
      <c r="O2892" s="40" t="str">
        <f aca="false">IF(A2892&amp;B2892&amp;D2892="","",IF(OR(A2892="",B2892="",D2892="",E2892=""),"Incomplete",IF(K2892="Unknown","Unknown code",IF(AND(K2892="Yes",C2892=""),"Billable, needs client",IF(N2892&gt;MaxDayHours,"Over "&amp;MaxDayHours&amp;" hours that day","")))))</f>
        <v/>
      </c>
    </row>
    <row r="2893" customFormat="false" ht="15" hidden="false" customHeight="false" outlineLevel="0" collapsed="false">
      <c r="A2893" s="31"/>
      <c r="B2893" s="32"/>
      <c r="C2893" s="32"/>
      <c r="D2893" s="33"/>
      <c r="E2893" s="34"/>
      <c r="F2893" s="32"/>
      <c r="G2893" s="35" t="str">
        <f aca="false">IF(A2893="","",A2893+7-WEEKDAY(A2893))</f>
        <v/>
      </c>
      <c r="H2893" s="36" t="str">
        <f aca="false">IF(A2893="","",DATE(YEAR(A2893),MONTH(A2893),1))</f>
        <v/>
      </c>
      <c r="I2893" s="37" t="str">
        <f aca="false">IF(B2893="","",IFERROR(INDEX(st_ID,MATCH(B2893,st_Name,0)),"Unknown"))</f>
        <v/>
      </c>
      <c r="J2893" s="37" t="str">
        <f aca="false">IF(C2893="","",IFERROR(INDEX(cl_Code,MATCH(C2893,cl_Name,0)),"Unknown"))</f>
        <v/>
      </c>
      <c r="K2893" s="37" t="str">
        <f aca="false">IF(D2893="","",IFERROR(INDEX(rt_Billable,MATCH(D2893,rt_Code,0)),"Unknown"))</f>
        <v/>
      </c>
      <c r="L2893" s="38" t="str">
        <f aca="false">IF(K2893&lt;&gt;"Yes","",IFERROR(INDEX(cr_Rate,MATCH(J2893&amp;"|"&amp;D2893,cr_Key,0)),INDEX(rt_Rate,MATCH(D2893,rt_Code,0))))</f>
        <v/>
      </c>
      <c r="M2893" s="25" t="str">
        <f aca="false">IF(L2893="","",ROUND(N(E2893)*L2893,2))</f>
        <v/>
      </c>
      <c r="N2893" s="39" t="str">
        <f aca="false">IF(OR(A2893="",B2893=""),"",SUMIFS(tl_Hours,tl_StaffID,I2893,tl_Date,A2893))</f>
        <v/>
      </c>
      <c r="O2893" s="40" t="str">
        <f aca="false">IF(A2893&amp;B2893&amp;D2893="","",IF(OR(A2893="",B2893="",D2893="",E2893=""),"Incomplete",IF(K2893="Unknown","Unknown code",IF(AND(K2893="Yes",C2893=""),"Billable, needs client",IF(N2893&gt;MaxDayHours,"Over "&amp;MaxDayHours&amp;" hours that day","")))))</f>
        <v/>
      </c>
    </row>
    <row r="2894" customFormat="false" ht="15" hidden="false" customHeight="false" outlineLevel="0" collapsed="false">
      <c r="A2894" s="31"/>
      <c r="B2894" s="32"/>
      <c r="C2894" s="32"/>
      <c r="D2894" s="33"/>
      <c r="E2894" s="34"/>
      <c r="F2894" s="32"/>
      <c r="G2894" s="35" t="str">
        <f aca="false">IF(A2894="","",A2894+7-WEEKDAY(A2894))</f>
        <v/>
      </c>
      <c r="H2894" s="36" t="str">
        <f aca="false">IF(A2894="","",DATE(YEAR(A2894),MONTH(A2894),1))</f>
        <v/>
      </c>
      <c r="I2894" s="37" t="str">
        <f aca="false">IF(B2894="","",IFERROR(INDEX(st_ID,MATCH(B2894,st_Name,0)),"Unknown"))</f>
        <v/>
      </c>
      <c r="J2894" s="37" t="str">
        <f aca="false">IF(C2894="","",IFERROR(INDEX(cl_Code,MATCH(C2894,cl_Name,0)),"Unknown"))</f>
        <v/>
      </c>
      <c r="K2894" s="37" t="str">
        <f aca="false">IF(D2894="","",IFERROR(INDEX(rt_Billable,MATCH(D2894,rt_Code,0)),"Unknown"))</f>
        <v/>
      </c>
      <c r="L2894" s="38" t="str">
        <f aca="false">IF(K2894&lt;&gt;"Yes","",IFERROR(INDEX(cr_Rate,MATCH(J2894&amp;"|"&amp;D2894,cr_Key,0)),INDEX(rt_Rate,MATCH(D2894,rt_Code,0))))</f>
        <v/>
      </c>
      <c r="M2894" s="25" t="str">
        <f aca="false">IF(L2894="","",ROUND(N(E2894)*L2894,2))</f>
        <v/>
      </c>
      <c r="N2894" s="39" t="str">
        <f aca="false">IF(OR(A2894="",B2894=""),"",SUMIFS(tl_Hours,tl_StaffID,I2894,tl_Date,A2894))</f>
        <v/>
      </c>
      <c r="O2894" s="40" t="str">
        <f aca="false">IF(A2894&amp;B2894&amp;D2894="","",IF(OR(A2894="",B2894="",D2894="",E2894=""),"Incomplete",IF(K2894="Unknown","Unknown code",IF(AND(K2894="Yes",C2894=""),"Billable, needs client",IF(N2894&gt;MaxDayHours,"Over "&amp;MaxDayHours&amp;" hours that day","")))))</f>
        <v/>
      </c>
    </row>
    <row r="2895" customFormat="false" ht="15" hidden="false" customHeight="false" outlineLevel="0" collapsed="false">
      <c r="A2895" s="31"/>
      <c r="B2895" s="32"/>
      <c r="C2895" s="32"/>
      <c r="D2895" s="33"/>
      <c r="E2895" s="34"/>
      <c r="F2895" s="32"/>
      <c r="G2895" s="35" t="str">
        <f aca="false">IF(A2895="","",A2895+7-WEEKDAY(A2895))</f>
        <v/>
      </c>
      <c r="H2895" s="36" t="str">
        <f aca="false">IF(A2895="","",DATE(YEAR(A2895),MONTH(A2895),1))</f>
        <v/>
      </c>
      <c r="I2895" s="37" t="str">
        <f aca="false">IF(B2895="","",IFERROR(INDEX(st_ID,MATCH(B2895,st_Name,0)),"Unknown"))</f>
        <v/>
      </c>
      <c r="J2895" s="37" t="str">
        <f aca="false">IF(C2895="","",IFERROR(INDEX(cl_Code,MATCH(C2895,cl_Name,0)),"Unknown"))</f>
        <v/>
      </c>
      <c r="K2895" s="37" t="str">
        <f aca="false">IF(D2895="","",IFERROR(INDEX(rt_Billable,MATCH(D2895,rt_Code,0)),"Unknown"))</f>
        <v/>
      </c>
      <c r="L2895" s="38" t="str">
        <f aca="false">IF(K2895&lt;&gt;"Yes","",IFERROR(INDEX(cr_Rate,MATCH(J2895&amp;"|"&amp;D2895,cr_Key,0)),INDEX(rt_Rate,MATCH(D2895,rt_Code,0))))</f>
        <v/>
      </c>
      <c r="M2895" s="25" t="str">
        <f aca="false">IF(L2895="","",ROUND(N(E2895)*L2895,2))</f>
        <v/>
      </c>
      <c r="N2895" s="39" t="str">
        <f aca="false">IF(OR(A2895="",B2895=""),"",SUMIFS(tl_Hours,tl_StaffID,I2895,tl_Date,A2895))</f>
        <v/>
      </c>
      <c r="O2895" s="40" t="str">
        <f aca="false">IF(A2895&amp;B2895&amp;D2895="","",IF(OR(A2895="",B2895="",D2895="",E2895=""),"Incomplete",IF(K2895="Unknown","Unknown code",IF(AND(K2895="Yes",C2895=""),"Billable, needs client",IF(N2895&gt;MaxDayHours,"Over "&amp;MaxDayHours&amp;" hours that day","")))))</f>
        <v/>
      </c>
    </row>
    <row r="2896" customFormat="false" ht="15" hidden="false" customHeight="false" outlineLevel="0" collapsed="false">
      <c r="A2896" s="31"/>
      <c r="B2896" s="32"/>
      <c r="C2896" s="32"/>
      <c r="D2896" s="33"/>
      <c r="E2896" s="34"/>
      <c r="F2896" s="32"/>
      <c r="G2896" s="35" t="str">
        <f aca="false">IF(A2896="","",A2896+7-WEEKDAY(A2896))</f>
        <v/>
      </c>
      <c r="H2896" s="36" t="str">
        <f aca="false">IF(A2896="","",DATE(YEAR(A2896),MONTH(A2896),1))</f>
        <v/>
      </c>
      <c r="I2896" s="37" t="str">
        <f aca="false">IF(B2896="","",IFERROR(INDEX(st_ID,MATCH(B2896,st_Name,0)),"Unknown"))</f>
        <v/>
      </c>
      <c r="J2896" s="37" t="str">
        <f aca="false">IF(C2896="","",IFERROR(INDEX(cl_Code,MATCH(C2896,cl_Name,0)),"Unknown"))</f>
        <v/>
      </c>
      <c r="K2896" s="37" t="str">
        <f aca="false">IF(D2896="","",IFERROR(INDEX(rt_Billable,MATCH(D2896,rt_Code,0)),"Unknown"))</f>
        <v/>
      </c>
      <c r="L2896" s="38" t="str">
        <f aca="false">IF(K2896&lt;&gt;"Yes","",IFERROR(INDEX(cr_Rate,MATCH(J2896&amp;"|"&amp;D2896,cr_Key,0)),INDEX(rt_Rate,MATCH(D2896,rt_Code,0))))</f>
        <v/>
      </c>
      <c r="M2896" s="25" t="str">
        <f aca="false">IF(L2896="","",ROUND(N(E2896)*L2896,2))</f>
        <v/>
      </c>
      <c r="N2896" s="39" t="str">
        <f aca="false">IF(OR(A2896="",B2896=""),"",SUMIFS(tl_Hours,tl_StaffID,I2896,tl_Date,A2896))</f>
        <v/>
      </c>
      <c r="O2896" s="40" t="str">
        <f aca="false">IF(A2896&amp;B2896&amp;D2896="","",IF(OR(A2896="",B2896="",D2896="",E2896=""),"Incomplete",IF(K2896="Unknown","Unknown code",IF(AND(K2896="Yes",C2896=""),"Billable, needs client",IF(N2896&gt;MaxDayHours,"Over "&amp;MaxDayHours&amp;" hours that day","")))))</f>
        <v/>
      </c>
    </row>
    <row r="2897" customFormat="false" ht="15" hidden="false" customHeight="false" outlineLevel="0" collapsed="false">
      <c r="A2897" s="31"/>
      <c r="B2897" s="32"/>
      <c r="C2897" s="32"/>
      <c r="D2897" s="33"/>
      <c r="E2897" s="34"/>
      <c r="F2897" s="32"/>
      <c r="G2897" s="35" t="str">
        <f aca="false">IF(A2897="","",A2897+7-WEEKDAY(A2897))</f>
        <v/>
      </c>
      <c r="H2897" s="36" t="str">
        <f aca="false">IF(A2897="","",DATE(YEAR(A2897),MONTH(A2897),1))</f>
        <v/>
      </c>
      <c r="I2897" s="37" t="str">
        <f aca="false">IF(B2897="","",IFERROR(INDEX(st_ID,MATCH(B2897,st_Name,0)),"Unknown"))</f>
        <v/>
      </c>
      <c r="J2897" s="37" t="str">
        <f aca="false">IF(C2897="","",IFERROR(INDEX(cl_Code,MATCH(C2897,cl_Name,0)),"Unknown"))</f>
        <v/>
      </c>
      <c r="K2897" s="37" t="str">
        <f aca="false">IF(D2897="","",IFERROR(INDEX(rt_Billable,MATCH(D2897,rt_Code,0)),"Unknown"))</f>
        <v/>
      </c>
      <c r="L2897" s="38" t="str">
        <f aca="false">IF(K2897&lt;&gt;"Yes","",IFERROR(INDEX(cr_Rate,MATCH(J2897&amp;"|"&amp;D2897,cr_Key,0)),INDEX(rt_Rate,MATCH(D2897,rt_Code,0))))</f>
        <v/>
      </c>
      <c r="M2897" s="25" t="str">
        <f aca="false">IF(L2897="","",ROUND(N(E2897)*L2897,2))</f>
        <v/>
      </c>
      <c r="N2897" s="39" t="str">
        <f aca="false">IF(OR(A2897="",B2897=""),"",SUMIFS(tl_Hours,tl_StaffID,I2897,tl_Date,A2897))</f>
        <v/>
      </c>
      <c r="O2897" s="40" t="str">
        <f aca="false">IF(A2897&amp;B2897&amp;D2897="","",IF(OR(A2897="",B2897="",D2897="",E2897=""),"Incomplete",IF(K2897="Unknown","Unknown code",IF(AND(K2897="Yes",C2897=""),"Billable, needs client",IF(N2897&gt;MaxDayHours,"Over "&amp;MaxDayHours&amp;" hours that day","")))))</f>
        <v/>
      </c>
    </row>
    <row r="2898" customFormat="false" ht="15" hidden="false" customHeight="false" outlineLevel="0" collapsed="false">
      <c r="A2898" s="31"/>
      <c r="B2898" s="32"/>
      <c r="C2898" s="32"/>
      <c r="D2898" s="33"/>
      <c r="E2898" s="34"/>
      <c r="F2898" s="32"/>
      <c r="G2898" s="35" t="str">
        <f aca="false">IF(A2898="","",A2898+7-WEEKDAY(A2898))</f>
        <v/>
      </c>
      <c r="H2898" s="36" t="str">
        <f aca="false">IF(A2898="","",DATE(YEAR(A2898),MONTH(A2898),1))</f>
        <v/>
      </c>
      <c r="I2898" s="37" t="str">
        <f aca="false">IF(B2898="","",IFERROR(INDEX(st_ID,MATCH(B2898,st_Name,0)),"Unknown"))</f>
        <v/>
      </c>
      <c r="J2898" s="37" t="str">
        <f aca="false">IF(C2898="","",IFERROR(INDEX(cl_Code,MATCH(C2898,cl_Name,0)),"Unknown"))</f>
        <v/>
      </c>
      <c r="K2898" s="37" t="str">
        <f aca="false">IF(D2898="","",IFERROR(INDEX(rt_Billable,MATCH(D2898,rt_Code,0)),"Unknown"))</f>
        <v/>
      </c>
      <c r="L2898" s="38" t="str">
        <f aca="false">IF(K2898&lt;&gt;"Yes","",IFERROR(INDEX(cr_Rate,MATCH(J2898&amp;"|"&amp;D2898,cr_Key,0)),INDEX(rt_Rate,MATCH(D2898,rt_Code,0))))</f>
        <v/>
      </c>
      <c r="M2898" s="25" t="str">
        <f aca="false">IF(L2898="","",ROUND(N(E2898)*L2898,2))</f>
        <v/>
      </c>
      <c r="N2898" s="39" t="str">
        <f aca="false">IF(OR(A2898="",B2898=""),"",SUMIFS(tl_Hours,tl_StaffID,I2898,tl_Date,A2898))</f>
        <v/>
      </c>
      <c r="O2898" s="40" t="str">
        <f aca="false">IF(A2898&amp;B2898&amp;D2898="","",IF(OR(A2898="",B2898="",D2898="",E2898=""),"Incomplete",IF(K2898="Unknown","Unknown code",IF(AND(K2898="Yes",C2898=""),"Billable, needs client",IF(N2898&gt;MaxDayHours,"Over "&amp;MaxDayHours&amp;" hours that day","")))))</f>
        <v/>
      </c>
    </row>
    <row r="2899" customFormat="false" ht="15" hidden="false" customHeight="false" outlineLevel="0" collapsed="false">
      <c r="A2899" s="31"/>
      <c r="B2899" s="32"/>
      <c r="C2899" s="32"/>
      <c r="D2899" s="33"/>
      <c r="E2899" s="34"/>
      <c r="F2899" s="32"/>
      <c r="G2899" s="35" t="str">
        <f aca="false">IF(A2899="","",A2899+7-WEEKDAY(A2899))</f>
        <v/>
      </c>
      <c r="H2899" s="36" t="str">
        <f aca="false">IF(A2899="","",DATE(YEAR(A2899),MONTH(A2899),1))</f>
        <v/>
      </c>
      <c r="I2899" s="37" t="str">
        <f aca="false">IF(B2899="","",IFERROR(INDEX(st_ID,MATCH(B2899,st_Name,0)),"Unknown"))</f>
        <v/>
      </c>
      <c r="J2899" s="37" t="str">
        <f aca="false">IF(C2899="","",IFERROR(INDEX(cl_Code,MATCH(C2899,cl_Name,0)),"Unknown"))</f>
        <v/>
      </c>
      <c r="K2899" s="37" t="str">
        <f aca="false">IF(D2899="","",IFERROR(INDEX(rt_Billable,MATCH(D2899,rt_Code,0)),"Unknown"))</f>
        <v/>
      </c>
      <c r="L2899" s="38" t="str">
        <f aca="false">IF(K2899&lt;&gt;"Yes","",IFERROR(INDEX(cr_Rate,MATCH(J2899&amp;"|"&amp;D2899,cr_Key,0)),INDEX(rt_Rate,MATCH(D2899,rt_Code,0))))</f>
        <v/>
      </c>
      <c r="M2899" s="25" t="str">
        <f aca="false">IF(L2899="","",ROUND(N(E2899)*L2899,2))</f>
        <v/>
      </c>
      <c r="N2899" s="39" t="str">
        <f aca="false">IF(OR(A2899="",B2899=""),"",SUMIFS(tl_Hours,tl_StaffID,I2899,tl_Date,A2899))</f>
        <v/>
      </c>
      <c r="O2899" s="40" t="str">
        <f aca="false">IF(A2899&amp;B2899&amp;D2899="","",IF(OR(A2899="",B2899="",D2899="",E2899=""),"Incomplete",IF(K2899="Unknown","Unknown code",IF(AND(K2899="Yes",C2899=""),"Billable, needs client",IF(N2899&gt;MaxDayHours,"Over "&amp;MaxDayHours&amp;" hours that day","")))))</f>
        <v/>
      </c>
    </row>
    <row r="2900" customFormat="false" ht="15" hidden="false" customHeight="false" outlineLevel="0" collapsed="false">
      <c r="A2900" s="31"/>
      <c r="B2900" s="32"/>
      <c r="C2900" s="32"/>
      <c r="D2900" s="33"/>
      <c r="E2900" s="34"/>
      <c r="F2900" s="32"/>
      <c r="G2900" s="35" t="str">
        <f aca="false">IF(A2900="","",A2900+7-WEEKDAY(A2900))</f>
        <v/>
      </c>
      <c r="H2900" s="36" t="str">
        <f aca="false">IF(A2900="","",DATE(YEAR(A2900),MONTH(A2900),1))</f>
        <v/>
      </c>
      <c r="I2900" s="37" t="str">
        <f aca="false">IF(B2900="","",IFERROR(INDEX(st_ID,MATCH(B2900,st_Name,0)),"Unknown"))</f>
        <v/>
      </c>
      <c r="J2900" s="37" t="str">
        <f aca="false">IF(C2900="","",IFERROR(INDEX(cl_Code,MATCH(C2900,cl_Name,0)),"Unknown"))</f>
        <v/>
      </c>
      <c r="K2900" s="37" t="str">
        <f aca="false">IF(D2900="","",IFERROR(INDEX(rt_Billable,MATCH(D2900,rt_Code,0)),"Unknown"))</f>
        <v/>
      </c>
      <c r="L2900" s="38" t="str">
        <f aca="false">IF(K2900&lt;&gt;"Yes","",IFERROR(INDEX(cr_Rate,MATCH(J2900&amp;"|"&amp;D2900,cr_Key,0)),INDEX(rt_Rate,MATCH(D2900,rt_Code,0))))</f>
        <v/>
      </c>
      <c r="M2900" s="25" t="str">
        <f aca="false">IF(L2900="","",ROUND(N(E2900)*L2900,2))</f>
        <v/>
      </c>
      <c r="N2900" s="39" t="str">
        <f aca="false">IF(OR(A2900="",B2900=""),"",SUMIFS(tl_Hours,tl_StaffID,I2900,tl_Date,A2900))</f>
        <v/>
      </c>
      <c r="O2900" s="40" t="str">
        <f aca="false">IF(A2900&amp;B2900&amp;D2900="","",IF(OR(A2900="",B2900="",D2900="",E2900=""),"Incomplete",IF(K2900="Unknown","Unknown code",IF(AND(K2900="Yes",C2900=""),"Billable, needs client",IF(N2900&gt;MaxDayHours,"Over "&amp;MaxDayHours&amp;" hours that day","")))))</f>
        <v/>
      </c>
    </row>
    <row r="2901" customFormat="false" ht="15" hidden="false" customHeight="false" outlineLevel="0" collapsed="false">
      <c r="A2901" s="31"/>
      <c r="B2901" s="32"/>
      <c r="C2901" s="32"/>
      <c r="D2901" s="33"/>
      <c r="E2901" s="34"/>
      <c r="F2901" s="32"/>
      <c r="G2901" s="35" t="str">
        <f aca="false">IF(A2901="","",A2901+7-WEEKDAY(A2901))</f>
        <v/>
      </c>
      <c r="H2901" s="36" t="str">
        <f aca="false">IF(A2901="","",DATE(YEAR(A2901),MONTH(A2901),1))</f>
        <v/>
      </c>
      <c r="I2901" s="37" t="str">
        <f aca="false">IF(B2901="","",IFERROR(INDEX(st_ID,MATCH(B2901,st_Name,0)),"Unknown"))</f>
        <v/>
      </c>
      <c r="J2901" s="37" t="str">
        <f aca="false">IF(C2901="","",IFERROR(INDEX(cl_Code,MATCH(C2901,cl_Name,0)),"Unknown"))</f>
        <v/>
      </c>
      <c r="K2901" s="37" t="str">
        <f aca="false">IF(D2901="","",IFERROR(INDEX(rt_Billable,MATCH(D2901,rt_Code,0)),"Unknown"))</f>
        <v/>
      </c>
      <c r="L2901" s="38" t="str">
        <f aca="false">IF(K2901&lt;&gt;"Yes","",IFERROR(INDEX(cr_Rate,MATCH(J2901&amp;"|"&amp;D2901,cr_Key,0)),INDEX(rt_Rate,MATCH(D2901,rt_Code,0))))</f>
        <v/>
      </c>
      <c r="M2901" s="25" t="str">
        <f aca="false">IF(L2901="","",ROUND(N(E2901)*L2901,2))</f>
        <v/>
      </c>
      <c r="N2901" s="39" t="str">
        <f aca="false">IF(OR(A2901="",B2901=""),"",SUMIFS(tl_Hours,tl_StaffID,I2901,tl_Date,A2901))</f>
        <v/>
      </c>
      <c r="O2901" s="40" t="str">
        <f aca="false">IF(A2901&amp;B2901&amp;D2901="","",IF(OR(A2901="",B2901="",D2901="",E2901=""),"Incomplete",IF(K2901="Unknown","Unknown code",IF(AND(K2901="Yes",C2901=""),"Billable, needs client",IF(N2901&gt;MaxDayHours,"Over "&amp;MaxDayHours&amp;" hours that day","")))))</f>
        <v/>
      </c>
    </row>
    <row r="2902" customFormat="false" ht="15" hidden="false" customHeight="false" outlineLevel="0" collapsed="false">
      <c r="A2902" s="31"/>
      <c r="B2902" s="32"/>
      <c r="C2902" s="32"/>
      <c r="D2902" s="33"/>
      <c r="E2902" s="34"/>
      <c r="F2902" s="32"/>
      <c r="G2902" s="35" t="str">
        <f aca="false">IF(A2902="","",A2902+7-WEEKDAY(A2902))</f>
        <v/>
      </c>
      <c r="H2902" s="36" t="str">
        <f aca="false">IF(A2902="","",DATE(YEAR(A2902),MONTH(A2902),1))</f>
        <v/>
      </c>
      <c r="I2902" s="37" t="str">
        <f aca="false">IF(B2902="","",IFERROR(INDEX(st_ID,MATCH(B2902,st_Name,0)),"Unknown"))</f>
        <v/>
      </c>
      <c r="J2902" s="37" t="str">
        <f aca="false">IF(C2902="","",IFERROR(INDEX(cl_Code,MATCH(C2902,cl_Name,0)),"Unknown"))</f>
        <v/>
      </c>
      <c r="K2902" s="37" t="str">
        <f aca="false">IF(D2902="","",IFERROR(INDEX(rt_Billable,MATCH(D2902,rt_Code,0)),"Unknown"))</f>
        <v/>
      </c>
      <c r="L2902" s="38" t="str">
        <f aca="false">IF(K2902&lt;&gt;"Yes","",IFERROR(INDEX(cr_Rate,MATCH(J2902&amp;"|"&amp;D2902,cr_Key,0)),INDEX(rt_Rate,MATCH(D2902,rt_Code,0))))</f>
        <v/>
      </c>
      <c r="M2902" s="25" t="str">
        <f aca="false">IF(L2902="","",ROUND(N(E2902)*L2902,2))</f>
        <v/>
      </c>
      <c r="N2902" s="39" t="str">
        <f aca="false">IF(OR(A2902="",B2902=""),"",SUMIFS(tl_Hours,tl_StaffID,I2902,tl_Date,A2902))</f>
        <v/>
      </c>
      <c r="O2902" s="40" t="str">
        <f aca="false">IF(A2902&amp;B2902&amp;D2902="","",IF(OR(A2902="",B2902="",D2902="",E2902=""),"Incomplete",IF(K2902="Unknown","Unknown code",IF(AND(K2902="Yes",C2902=""),"Billable, needs client",IF(N2902&gt;MaxDayHours,"Over "&amp;MaxDayHours&amp;" hours that day","")))))</f>
        <v/>
      </c>
    </row>
    <row r="2903" customFormat="false" ht="15" hidden="false" customHeight="false" outlineLevel="0" collapsed="false">
      <c r="A2903" s="31"/>
      <c r="B2903" s="32"/>
      <c r="C2903" s="32"/>
      <c r="D2903" s="33"/>
      <c r="E2903" s="34"/>
      <c r="F2903" s="32"/>
      <c r="G2903" s="35" t="str">
        <f aca="false">IF(A2903="","",A2903+7-WEEKDAY(A2903))</f>
        <v/>
      </c>
      <c r="H2903" s="36" t="str">
        <f aca="false">IF(A2903="","",DATE(YEAR(A2903),MONTH(A2903),1))</f>
        <v/>
      </c>
      <c r="I2903" s="37" t="str">
        <f aca="false">IF(B2903="","",IFERROR(INDEX(st_ID,MATCH(B2903,st_Name,0)),"Unknown"))</f>
        <v/>
      </c>
      <c r="J2903" s="37" t="str">
        <f aca="false">IF(C2903="","",IFERROR(INDEX(cl_Code,MATCH(C2903,cl_Name,0)),"Unknown"))</f>
        <v/>
      </c>
      <c r="K2903" s="37" t="str">
        <f aca="false">IF(D2903="","",IFERROR(INDEX(rt_Billable,MATCH(D2903,rt_Code,0)),"Unknown"))</f>
        <v/>
      </c>
      <c r="L2903" s="38" t="str">
        <f aca="false">IF(K2903&lt;&gt;"Yes","",IFERROR(INDEX(cr_Rate,MATCH(J2903&amp;"|"&amp;D2903,cr_Key,0)),INDEX(rt_Rate,MATCH(D2903,rt_Code,0))))</f>
        <v/>
      </c>
      <c r="M2903" s="25" t="str">
        <f aca="false">IF(L2903="","",ROUND(N(E2903)*L2903,2))</f>
        <v/>
      </c>
      <c r="N2903" s="39" t="str">
        <f aca="false">IF(OR(A2903="",B2903=""),"",SUMIFS(tl_Hours,tl_StaffID,I2903,tl_Date,A2903))</f>
        <v/>
      </c>
      <c r="O2903" s="40" t="str">
        <f aca="false">IF(A2903&amp;B2903&amp;D2903="","",IF(OR(A2903="",B2903="",D2903="",E2903=""),"Incomplete",IF(K2903="Unknown","Unknown code",IF(AND(K2903="Yes",C2903=""),"Billable, needs client",IF(N2903&gt;MaxDayHours,"Over "&amp;MaxDayHours&amp;" hours that day","")))))</f>
        <v/>
      </c>
    </row>
    <row r="2904" customFormat="false" ht="15" hidden="false" customHeight="false" outlineLevel="0" collapsed="false">
      <c r="A2904" s="31"/>
      <c r="B2904" s="32"/>
      <c r="C2904" s="32"/>
      <c r="D2904" s="33"/>
      <c r="E2904" s="34"/>
      <c r="F2904" s="32"/>
      <c r="G2904" s="35" t="str">
        <f aca="false">IF(A2904="","",A2904+7-WEEKDAY(A2904))</f>
        <v/>
      </c>
      <c r="H2904" s="36" t="str">
        <f aca="false">IF(A2904="","",DATE(YEAR(A2904),MONTH(A2904),1))</f>
        <v/>
      </c>
      <c r="I2904" s="37" t="str">
        <f aca="false">IF(B2904="","",IFERROR(INDEX(st_ID,MATCH(B2904,st_Name,0)),"Unknown"))</f>
        <v/>
      </c>
      <c r="J2904" s="37" t="str">
        <f aca="false">IF(C2904="","",IFERROR(INDEX(cl_Code,MATCH(C2904,cl_Name,0)),"Unknown"))</f>
        <v/>
      </c>
      <c r="K2904" s="37" t="str">
        <f aca="false">IF(D2904="","",IFERROR(INDEX(rt_Billable,MATCH(D2904,rt_Code,0)),"Unknown"))</f>
        <v/>
      </c>
      <c r="L2904" s="38" t="str">
        <f aca="false">IF(K2904&lt;&gt;"Yes","",IFERROR(INDEX(cr_Rate,MATCH(J2904&amp;"|"&amp;D2904,cr_Key,0)),INDEX(rt_Rate,MATCH(D2904,rt_Code,0))))</f>
        <v/>
      </c>
      <c r="M2904" s="25" t="str">
        <f aca="false">IF(L2904="","",ROUND(N(E2904)*L2904,2))</f>
        <v/>
      </c>
      <c r="N2904" s="39" t="str">
        <f aca="false">IF(OR(A2904="",B2904=""),"",SUMIFS(tl_Hours,tl_StaffID,I2904,tl_Date,A2904))</f>
        <v/>
      </c>
      <c r="O2904" s="40" t="str">
        <f aca="false">IF(A2904&amp;B2904&amp;D2904="","",IF(OR(A2904="",B2904="",D2904="",E2904=""),"Incomplete",IF(K2904="Unknown","Unknown code",IF(AND(K2904="Yes",C2904=""),"Billable, needs client",IF(N2904&gt;MaxDayHours,"Over "&amp;MaxDayHours&amp;" hours that day","")))))</f>
        <v/>
      </c>
    </row>
    <row r="2905" customFormat="false" ht="15" hidden="false" customHeight="false" outlineLevel="0" collapsed="false">
      <c r="A2905" s="31"/>
      <c r="B2905" s="32"/>
      <c r="C2905" s="32"/>
      <c r="D2905" s="33"/>
      <c r="E2905" s="34"/>
      <c r="F2905" s="32"/>
      <c r="G2905" s="35" t="str">
        <f aca="false">IF(A2905="","",A2905+7-WEEKDAY(A2905))</f>
        <v/>
      </c>
      <c r="H2905" s="36" t="str">
        <f aca="false">IF(A2905="","",DATE(YEAR(A2905),MONTH(A2905),1))</f>
        <v/>
      </c>
      <c r="I2905" s="37" t="str">
        <f aca="false">IF(B2905="","",IFERROR(INDEX(st_ID,MATCH(B2905,st_Name,0)),"Unknown"))</f>
        <v/>
      </c>
      <c r="J2905" s="37" t="str">
        <f aca="false">IF(C2905="","",IFERROR(INDEX(cl_Code,MATCH(C2905,cl_Name,0)),"Unknown"))</f>
        <v/>
      </c>
      <c r="K2905" s="37" t="str">
        <f aca="false">IF(D2905="","",IFERROR(INDEX(rt_Billable,MATCH(D2905,rt_Code,0)),"Unknown"))</f>
        <v/>
      </c>
      <c r="L2905" s="38" t="str">
        <f aca="false">IF(K2905&lt;&gt;"Yes","",IFERROR(INDEX(cr_Rate,MATCH(J2905&amp;"|"&amp;D2905,cr_Key,0)),INDEX(rt_Rate,MATCH(D2905,rt_Code,0))))</f>
        <v/>
      </c>
      <c r="M2905" s="25" t="str">
        <f aca="false">IF(L2905="","",ROUND(N(E2905)*L2905,2))</f>
        <v/>
      </c>
      <c r="N2905" s="39" t="str">
        <f aca="false">IF(OR(A2905="",B2905=""),"",SUMIFS(tl_Hours,tl_StaffID,I2905,tl_Date,A2905))</f>
        <v/>
      </c>
      <c r="O2905" s="40" t="str">
        <f aca="false">IF(A2905&amp;B2905&amp;D2905="","",IF(OR(A2905="",B2905="",D2905="",E2905=""),"Incomplete",IF(K2905="Unknown","Unknown code",IF(AND(K2905="Yes",C2905=""),"Billable, needs client",IF(N2905&gt;MaxDayHours,"Over "&amp;MaxDayHours&amp;" hours that day","")))))</f>
        <v/>
      </c>
    </row>
    <row r="2906" customFormat="false" ht="15" hidden="false" customHeight="false" outlineLevel="0" collapsed="false">
      <c r="A2906" s="31"/>
      <c r="B2906" s="32"/>
      <c r="C2906" s="32"/>
      <c r="D2906" s="33"/>
      <c r="E2906" s="34"/>
      <c r="F2906" s="32"/>
      <c r="G2906" s="35" t="str">
        <f aca="false">IF(A2906="","",A2906+7-WEEKDAY(A2906))</f>
        <v/>
      </c>
      <c r="H2906" s="36" t="str">
        <f aca="false">IF(A2906="","",DATE(YEAR(A2906),MONTH(A2906),1))</f>
        <v/>
      </c>
      <c r="I2906" s="37" t="str">
        <f aca="false">IF(B2906="","",IFERROR(INDEX(st_ID,MATCH(B2906,st_Name,0)),"Unknown"))</f>
        <v/>
      </c>
      <c r="J2906" s="37" t="str">
        <f aca="false">IF(C2906="","",IFERROR(INDEX(cl_Code,MATCH(C2906,cl_Name,0)),"Unknown"))</f>
        <v/>
      </c>
      <c r="K2906" s="37" t="str">
        <f aca="false">IF(D2906="","",IFERROR(INDEX(rt_Billable,MATCH(D2906,rt_Code,0)),"Unknown"))</f>
        <v/>
      </c>
      <c r="L2906" s="38" t="str">
        <f aca="false">IF(K2906&lt;&gt;"Yes","",IFERROR(INDEX(cr_Rate,MATCH(J2906&amp;"|"&amp;D2906,cr_Key,0)),INDEX(rt_Rate,MATCH(D2906,rt_Code,0))))</f>
        <v/>
      </c>
      <c r="M2906" s="25" t="str">
        <f aca="false">IF(L2906="","",ROUND(N(E2906)*L2906,2))</f>
        <v/>
      </c>
      <c r="N2906" s="39" t="str">
        <f aca="false">IF(OR(A2906="",B2906=""),"",SUMIFS(tl_Hours,tl_StaffID,I2906,tl_Date,A2906))</f>
        <v/>
      </c>
      <c r="O2906" s="40" t="str">
        <f aca="false">IF(A2906&amp;B2906&amp;D2906="","",IF(OR(A2906="",B2906="",D2906="",E2906=""),"Incomplete",IF(K2906="Unknown","Unknown code",IF(AND(K2906="Yes",C2906=""),"Billable, needs client",IF(N2906&gt;MaxDayHours,"Over "&amp;MaxDayHours&amp;" hours that day","")))))</f>
        <v/>
      </c>
    </row>
    <row r="2907" customFormat="false" ht="15" hidden="false" customHeight="false" outlineLevel="0" collapsed="false">
      <c r="A2907" s="31"/>
      <c r="B2907" s="32"/>
      <c r="C2907" s="32"/>
      <c r="D2907" s="33"/>
      <c r="E2907" s="34"/>
      <c r="F2907" s="32"/>
      <c r="G2907" s="35" t="str">
        <f aca="false">IF(A2907="","",A2907+7-WEEKDAY(A2907))</f>
        <v/>
      </c>
      <c r="H2907" s="36" t="str">
        <f aca="false">IF(A2907="","",DATE(YEAR(A2907),MONTH(A2907),1))</f>
        <v/>
      </c>
      <c r="I2907" s="37" t="str">
        <f aca="false">IF(B2907="","",IFERROR(INDEX(st_ID,MATCH(B2907,st_Name,0)),"Unknown"))</f>
        <v/>
      </c>
      <c r="J2907" s="37" t="str">
        <f aca="false">IF(C2907="","",IFERROR(INDEX(cl_Code,MATCH(C2907,cl_Name,0)),"Unknown"))</f>
        <v/>
      </c>
      <c r="K2907" s="37" t="str">
        <f aca="false">IF(D2907="","",IFERROR(INDEX(rt_Billable,MATCH(D2907,rt_Code,0)),"Unknown"))</f>
        <v/>
      </c>
      <c r="L2907" s="38" t="str">
        <f aca="false">IF(K2907&lt;&gt;"Yes","",IFERROR(INDEX(cr_Rate,MATCH(J2907&amp;"|"&amp;D2907,cr_Key,0)),INDEX(rt_Rate,MATCH(D2907,rt_Code,0))))</f>
        <v/>
      </c>
      <c r="M2907" s="25" t="str">
        <f aca="false">IF(L2907="","",ROUND(N(E2907)*L2907,2))</f>
        <v/>
      </c>
      <c r="N2907" s="39" t="str">
        <f aca="false">IF(OR(A2907="",B2907=""),"",SUMIFS(tl_Hours,tl_StaffID,I2907,tl_Date,A2907))</f>
        <v/>
      </c>
      <c r="O2907" s="40" t="str">
        <f aca="false">IF(A2907&amp;B2907&amp;D2907="","",IF(OR(A2907="",B2907="",D2907="",E2907=""),"Incomplete",IF(K2907="Unknown","Unknown code",IF(AND(K2907="Yes",C2907=""),"Billable, needs client",IF(N2907&gt;MaxDayHours,"Over "&amp;MaxDayHours&amp;" hours that day","")))))</f>
        <v/>
      </c>
    </row>
    <row r="2908" customFormat="false" ht="15" hidden="false" customHeight="false" outlineLevel="0" collapsed="false">
      <c r="A2908" s="31"/>
      <c r="B2908" s="32"/>
      <c r="C2908" s="32"/>
      <c r="D2908" s="33"/>
      <c r="E2908" s="34"/>
      <c r="F2908" s="32"/>
      <c r="G2908" s="35" t="str">
        <f aca="false">IF(A2908="","",A2908+7-WEEKDAY(A2908))</f>
        <v/>
      </c>
      <c r="H2908" s="36" t="str">
        <f aca="false">IF(A2908="","",DATE(YEAR(A2908),MONTH(A2908),1))</f>
        <v/>
      </c>
      <c r="I2908" s="37" t="str">
        <f aca="false">IF(B2908="","",IFERROR(INDEX(st_ID,MATCH(B2908,st_Name,0)),"Unknown"))</f>
        <v/>
      </c>
      <c r="J2908" s="37" t="str">
        <f aca="false">IF(C2908="","",IFERROR(INDEX(cl_Code,MATCH(C2908,cl_Name,0)),"Unknown"))</f>
        <v/>
      </c>
      <c r="K2908" s="37" t="str">
        <f aca="false">IF(D2908="","",IFERROR(INDEX(rt_Billable,MATCH(D2908,rt_Code,0)),"Unknown"))</f>
        <v/>
      </c>
      <c r="L2908" s="38" t="str">
        <f aca="false">IF(K2908&lt;&gt;"Yes","",IFERROR(INDEX(cr_Rate,MATCH(J2908&amp;"|"&amp;D2908,cr_Key,0)),INDEX(rt_Rate,MATCH(D2908,rt_Code,0))))</f>
        <v/>
      </c>
      <c r="M2908" s="25" t="str">
        <f aca="false">IF(L2908="","",ROUND(N(E2908)*L2908,2))</f>
        <v/>
      </c>
      <c r="N2908" s="39" t="str">
        <f aca="false">IF(OR(A2908="",B2908=""),"",SUMIFS(tl_Hours,tl_StaffID,I2908,tl_Date,A2908))</f>
        <v/>
      </c>
      <c r="O2908" s="40" t="str">
        <f aca="false">IF(A2908&amp;B2908&amp;D2908="","",IF(OR(A2908="",B2908="",D2908="",E2908=""),"Incomplete",IF(K2908="Unknown","Unknown code",IF(AND(K2908="Yes",C2908=""),"Billable, needs client",IF(N2908&gt;MaxDayHours,"Over "&amp;MaxDayHours&amp;" hours that day","")))))</f>
        <v/>
      </c>
    </row>
    <row r="2909" customFormat="false" ht="15" hidden="false" customHeight="false" outlineLevel="0" collapsed="false">
      <c r="A2909" s="31"/>
      <c r="B2909" s="32"/>
      <c r="C2909" s="32"/>
      <c r="D2909" s="33"/>
      <c r="E2909" s="34"/>
      <c r="F2909" s="32"/>
      <c r="G2909" s="35" t="str">
        <f aca="false">IF(A2909="","",A2909+7-WEEKDAY(A2909))</f>
        <v/>
      </c>
      <c r="H2909" s="36" t="str">
        <f aca="false">IF(A2909="","",DATE(YEAR(A2909),MONTH(A2909),1))</f>
        <v/>
      </c>
      <c r="I2909" s="37" t="str">
        <f aca="false">IF(B2909="","",IFERROR(INDEX(st_ID,MATCH(B2909,st_Name,0)),"Unknown"))</f>
        <v/>
      </c>
      <c r="J2909" s="37" t="str">
        <f aca="false">IF(C2909="","",IFERROR(INDEX(cl_Code,MATCH(C2909,cl_Name,0)),"Unknown"))</f>
        <v/>
      </c>
      <c r="K2909" s="37" t="str">
        <f aca="false">IF(D2909="","",IFERROR(INDEX(rt_Billable,MATCH(D2909,rt_Code,0)),"Unknown"))</f>
        <v/>
      </c>
      <c r="L2909" s="38" t="str">
        <f aca="false">IF(K2909&lt;&gt;"Yes","",IFERROR(INDEX(cr_Rate,MATCH(J2909&amp;"|"&amp;D2909,cr_Key,0)),INDEX(rt_Rate,MATCH(D2909,rt_Code,0))))</f>
        <v/>
      </c>
      <c r="M2909" s="25" t="str">
        <f aca="false">IF(L2909="","",ROUND(N(E2909)*L2909,2))</f>
        <v/>
      </c>
      <c r="N2909" s="39" t="str">
        <f aca="false">IF(OR(A2909="",B2909=""),"",SUMIFS(tl_Hours,tl_StaffID,I2909,tl_Date,A2909))</f>
        <v/>
      </c>
      <c r="O2909" s="40" t="str">
        <f aca="false">IF(A2909&amp;B2909&amp;D2909="","",IF(OR(A2909="",B2909="",D2909="",E2909=""),"Incomplete",IF(K2909="Unknown","Unknown code",IF(AND(K2909="Yes",C2909=""),"Billable, needs client",IF(N2909&gt;MaxDayHours,"Over "&amp;MaxDayHours&amp;" hours that day","")))))</f>
        <v/>
      </c>
    </row>
    <row r="2910" customFormat="false" ht="15" hidden="false" customHeight="false" outlineLevel="0" collapsed="false">
      <c r="A2910" s="31"/>
      <c r="B2910" s="32"/>
      <c r="C2910" s="32"/>
      <c r="D2910" s="33"/>
      <c r="E2910" s="34"/>
      <c r="F2910" s="32"/>
      <c r="G2910" s="35" t="str">
        <f aca="false">IF(A2910="","",A2910+7-WEEKDAY(A2910))</f>
        <v/>
      </c>
      <c r="H2910" s="36" t="str">
        <f aca="false">IF(A2910="","",DATE(YEAR(A2910),MONTH(A2910),1))</f>
        <v/>
      </c>
      <c r="I2910" s="37" t="str">
        <f aca="false">IF(B2910="","",IFERROR(INDEX(st_ID,MATCH(B2910,st_Name,0)),"Unknown"))</f>
        <v/>
      </c>
      <c r="J2910" s="37" t="str">
        <f aca="false">IF(C2910="","",IFERROR(INDEX(cl_Code,MATCH(C2910,cl_Name,0)),"Unknown"))</f>
        <v/>
      </c>
      <c r="K2910" s="37" t="str">
        <f aca="false">IF(D2910="","",IFERROR(INDEX(rt_Billable,MATCH(D2910,rt_Code,0)),"Unknown"))</f>
        <v/>
      </c>
      <c r="L2910" s="38" t="str">
        <f aca="false">IF(K2910&lt;&gt;"Yes","",IFERROR(INDEX(cr_Rate,MATCH(J2910&amp;"|"&amp;D2910,cr_Key,0)),INDEX(rt_Rate,MATCH(D2910,rt_Code,0))))</f>
        <v/>
      </c>
      <c r="M2910" s="25" t="str">
        <f aca="false">IF(L2910="","",ROUND(N(E2910)*L2910,2))</f>
        <v/>
      </c>
      <c r="N2910" s="39" t="str">
        <f aca="false">IF(OR(A2910="",B2910=""),"",SUMIFS(tl_Hours,tl_StaffID,I2910,tl_Date,A2910))</f>
        <v/>
      </c>
      <c r="O2910" s="40" t="str">
        <f aca="false">IF(A2910&amp;B2910&amp;D2910="","",IF(OR(A2910="",B2910="",D2910="",E2910=""),"Incomplete",IF(K2910="Unknown","Unknown code",IF(AND(K2910="Yes",C2910=""),"Billable, needs client",IF(N2910&gt;MaxDayHours,"Over "&amp;MaxDayHours&amp;" hours that day","")))))</f>
        <v/>
      </c>
    </row>
    <row r="2911" customFormat="false" ht="15" hidden="false" customHeight="false" outlineLevel="0" collapsed="false">
      <c r="A2911" s="31"/>
      <c r="B2911" s="32"/>
      <c r="C2911" s="32"/>
      <c r="D2911" s="33"/>
      <c r="E2911" s="34"/>
      <c r="F2911" s="32"/>
      <c r="G2911" s="35" t="str">
        <f aca="false">IF(A2911="","",A2911+7-WEEKDAY(A2911))</f>
        <v/>
      </c>
      <c r="H2911" s="36" t="str">
        <f aca="false">IF(A2911="","",DATE(YEAR(A2911),MONTH(A2911),1))</f>
        <v/>
      </c>
      <c r="I2911" s="37" t="str">
        <f aca="false">IF(B2911="","",IFERROR(INDEX(st_ID,MATCH(B2911,st_Name,0)),"Unknown"))</f>
        <v/>
      </c>
      <c r="J2911" s="37" t="str">
        <f aca="false">IF(C2911="","",IFERROR(INDEX(cl_Code,MATCH(C2911,cl_Name,0)),"Unknown"))</f>
        <v/>
      </c>
      <c r="K2911" s="37" t="str">
        <f aca="false">IF(D2911="","",IFERROR(INDEX(rt_Billable,MATCH(D2911,rt_Code,0)),"Unknown"))</f>
        <v/>
      </c>
      <c r="L2911" s="38" t="str">
        <f aca="false">IF(K2911&lt;&gt;"Yes","",IFERROR(INDEX(cr_Rate,MATCH(J2911&amp;"|"&amp;D2911,cr_Key,0)),INDEX(rt_Rate,MATCH(D2911,rt_Code,0))))</f>
        <v/>
      </c>
      <c r="M2911" s="25" t="str">
        <f aca="false">IF(L2911="","",ROUND(N(E2911)*L2911,2))</f>
        <v/>
      </c>
      <c r="N2911" s="39" t="str">
        <f aca="false">IF(OR(A2911="",B2911=""),"",SUMIFS(tl_Hours,tl_StaffID,I2911,tl_Date,A2911))</f>
        <v/>
      </c>
      <c r="O2911" s="40" t="str">
        <f aca="false">IF(A2911&amp;B2911&amp;D2911="","",IF(OR(A2911="",B2911="",D2911="",E2911=""),"Incomplete",IF(K2911="Unknown","Unknown code",IF(AND(K2911="Yes",C2911=""),"Billable, needs client",IF(N2911&gt;MaxDayHours,"Over "&amp;MaxDayHours&amp;" hours that day","")))))</f>
        <v/>
      </c>
    </row>
    <row r="2912" customFormat="false" ht="15" hidden="false" customHeight="false" outlineLevel="0" collapsed="false">
      <c r="A2912" s="31"/>
      <c r="B2912" s="32"/>
      <c r="C2912" s="32"/>
      <c r="D2912" s="33"/>
      <c r="E2912" s="34"/>
      <c r="F2912" s="32"/>
      <c r="G2912" s="35" t="str">
        <f aca="false">IF(A2912="","",A2912+7-WEEKDAY(A2912))</f>
        <v/>
      </c>
      <c r="H2912" s="36" t="str">
        <f aca="false">IF(A2912="","",DATE(YEAR(A2912),MONTH(A2912),1))</f>
        <v/>
      </c>
      <c r="I2912" s="37" t="str">
        <f aca="false">IF(B2912="","",IFERROR(INDEX(st_ID,MATCH(B2912,st_Name,0)),"Unknown"))</f>
        <v/>
      </c>
      <c r="J2912" s="37" t="str">
        <f aca="false">IF(C2912="","",IFERROR(INDEX(cl_Code,MATCH(C2912,cl_Name,0)),"Unknown"))</f>
        <v/>
      </c>
      <c r="K2912" s="37" t="str">
        <f aca="false">IF(D2912="","",IFERROR(INDEX(rt_Billable,MATCH(D2912,rt_Code,0)),"Unknown"))</f>
        <v/>
      </c>
      <c r="L2912" s="38" t="str">
        <f aca="false">IF(K2912&lt;&gt;"Yes","",IFERROR(INDEX(cr_Rate,MATCH(J2912&amp;"|"&amp;D2912,cr_Key,0)),INDEX(rt_Rate,MATCH(D2912,rt_Code,0))))</f>
        <v/>
      </c>
      <c r="M2912" s="25" t="str">
        <f aca="false">IF(L2912="","",ROUND(N(E2912)*L2912,2))</f>
        <v/>
      </c>
      <c r="N2912" s="39" t="str">
        <f aca="false">IF(OR(A2912="",B2912=""),"",SUMIFS(tl_Hours,tl_StaffID,I2912,tl_Date,A2912))</f>
        <v/>
      </c>
      <c r="O2912" s="40" t="str">
        <f aca="false">IF(A2912&amp;B2912&amp;D2912="","",IF(OR(A2912="",B2912="",D2912="",E2912=""),"Incomplete",IF(K2912="Unknown","Unknown code",IF(AND(K2912="Yes",C2912=""),"Billable, needs client",IF(N2912&gt;MaxDayHours,"Over "&amp;MaxDayHours&amp;" hours that day","")))))</f>
        <v/>
      </c>
    </row>
    <row r="2913" customFormat="false" ht="15" hidden="false" customHeight="false" outlineLevel="0" collapsed="false">
      <c r="A2913" s="31"/>
      <c r="B2913" s="32"/>
      <c r="C2913" s="32"/>
      <c r="D2913" s="33"/>
      <c r="E2913" s="34"/>
      <c r="F2913" s="32"/>
      <c r="G2913" s="35" t="str">
        <f aca="false">IF(A2913="","",A2913+7-WEEKDAY(A2913))</f>
        <v/>
      </c>
      <c r="H2913" s="36" t="str">
        <f aca="false">IF(A2913="","",DATE(YEAR(A2913),MONTH(A2913),1))</f>
        <v/>
      </c>
      <c r="I2913" s="37" t="str">
        <f aca="false">IF(B2913="","",IFERROR(INDEX(st_ID,MATCH(B2913,st_Name,0)),"Unknown"))</f>
        <v/>
      </c>
      <c r="J2913" s="37" t="str">
        <f aca="false">IF(C2913="","",IFERROR(INDEX(cl_Code,MATCH(C2913,cl_Name,0)),"Unknown"))</f>
        <v/>
      </c>
      <c r="K2913" s="37" t="str">
        <f aca="false">IF(D2913="","",IFERROR(INDEX(rt_Billable,MATCH(D2913,rt_Code,0)),"Unknown"))</f>
        <v/>
      </c>
      <c r="L2913" s="38" t="str">
        <f aca="false">IF(K2913&lt;&gt;"Yes","",IFERROR(INDEX(cr_Rate,MATCH(J2913&amp;"|"&amp;D2913,cr_Key,0)),INDEX(rt_Rate,MATCH(D2913,rt_Code,0))))</f>
        <v/>
      </c>
      <c r="M2913" s="25" t="str">
        <f aca="false">IF(L2913="","",ROUND(N(E2913)*L2913,2))</f>
        <v/>
      </c>
      <c r="N2913" s="39" t="str">
        <f aca="false">IF(OR(A2913="",B2913=""),"",SUMIFS(tl_Hours,tl_StaffID,I2913,tl_Date,A2913))</f>
        <v/>
      </c>
      <c r="O2913" s="40" t="str">
        <f aca="false">IF(A2913&amp;B2913&amp;D2913="","",IF(OR(A2913="",B2913="",D2913="",E2913=""),"Incomplete",IF(K2913="Unknown","Unknown code",IF(AND(K2913="Yes",C2913=""),"Billable, needs client",IF(N2913&gt;MaxDayHours,"Over "&amp;MaxDayHours&amp;" hours that day","")))))</f>
        <v/>
      </c>
    </row>
    <row r="2914" customFormat="false" ht="15" hidden="false" customHeight="false" outlineLevel="0" collapsed="false">
      <c r="A2914" s="31"/>
      <c r="B2914" s="32"/>
      <c r="C2914" s="32"/>
      <c r="D2914" s="33"/>
      <c r="E2914" s="34"/>
      <c r="F2914" s="32"/>
      <c r="G2914" s="35" t="str">
        <f aca="false">IF(A2914="","",A2914+7-WEEKDAY(A2914))</f>
        <v/>
      </c>
      <c r="H2914" s="36" t="str">
        <f aca="false">IF(A2914="","",DATE(YEAR(A2914),MONTH(A2914),1))</f>
        <v/>
      </c>
      <c r="I2914" s="37" t="str">
        <f aca="false">IF(B2914="","",IFERROR(INDEX(st_ID,MATCH(B2914,st_Name,0)),"Unknown"))</f>
        <v/>
      </c>
      <c r="J2914" s="37" t="str">
        <f aca="false">IF(C2914="","",IFERROR(INDEX(cl_Code,MATCH(C2914,cl_Name,0)),"Unknown"))</f>
        <v/>
      </c>
      <c r="K2914" s="37" t="str">
        <f aca="false">IF(D2914="","",IFERROR(INDEX(rt_Billable,MATCH(D2914,rt_Code,0)),"Unknown"))</f>
        <v/>
      </c>
      <c r="L2914" s="38" t="str">
        <f aca="false">IF(K2914&lt;&gt;"Yes","",IFERROR(INDEX(cr_Rate,MATCH(J2914&amp;"|"&amp;D2914,cr_Key,0)),INDEX(rt_Rate,MATCH(D2914,rt_Code,0))))</f>
        <v/>
      </c>
      <c r="M2914" s="25" t="str">
        <f aca="false">IF(L2914="","",ROUND(N(E2914)*L2914,2))</f>
        <v/>
      </c>
      <c r="N2914" s="39" t="str">
        <f aca="false">IF(OR(A2914="",B2914=""),"",SUMIFS(tl_Hours,tl_StaffID,I2914,tl_Date,A2914))</f>
        <v/>
      </c>
      <c r="O2914" s="40" t="str">
        <f aca="false">IF(A2914&amp;B2914&amp;D2914="","",IF(OR(A2914="",B2914="",D2914="",E2914=""),"Incomplete",IF(K2914="Unknown","Unknown code",IF(AND(K2914="Yes",C2914=""),"Billable, needs client",IF(N2914&gt;MaxDayHours,"Over "&amp;MaxDayHours&amp;" hours that day","")))))</f>
        <v/>
      </c>
    </row>
    <row r="2915" customFormat="false" ht="15" hidden="false" customHeight="false" outlineLevel="0" collapsed="false">
      <c r="A2915" s="31"/>
      <c r="B2915" s="32"/>
      <c r="C2915" s="32"/>
      <c r="D2915" s="33"/>
      <c r="E2915" s="34"/>
      <c r="F2915" s="32"/>
      <c r="G2915" s="35" t="str">
        <f aca="false">IF(A2915="","",A2915+7-WEEKDAY(A2915))</f>
        <v/>
      </c>
      <c r="H2915" s="36" t="str">
        <f aca="false">IF(A2915="","",DATE(YEAR(A2915),MONTH(A2915),1))</f>
        <v/>
      </c>
      <c r="I2915" s="37" t="str">
        <f aca="false">IF(B2915="","",IFERROR(INDEX(st_ID,MATCH(B2915,st_Name,0)),"Unknown"))</f>
        <v/>
      </c>
      <c r="J2915" s="37" t="str">
        <f aca="false">IF(C2915="","",IFERROR(INDEX(cl_Code,MATCH(C2915,cl_Name,0)),"Unknown"))</f>
        <v/>
      </c>
      <c r="K2915" s="37" t="str">
        <f aca="false">IF(D2915="","",IFERROR(INDEX(rt_Billable,MATCH(D2915,rt_Code,0)),"Unknown"))</f>
        <v/>
      </c>
      <c r="L2915" s="38" t="str">
        <f aca="false">IF(K2915&lt;&gt;"Yes","",IFERROR(INDEX(cr_Rate,MATCH(J2915&amp;"|"&amp;D2915,cr_Key,0)),INDEX(rt_Rate,MATCH(D2915,rt_Code,0))))</f>
        <v/>
      </c>
      <c r="M2915" s="25" t="str">
        <f aca="false">IF(L2915="","",ROUND(N(E2915)*L2915,2))</f>
        <v/>
      </c>
      <c r="N2915" s="39" t="str">
        <f aca="false">IF(OR(A2915="",B2915=""),"",SUMIFS(tl_Hours,tl_StaffID,I2915,tl_Date,A2915))</f>
        <v/>
      </c>
      <c r="O2915" s="40" t="str">
        <f aca="false">IF(A2915&amp;B2915&amp;D2915="","",IF(OR(A2915="",B2915="",D2915="",E2915=""),"Incomplete",IF(K2915="Unknown","Unknown code",IF(AND(K2915="Yes",C2915=""),"Billable, needs client",IF(N2915&gt;MaxDayHours,"Over "&amp;MaxDayHours&amp;" hours that day","")))))</f>
        <v/>
      </c>
    </row>
    <row r="2916" customFormat="false" ht="15" hidden="false" customHeight="false" outlineLevel="0" collapsed="false">
      <c r="A2916" s="31"/>
      <c r="B2916" s="32"/>
      <c r="C2916" s="32"/>
      <c r="D2916" s="33"/>
      <c r="E2916" s="34"/>
      <c r="F2916" s="32"/>
      <c r="G2916" s="35" t="str">
        <f aca="false">IF(A2916="","",A2916+7-WEEKDAY(A2916))</f>
        <v/>
      </c>
      <c r="H2916" s="36" t="str">
        <f aca="false">IF(A2916="","",DATE(YEAR(A2916),MONTH(A2916),1))</f>
        <v/>
      </c>
      <c r="I2916" s="37" t="str">
        <f aca="false">IF(B2916="","",IFERROR(INDEX(st_ID,MATCH(B2916,st_Name,0)),"Unknown"))</f>
        <v/>
      </c>
      <c r="J2916" s="37" t="str">
        <f aca="false">IF(C2916="","",IFERROR(INDEX(cl_Code,MATCH(C2916,cl_Name,0)),"Unknown"))</f>
        <v/>
      </c>
      <c r="K2916" s="37" t="str">
        <f aca="false">IF(D2916="","",IFERROR(INDEX(rt_Billable,MATCH(D2916,rt_Code,0)),"Unknown"))</f>
        <v/>
      </c>
      <c r="L2916" s="38" t="str">
        <f aca="false">IF(K2916&lt;&gt;"Yes","",IFERROR(INDEX(cr_Rate,MATCH(J2916&amp;"|"&amp;D2916,cr_Key,0)),INDEX(rt_Rate,MATCH(D2916,rt_Code,0))))</f>
        <v/>
      </c>
      <c r="M2916" s="25" t="str">
        <f aca="false">IF(L2916="","",ROUND(N(E2916)*L2916,2))</f>
        <v/>
      </c>
      <c r="N2916" s="39" t="str">
        <f aca="false">IF(OR(A2916="",B2916=""),"",SUMIFS(tl_Hours,tl_StaffID,I2916,tl_Date,A2916))</f>
        <v/>
      </c>
      <c r="O2916" s="40" t="str">
        <f aca="false">IF(A2916&amp;B2916&amp;D2916="","",IF(OR(A2916="",B2916="",D2916="",E2916=""),"Incomplete",IF(K2916="Unknown","Unknown code",IF(AND(K2916="Yes",C2916=""),"Billable, needs client",IF(N2916&gt;MaxDayHours,"Over "&amp;MaxDayHours&amp;" hours that day","")))))</f>
        <v/>
      </c>
    </row>
    <row r="2917" customFormat="false" ht="15" hidden="false" customHeight="false" outlineLevel="0" collapsed="false">
      <c r="A2917" s="31"/>
      <c r="B2917" s="32"/>
      <c r="C2917" s="32"/>
      <c r="D2917" s="33"/>
      <c r="E2917" s="34"/>
      <c r="F2917" s="32"/>
      <c r="G2917" s="35" t="str">
        <f aca="false">IF(A2917="","",A2917+7-WEEKDAY(A2917))</f>
        <v/>
      </c>
      <c r="H2917" s="36" t="str">
        <f aca="false">IF(A2917="","",DATE(YEAR(A2917),MONTH(A2917),1))</f>
        <v/>
      </c>
      <c r="I2917" s="37" t="str">
        <f aca="false">IF(B2917="","",IFERROR(INDEX(st_ID,MATCH(B2917,st_Name,0)),"Unknown"))</f>
        <v/>
      </c>
      <c r="J2917" s="37" t="str">
        <f aca="false">IF(C2917="","",IFERROR(INDEX(cl_Code,MATCH(C2917,cl_Name,0)),"Unknown"))</f>
        <v/>
      </c>
      <c r="K2917" s="37" t="str">
        <f aca="false">IF(D2917="","",IFERROR(INDEX(rt_Billable,MATCH(D2917,rt_Code,0)),"Unknown"))</f>
        <v/>
      </c>
      <c r="L2917" s="38" t="str">
        <f aca="false">IF(K2917&lt;&gt;"Yes","",IFERROR(INDEX(cr_Rate,MATCH(J2917&amp;"|"&amp;D2917,cr_Key,0)),INDEX(rt_Rate,MATCH(D2917,rt_Code,0))))</f>
        <v/>
      </c>
      <c r="M2917" s="25" t="str">
        <f aca="false">IF(L2917="","",ROUND(N(E2917)*L2917,2))</f>
        <v/>
      </c>
      <c r="N2917" s="39" t="str">
        <f aca="false">IF(OR(A2917="",B2917=""),"",SUMIFS(tl_Hours,tl_StaffID,I2917,tl_Date,A2917))</f>
        <v/>
      </c>
      <c r="O2917" s="40" t="str">
        <f aca="false">IF(A2917&amp;B2917&amp;D2917="","",IF(OR(A2917="",B2917="",D2917="",E2917=""),"Incomplete",IF(K2917="Unknown","Unknown code",IF(AND(K2917="Yes",C2917=""),"Billable, needs client",IF(N2917&gt;MaxDayHours,"Over "&amp;MaxDayHours&amp;" hours that day","")))))</f>
        <v/>
      </c>
    </row>
    <row r="2918" customFormat="false" ht="15" hidden="false" customHeight="false" outlineLevel="0" collapsed="false">
      <c r="A2918" s="31"/>
      <c r="B2918" s="32"/>
      <c r="C2918" s="32"/>
      <c r="D2918" s="33"/>
      <c r="E2918" s="34"/>
      <c r="F2918" s="32"/>
      <c r="G2918" s="35" t="str">
        <f aca="false">IF(A2918="","",A2918+7-WEEKDAY(A2918))</f>
        <v/>
      </c>
      <c r="H2918" s="36" t="str">
        <f aca="false">IF(A2918="","",DATE(YEAR(A2918),MONTH(A2918),1))</f>
        <v/>
      </c>
      <c r="I2918" s="37" t="str">
        <f aca="false">IF(B2918="","",IFERROR(INDEX(st_ID,MATCH(B2918,st_Name,0)),"Unknown"))</f>
        <v/>
      </c>
      <c r="J2918" s="37" t="str">
        <f aca="false">IF(C2918="","",IFERROR(INDEX(cl_Code,MATCH(C2918,cl_Name,0)),"Unknown"))</f>
        <v/>
      </c>
      <c r="K2918" s="37" t="str">
        <f aca="false">IF(D2918="","",IFERROR(INDEX(rt_Billable,MATCH(D2918,rt_Code,0)),"Unknown"))</f>
        <v/>
      </c>
      <c r="L2918" s="38" t="str">
        <f aca="false">IF(K2918&lt;&gt;"Yes","",IFERROR(INDEX(cr_Rate,MATCH(J2918&amp;"|"&amp;D2918,cr_Key,0)),INDEX(rt_Rate,MATCH(D2918,rt_Code,0))))</f>
        <v/>
      </c>
      <c r="M2918" s="25" t="str">
        <f aca="false">IF(L2918="","",ROUND(N(E2918)*L2918,2))</f>
        <v/>
      </c>
      <c r="N2918" s="39" t="str">
        <f aca="false">IF(OR(A2918="",B2918=""),"",SUMIFS(tl_Hours,tl_StaffID,I2918,tl_Date,A2918))</f>
        <v/>
      </c>
      <c r="O2918" s="40" t="str">
        <f aca="false">IF(A2918&amp;B2918&amp;D2918="","",IF(OR(A2918="",B2918="",D2918="",E2918=""),"Incomplete",IF(K2918="Unknown","Unknown code",IF(AND(K2918="Yes",C2918=""),"Billable, needs client",IF(N2918&gt;MaxDayHours,"Over "&amp;MaxDayHours&amp;" hours that day","")))))</f>
        <v/>
      </c>
    </row>
    <row r="2919" customFormat="false" ht="15" hidden="false" customHeight="false" outlineLevel="0" collapsed="false">
      <c r="A2919" s="31"/>
      <c r="B2919" s="32"/>
      <c r="C2919" s="32"/>
      <c r="D2919" s="33"/>
      <c r="E2919" s="34"/>
      <c r="F2919" s="32"/>
      <c r="G2919" s="35" t="str">
        <f aca="false">IF(A2919="","",A2919+7-WEEKDAY(A2919))</f>
        <v/>
      </c>
      <c r="H2919" s="36" t="str">
        <f aca="false">IF(A2919="","",DATE(YEAR(A2919),MONTH(A2919),1))</f>
        <v/>
      </c>
      <c r="I2919" s="37" t="str">
        <f aca="false">IF(B2919="","",IFERROR(INDEX(st_ID,MATCH(B2919,st_Name,0)),"Unknown"))</f>
        <v/>
      </c>
      <c r="J2919" s="37" t="str">
        <f aca="false">IF(C2919="","",IFERROR(INDEX(cl_Code,MATCH(C2919,cl_Name,0)),"Unknown"))</f>
        <v/>
      </c>
      <c r="K2919" s="37" t="str">
        <f aca="false">IF(D2919="","",IFERROR(INDEX(rt_Billable,MATCH(D2919,rt_Code,0)),"Unknown"))</f>
        <v/>
      </c>
      <c r="L2919" s="38" t="str">
        <f aca="false">IF(K2919&lt;&gt;"Yes","",IFERROR(INDEX(cr_Rate,MATCH(J2919&amp;"|"&amp;D2919,cr_Key,0)),INDEX(rt_Rate,MATCH(D2919,rt_Code,0))))</f>
        <v/>
      </c>
      <c r="M2919" s="25" t="str">
        <f aca="false">IF(L2919="","",ROUND(N(E2919)*L2919,2))</f>
        <v/>
      </c>
      <c r="N2919" s="39" t="str">
        <f aca="false">IF(OR(A2919="",B2919=""),"",SUMIFS(tl_Hours,tl_StaffID,I2919,tl_Date,A2919))</f>
        <v/>
      </c>
      <c r="O2919" s="40" t="str">
        <f aca="false">IF(A2919&amp;B2919&amp;D2919="","",IF(OR(A2919="",B2919="",D2919="",E2919=""),"Incomplete",IF(K2919="Unknown","Unknown code",IF(AND(K2919="Yes",C2919=""),"Billable, needs client",IF(N2919&gt;MaxDayHours,"Over "&amp;MaxDayHours&amp;" hours that day","")))))</f>
        <v/>
      </c>
    </row>
    <row r="2920" customFormat="false" ht="15" hidden="false" customHeight="false" outlineLevel="0" collapsed="false">
      <c r="A2920" s="31"/>
      <c r="B2920" s="32"/>
      <c r="C2920" s="32"/>
      <c r="D2920" s="33"/>
      <c r="E2920" s="34"/>
      <c r="F2920" s="32"/>
      <c r="G2920" s="35" t="str">
        <f aca="false">IF(A2920="","",A2920+7-WEEKDAY(A2920))</f>
        <v/>
      </c>
      <c r="H2920" s="36" t="str">
        <f aca="false">IF(A2920="","",DATE(YEAR(A2920),MONTH(A2920),1))</f>
        <v/>
      </c>
      <c r="I2920" s="37" t="str">
        <f aca="false">IF(B2920="","",IFERROR(INDEX(st_ID,MATCH(B2920,st_Name,0)),"Unknown"))</f>
        <v/>
      </c>
      <c r="J2920" s="37" t="str">
        <f aca="false">IF(C2920="","",IFERROR(INDEX(cl_Code,MATCH(C2920,cl_Name,0)),"Unknown"))</f>
        <v/>
      </c>
      <c r="K2920" s="37" t="str">
        <f aca="false">IF(D2920="","",IFERROR(INDEX(rt_Billable,MATCH(D2920,rt_Code,0)),"Unknown"))</f>
        <v/>
      </c>
      <c r="L2920" s="38" t="str">
        <f aca="false">IF(K2920&lt;&gt;"Yes","",IFERROR(INDEX(cr_Rate,MATCH(J2920&amp;"|"&amp;D2920,cr_Key,0)),INDEX(rt_Rate,MATCH(D2920,rt_Code,0))))</f>
        <v/>
      </c>
      <c r="M2920" s="25" t="str">
        <f aca="false">IF(L2920="","",ROUND(N(E2920)*L2920,2))</f>
        <v/>
      </c>
      <c r="N2920" s="39" t="str">
        <f aca="false">IF(OR(A2920="",B2920=""),"",SUMIFS(tl_Hours,tl_StaffID,I2920,tl_Date,A2920))</f>
        <v/>
      </c>
      <c r="O2920" s="40" t="str">
        <f aca="false">IF(A2920&amp;B2920&amp;D2920="","",IF(OR(A2920="",B2920="",D2920="",E2920=""),"Incomplete",IF(K2920="Unknown","Unknown code",IF(AND(K2920="Yes",C2920=""),"Billable, needs client",IF(N2920&gt;MaxDayHours,"Over "&amp;MaxDayHours&amp;" hours that day","")))))</f>
        <v/>
      </c>
    </row>
    <row r="2921" customFormat="false" ht="15" hidden="false" customHeight="false" outlineLevel="0" collapsed="false">
      <c r="A2921" s="31"/>
      <c r="B2921" s="32"/>
      <c r="C2921" s="32"/>
      <c r="D2921" s="33"/>
      <c r="E2921" s="34"/>
      <c r="F2921" s="32"/>
      <c r="G2921" s="35" t="str">
        <f aca="false">IF(A2921="","",A2921+7-WEEKDAY(A2921))</f>
        <v/>
      </c>
      <c r="H2921" s="36" t="str">
        <f aca="false">IF(A2921="","",DATE(YEAR(A2921),MONTH(A2921),1))</f>
        <v/>
      </c>
      <c r="I2921" s="37" t="str">
        <f aca="false">IF(B2921="","",IFERROR(INDEX(st_ID,MATCH(B2921,st_Name,0)),"Unknown"))</f>
        <v/>
      </c>
      <c r="J2921" s="37" t="str">
        <f aca="false">IF(C2921="","",IFERROR(INDEX(cl_Code,MATCH(C2921,cl_Name,0)),"Unknown"))</f>
        <v/>
      </c>
      <c r="K2921" s="37" t="str">
        <f aca="false">IF(D2921="","",IFERROR(INDEX(rt_Billable,MATCH(D2921,rt_Code,0)),"Unknown"))</f>
        <v/>
      </c>
      <c r="L2921" s="38" t="str">
        <f aca="false">IF(K2921&lt;&gt;"Yes","",IFERROR(INDEX(cr_Rate,MATCH(J2921&amp;"|"&amp;D2921,cr_Key,0)),INDEX(rt_Rate,MATCH(D2921,rt_Code,0))))</f>
        <v/>
      </c>
      <c r="M2921" s="25" t="str">
        <f aca="false">IF(L2921="","",ROUND(N(E2921)*L2921,2))</f>
        <v/>
      </c>
      <c r="N2921" s="39" t="str">
        <f aca="false">IF(OR(A2921="",B2921=""),"",SUMIFS(tl_Hours,tl_StaffID,I2921,tl_Date,A2921))</f>
        <v/>
      </c>
      <c r="O2921" s="40" t="str">
        <f aca="false">IF(A2921&amp;B2921&amp;D2921="","",IF(OR(A2921="",B2921="",D2921="",E2921=""),"Incomplete",IF(K2921="Unknown","Unknown code",IF(AND(K2921="Yes",C2921=""),"Billable, needs client",IF(N2921&gt;MaxDayHours,"Over "&amp;MaxDayHours&amp;" hours that day","")))))</f>
        <v/>
      </c>
    </row>
    <row r="2922" customFormat="false" ht="15" hidden="false" customHeight="false" outlineLevel="0" collapsed="false">
      <c r="A2922" s="31"/>
      <c r="B2922" s="32"/>
      <c r="C2922" s="32"/>
      <c r="D2922" s="33"/>
      <c r="E2922" s="34"/>
      <c r="F2922" s="32"/>
      <c r="G2922" s="35" t="str">
        <f aca="false">IF(A2922="","",A2922+7-WEEKDAY(A2922))</f>
        <v/>
      </c>
      <c r="H2922" s="36" t="str">
        <f aca="false">IF(A2922="","",DATE(YEAR(A2922),MONTH(A2922),1))</f>
        <v/>
      </c>
      <c r="I2922" s="37" t="str">
        <f aca="false">IF(B2922="","",IFERROR(INDEX(st_ID,MATCH(B2922,st_Name,0)),"Unknown"))</f>
        <v/>
      </c>
      <c r="J2922" s="37" t="str">
        <f aca="false">IF(C2922="","",IFERROR(INDEX(cl_Code,MATCH(C2922,cl_Name,0)),"Unknown"))</f>
        <v/>
      </c>
      <c r="K2922" s="37" t="str">
        <f aca="false">IF(D2922="","",IFERROR(INDEX(rt_Billable,MATCH(D2922,rt_Code,0)),"Unknown"))</f>
        <v/>
      </c>
      <c r="L2922" s="38" t="str">
        <f aca="false">IF(K2922&lt;&gt;"Yes","",IFERROR(INDEX(cr_Rate,MATCH(J2922&amp;"|"&amp;D2922,cr_Key,0)),INDEX(rt_Rate,MATCH(D2922,rt_Code,0))))</f>
        <v/>
      </c>
      <c r="M2922" s="25" t="str">
        <f aca="false">IF(L2922="","",ROUND(N(E2922)*L2922,2))</f>
        <v/>
      </c>
      <c r="N2922" s="39" t="str">
        <f aca="false">IF(OR(A2922="",B2922=""),"",SUMIFS(tl_Hours,tl_StaffID,I2922,tl_Date,A2922))</f>
        <v/>
      </c>
      <c r="O2922" s="40" t="str">
        <f aca="false">IF(A2922&amp;B2922&amp;D2922="","",IF(OR(A2922="",B2922="",D2922="",E2922=""),"Incomplete",IF(K2922="Unknown","Unknown code",IF(AND(K2922="Yes",C2922=""),"Billable, needs client",IF(N2922&gt;MaxDayHours,"Over "&amp;MaxDayHours&amp;" hours that day","")))))</f>
        <v/>
      </c>
    </row>
    <row r="2923" customFormat="false" ht="15" hidden="false" customHeight="false" outlineLevel="0" collapsed="false">
      <c r="A2923" s="31"/>
      <c r="B2923" s="32"/>
      <c r="C2923" s="32"/>
      <c r="D2923" s="33"/>
      <c r="E2923" s="34"/>
      <c r="F2923" s="32"/>
      <c r="G2923" s="35" t="str">
        <f aca="false">IF(A2923="","",A2923+7-WEEKDAY(A2923))</f>
        <v/>
      </c>
      <c r="H2923" s="36" t="str">
        <f aca="false">IF(A2923="","",DATE(YEAR(A2923),MONTH(A2923),1))</f>
        <v/>
      </c>
      <c r="I2923" s="37" t="str">
        <f aca="false">IF(B2923="","",IFERROR(INDEX(st_ID,MATCH(B2923,st_Name,0)),"Unknown"))</f>
        <v/>
      </c>
      <c r="J2923" s="37" t="str">
        <f aca="false">IF(C2923="","",IFERROR(INDEX(cl_Code,MATCH(C2923,cl_Name,0)),"Unknown"))</f>
        <v/>
      </c>
      <c r="K2923" s="37" t="str">
        <f aca="false">IF(D2923="","",IFERROR(INDEX(rt_Billable,MATCH(D2923,rt_Code,0)),"Unknown"))</f>
        <v/>
      </c>
      <c r="L2923" s="38" t="str">
        <f aca="false">IF(K2923&lt;&gt;"Yes","",IFERROR(INDEX(cr_Rate,MATCH(J2923&amp;"|"&amp;D2923,cr_Key,0)),INDEX(rt_Rate,MATCH(D2923,rt_Code,0))))</f>
        <v/>
      </c>
      <c r="M2923" s="25" t="str">
        <f aca="false">IF(L2923="","",ROUND(N(E2923)*L2923,2))</f>
        <v/>
      </c>
      <c r="N2923" s="39" t="str">
        <f aca="false">IF(OR(A2923="",B2923=""),"",SUMIFS(tl_Hours,tl_StaffID,I2923,tl_Date,A2923))</f>
        <v/>
      </c>
      <c r="O2923" s="40" t="str">
        <f aca="false">IF(A2923&amp;B2923&amp;D2923="","",IF(OR(A2923="",B2923="",D2923="",E2923=""),"Incomplete",IF(K2923="Unknown","Unknown code",IF(AND(K2923="Yes",C2923=""),"Billable, needs client",IF(N2923&gt;MaxDayHours,"Over "&amp;MaxDayHours&amp;" hours that day","")))))</f>
        <v/>
      </c>
    </row>
    <row r="2924" customFormat="false" ht="15" hidden="false" customHeight="false" outlineLevel="0" collapsed="false">
      <c r="A2924" s="31"/>
      <c r="B2924" s="32"/>
      <c r="C2924" s="32"/>
      <c r="D2924" s="33"/>
      <c r="E2924" s="34"/>
      <c r="F2924" s="32"/>
      <c r="G2924" s="35" t="str">
        <f aca="false">IF(A2924="","",A2924+7-WEEKDAY(A2924))</f>
        <v/>
      </c>
      <c r="H2924" s="36" t="str">
        <f aca="false">IF(A2924="","",DATE(YEAR(A2924),MONTH(A2924),1))</f>
        <v/>
      </c>
      <c r="I2924" s="37" t="str">
        <f aca="false">IF(B2924="","",IFERROR(INDEX(st_ID,MATCH(B2924,st_Name,0)),"Unknown"))</f>
        <v/>
      </c>
      <c r="J2924" s="37" t="str">
        <f aca="false">IF(C2924="","",IFERROR(INDEX(cl_Code,MATCH(C2924,cl_Name,0)),"Unknown"))</f>
        <v/>
      </c>
      <c r="K2924" s="37" t="str">
        <f aca="false">IF(D2924="","",IFERROR(INDEX(rt_Billable,MATCH(D2924,rt_Code,0)),"Unknown"))</f>
        <v/>
      </c>
      <c r="L2924" s="38" t="str">
        <f aca="false">IF(K2924&lt;&gt;"Yes","",IFERROR(INDEX(cr_Rate,MATCH(J2924&amp;"|"&amp;D2924,cr_Key,0)),INDEX(rt_Rate,MATCH(D2924,rt_Code,0))))</f>
        <v/>
      </c>
      <c r="M2924" s="25" t="str">
        <f aca="false">IF(L2924="","",ROUND(N(E2924)*L2924,2))</f>
        <v/>
      </c>
      <c r="N2924" s="39" t="str">
        <f aca="false">IF(OR(A2924="",B2924=""),"",SUMIFS(tl_Hours,tl_StaffID,I2924,tl_Date,A2924))</f>
        <v/>
      </c>
      <c r="O2924" s="40" t="str">
        <f aca="false">IF(A2924&amp;B2924&amp;D2924="","",IF(OR(A2924="",B2924="",D2924="",E2924=""),"Incomplete",IF(K2924="Unknown","Unknown code",IF(AND(K2924="Yes",C2924=""),"Billable, needs client",IF(N2924&gt;MaxDayHours,"Over "&amp;MaxDayHours&amp;" hours that day","")))))</f>
        <v/>
      </c>
    </row>
    <row r="2925" customFormat="false" ht="15" hidden="false" customHeight="false" outlineLevel="0" collapsed="false">
      <c r="A2925" s="31"/>
      <c r="B2925" s="32"/>
      <c r="C2925" s="32"/>
      <c r="D2925" s="33"/>
      <c r="E2925" s="34"/>
      <c r="F2925" s="32"/>
      <c r="G2925" s="35" t="str">
        <f aca="false">IF(A2925="","",A2925+7-WEEKDAY(A2925))</f>
        <v/>
      </c>
      <c r="H2925" s="36" t="str">
        <f aca="false">IF(A2925="","",DATE(YEAR(A2925),MONTH(A2925),1))</f>
        <v/>
      </c>
      <c r="I2925" s="37" t="str">
        <f aca="false">IF(B2925="","",IFERROR(INDEX(st_ID,MATCH(B2925,st_Name,0)),"Unknown"))</f>
        <v/>
      </c>
      <c r="J2925" s="37" t="str">
        <f aca="false">IF(C2925="","",IFERROR(INDEX(cl_Code,MATCH(C2925,cl_Name,0)),"Unknown"))</f>
        <v/>
      </c>
      <c r="K2925" s="37" t="str">
        <f aca="false">IF(D2925="","",IFERROR(INDEX(rt_Billable,MATCH(D2925,rt_Code,0)),"Unknown"))</f>
        <v/>
      </c>
      <c r="L2925" s="38" t="str">
        <f aca="false">IF(K2925&lt;&gt;"Yes","",IFERROR(INDEX(cr_Rate,MATCH(J2925&amp;"|"&amp;D2925,cr_Key,0)),INDEX(rt_Rate,MATCH(D2925,rt_Code,0))))</f>
        <v/>
      </c>
      <c r="M2925" s="25" t="str">
        <f aca="false">IF(L2925="","",ROUND(N(E2925)*L2925,2))</f>
        <v/>
      </c>
      <c r="N2925" s="39" t="str">
        <f aca="false">IF(OR(A2925="",B2925=""),"",SUMIFS(tl_Hours,tl_StaffID,I2925,tl_Date,A2925))</f>
        <v/>
      </c>
      <c r="O2925" s="40" t="str">
        <f aca="false">IF(A2925&amp;B2925&amp;D2925="","",IF(OR(A2925="",B2925="",D2925="",E2925=""),"Incomplete",IF(K2925="Unknown","Unknown code",IF(AND(K2925="Yes",C2925=""),"Billable, needs client",IF(N2925&gt;MaxDayHours,"Over "&amp;MaxDayHours&amp;" hours that day","")))))</f>
        <v/>
      </c>
    </row>
    <row r="2926" customFormat="false" ht="15" hidden="false" customHeight="false" outlineLevel="0" collapsed="false">
      <c r="A2926" s="31"/>
      <c r="B2926" s="32"/>
      <c r="C2926" s="32"/>
      <c r="D2926" s="33"/>
      <c r="E2926" s="34"/>
      <c r="F2926" s="32"/>
      <c r="G2926" s="35" t="str">
        <f aca="false">IF(A2926="","",A2926+7-WEEKDAY(A2926))</f>
        <v/>
      </c>
      <c r="H2926" s="36" t="str">
        <f aca="false">IF(A2926="","",DATE(YEAR(A2926),MONTH(A2926),1))</f>
        <v/>
      </c>
      <c r="I2926" s="37" t="str">
        <f aca="false">IF(B2926="","",IFERROR(INDEX(st_ID,MATCH(B2926,st_Name,0)),"Unknown"))</f>
        <v/>
      </c>
      <c r="J2926" s="37" t="str">
        <f aca="false">IF(C2926="","",IFERROR(INDEX(cl_Code,MATCH(C2926,cl_Name,0)),"Unknown"))</f>
        <v/>
      </c>
      <c r="K2926" s="37" t="str">
        <f aca="false">IF(D2926="","",IFERROR(INDEX(rt_Billable,MATCH(D2926,rt_Code,0)),"Unknown"))</f>
        <v/>
      </c>
      <c r="L2926" s="38" t="str">
        <f aca="false">IF(K2926&lt;&gt;"Yes","",IFERROR(INDEX(cr_Rate,MATCH(J2926&amp;"|"&amp;D2926,cr_Key,0)),INDEX(rt_Rate,MATCH(D2926,rt_Code,0))))</f>
        <v/>
      </c>
      <c r="M2926" s="25" t="str">
        <f aca="false">IF(L2926="","",ROUND(N(E2926)*L2926,2))</f>
        <v/>
      </c>
      <c r="N2926" s="39" t="str">
        <f aca="false">IF(OR(A2926="",B2926=""),"",SUMIFS(tl_Hours,tl_StaffID,I2926,tl_Date,A2926))</f>
        <v/>
      </c>
      <c r="O2926" s="40" t="str">
        <f aca="false">IF(A2926&amp;B2926&amp;D2926="","",IF(OR(A2926="",B2926="",D2926="",E2926=""),"Incomplete",IF(K2926="Unknown","Unknown code",IF(AND(K2926="Yes",C2926=""),"Billable, needs client",IF(N2926&gt;MaxDayHours,"Over "&amp;MaxDayHours&amp;" hours that day","")))))</f>
        <v/>
      </c>
    </row>
    <row r="2927" customFormat="false" ht="15" hidden="false" customHeight="false" outlineLevel="0" collapsed="false">
      <c r="A2927" s="31"/>
      <c r="B2927" s="32"/>
      <c r="C2927" s="32"/>
      <c r="D2927" s="33"/>
      <c r="E2927" s="34"/>
      <c r="F2927" s="32"/>
      <c r="G2927" s="35" t="str">
        <f aca="false">IF(A2927="","",A2927+7-WEEKDAY(A2927))</f>
        <v/>
      </c>
      <c r="H2927" s="36" t="str">
        <f aca="false">IF(A2927="","",DATE(YEAR(A2927),MONTH(A2927),1))</f>
        <v/>
      </c>
      <c r="I2927" s="37" t="str">
        <f aca="false">IF(B2927="","",IFERROR(INDEX(st_ID,MATCH(B2927,st_Name,0)),"Unknown"))</f>
        <v/>
      </c>
      <c r="J2927" s="37" t="str">
        <f aca="false">IF(C2927="","",IFERROR(INDEX(cl_Code,MATCH(C2927,cl_Name,0)),"Unknown"))</f>
        <v/>
      </c>
      <c r="K2927" s="37" t="str">
        <f aca="false">IF(D2927="","",IFERROR(INDEX(rt_Billable,MATCH(D2927,rt_Code,0)),"Unknown"))</f>
        <v/>
      </c>
      <c r="L2927" s="38" t="str">
        <f aca="false">IF(K2927&lt;&gt;"Yes","",IFERROR(INDEX(cr_Rate,MATCH(J2927&amp;"|"&amp;D2927,cr_Key,0)),INDEX(rt_Rate,MATCH(D2927,rt_Code,0))))</f>
        <v/>
      </c>
      <c r="M2927" s="25" t="str">
        <f aca="false">IF(L2927="","",ROUND(N(E2927)*L2927,2))</f>
        <v/>
      </c>
      <c r="N2927" s="39" t="str">
        <f aca="false">IF(OR(A2927="",B2927=""),"",SUMIFS(tl_Hours,tl_StaffID,I2927,tl_Date,A2927))</f>
        <v/>
      </c>
      <c r="O2927" s="40" t="str">
        <f aca="false">IF(A2927&amp;B2927&amp;D2927="","",IF(OR(A2927="",B2927="",D2927="",E2927=""),"Incomplete",IF(K2927="Unknown","Unknown code",IF(AND(K2927="Yes",C2927=""),"Billable, needs client",IF(N2927&gt;MaxDayHours,"Over "&amp;MaxDayHours&amp;" hours that day","")))))</f>
        <v/>
      </c>
    </row>
    <row r="2928" customFormat="false" ht="15" hidden="false" customHeight="false" outlineLevel="0" collapsed="false">
      <c r="A2928" s="31"/>
      <c r="B2928" s="32"/>
      <c r="C2928" s="32"/>
      <c r="D2928" s="33"/>
      <c r="E2928" s="34"/>
      <c r="F2928" s="32"/>
      <c r="G2928" s="35" t="str">
        <f aca="false">IF(A2928="","",A2928+7-WEEKDAY(A2928))</f>
        <v/>
      </c>
      <c r="H2928" s="36" t="str">
        <f aca="false">IF(A2928="","",DATE(YEAR(A2928),MONTH(A2928),1))</f>
        <v/>
      </c>
      <c r="I2928" s="37" t="str">
        <f aca="false">IF(B2928="","",IFERROR(INDEX(st_ID,MATCH(B2928,st_Name,0)),"Unknown"))</f>
        <v/>
      </c>
      <c r="J2928" s="37" t="str">
        <f aca="false">IF(C2928="","",IFERROR(INDEX(cl_Code,MATCH(C2928,cl_Name,0)),"Unknown"))</f>
        <v/>
      </c>
      <c r="K2928" s="37" t="str">
        <f aca="false">IF(D2928="","",IFERROR(INDEX(rt_Billable,MATCH(D2928,rt_Code,0)),"Unknown"))</f>
        <v/>
      </c>
      <c r="L2928" s="38" t="str">
        <f aca="false">IF(K2928&lt;&gt;"Yes","",IFERROR(INDEX(cr_Rate,MATCH(J2928&amp;"|"&amp;D2928,cr_Key,0)),INDEX(rt_Rate,MATCH(D2928,rt_Code,0))))</f>
        <v/>
      </c>
      <c r="M2928" s="25" t="str">
        <f aca="false">IF(L2928="","",ROUND(N(E2928)*L2928,2))</f>
        <v/>
      </c>
      <c r="N2928" s="39" t="str">
        <f aca="false">IF(OR(A2928="",B2928=""),"",SUMIFS(tl_Hours,tl_StaffID,I2928,tl_Date,A2928))</f>
        <v/>
      </c>
      <c r="O2928" s="40" t="str">
        <f aca="false">IF(A2928&amp;B2928&amp;D2928="","",IF(OR(A2928="",B2928="",D2928="",E2928=""),"Incomplete",IF(K2928="Unknown","Unknown code",IF(AND(K2928="Yes",C2928=""),"Billable, needs client",IF(N2928&gt;MaxDayHours,"Over "&amp;MaxDayHours&amp;" hours that day","")))))</f>
        <v/>
      </c>
    </row>
    <row r="2929" customFormat="false" ht="15" hidden="false" customHeight="false" outlineLevel="0" collapsed="false">
      <c r="A2929" s="31"/>
      <c r="B2929" s="32"/>
      <c r="C2929" s="32"/>
      <c r="D2929" s="33"/>
      <c r="E2929" s="34"/>
      <c r="F2929" s="32"/>
      <c r="G2929" s="35" t="str">
        <f aca="false">IF(A2929="","",A2929+7-WEEKDAY(A2929))</f>
        <v/>
      </c>
      <c r="H2929" s="36" t="str">
        <f aca="false">IF(A2929="","",DATE(YEAR(A2929),MONTH(A2929),1))</f>
        <v/>
      </c>
      <c r="I2929" s="37" t="str">
        <f aca="false">IF(B2929="","",IFERROR(INDEX(st_ID,MATCH(B2929,st_Name,0)),"Unknown"))</f>
        <v/>
      </c>
      <c r="J2929" s="37" t="str">
        <f aca="false">IF(C2929="","",IFERROR(INDEX(cl_Code,MATCH(C2929,cl_Name,0)),"Unknown"))</f>
        <v/>
      </c>
      <c r="K2929" s="37" t="str">
        <f aca="false">IF(D2929="","",IFERROR(INDEX(rt_Billable,MATCH(D2929,rt_Code,0)),"Unknown"))</f>
        <v/>
      </c>
      <c r="L2929" s="38" t="str">
        <f aca="false">IF(K2929&lt;&gt;"Yes","",IFERROR(INDEX(cr_Rate,MATCH(J2929&amp;"|"&amp;D2929,cr_Key,0)),INDEX(rt_Rate,MATCH(D2929,rt_Code,0))))</f>
        <v/>
      </c>
      <c r="M2929" s="25" t="str">
        <f aca="false">IF(L2929="","",ROUND(N(E2929)*L2929,2))</f>
        <v/>
      </c>
      <c r="N2929" s="39" t="str">
        <f aca="false">IF(OR(A2929="",B2929=""),"",SUMIFS(tl_Hours,tl_StaffID,I2929,tl_Date,A2929))</f>
        <v/>
      </c>
      <c r="O2929" s="40" t="str">
        <f aca="false">IF(A2929&amp;B2929&amp;D2929="","",IF(OR(A2929="",B2929="",D2929="",E2929=""),"Incomplete",IF(K2929="Unknown","Unknown code",IF(AND(K2929="Yes",C2929=""),"Billable, needs client",IF(N2929&gt;MaxDayHours,"Over "&amp;MaxDayHours&amp;" hours that day","")))))</f>
        <v/>
      </c>
    </row>
    <row r="2930" customFormat="false" ht="15" hidden="false" customHeight="false" outlineLevel="0" collapsed="false">
      <c r="A2930" s="31"/>
      <c r="B2930" s="32"/>
      <c r="C2930" s="32"/>
      <c r="D2930" s="33"/>
      <c r="E2930" s="34"/>
      <c r="F2930" s="32"/>
      <c r="G2930" s="35" t="str">
        <f aca="false">IF(A2930="","",A2930+7-WEEKDAY(A2930))</f>
        <v/>
      </c>
      <c r="H2930" s="36" t="str">
        <f aca="false">IF(A2930="","",DATE(YEAR(A2930),MONTH(A2930),1))</f>
        <v/>
      </c>
      <c r="I2930" s="37" t="str">
        <f aca="false">IF(B2930="","",IFERROR(INDEX(st_ID,MATCH(B2930,st_Name,0)),"Unknown"))</f>
        <v/>
      </c>
      <c r="J2930" s="37" t="str">
        <f aca="false">IF(C2930="","",IFERROR(INDEX(cl_Code,MATCH(C2930,cl_Name,0)),"Unknown"))</f>
        <v/>
      </c>
      <c r="K2930" s="37" t="str">
        <f aca="false">IF(D2930="","",IFERROR(INDEX(rt_Billable,MATCH(D2930,rt_Code,0)),"Unknown"))</f>
        <v/>
      </c>
      <c r="L2930" s="38" t="str">
        <f aca="false">IF(K2930&lt;&gt;"Yes","",IFERROR(INDEX(cr_Rate,MATCH(J2930&amp;"|"&amp;D2930,cr_Key,0)),INDEX(rt_Rate,MATCH(D2930,rt_Code,0))))</f>
        <v/>
      </c>
      <c r="M2930" s="25" t="str">
        <f aca="false">IF(L2930="","",ROUND(N(E2930)*L2930,2))</f>
        <v/>
      </c>
      <c r="N2930" s="39" t="str">
        <f aca="false">IF(OR(A2930="",B2930=""),"",SUMIFS(tl_Hours,tl_StaffID,I2930,tl_Date,A2930))</f>
        <v/>
      </c>
      <c r="O2930" s="40" t="str">
        <f aca="false">IF(A2930&amp;B2930&amp;D2930="","",IF(OR(A2930="",B2930="",D2930="",E2930=""),"Incomplete",IF(K2930="Unknown","Unknown code",IF(AND(K2930="Yes",C2930=""),"Billable, needs client",IF(N2930&gt;MaxDayHours,"Over "&amp;MaxDayHours&amp;" hours that day","")))))</f>
        <v/>
      </c>
    </row>
    <row r="2931" customFormat="false" ht="15" hidden="false" customHeight="false" outlineLevel="0" collapsed="false">
      <c r="A2931" s="31"/>
      <c r="B2931" s="32"/>
      <c r="C2931" s="32"/>
      <c r="D2931" s="33"/>
      <c r="E2931" s="34"/>
      <c r="F2931" s="32"/>
      <c r="G2931" s="35" t="str">
        <f aca="false">IF(A2931="","",A2931+7-WEEKDAY(A2931))</f>
        <v/>
      </c>
      <c r="H2931" s="36" t="str">
        <f aca="false">IF(A2931="","",DATE(YEAR(A2931),MONTH(A2931),1))</f>
        <v/>
      </c>
      <c r="I2931" s="37" t="str">
        <f aca="false">IF(B2931="","",IFERROR(INDEX(st_ID,MATCH(B2931,st_Name,0)),"Unknown"))</f>
        <v/>
      </c>
      <c r="J2931" s="37" t="str">
        <f aca="false">IF(C2931="","",IFERROR(INDEX(cl_Code,MATCH(C2931,cl_Name,0)),"Unknown"))</f>
        <v/>
      </c>
      <c r="K2931" s="37" t="str">
        <f aca="false">IF(D2931="","",IFERROR(INDEX(rt_Billable,MATCH(D2931,rt_Code,0)),"Unknown"))</f>
        <v/>
      </c>
      <c r="L2931" s="38" t="str">
        <f aca="false">IF(K2931&lt;&gt;"Yes","",IFERROR(INDEX(cr_Rate,MATCH(J2931&amp;"|"&amp;D2931,cr_Key,0)),INDEX(rt_Rate,MATCH(D2931,rt_Code,0))))</f>
        <v/>
      </c>
      <c r="M2931" s="25" t="str">
        <f aca="false">IF(L2931="","",ROUND(N(E2931)*L2931,2))</f>
        <v/>
      </c>
      <c r="N2931" s="39" t="str">
        <f aca="false">IF(OR(A2931="",B2931=""),"",SUMIFS(tl_Hours,tl_StaffID,I2931,tl_Date,A2931))</f>
        <v/>
      </c>
      <c r="O2931" s="40" t="str">
        <f aca="false">IF(A2931&amp;B2931&amp;D2931="","",IF(OR(A2931="",B2931="",D2931="",E2931=""),"Incomplete",IF(K2931="Unknown","Unknown code",IF(AND(K2931="Yes",C2931=""),"Billable, needs client",IF(N2931&gt;MaxDayHours,"Over "&amp;MaxDayHours&amp;" hours that day","")))))</f>
        <v/>
      </c>
    </row>
    <row r="2932" customFormat="false" ht="15" hidden="false" customHeight="false" outlineLevel="0" collapsed="false">
      <c r="A2932" s="31"/>
      <c r="B2932" s="32"/>
      <c r="C2932" s="32"/>
      <c r="D2932" s="33"/>
      <c r="E2932" s="34"/>
      <c r="F2932" s="32"/>
      <c r="G2932" s="35" t="str">
        <f aca="false">IF(A2932="","",A2932+7-WEEKDAY(A2932))</f>
        <v/>
      </c>
      <c r="H2932" s="36" t="str">
        <f aca="false">IF(A2932="","",DATE(YEAR(A2932),MONTH(A2932),1))</f>
        <v/>
      </c>
      <c r="I2932" s="37" t="str">
        <f aca="false">IF(B2932="","",IFERROR(INDEX(st_ID,MATCH(B2932,st_Name,0)),"Unknown"))</f>
        <v/>
      </c>
      <c r="J2932" s="37" t="str">
        <f aca="false">IF(C2932="","",IFERROR(INDEX(cl_Code,MATCH(C2932,cl_Name,0)),"Unknown"))</f>
        <v/>
      </c>
      <c r="K2932" s="37" t="str">
        <f aca="false">IF(D2932="","",IFERROR(INDEX(rt_Billable,MATCH(D2932,rt_Code,0)),"Unknown"))</f>
        <v/>
      </c>
      <c r="L2932" s="38" t="str">
        <f aca="false">IF(K2932&lt;&gt;"Yes","",IFERROR(INDEX(cr_Rate,MATCH(J2932&amp;"|"&amp;D2932,cr_Key,0)),INDEX(rt_Rate,MATCH(D2932,rt_Code,0))))</f>
        <v/>
      </c>
      <c r="M2932" s="25" t="str">
        <f aca="false">IF(L2932="","",ROUND(N(E2932)*L2932,2))</f>
        <v/>
      </c>
      <c r="N2932" s="39" t="str">
        <f aca="false">IF(OR(A2932="",B2932=""),"",SUMIFS(tl_Hours,tl_StaffID,I2932,tl_Date,A2932))</f>
        <v/>
      </c>
      <c r="O2932" s="40" t="str">
        <f aca="false">IF(A2932&amp;B2932&amp;D2932="","",IF(OR(A2932="",B2932="",D2932="",E2932=""),"Incomplete",IF(K2932="Unknown","Unknown code",IF(AND(K2932="Yes",C2932=""),"Billable, needs client",IF(N2932&gt;MaxDayHours,"Over "&amp;MaxDayHours&amp;" hours that day","")))))</f>
        <v/>
      </c>
    </row>
    <row r="2933" customFormat="false" ht="15" hidden="false" customHeight="false" outlineLevel="0" collapsed="false">
      <c r="A2933" s="31"/>
      <c r="B2933" s="32"/>
      <c r="C2933" s="32"/>
      <c r="D2933" s="33"/>
      <c r="E2933" s="34"/>
      <c r="F2933" s="32"/>
      <c r="G2933" s="35" t="str">
        <f aca="false">IF(A2933="","",A2933+7-WEEKDAY(A2933))</f>
        <v/>
      </c>
      <c r="H2933" s="36" t="str">
        <f aca="false">IF(A2933="","",DATE(YEAR(A2933),MONTH(A2933),1))</f>
        <v/>
      </c>
      <c r="I2933" s="37" t="str">
        <f aca="false">IF(B2933="","",IFERROR(INDEX(st_ID,MATCH(B2933,st_Name,0)),"Unknown"))</f>
        <v/>
      </c>
      <c r="J2933" s="37" t="str">
        <f aca="false">IF(C2933="","",IFERROR(INDEX(cl_Code,MATCH(C2933,cl_Name,0)),"Unknown"))</f>
        <v/>
      </c>
      <c r="K2933" s="37" t="str">
        <f aca="false">IF(D2933="","",IFERROR(INDEX(rt_Billable,MATCH(D2933,rt_Code,0)),"Unknown"))</f>
        <v/>
      </c>
      <c r="L2933" s="38" t="str">
        <f aca="false">IF(K2933&lt;&gt;"Yes","",IFERROR(INDEX(cr_Rate,MATCH(J2933&amp;"|"&amp;D2933,cr_Key,0)),INDEX(rt_Rate,MATCH(D2933,rt_Code,0))))</f>
        <v/>
      </c>
      <c r="M2933" s="25" t="str">
        <f aca="false">IF(L2933="","",ROUND(N(E2933)*L2933,2))</f>
        <v/>
      </c>
      <c r="N2933" s="39" t="str">
        <f aca="false">IF(OR(A2933="",B2933=""),"",SUMIFS(tl_Hours,tl_StaffID,I2933,tl_Date,A2933))</f>
        <v/>
      </c>
      <c r="O2933" s="40" t="str">
        <f aca="false">IF(A2933&amp;B2933&amp;D2933="","",IF(OR(A2933="",B2933="",D2933="",E2933=""),"Incomplete",IF(K2933="Unknown","Unknown code",IF(AND(K2933="Yes",C2933=""),"Billable, needs client",IF(N2933&gt;MaxDayHours,"Over "&amp;MaxDayHours&amp;" hours that day","")))))</f>
        <v/>
      </c>
    </row>
    <row r="2934" customFormat="false" ht="15" hidden="false" customHeight="false" outlineLevel="0" collapsed="false">
      <c r="A2934" s="31"/>
      <c r="B2934" s="32"/>
      <c r="C2934" s="32"/>
      <c r="D2934" s="33"/>
      <c r="E2934" s="34"/>
      <c r="F2934" s="32"/>
      <c r="G2934" s="35" t="str">
        <f aca="false">IF(A2934="","",A2934+7-WEEKDAY(A2934))</f>
        <v/>
      </c>
      <c r="H2934" s="36" t="str">
        <f aca="false">IF(A2934="","",DATE(YEAR(A2934),MONTH(A2934),1))</f>
        <v/>
      </c>
      <c r="I2934" s="37" t="str">
        <f aca="false">IF(B2934="","",IFERROR(INDEX(st_ID,MATCH(B2934,st_Name,0)),"Unknown"))</f>
        <v/>
      </c>
      <c r="J2934" s="37" t="str">
        <f aca="false">IF(C2934="","",IFERROR(INDEX(cl_Code,MATCH(C2934,cl_Name,0)),"Unknown"))</f>
        <v/>
      </c>
      <c r="K2934" s="37" t="str">
        <f aca="false">IF(D2934="","",IFERROR(INDEX(rt_Billable,MATCH(D2934,rt_Code,0)),"Unknown"))</f>
        <v/>
      </c>
      <c r="L2934" s="38" t="str">
        <f aca="false">IF(K2934&lt;&gt;"Yes","",IFERROR(INDEX(cr_Rate,MATCH(J2934&amp;"|"&amp;D2934,cr_Key,0)),INDEX(rt_Rate,MATCH(D2934,rt_Code,0))))</f>
        <v/>
      </c>
      <c r="M2934" s="25" t="str">
        <f aca="false">IF(L2934="","",ROUND(N(E2934)*L2934,2))</f>
        <v/>
      </c>
      <c r="N2934" s="39" t="str">
        <f aca="false">IF(OR(A2934="",B2934=""),"",SUMIFS(tl_Hours,tl_StaffID,I2934,tl_Date,A2934))</f>
        <v/>
      </c>
      <c r="O2934" s="40" t="str">
        <f aca="false">IF(A2934&amp;B2934&amp;D2934="","",IF(OR(A2934="",B2934="",D2934="",E2934=""),"Incomplete",IF(K2934="Unknown","Unknown code",IF(AND(K2934="Yes",C2934=""),"Billable, needs client",IF(N2934&gt;MaxDayHours,"Over "&amp;MaxDayHours&amp;" hours that day","")))))</f>
        <v/>
      </c>
    </row>
    <row r="2935" customFormat="false" ht="15" hidden="false" customHeight="false" outlineLevel="0" collapsed="false">
      <c r="A2935" s="31"/>
      <c r="B2935" s="32"/>
      <c r="C2935" s="32"/>
      <c r="D2935" s="33"/>
      <c r="E2935" s="34"/>
      <c r="F2935" s="32"/>
      <c r="G2935" s="35" t="str">
        <f aca="false">IF(A2935="","",A2935+7-WEEKDAY(A2935))</f>
        <v/>
      </c>
      <c r="H2935" s="36" t="str">
        <f aca="false">IF(A2935="","",DATE(YEAR(A2935),MONTH(A2935),1))</f>
        <v/>
      </c>
      <c r="I2935" s="37" t="str">
        <f aca="false">IF(B2935="","",IFERROR(INDEX(st_ID,MATCH(B2935,st_Name,0)),"Unknown"))</f>
        <v/>
      </c>
      <c r="J2935" s="37" t="str">
        <f aca="false">IF(C2935="","",IFERROR(INDEX(cl_Code,MATCH(C2935,cl_Name,0)),"Unknown"))</f>
        <v/>
      </c>
      <c r="K2935" s="37" t="str">
        <f aca="false">IF(D2935="","",IFERROR(INDEX(rt_Billable,MATCH(D2935,rt_Code,0)),"Unknown"))</f>
        <v/>
      </c>
      <c r="L2935" s="38" t="str">
        <f aca="false">IF(K2935&lt;&gt;"Yes","",IFERROR(INDEX(cr_Rate,MATCH(J2935&amp;"|"&amp;D2935,cr_Key,0)),INDEX(rt_Rate,MATCH(D2935,rt_Code,0))))</f>
        <v/>
      </c>
      <c r="M2935" s="25" t="str">
        <f aca="false">IF(L2935="","",ROUND(N(E2935)*L2935,2))</f>
        <v/>
      </c>
      <c r="N2935" s="39" t="str">
        <f aca="false">IF(OR(A2935="",B2935=""),"",SUMIFS(tl_Hours,tl_StaffID,I2935,tl_Date,A2935))</f>
        <v/>
      </c>
      <c r="O2935" s="40" t="str">
        <f aca="false">IF(A2935&amp;B2935&amp;D2935="","",IF(OR(A2935="",B2935="",D2935="",E2935=""),"Incomplete",IF(K2935="Unknown","Unknown code",IF(AND(K2935="Yes",C2935=""),"Billable, needs client",IF(N2935&gt;MaxDayHours,"Over "&amp;MaxDayHours&amp;" hours that day","")))))</f>
        <v/>
      </c>
    </row>
    <row r="2936" customFormat="false" ht="15" hidden="false" customHeight="false" outlineLevel="0" collapsed="false">
      <c r="A2936" s="31"/>
      <c r="B2936" s="32"/>
      <c r="C2936" s="32"/>
      <c r="D2936" s="33"/>
      <c r="E2936" s="34"/>
      <c r="F2936" s="32"/>
      <c r="G2936" s="35" t="str">
        <f aca="false">IF(A2936="","",A2936+7-WEEKDAY(A2936))</f>
        <v/>
      </c>
      <c r="H2936" s="36" t="str">
        <f aca="false">IF(A2936="","",DATE(YEAR(A2936),MONTH(A2936),1))</f>
        <v/>
      </c>
      <c r="I2936" s="37" t="str">
        <f aca="false">IF(B2936="","",IFERROR(INDEX(st_ID,MATCH(B2936,st_Name,0)),"Unknown"))</f>
        <v/>
      </c>
      <c r="J2936" s="37" t="str">
        <f aca="false">IF(C2936="","",IFERROR(INDEX(cl_Code,MATCH(C2936,cl_Name,0)),"Unknown"))</f>
        <v/>
      </c>
      <c r="K2936" s="37" t="str">
        <f aca="false">IF(D2936="","",IFERROR(INDEX(rt_Billable,MATCH(D2936,rt_Code,0)),"Unknown"))</f>
        <v/>
      </c>
      <c r="L2936" s="38" t="str">
        <f aca="false">IF(K2936&lt;&gt;"Yes","",IFERROR(INDEX(cr_Rate,MATCH(J2936&amp;"|"&amp;D2936,cr_Key,0)),INDEX(rt_Rate,MATCH(D2936,rt_Code,0))))</f>
        <v/>
      </c>
      <c r="M2936" s="25" t="str">
        <f aca="false">IF(L2936="","",ROUND(N(E2936)*L2936,2))</f>
        <v/>
      </c>
      <c r="N2936" s="39" t="str">
        <f aca="false">IF(OR(A2936="",B2936=""),"",SUMIFS(tl_Hours,tl_StaffID,I2936,tl_Date,A2936))</f>
        <v/>
      </c>
      <c r="O2936" s="40" t="str">
        <f aca="false">IF(A2936&amp;B2936&amp;D2936="","",IF(OR(A2936="",B2936="",D2936="",E2936=""),"Incomplete",IF(K2936="Unknown","Unknown code",IF(AND(K2936="Yes",C2936=""),"Billable, needs client",IF(N2936&gt;MaxDayHours,"Over "&amp;MaxDayHours&amp;" hours that day","")))))</f>
        <v/>
      </c>
    </row>
    <row r="2937" customFormat="false" ht="15" hidden="false" customHeight="false" outlineLevel="0" collapsed="false">
      <c r="A2937" s="31"/>
      <c r="B2937" s="32"/>
      <c r="C2937" s="32"/>
      <c r="D2937" s="33"/>
      <c r="E2937" s="34"/>
      <c r="F2937" s="32"/>
      <c r="G2937" s="35" t="str">
        <f aca="false">IF(A2937="","",A2937+7-WEEKDAY(A2937))</f>
        <v/>
      </c>
      <c r="H2937" s="36" t="str">
        <f aca="false">IF(A2937="","",DATE(YEAR(A2937),MONTH(A2937),1))</f>
        <v/>
      </c>
      <c r="I2937" s="37" t="str">
        <f aca="false">IF(B2937="","",IFERROR(INDEX(st_ID,MATCH(B2937,st_Name,0)),"Unknown"))</f>
        <v/>
      </c>
      <c r="J2937" s="37" t="str">
        <f aca="false">IF(C2937="","",IFERROR(INDEX(cl_Code,MATCH(C2937,cl_Name,0)),"Unknown"))</f>
        <v/>
      </c>
      <c r="K2937" s="37" t="str">
        <f aca="false">IF(D2937="","",IFERROR(INDEX(rt_Billable,MATCH(D2937,rt_Code,0)),"Unknown"))</f>
        <v/>
      </c>
      <c r="L2937" s="38" t="str">
        <f aca="false">IF(K2937&lt;&gt;"Yes","",IFERROR(INDEX(cr_Rate,MATCH(J2937&amp;"|"&amp;D2937,cr_Key,0)),INDEX(rt_Rate,MATCH(D2937,rt_Code,0))))</f>
        <v/>
      </c>
      <c r="M2937" s="25" t="str">
        <f aca="false">IF(L2937="","",ROUND(N(E2937)*L2937,2))</f>
        <v/>
      </c>
      <c r="N2937" s="39" t="str">
        <f aca="false">IF(OR(A2937="",B2937=""),"",SUMIFS(tl_Hours,tl_StaffID,I2937,tl_Date,A2937))</f>
        <v/>
      </c>
      <c r="O2937" s="40" t="str">
        <f aca="false">IF(A2937&amp;B2937&amp;D2937="","",IF(OR(A2937="",B2937="",D2937="",E2937=""),"Incomplete",IF(K2937="Unknown","Unknown code",IF(AND(K2937="Yes",C2937=""),"Billable, needs client",IF(N2937&gt;MaxDayHours,"Over "&amp;MaxDayHours&amp;" hours that day","")))))</f>
        <v/>
      </c>
    </row>
    <row r="2938" customFormat="false" ht="15" hidden="false" customHeight="false" outlineLevel="0" collapsed="false">
      <c r="A2938" s="31"/>
      <c r="B2938" s="32"/>
      <c r="C2938" s="32"/>
      <c r="D2938" s="33"/>
      <c r="E2938" s="34"/>
      <c r="F2938" s="32"/>
      <c r="G2938" s="35" t="str">
        <f aca="false">IF(A2938="","",A2938+7-WEEKDAY(A2938))</f>
        <v/>
      </c>
      <c r="H2938" s="36" t="str">
        <f aca="false">IF(A2938="","",DATE(YEAR(A2938),MONTH(A2938),1))</f>
        <v/>
      </c>
      <c r="I2938" s="37" t="str">
        <f aca="false">IF(B2938="","",IFERROR(INDEX(st_ID,MATCH(B2938,st_Name,0)),"Unknown"))</f>
        <v/>
      </c>
      <c r="J2938" s="37" t="str">
        <f aca="false">IF(C2938="","",IFERROR(INDEX(cl_Code,MATCH(C2938,cl_Name,0)),"Unknown"))</f>
        <v/>
      </c>
      <c r="K2938" s="37" t="str">
        <f aca="false">IF(D2938="","",IFERROR(INDEX(rt_Billable,MATCH(D2938,rt_Code,0)),"Unknown"))</f>
        <v/>
      </c>
      <c r="L2938" s="38" t="str">
        <f aca="false">IF(K2938&lt;&gt;"Yes","",IFERROR(INDEX(cr_Rate,MATCH(J2938&amp;"|"&amp;D2938,cr_Key,0)),INDEX(rt_Rate,MATCH(D2938,rt_Code,0))))</f>
        <v/>
      </c>
      <c r="M2938" s="25" t="str">
        <f aca="false">IF(L2938="","",ROUND(N(E2938)*L2938,2))</f>
        <v/>
      </c>
      <c r="N2938" s="39" t="str">
        <f aca="false">IF(OR(A2938="",B2938=""),"",SUMIFS(tl_Hours,tl_StaffID,I2938,tl_Date,A2938))</f>
        <v/>
      </c>
      <c r="O2938" s="40" t="str">
        <f aca="false">IF(A2938&amp;B2938&amp;D2938="","",IF(OR(A2938="",B2938="",D2938="",E2938=""),"Incomplete",IF(K2938="Unknown","Unknown code",IF(AND(K2938="Yes",C2938=""),"Billable, needs client",IF(N2938&gt;MaxDayHours,"Over "&amp;MaxDayHours&amp;" hours that day","")))))</f>
        <v/>
      </c>
    </row>
    <row r="2939" customFormat="false" ht="15" hidden="false" customHeight="false" outlineLevel="0" collapsed="false">
      <c r="A2939" s="31"/>
      <c r="B2939" s="32"/>
      <c r="C2939" s="32"/>
      <c r="D2939" s="33"/>
      <c r="E2939" s="34"/>
      <c r="F2939" s="32"/>
      <c r="G2939" s="35" t="str">
        <f aca="false">IF(A2939="","",A2939+7-WEEKDAY(A2939))</f>
        <v/>
      </c>
      <c r="H2939" s="36" t="str">
        <f aca="false">IF(A2939="","",DATE(YEAR(A2939),MONTH(A2939),1))</f>
        <v/>
      </c>
      <c r="I2939" s="37" t="str">
        <f aca="false">IF(B2939="","",IFERROR(INDEX(st_ID,MATCH(B2939,st_Name,0)),"Unknown"))</f>
        <v/>
      </c>
      <c r="J2939" s="37" t="str">
        <f aca="false">IF(C2939="","",IFERROR(INDEX(cl_Code,MATCH(C2939,cl_Name,0)),"Unknown"))</f>
        <v/>
      </c>
      <c r="K2939" s="37" t="str">
        <f aca="false">IF(D2939="","",IFERROR(INDEX(rt_Billable,MATCH(D2939,rt_Code,0)),"Unknown"))</f>
        <v/>
      </c>
      <c r="L2939" s="38" t="str">
        <f aca="false">IF(K2939&lt;&gt;"Yes","",IFERROR(INDEX(cr_Rate,MATCH(J2939&amp;"|"&amp;D2939,cr_Key,0)),INDEX(rt_Rate,MATCH(D2939,rt_Code,0))))</f>
        <v/>
      </c>
      <c r="M2939" s="25" t="str">
        <f aca="false">IF(L2939="","",ROUND(N(E2939)*L2939,2))</f>
        <v/>
      </c>
      <c r="N2939" s="39" t="str">
        <f aca="false">IF(OR(A2939="",B2939=""),"",SUMIFS(tl_Hours,tl_StaffID,I2939,tl_Date,A2939))</f>
        <v/>
      </c>
      <c r="O2939" s="40" t="str">
        <f aca="false">IF(A2939&amp;B2939&amp;D2939="","",IF(OR(A2939="",B2939="",D2939="",E2939=""),"Incomplete",IF(K2939="Unknown","Unknown code",IF(AND(K2939="Yes",C2939=""),"Billable, needs client",IF(N2939&gt;MaxDayHours,"Over "&amp;MaxDayHours&amp;" hours that day","")))))</f>
        <v/>
      </c>
    </row>
    <row r="2940" customFormat="false" ht="15" hidden="false" customHeight="false" outlineLevel="0" collapsed="false">
      <c r="A2940" s="31"/>
      <c r="B2940" s="32"/>
      <c r="C2940" s="32"/>
      <c r="D2940" s="33"/>
      <c r="E2940" s="34"/>
      <c r="F2940" s="32"/>
      <c r="G2940" s="35" t="str">
        <f aca="false">IF(A2940="","",A2940+7-WEEKDAY(A2940))</f>
        <v/>
      </c>
      <c r="H2940" s="36" t="str">
        <f aca="false">IF(A2940="","",DATE(YEAR(A2940),MONTH(A2940),1))</f>
        <v/>
      </c>
      <c r="I2940" s="37" t="str">
        <f aca="false">IF(B2940="","",IFERROR(INDEX(st_ID,MATCH(B2940,st_Name,0)),"Unknown"))</f>
        <v/>
      </c>
      <c r="J2940" s="37" t="str">
        <f aca="false">IF(C2940="","",IFERROR(INDEX(cl_Code,MATCH(C2940,cl_Name,0)),"Unknown"))</f>
        <v/>
      </c>
      <c r="K2940" s="37" t="str">
        <f aca="false">IF(D2940="","",IFERROR(INDEX(rt_Billable,MATCH(D2940,rt_Code,0)),"Unknown"))</f>
        <v/>
      </c>
      <c r="L2940" s="38" t="str">
        <f aca="false">IF(K2940&lt;&gt;"Yes","",IFERROR(INDEX(cr_Rate,MATCH(J2940&amp;"|"&amp;D2940,cr_Key,0)),INDEX(rt_Rate,MATCH(D2940,rt_Code,0))))</f>
        <v/>
      </c>
      <c r="M2940" s="25" t="str">
        <f aca="false">IF(L2940="","",ROUND(N(E2940)*L2940,2))</f>
        <v/>
      </c>
      <c r="N2940" s="39" t="str">
        <f aca="false">IF(OR(A2940="",B2940=""),"",SUMIFS(tl_Hours,tl_StaffID,I2940,tl_Date,A2940))</f>
        <v/>
      </c>
      <c r="O2940" s="40" t="str">
        <f aca="false">IF(A2940&amp;B2940&amp;D2940="","",IF(OR(A2940="",B2940="",D2940="",E2940=""),"Incomplete",IF(K2940="Unknown","Unknown code",IF(AND(K2940="Yes",C2940=""),"Billable, needs client",IF(N2940&gt;MaxDayHours,"Over "&amp;MaxDayHours&amp;" hours that day","")))))</f>
        <v/>
      </c>
    </row>
    <row r="2941" customFormat="false" ht="15" hidden="false" customHeight="false" outlineLevel="0" collapsed="false">
      <c r="A2941" s="31"/>
      <c r="B2941" s="32"/>
      <c r="C2941" s="32"/>
      <c r="D2941" s="33"/>
      <c r="E2941" s="34"/>
      <c r="F2941" s="32"/>
      <c r="G2941" s="35" t="str">
        <f aca="false">IF(A2941="","",A2941+7-WEEKDAY(A2941))</f>
        <v/>
      </c>
      <c r="H2941" s="36" t="str">
        <f aca="false">IF(A2941="","",DATE(YEAR(A2941),MONTH(A2941),1))</f>
        <v/>
      </c>
      <c r="I2941" s="37" t="str">
        <f aca="false">IF(B2941="","",IFERROR(INDEX(st_ID,MATCH(B2941,st_Name,0)),"Unknown"))</f>
        <v/>
      </c>
      <c r="J2941" s="37" t="str">
        <f aca="false">IF(C2941="","",IFERROR(INDEX(cl_Code,MATCH(C2941,cl_Name,0)),"Unknown"))</f>
        <v/>
      </c>
      <c r="K2941" s="37" t="str">
        <f aca="false">IF(D2941="","",IFERROR(INDEX(rt_Billable,MATCH(D2941,rt_Code,0)),"Unknown"))</f>
        <v/>
      </c>
      <c r="L2941" s="38" t="str">
        <f aca="false">IF(K2941&lt;&gt;"Yes","",IFERROR(INDEX(cr_Rate,MATCH(J2941&amp;"|"&amp;D2941,cr_Key,0)),INDEX(rt_Rate,MATCH(D2941,rt_Code,0))))</f>
        <v/>
      </c>
      <c r="M2941" s="25" t="str">
        <f aca="false">IF(L2941="","",ROUND(N(E2941)*L2941,2))</f>
        <v/>
      </c>
      <c r="N2941" s="39" t="str">
        <f aca="false">IF(OR(A2941="",B2941=""),"",SUMIFS(tl_Hours,tl_StaffID,I2941,tl_Date,A2941))</f>
        <v/>
      </c>
      <c r="O2941" s="40" t="str">
        <f aca="false">IF(A2941&amp;B2941&amp;D2941="","",IF(OR(A2941="",B2941="",D2941="",E2941=""),"Incomplete",IF(K2941="Unknown","Unknown code",IF(AND(K2941="Yes",C2941=""),"Billable, needs client",IF(N2941&gt;MaxDayHours,"Over "&amp;MaxDayHours&amp;" hours that day","")))))</f>
        <v/>
      </c>
    </row>
    <row r="2942" customFormat="false" ht="15" hidden="false" customHeight="false" outlineLevel="0" collapsed="false">
      <c r="A2942" s="31"/>
      <c r="B2942" s="32"/>
      <c r="C2942" s="32"/>
      <c r="D2942" s="33"/>
      <c r="E2942" s="34"/>
      <c r="F2942" s="32"/>
      <c r="G2942" s="35" t="str">
        <f aca="false">IF(A2942="","",A2942+7-WEEKDAY(A2942))</f>
        <v/>
      </c>
      <c r="H2942" s="36" t="str">
        <f aca="false">IF(A2942="","",DATE(YEAR(A2942),MONTH(A2942),1))</f>
        <v/>
      </c>
      <c r="I2942" s="37" t="str">
        <f aca="false">IF(B2942="","",IFERROR(INDEX(st_ID,MATCH(B2942,st_Name,0)),"Unknown"))</f>
        <v/>
      </c>
      <c r="J2942" s="37" t="str">
        <f aca="false">IF(C2942="","",IFERROR(INDEX(cl_Code,MATCH(C2942,cl_Name,0)),"Unknown"))</f>
        <v/>
      </c>
      <c r="K2942" s="37" t="str">
        <f aca="false">IF(D2942="","",IFERROR(INDEX(rt_Billable,MATCH(D2942,rt_Code,0)),"Unknown"))</f>
        <v/>
      </c>
      <c r="L2942" s="38" t="str">
        <f aca="false">IF(K2942&lt;&gt;"Yes","",IFERROR(INDEX(cr_Rate,MATCH(J2942&amp;"|"&amp;D2942,cr_Key,0)),INDEX(rt_Rate,MATCH(D2942,rt_Code,0))))</f>
        <v/>
      </c>
      <c r="M2942" s="25" t="str">
        <f aca="false">IF(L2942="","",ROUND(N(E2942)*L2942,2))</f>
        <v/>
      </c>
      <c r="N2942" s="39" t="str">
        <f aca="false">IF(OR(A2942="",B2942=""),"",SUMIFS(tl_Hours,tl_StaffID,I2942,tl_Date,A2942))</f>
        <v/>
      </c>
      <c r="O2942" s="40" t="str">
        <f aca="false">IF(A2942&amp;B2942&amp;D2942="","",IF(OR(A2942="",B2942="",D2942="",E2942=""),"Incomplete",IF(K2942="Unknown","Unknown code",IF(AND(K2942="Yes",C2942=""),"Billable, needs client",IF(N2942&gt;MaxDayHours,"Over "&amp;MaxDayHours&amp;" hours that day","")))))</f>
        <v/>
      </c>
    </row>
    <row r="2943" customFormat="false" ht="15" hidden="false" customHeight="false" outlineLevel="0" collapsed="false">
      <c r="A2943" s="31"/>
      <c r="B2943" s="32"/>
      <c r="C2943" s="32"/>
      <c r="D2943" s="33"/>
      <c r="E2943" s="34"/>
      <c r="F2943" s="32"/>
      <c r="G2943" s="35" t="str">
        <f aca="false">IF(A2943="","",A2943+7-WEEKDAY(A2943))</f>
        <v/>
      </c>
      <c r="H2943" s="36" t="str">
        <f aca="false">IF(A2943="","",DATE(YEAR(A2943),MONTH(A2943),1))</f>
        <v/>
      </c>
      <c r="I2943" s="37" t="str">
        <f aca="false">IF(B2943="","",IFERROR(INDEX(st_ID,MATCH(B2943,st_Name,0)),"Unknown"))</f>
        <v/>
      </c>
      <c r="J2943" s="37" t="str">
        <f aca="false">IF(C2943="","",IFERROR(INDEX(cl_Code,MATCH(C2943,cl_Name,0)),"Unknown"))</f>
        <v/>
      </c>
      <c r="K2943" s="37" t="str">
        <f aca="false">IF(D2943="","",IFERROR(INDEX(rt_Billable,MATCH(D2943,rt_Code,0)),"Unknown"))</f>
        <v/>
      </c>
      <c r="L2943" s="38" t="str">
        <f aca="false">IF(K2943&lt;&gt;"Yes","",IFERROR(INDEX(cr_Rate,MATCH(J2943&amp;"|"&amp;D2943,cr_Key,0)),INDEX(rt_Rate,MATCH(D2943,rt_Code,0))))</f>
        <v/>
      </c>
      <c r="M2943" s="25" t="str">
        <f aca="false">IF(L2943="","",ROUND(N(E2943)*L2943,2))</f>
        <v/>
      </c>
      <c r="N2943" s="39" t="str">
        <f aca="false">IF(OR(A2943="",B2943=""),"",SUMIFS(tl_Hours,tl_StaffID,I2943,tl_Date,A2943))</f>
        <v/>
      </c>
      <c r="O2943" s="40" t="str">
        <f aca="false">IF(A2943&amp;B2943&amp;D2943="","",IF(OR(A2943="",B2943="",D2943="",E2943=""),"Incomplete",IF(K2943="Unknown","Unknown code",IF(AND(K2943="Yes",C2943=""),"Billable, needs client",IF(N2943&gt;MaxDayHours,"Over "&amp;MaxDayHours&amp;" hours that day","")))))</f>
        <v/>
      </c>
    </row>
    <row r="2944" customFormat="false" ht="15" hidden="false" customHeight="false" outlineLevel="0" collapsed="false">
      <c r="A2944" s="31"/>
      <c r="B2944" s="32"/>
      <c r="C2944" s="32"/>
      <c r="D2944" s="33"/>
      <c r="E2944" s="34"/>
      <c r="F2944" s="32"/>
      <c r="G2944" s="35" t="str">
        <f aca="false">IF(A2944="","",A2944+7-WEEKDAY(A2944))</f>
        <v/>
      </c>
      <c r="H2944" s="36" t="str">
        <f aca="false">IF(A2944="","",DATE(YEAR(A2944),MONTH(A2944),1))</f>
        <v/>
      </c>
      <c r="I2944" s="37" t="str">
        <f aca="false">IF(B2944="","",IFERROR(INDEX(st_ID,MATCH(B2944,st_Name,0)),"Unknown"))</f>
        <v/>
      </c>
      <c r="J2944" s="37" t="str">
        <f aca="false">IF(C2944="","",IFERROR(INDEX(cl_Code,MATCH(C2944,cl_Name,0)),"Unknown"))</f>
        <v/>
      </c>
      <c r="K2944" s="37" t="str">
        <f aca="false">IF(D2944="","",IFERROR(INDEX(rt_Billable,MATCH(D2944,rt_Code,0)),"Unknown"))</f>
        <v/>
      </c>
      <c r="L2944" s="38" t="str">
        <f aca="false">IF(K2944&lt;&gt;"Yes","",IFERROR(INDEX(cr_Rate,MATCH(J2944&amp;"|"&amp;D2944,cr_Key,0)),INDEX(rt_Rate,MATCH(D2944,rt_Code,0))))</f>
        <v/>
      </c>
      <c r="M2944" s="25" t="str">
        <f aca="false">IF(L2944="","",ROUND(N(E2944)*L2944,2))</f>
        <v/>
      </c>
      <c r="N2944" s="39" t="str">
        <f aca="false">IF(OR(A2944="",B2944=""),"",SUMIFS(tl_Hours,tl_StaffID,I2944,tl_Date,A2944))</f>
        <v/>
      </c>
      <c r="O2944" s="40" t="str">
        <f aca="false">IF(A2944&amp;B2944&amp;D2944="","",IF(OR(A2944="",B2944="",D2944="",E2944=""),"Incomplete",IF(K2944="Unknown","Unknown code",IF(AND(K2944="Yes",C2944=""),"Billable, needs client",IF(N2944&gt;MaxDayHours,"Over "&amp;MaxDayHours&amp;" hours that day","")))))</f>
        <v/>
      </c>
    </row>
    <row r="2945" customFormat="false" ht="15" hidden="false" customHeight="false" outlineLevel="0" collapsed="false">
      <c r="A2945" s="31"/>
      <c r="B2945" s="32"/>
      <c r="C2945" s="32"/>
      <c r="D2945" s="33"/>
      <c r="E2945" s="34"/>
      <c r="F2945" s="32"/>
      <c r="G2945" s="35" t="str">
        <f aca="false">IF(A2945="","",A2945+7-WEEKDAY(A2945))</f>
        <v/>
      </c>
      <c r="H2945" s="36" t="str">
        <f aca="false">IF(A2945="","",DATE(YEAR(A2945),MONTH(A2945),1))</f>
        <v/>
      </c>
      <c r="I2945" s="37" t="str">
        <f aca="false">IF(B2945="","",IFERROR(INDEX(st_ID,MATCH(B2945,st_Name,0)),"Unknown"))</f>
        <v/>
      </c>
      <c r="J2945" s="37" t="str">
        <f aca="false">IF(C2945="","",IFERROR(INDEX(cl_Code,MATCH(C2945,cl_Name,0)),"Unknown"))</f>
        <v/>
      </c>
      <c r="K2945" s="37" t="str">
        <f aca="false">IF(D2945="","",IFERROR(INDEX(rt_Billable,MATCH(D2945,rt_Code,0)),"Unknown"))</f>
        <v/>
      </c>
      <c r="L2945" s="38" t="str">
        <f aca="false">IF(K2945&lt;&gt;"Yes","",IFERROR(INDEX(cr_Rate,MATCH(J2945&amp;"|"&amp;D2945,cr_Key,0)),INDEX(rt_Rate,MATCH(D2945,rt_Code,0))))</f>
        <v/>
      </c>
      <c r="M2945" s="25" t="str">
        <f aca="false">IF(L2945="","",ROUND(N(E2945)*L2945,2))</f>
        <v/>
      </c>
      <c r="N2945" s="39" t="str">
        <f aca="false">IF(OR(A2945="",B2945=""),"",SUMIFS(tl_Hours,tl_StaffID,I2945,tl_Date,A2945))</f>
        <v/>
      </c>
      <c r="O2945" s="40" t="str">
        <f aca="false">IF(A2945&amp;B2945&amp;D2945="","",IF(OR(A2945="",B2945="",D2945="",E2945=""),"Incomplete",IF(K2945="Unknown","Unknown code",IF(AND(K2945="Yes",C2945=""),"Billable, needs client",IF(N2945&gt;MaxDayHours,"Over "&amp;MaxDayHours&amp;" hours that day","")))))</f>
        <v/>
      </c>
    </row>
    <row r="2946" customFormat="false" ht="15" hidden="false" customHeight="false" outlineLevel="0" collapsed="false">
      <c r="A2946" s="31"/>
      <c r="B2946" s="32"/>
      <c r="C2946" s="32"/>
      <c r="D2946" s="33"/>
      <c r="E2946" s="34"/>
      <c r="F2946" s="32"/>
      <c r="G2946" s="35" t="str">
        <f aca="false">IF(A2946="","",A2946+7-WEEKDAY(A2946))</f>
        <v/>
      </c>
      <c r="H2946" s="36" t="str">
        <f aca="false">IF(A2946="","",DATE(YEAR(A2946),MONTH(A2946),1))</f>
        <v/>
      </c>
      <c r="I2946" s="37" t="str">
        <f aca="false">IF(B2946="","",IFERROR(INDEX(st_ID,MATCH(B2946,st_Name,0)),"Unknown"))</f>
        <v/>
      </c>
      <c r="J2946" s="37" t="str">
        <f aca="false">IF(C2946="","",IFERROR(INDEX(cl_Code,MATCH(C2946,cl_Name,0)),"Unknown"))</f>
        <v/>
      </c>
      <c r="K2946" s="37" t="str">
        <f aca="false">IF(D2946="","",IFERROR(INDEX(rt_Billable,MATCH(D2946,rt_Code,0)),"Unknown"))</f>
        <v/>
      </c>
      <c r="L2946" s="38" t="str">
        <f aca="false">IF(K2946&lt;&gt;"Yes","",IFERROR(INDEX(cr_Rate,MATCH(J2946&amp;"|"&amp;D2946,cr_Key,0)),INDEX(rt_Rate,MATCH(D2946,rt_Code,0))))</f>
        <v/>
      </c>
      <c r="M2946" s="25" t="str">
        <f aca="false">IF(L2946="","",ROUND(N(E2946)*L2946,2))</f>
        <v/>
      </c>
      <c r="N2946" s="39" t="str">
        <f aca="false">IF(OR(A2946="",B2946=""),"",SUMIFS(tl_Hours,tl_StaffID,I2946,tl_Date,A2946))</f>
        <v/>
      </c>
      <c r="O2946" s="40" t="str">
        <f aca="false">IF(A2946&amp;B2946&amp;D2946="","",IF(OR(A2946="",B2946="",D2946="",E2946=""),"Incomplete",IF(K2946="Unknown","Unknown code",IF(AND(K2946="Yes",C2946=""),"Billable, needs client",IF(N2946&gt;MaxDayHours,"Over "&amp;MaxDayHours&amp;" hours that day","")))))</f>
        <v/>
      </c>
    </row>
    <row r="2947" customFormat="false" ht="15" hidden="false" customHeight="false" outlineLevel="0" collapsed="false">
      <c r="A2947" s="31"/>
      <c r="B2947" s="32"/>
      <c r="C2947" s="32"/>
      <c r="D2947" s="33"/>
      <c r="E2947" s="34"/>
      <c r="F2947" s="32"/>
      <c r="G2947" s="35" t="str">
        <f aca="false">IF(A2947="","",A2947+7-WEEKDAY(A2947))</f>
        <v/>
      </c>
      <c r="H2947" s="36" t="str">
        <f aca="false">IF(A2947="","",DATE(YEAR(A2947),MONTH(A2947),1))</f>
        <v/>
      </c>
      <c r="I2947" s="37" t="str">
        <f aca="false">IF(B2947="","",IFERROR(INDEX(st_ID,MATCH(B2947,st_Name,0)),"Unknown"))</f>
        <v/>
      </c>
      <c r="J2947" s="37" t="str">
        <f aca="false">IF(C2947="","",IFERROR(INDEX(cl_Code,MATCH(C2947,cl_Name,0)),"Unknown"))</f>
        <v/>
      </c>
      <c r="K2947" s="37" t="str">
        <f aca="false">IF(D2947="","",IFERROR(INDEX(rt_Billable,MATCH(D2947,rt_Code,0)),"Unknown"))</f>
        <v/>
      </c>
      <c r="L2947" s="38" t="str">
        <f aca="false">IF(K2947&lt;&gt;"Yes","",IFERROR(INDEX(cr_Rate,MATCH(J2947&amp;"|"&amp;D2947,cr_Key,0)),INDEX(rt_Rate,MATCH(D2947,rt_Code,0))))</f>
        <v/>
      </c>
      <c r="M2947" s="25" t="str">
        <f aca="false">IF(L2947="","",ROUND(N(E2947)*L2947,2))</f>
        <v/>
      </c>
      <c r="N2947" s="39" t="str">
        <f aca="false">IF(OR(A2947="",B2947=""),"",SUMIFS(tl_Hours,tl_StaffID,I2947,tl_Date,A2947))</f>
        <v/>
      </c>
      <c r="O2947" s="40" t="str">
        <f aca="false">IF(A2947&amp;B2947&amp;D2947="","",IF(OR(A2947="",B2947="",D2947="",E2947=""),"Incomplete",IF(K2947="Unknown","Unknown code",IF(AND(K2947="Yes",C2947=""),"Billable, needs client",IF(N2947&gt;MaxDayHours,"Over "&amp;MaxDayHours&amp;" hours that day","")))))</f>
        <v/>
      </c>
    </row>
    <row r="2948" customFormat="false" ht="15" hidden="false" customHeight="false" outlineLevel="0" collapsed="false">
      <c r="A2948" s="31"/>
      <c r="B2948" s="32"/>
      <c r="C2948" s="32"/>
      <c r="D2948" s="33"/>
      <c r="E2948" s="34"/>
      <c r="F2948" s="32"/>
      <c r="G2948" s="35" t="str">
        <f aca="false">IF(A2948="","",A2948+7-WEEKDAY(A2948))</f>
        <v/>
      </c>
      <c r="H2948" s="36" t="str">
        <f aca="false">IF(A2948="","",DATE(YEAR(A2948),MONTH(A2948),1))</f>
        <v/>
      </c>
      <c r="I2948" s="37" t="str">
        <f aca="false">IF(B2948="","",IFERROR(INDEX(st_ID,MATCH(B2948,st_Name,0)),"Unknown"))</f>
        <v/>
      </c>
      <c r="J2948" s="37" t="str">
        <f aca="false">IF(C2948="","",IFERROR(INDEX(cl_Code,MATCH(C2948,cl_Name,0)),"Unknown"))</f>
        <v/>
      </c>
      <c r="K2948" s="37" t="str">
        <f aca="false">IF(D2948="","",IFERROR(INDEX(rt_Billable,MATCH(D2948,rt_Code,0)),"Unknown"))</f>
        <v/>
      </c>
      <c r="L2948" s="38" t="str">
        <f aca="false">IF(K2948&lt;&gt;"Yes","",IFERROR(INDEX(cr_Rate,MATCH(J2948&amp;"|"&amp;D2948,cr_Key,0)),INDEX(rt_Rate,MATCH(D2948,rt_Code,0))))</f>
        <v/>
      </c>
      <c r="M2948" s="25" t="str">
        <f aca="false">IF(L2948="","",ROUND(N(E2948)*L2948,2))</f>
        <v/>
      </c>
      <c r="N2948" s="39" t="str">
        <f aca="false">IF(OR(A2948="",B2948=""),"",SUMIFS(tl_Hours,tl_StaffID,I2948,tl_Date,A2948))</f>
        <v/>
      </c>
      <c r="O2948" s="40" t="str">
        <f aca="false">IF(A2948&amp;B2948&amp;D2948="","",IF(OR(A2948="",B2948="",D2948="",E2948=""),"Incomplete",IF(K2948="Unknown","Unknown code",IF(AND(K2948="Yes",C2948=""),"Billable, needs client",IF(N2948&gt;MaxDayHours,"Over "&amp;MaxDayHours&amp;" hours that day","")))))</f>
        <v/>
      </c>
    </row>
    <row r="2949" customFormat="false" ht="15" hidden="false" customHeight="false" outlineLevel="0" collapsed="false">
      <c r="A2949" s="31"/>
      <c r="B2949" s="32"/>
      <c r="C2949" s="32"/>
      <c r="D2949" s="33"/>
      <c r="E2949" s="34"/>
      <c r="F2949" s="32"/>
      <c r="G2949" s="35" t="str">
        <f aca="false">IF(A2949="","",A2949+7-WEEKDAY(A2949))</f>
        <v/>
      </c>
      <c r="H2949" s="36" t="str">
        <f aca="false">IF(A2949="","",DATE(YEAR(A2949),MONTH(A2949),1))</f>
        <v/>
      </c>
      <c r="I2949" s="37" t="str">
        <f aca="false">IF(B2949="","",IFERROR(INDEX(st_ID,MATCH(B2949,st_Name,0)),"Unknown"))</f>
        <v/>
      </c>
      <c r="J2949" s="37" t="str">
        <f aca="false">IF(C2949="","",IFERROR(INDEX(cl_Code,MATCH(C2949,cl_Name,0)),"Unknown"))</f>
        <v/>
      </c>
      <c r="K2949" s="37" t="str">
        <f aca="false">IF(D2949="","",IFERROR(INDEX(rt_Billable,MATCH(D2949,rt_Code,0)),"Unknown"))</f>
        <v/>
      </c>
      <c r="L2949" s="38" t="str">
        <f aca="false">IF(K2949&lt;&gt;"Yes","",IFERROR(INDEX(cr_Rate,MATCH(J2949&amp;"|"&amp;D2949,cr_Key,0)),INDEX(rt_Rate,MATCH(D2949,rt_Code,0))))</f>
        <v/>
      </c>
      <c r="M2949" s="25" t="str">
        <f aca="false">IF(L2949="","",ROUND(N(E2949)*L2949,2))</f>
        <v/>
      </c>
      <c r="N2949" s="39" t="str">
        <f aca="false">IF(OR(A2949="",B2949=""),"",SUMIFS(tl_Hours,tl_StaffID,I2949,tl_Date,A2949))</f>
        <v/>
      </c>
      <c r="O2949" s="40" t="str">
        <f aca="false">IF(A2949&amp;B2949&amp;D2949="","",IF(OR(A2949="",B2949="",D2949="",E2949=""),"Incomplete",IF(K2949="Unknown","Unknown code",IF(AND(K2949="Yes",C2949=""),"Billable, needs client",IF(N2949&gt;MaxDayHours,"Over "&amp;MaxDayHours&amp;" hours that day","")))))</f>
        <v/>
      </c>
    </row>
    <row r="2950" customFormat="false" ht="15" hidden="false" customHeight="false" outlineLevel="0" collapsed="false">
      <c r="A2950" s="31"/>
      <c r="B2950" s="32"/>
      <c r="C2950" s="32"/>
      <c r="D2950" s="33"/>
      <c r="E2950" s="34"/>
      <c r="F2950" s="32"/>
      <c r="G2950" s="35" t="str">
        <f aca="false">IF(A2950="","",A2950+7-WEEKDAY(A2950))</f>
        <v/>
      </c>
      <c r="H2950" s="36" t="str">
        <f aca="false">IF(A2950="","",DATE(YEAR(A2950),MONTH(A2950),1))</f>
        <v/>
      </c>
      <c r="I2950" s="37" t="str">
        <f aca="false">IF(B2950="","",IFERROR(INDEX(st_ID,MATCH(B2950,st_Name,0)),"Unknown"))</f>
        <v/>
      </c>
      <c r="J2950" s="37" t="str">
        <f aca="false">IF(C2950="","",IFERROR(INDEX(cl_Code,MATCH(C2950,cl_Name,0)),"Unknown"))</f>
        <v/>
      </c>
      <c r="K2950" s="37" t="str">
        <f aca="false">IF(D2950="","",IFERROR(INDEX(rt_Billable,MATCH(D2950,rt_Code,0)),"Unknown"))</f>
        <v/>
      </c>
      <c r="L2950" s="38" t="str">
        <f aca="false">IF(K2950&lt;&gt;"Yes","",IFERROR(INDEX(cr_Rate,MATCH(J2950&amp;"|"&amp;D2950,cr_Key,0)),INDEX(rt_Rate,MATCH(D2950,rt_Code,0))))</f>
        <v/>
      </c>
      <c r="M2950" s="25" t="str">
        <f aca="false">IF(L2950="","",ROUND(N(E2950)*L2950,2))</f>
        <v/>
      </c>
      <c r="N2950" s="39" t="str">
        <f aca="false">IF(OR(A2950="",B2950=""),"",SUMIFS(tl_Hours,tl_StaffID,I2950,tl_Date,A2950))</f>
        <v/>
      </c>
      <c r="O2950" s="40" t="str">
        <f aca="false">IF(A2950&amp;B2950&amp;D2950="","",IF(OR(A2950="",B2950="",D2950="",E2950=""),"Incomplete",IF(K2950="Unknown","Unknown code",IF(AND(K2950="Yes",C2950=""),"Billable, needs client",IF(N2950&gt;MaxDayHours,"Over "&amp;MaxDayHours&amp;" hours that day","")))))</f>
        <v/>
      </c>
    </row>
    <row r="2951" customFormat="false" ht="15" hidden="false" customHeight="false" outlineLevel="0" collapsed="false">
      <c r="A2951" s="31"/>
      <c r="B2951" s="32"/>
      <c r="C2951" s="32"/>
      <c r="D2951" s="33"/>
      <c r="E2951" s="34"/>
      <c r="F2951" s="32"/>
      <c r="G2951" s="35" t="str">
        <f aca="false">IF(A2951="","",A2951+7-WEEKDAY(A2951))</f>
        <v/>
      </c>
      <c r="H2951" s="36" t="str">
        <f aca="false">IF(A2951="","",DATE(YEAR(A2951),MONTH(A2951),1))</f>
        <v/>
      </c>
      <c r="I2951" s="37" t="str">
        <f aca="false">IF(B2951="","",IFERROR(INDEX(st_ID,MATCH(B2951,st_Name,0)),"Unknown"))</f>
        <v/>
      </c>
      <c r="J2951" s="37" t="str">
        <f aca="false">IF(C2951="","",IFERROR(INDEX(cl_Code,MATCH(C2951,cl_Name,0)),"Unknown"))</f>
        <v/>
      </c>
      <c r="K2951" s="37" t="str">
        <f aca="false">IF(D2951="","",IFERROR(INDEX(rt_Billable,MATCH(D2951,rt_Code,0)),"Unknown"))</f>
        <v/>
      </c>
      <c r="L2951" s="38" t="str">
        <f aca="false">IF(K2951&lt;&gt;"Yes","",IFERROR(INDEX(cr_Rate,MATCH(J2951&amp;"|"&amp;D2951,cr_Key,0)),INDEX(rt_Rate,MATCH(D2951,rt_Code,0))))</f>
        <v/>
      </c>
      <c r="M2951" s="25" t="str">
        <f aca="false">IF(L2951="","",ROUND(N(E2951)*L2951,2))</f>
        <v/>
      </c>
      <c r="N2951" s="39" t="str">
        <f aca="false">IF(OR(A2951="",B2951=""),"",SUMIFS(tl_Hours,tl_StaffID,I2951,tl_Date,A2951))</f>
        <v/>
      </c>
      <c r="O2951" s="40" t="str">
        <f aca="false">IF(A2951&amp;B2951&amp;D2951="","",IF(OR(A2951="",B2951="",D2951="",E2951=""),"Incomplete",IF(K2951="Unknown","Unknown code",IF(AND(K2951="Yes",C2951=""),"Billable, needs client",IF(N2951&gt;MaxDayHours,"Over "&amp;MaxDayHours&amp;" hours that day","")))))</f>
        <v/>
      </c>
    </row>
    <row r="2952" customFormat="false" ht="15" hidden="false" customHeight="false" outlineLevel="0" collapsed="false">
      <c r="A2952" s="31"/>
      <c r="B2952" s="32"/>
      <c r="C2952" s="32"/>
      <c r="D2952" s="33"/>
      <c r="E2952" s="34"/>
      <c r="F2952" s="32"/>
      <c r="G2952" s="35" t="str">
        <f aca="false">IF(A2952="","",A2952+7-WEEKDAY(A2952))</f>
        <v/>
      </c>
      <c r="H2952" s="36" t="str">
        <f aca="false">IF(A2952="","",DATE(YEAR(A2952),MONTH(A2952),1))</f>
        <v/>
      </c>
      <c r="I2952" s="37" t="str">
        <f aca="false">IF(B2952="","",IFERROR(INDEX(st_ID,MATCH(B2952,st_Name,0)),"Unknown"))</f>
        <v/>
      </c>
      <c r="J2952" s="37" t="str">
        <f aca="false">IF(C2952="","",IFERROR(INDEX(cl_Code,MATCH(C2952,cl_Name,0)),"Unknown"))</f>
        <v/>
      </c>
      <c r="K2952" s="37" t="str">
        <f aca="false">IF(D2952="","",IFERROR(INDEX(rt_Billable,MATCH(D2952,rt_Code,0)),"Unknown"))</f>
        <v/>
      </c>
      <c r="L2952" s="38" t="str">
        <f aca="false">IF(K2952&lt;&gt;"Yes","",IFERROR(INDEX(cr_Rate,MATCH(J2952&amp;"|"&amp;D2952,cr_Key,0)),INDEX(rt_Rate,MATCH(D2952,rt_Code,0))))</f>
        <v/>
      </c>
      <c r="M2952" s="25" t="str">
        <f aca="false">IF(L2952="","",ROUND(N(E2952)*L2952,2))</f>
        <v/>
      </c>
      <c r="N2952" s="39" t="str">
        <f aca="false">IF(OR(A2952="",B2952=""),"",SUMIFS(tl_Hours,tl_StaffID,I2952,tl_Date,A2952))</f>
        <v/>
      </c>
      <c r="O2952" s="40" t="str">
        <f aca="false">IF(A2952&amp;B2952&amp;D2952="","",IF(OR(A2952="",B2952="",D2952="",E2952=""),"Incomplete",IF(K2952="Unknown","Unknown code",IF(AND(K2952="Yes",C2952=""),"Billable, needs client",IF(N2952&gt;MaxDayHours,"Over "&amp;MaxDayHours&amp;" hours that day","")))))</f>
        <v/>
      </c>
    </row>
    <row r="2953" customFormat="false" ht="15" hidden="false" customHeight="false" outlineLevel="0" collapsed="false">
      <c r="A2953" s="31"/>
      <c r="B2953" s="32"/>
      <c r="C2953" s="32"/>
      <c r="D2953" s="33"/>
      <c r="E2953" s="34"/>
      <c r="F2953" s="32"/>
      <c r="G2953" s="35" t="str">
        <f aca="false">IF(A2953="","",A2953+7-WEEKDAY(A2953))</f>
        <v/>
      </c>
      <c r="H2953" s="36" t="str">
        <f aca="false">IF(A2953="","",DATE(YEAR(A2953),MONTH(A2953),1))</f>
        <v/>
      </c>
      <c r="I2953" s="37" t="str">
        <f aca="false">IF(B2953="","",IFERROR(INDEX(st_ID,MATCH(B2953,st_Name,0)),"Unknown"))</f>
        <v/>
      </c>
      <c r="J2953" s="37" t="str">
        <f aca="false">IF(C2953="","",IFERROR(INDEX(cl_Code,MATCH(C2953,cl_Name,0)),"Unknown"))</f>
        <v/>
      </c>
      <c r="K2953" s="37" t="str">
        <f aca="false">IF(D2953="","",IFERROR(INDEX(rt_Billable,MATCH(D2953,rt_Code,0)),"Unknown"))</f>
        <v/>
      </c>
      <c r="L2953" s="38" t="str">
        <f aca="false">IF(K2953&lt;&gt;"Yes","",IFERROR(INDEX(cr_Rate,MATCH(J2953&amp;"|"&amp;D2953,cr_Key,0)),INDEX(rt_Rate,MATCH(D2953,rt_Code,0))))</f>
        <v/>
      </c>
      <c r="M2953" s="25" t="str">
        <f aca="false">IF(L2953="","",ROUND(N(E2953)*L2953,2))</f>
        <v/>
      </c>
      <c r="N2953" s="39" t="str">
        <f aca="false">IF(OR(A2953="",B2953=""),"",SUMIFS(tl_Hours,tl_StaffID,I2953,tl_Date,A2953))</f>
        <v/>
      </c>
      <c r="O2953" s="40" t="str">
        <f aca="false">IF(A2953&amp;B2953&amp;D2953="","",IF(OR(A2953="",B2953="",D2953="",E2953=""),"Incomplete",IF(K2953="Unknown","Unknown code",IF(AND(K2953="Yes",C2953=""),"Billable, needs client",IF(N2953&gt;MaxDayHours,"Over "&amp;MaxDayHours&amp;" hours that day","")))))</f>
        <v/>
      </c>
    </row>
    <row r="2954" customFormat="false" ht="15" hidden="false" customHeight="false" outlineLevel="0" collapsed="false">
      <c r="A2954" s="31"/>
      <c r="B2954" s="32"/>
      <c r="C2954" s="32"/>
      <c r="D2954" s="33"/>
      <c r="E2954" s="34"/>
      <c r="F2954" s="32"/>
      <c r="G2954" s="35" t="str">
        <f aca="false">IF(A2954="","",A2954+7-WEEKDAY(A2954))</f>
        <v/>
      </c>
      <c r="H2954" s="36" t="str">
        <f aca="false">IF(A2954="","",DATE(YEAR(A2954),MONTH(A2954),1))</f>
        <v/>
      </c>
      <c r="I2954" s="37" t="str">
        <f aca="false">IF(B2954="","",IFERROR(INDEX(st_ID,MATCH(B2954,st_Name,0)),"Unknown"))</f>
        <v/>
      </c>
      <c r="J2954" s="37" t="str">
        <f aca="false">IF(C2954="","",IFERROR(INDEX(cl_Code,MATCH(C2954,cl_Name,0)),"Unknown"))</f>
        <v/>
      </c>
      <c r="K2954" s="37" t="str">
        <f aca="false">IF(D2954="","",IFERROR(INDEX(rt_Billable,MATCH(D2954,rt_Code,0)),"Unknown"))</f>
        <v/>
      </c>
      <c r="L2954" s="38" t="str">
        <f aca="false">IF(K2954&lt;&gt;"Yes","",IFERROR(INDEX(cr_Rate,MATCH(J2954&amp;"|"&amp;D2954,cr_Key,0)),INDEX(rt_Rate,MATCH(D2954,rt_Code,0))))</f>
        <v/>
      </c>
      <c r="M2954" s="25" t="str">
        <f aca="false">IF(L2954="","",ROUND(N(E2954)*L2954,2))</f>
        <v/>
      </c>
      <c r="N2954" s="39" t="str">
        <f aca="false">IF(OR(A2954="",B2954=""),"",SUMIFS(tl_Hours,tl_StaffID,I2954,tl_Date,A2954))</f>
        <v/>
      </c>
      <c r="O2954" s="40" t="str">
        <f aca="false">IF(A2954&amp;B2954&amp;D2954="","",IF(OR(A2954="",B2954="",D2954="",E2954=""),"Incomplete",IF(K2954="Unknown","Unknown code",IF(AND(K2954="Yes",C2954=""),"Billable, needs client",IF(N2954&gt;MaxDayHours,"Over "&amp;MaxDayHours&amp;" hours that day","")))))</f>
        <v/>
      </c>
    </row>
    <row r="2955" customFormat="false" ht="15" hidden="false" customHeight="false" outlineLevel="0" collapsed="false">
      <c r="A2955" s="31"/>
      <c r="B2955" s="32"/>
      <c r="C2955" s="32"/>
      <c r="D2955" s="33"/>
      <c r="E2955" s="34"/>
      <c r="F2955" s="32"/>
      <c r="G2955" s="35" t="str">
        <f aca="false">IF(A2955="","",A2955+7-WEEKDAY(A2955))</f>
        <v/>
      </c>
      <c r="H2955" s="36" t="str">
        <f aca="false">IF(A2955="","",DATE(YEAR(A2955),MONTH(A2955),1))</f>
        <v/>
      </c>
      <c r="I2955" s="37" t="str">
        <f aca="false">IF(B2955="","",IFERROR(INDEX(st_ID,MATCH(B2955,st_Name,0)),"Unknown"))</f>
        <v/>
      </c>
      <c r="J2955" s="37" t="str">
        <f aca="false">IF(C2955="","",IFERROR(INDEX(cl_Code,MATCH(C2955,cl_Name,0)),"Unknown"))</f>
        <v/>
      </c>
      <c r="K2955" s="37" t="str">
        <f aca="false">IF(D2955="","",IFERROR(INDEX(rt_Billable,MATCH(D2955,rt_Code,0)),"Unknown"))</f>
        <v/>
      </c>
      <c r="L2955" s="38" t="str">
        <f aca="false">IF(K2955&lt;&gt;"Yes","",IFERROR(INDEX(cr_Rate,MATCH(J2955&amp;"|"&amp;D2955,cr_Key,0)),INDEX(rt_Rate,MATCH(D2955,rt_Code,0))))</f>
        <v/>
      </c>
      <c r="M2955" s="25" t="str">
        <f aca="false">IF(L2955="","",ROUND(N(E2955)*L2955,2))</f>
        <v/>
      </c>
      <c r="N2955" s="39" t="str">
        <f aca="false">IF(OR(A2955="",B2955=""),"",SUMIFS(tl_Hours,tl_StaffID,I2955,tl_Date,A2955))</f>
        <v/>
      </c>
      <c r="O2955" s="40" t="str">
        <f aca="false">IF(A2955&amp;B2955&amp;D2955="","",IF(OR(A2955="",B2955="",D2955="",E2955=""),"Incomplete",IF(K2955="Unknown","Unknown code",IF(AND(K2955="Yes",C2955=""),"Billable, needs client",IF(N2955&gt;MaxDayHours,"Over "&amp;MaxDayHours&amp;" hours that day","")))))</f>
        <v/>
      </c>
    </row>
    <row r="2956" customFormat="false" ht="15" hidden="false" customHeight="false" outlineLevel="0" collapsed="false">
      <c r="A2956" s="31"/>
      <c r="B2956" s="32"/>
      <c r="C2956" s="32"/>
      <c r="D2956" s="33"/>
      <c r="E2956" s="34"/>
      <c r="F2956" s="32"/>
      <c r="G2956" s="35" t="str">
        <f aca="false">IF(A2956="","",A2956+7-WEEKDAY(A2956))</f>
        <v/>
      </c>
      <c r="H2956" s="36" t="str">
        <f aca="false">IF(A2956="","",DATE(YEAR(A2956),MONTH(A2956),1))</f>
        <v/>
      </c>
      <c r="I2956" s="37" t="str">
        <f aca="false">IF(B2956="","",IFERROR(INDEX(st_ID,MATCH(B2956,st_Name,0)),"Unknown"))</f>
        <v/>
      </c>
      <c r="J2956" s="37" t="str">
        <f aca="false">IF(C2956="","",IFERROR(INDEX(cl_Code,MATCH(C2956,cl_Name,0)),"Unknown"))</f>
        <v/>
      </c>
      <c r="K2956" s="37" t="str">
        <f aca="false">IF(D2956="","",IFERROR(INDEX(rt_Billable,MATCH(D2956,rt_Code,0)),"Unknown"))</f>
        <v/>
      </c>
      <c r="L2956" s="38" t="str">
        <f aca="false">IF(K2956&lt;&gt;"Yes","",IFERROR(INDEX(cr_Rate,MATCH(J2956&amp;"|"&amp;D2956,cr_Key,0)),INDEX(rt_Rate,MATCH(D2956,rt_Code,0))))</f>
        <v/>
      </c>
      <c r="M2956" s="25" t="str">
        <f aca="false">IF(L2956="","",ROUND(N(E2956)*L2956,2))</f>
        <v/>
      </c>
      <c r="N2956" s="39" t="str">
        <f aca="false">IF(OR(A2956="",B2956=""),"",SUMIFS(tl_Hours,tl_StaffID,I2956,tl_Date,A2956))</f>
        <v/>
      </c>
      <c r="O2956" s="40" t="str">
        <f aca="false">IF(A2956&amp;B2956&amp;D2956="","",IF(OR(A2956="",B2956="",D2956="",E2956=""),"Incomplete",IF(K2956="Unknown","Unknown code",IF(AND(K2956="Yes",C2956=""),"Billable, needs client",IF(N2956&gt;MaxDayHours,"Over "&amp;MaxDayHours&amp;" hours that day","")))))</f>
        <v/>
      </c>
    </row>
    <row r="2957" customFormat="false" ht="15" hidden="false" customHeight="false" outlineLevel="0" collapsed="false">
      <c r="A2957" s="31"/>
      <c r="B2957" s="32"/>
      <c r="C2957" s="32"/>
      <c r="D2957" s="33"/>
      <c r="E2957" s="34"/>
      <c r="F2957" s="32"/>
      <c r="G2957" s="35" t="str">
        <f aca="false">IF(A2957="","",A2957+7-WEEKDAY(A2957))</f>
        <v/>
      </c>
      <c r="H2957" s="36" t="str">
        <f aca="false">IF(A2957="","",DATE(YEAR(A2957),MONTH(A2957),1))</f>
        <v/>
      </c>
      <c r="I2957" s="37" t="str">
        <f aca="false">IF(B2957="","",IFERROR(INDEX(st_ID,MATCH(B2957,st_Name,0)),"Unknown"))</f>
        <v/>
      </c>
      <c r="J2957" s="37" t="str">
        <f aca="false">IF(C2957="","",IFERROR(INDEX(cl_Code,MATCH(C2957,cl_Name,0)),"Unknown"))</f>
        <v/>
      </c>
      <c r="K2957" s="37" t="str">
        <f aca="false">IF(D2957="","",IFERROR(INDEX(rt_Billable,MATCH(D2957,rt_Code,0)),"Unknown"))</f>
        <v/>
      </c>
      <c r="L2957" s="38" t="str">
        <f aca="false">IF(K2957&lt;&gt;"Yes","",IFERROR(INDEX(cr_Rate,MATCH(J2957&amp;"|"&amp;D2957,cr_Key,0)),INDEX(rt_Rate,MATCH(D2957,rt_Code,0))))</f>
        <v/>
      </c>
      <c r="M2957" s="25" t="str">
        <f aca="false">IF(L2957="","",ROUND(N(E2957)*L2957,2))</f>
        <v/>
      </c>
      <c r="N2957" s="39" t="str">
        <f aca="false">IF(OR(A2957="",B2957=""),"",SUMIFS(tl_Hours,tl_StaffID,I2957,tl_Date,A2957))</f>
        <v/>
      </c>
      <c r="O2957" s="40" t="str">
        <f aca="false">IF(A2957&amp;B2957&amp;D2957="","",IF(OR(A2957="",B2957="",D2957="",E2957=""),"Incomplete",IF(K2957="Unknown","Unknown code",IF(AND(K2957="Yes",C2957=""),"Billable, needs client",IF(N2957&gt;MaxDayHours,"Over "&amp;MaxDayHours&amp;" hours that day","")))))</f>
        <v/>
      </c>
    </row>
    <row r="2958" customFormat="false" ht="15" hidden="false" customHeight="false" outlineLevel="0" collapsed="false">
      <c r="A2958" s="31"/>
      <c r="B2958" s="32"/>
      <c r="C2958" s="32"/>
      <c r="D2958" s="33"/>
      <c r="E2958" s="34"/>
      <c r="F2958" s="32"/>
      <c r="G2958" s="35" t="str">
        <f aca="false">IF(A2958="","",A2958+7-WEEKDAY(A2958))</f>
        <v/>
      </c>
      <c r="H2958" s="36" t="str">
        <f aca="false">IF(A2958="","",DATE(YEAR(A2958),MONTH(A2958),1))</f>
        <v/>
      </c>
      <c r="I2958" s="37" t="str">
        <f aca="false">IF(B2958="","",IFERROR(INDEX(st_ID,MATCH(B2958,st_Name,0)),"Unknown"))</f>
        <v/>
      </c>
      <c r="J2958" s="37" t="str">
        <f aca="false">IF(C2958="","",IFERROR(INDEX(cl_Code,MATCH(C2958,cl_Name,0)),"Unknown"))</f>
        <v/>
      </c>
      <c r="K2958" s="37" t="str">
        <f aca="false">IF(D2958="","",IFERROR(INDEX(rt_Billable,MATCH(D2958,rt_Code,0)),"Unknown"))</f>
        <v/>
      </c>
      <c r="L2958" s="38" t="str">
        <f aca="false">IF(K2958&lt;&gt;"Yes","",IFERROR(INDEX(cr_Rate,MATCH(J2958&amp;"|"&amp;D2958,cr_Key,0)),INDEX(rt_Rate,MATCH(D2958,rt_Code,0))))</f>
        <v/>
      </c>
      <c r="M2958" s="25" t="str">
        <f aca="false">IF(L2958="","",ROUND(N(E2958)*L2958,2))</f>
        <v/>
      </c>
      <c r="N2958" s="39" t="str">
        <f aca="false">IF(OR(A2958="",B2958=""),"",SUMIFS(tl_Hours,tl_StaffID,I2958,tl_Date,A2958))</f>
        <v/>
      </c>
      <c r="O2958" s="40" t="str">
        <f aca="false">IF(A2958&amp;B2958&amp;D2958="","",IF(OR(A2958="",B2958="",D2958="",E2958=""),"Incomplete",IF(K2958="Unknown","Unknown code",IF(AND(K2958="Yes",C2958=""),"Billable, needs client",IF(N2958&gt;MaxDayHours,"Over "&amp;MaxDayHours&amp;" hours that day","")))))</f>
        <v/>
      </c>
    </row>
    <row r="2959" customFormat="false" ht="15" hidden="false" customHeight="false" outlineLevel="0" collapsed="false">
      <c r="A2959" s="31"/>
      <c r="B2959" s="32"/>
      <c r="C2959" s="32"/>
      <c r="D2959" s="33"/>
      <c r="E2959" s="34"/>
      <c r="F2959" s="32"/>
      <c r="G2959" s="35" t="str">
        <f aca="false">IF(A2959="","",A2959+7-WEEKDAY(A2959))</f>
        <v/>
      </c>
      <c r="H2959" s="36" t="str">
        <f aca="false">IF(A2959="","",DATE(YEAR(A2959),MONTH(A2959),1))</f>
        <v/>
      </c>
      <c r="I2959" s="37" t="str">
        <f aca="false">IF(B2959="","",IFERROR(INDEX(st_ID,MATCH(B2959,st_Name,0)),"Unknown"))</f>
        <v/>
      </c>
      <c r="J2959" s="37" t="str">
        <f aca="false">IF(C2959="","",IFERROR(INDEX(cl_Code,MATCH(C2959,cl_Name,0)),"Unknown"))</f>
        <v/>
      </c>
      <c r="K2959" s="37" t="str">
        <f aca="false">IF(D2959="","",IFERROR(INDEX(rt_Billable,MATCH(D2959,rt_Code,0)),"Unknown"))</f>
        <v/>
      </c>
      <c r="L2959" s="38" t="str">
        <f aca="false">IF(K2959&lt;&gt;"Yes","",IFERROR(INDEX(cr_Rate,MATCH(J2959&amp;"|"&amp;D2959,cr_Key,0)),INDEX(rt_Rate,MATCH(D2959,rt_Code,0))))</f>
        <v/>
      </c>
      <c r="M2959" s="25" t="str">
        <f aca="false">IF(L2959="","",ROUND(N(E2959)*L2959,2))</f>
        <v/>
      </c>
      <c r="N2959" s="39" t="str">
        <f aca="false">IF(OR(A2959="",B2959=""),"",SUMIFS(tl_Hours,tl_StaffID,I2959,tl_Date,A2959))</f>
        <v/>
      </c>
      <c r="O2959" s="40" t="str">
        <f aca="false">IF(A2959&amp;B2959&amp;D2959="","",IF(OR(A2959="",B2959="",D2959="",E2959=""),"Incomplete",IF(K2959="Unknown","Unknown code",IF(AND(K2959="Yes",C2959=""),"Billable, needs client",IF(N2959&gt;MaxDayHours,"Over "&amp;MaxDayHours&amp;" hours that day","")))))</f>
        <v/>
      </c>
    </row>
    <row r="2960" customFormat="false" ht="15" hidden="false" customHeight="false" outlineLevel="0" collapsed="false">
      <c r="A2960" s="31"/>
      <c r="B2960" s="32"/>
      <c r="C2960" s="32"/>
      <c r="D2960" s="33"/>
      <c r="E2960" s="34"/>
      <c r="F2960" s="32"/>
      <c r="G2960" s="35" t="str">
        <f aca="false">IF(A2960="","",A2960+7-WEEKDAY(A2960))</f>
        <v/>
      </c>
      <c r="H2960" s="36" t="str">
        <f aca="false">IF(A2960="","",DATE(YEAR(A2960),MONTH(A2960),1))</f>
        <v/>
      </c>
      <c r="I2960" s="37" t="str">
        <f aca="false">IF(B2960="","",IFERROR(INDEX(st_ID,MATCH(B2960,st_Name,0)),"Unknown"))</f>
        <v/>
      </c>
      <c r="J2960" s="37" t="str">
        <f aca="false">IF(C2960="","",IFERROR(INDEX(cl_Code,MATCH(C2960,cl_Name,0)),"Unknown"))</f>
        <v/>
      </c>
      <c r="K2960" s="37" t="str">
        <f aca="false">IF(D2960="","",IFERROR(INDEX(rt_Billable,MATCH(D2960,rt_Code,0)),"Unknown"))</f>
        <v/>
      </c>
      <c r="L2960" s="38" t="str">
        <f aca="false">IF(K2960&lt;&gt;"Yes","",IFERROR(INDEX(cr_Rate,MATCH(J2960&amp;"|"&amp;D2960,cr_Key,0)),INDEX(rt_Rate,MATCH(D2960,rt_Code,0))))</f>
        <v/>
      </c>
      <c r="M2960" s="25" t="str">
        <f aca="false">IF(L2960="","",ROUND(N(E2960)*L2960,2))</f>
        <v/>
      </c>
      <c r="N2960" s="39" t="str">
        <f aca="false">IF(OR(A2960="",B2960=""),"",SUMIFS(tl_Hours,tl_StaffID,I2960,tl_Date,A2960))</f>
        <v/>
      </c>
      <c r="O2960" s="40" t="str">
        <f aca="false">IF(A2960&amp;B2960&amp;D2960="","",IF(OR(A2960="",B2960="",D2960="",E2960=""),"Incomplete",IF(K2960="Unknown","Unknown code",IF(AND(K2960="Yes",C2960=""),"Billable, needs client",IF(N2960&gt;MaxDayHours,"Over "&amp;MaxDayHours&amp;" hours that day","")))))</f>
        <v/>
      </c>
    </row>
    <row r="2961" customFormat="false" ht="15" hidden="false" customHeight="false" outlineLevel="0" collapsed="false">
      <c r="A2961" s="31"/>
      <c r="B2961" s="32"/>
      <c r="C2961" s="32"/>
      <c r="D2961" s="33"/>
      <c r="E2961" s="34"/>
      <c r="F2961" s="32"/>
      <c r="G2961" s="35" t="str">
        <f aca="false">IF(A2961="","",A2961+7-WEEKDAY(A2961))</f>
        <v/>
      </c>
      <c r="H2961" s="36" t="str">
        <f aca="false">IF(A2961="","",DATE(YEAR(A2961),MONTH(A2961),1))</f>
        <v/>
      </c>
      <c r="I2961" s="37" t="str">
        <f aca="false">IF(B2961="","",IFERROR(INDEX(st_ID,MATCH(B2961,st_Name,0)),"Unknown"))</f>
        <v/>
      </c>
      <c r="J2961" s="37" t="str">
        <f aca="false">IF(C2961="","",IFERROR(INDEX(cl_Code,MATCH(C2961,cl_Name,0)),"Unknown"))</f>
        <v/>
      </c>
      <c r="K2961" s="37" t="str">
        <f aca="false">IF(D2961="","",IFERROR(INDEX(rt_Billable,MATCH(D2961,rt_Code,0)),"Unknown"))</f>
        <v/>
      </c>
      <c r="L2961" s="38" t="str">
        <f aca="false">IF(K2961&lt;&gt;"Yes","",IFERROR(INDEX(cr_Rate,MATCH(J2961&amp;"|"&amp;D2961,cr_Key,0)),INDEX(rt_Rate,MATCH(D2961,rt_Code,0))))</f>
        <v/>
      </c>
      <c r="M2961" s="25" t="str">
        <f aca="false">IF(L2961="","",ROUND(N(E2961)*L2961,2))</f>
        <v/>
      </c>
      <c r="N2961" s="39" t="str">
        <f aca="false">IF(OR(A2961="",B2961=""),"",SUMIFS(tl_Hours,tl_StaffID,I2961,tl_Date,A2961))</f>
        <v/>
      </c>
      <c r="O2961" s="40" t="str">
        <f aca="false">IF(A2961&amp;B2961&amp;D2961="","",IF(OR(A2961="",B2961="",D2961="",E2961=""),"Incomplete",IF(K2961="Unknown","Unknown code",IF(AND(K2961="Yes",C2961=""),"Billable, needs client",IF(N2961&gt;MaxDayHours,"Over "&amp;MaxDayHours&amp;" hours that day","")))))</f>
        <v/>
      </c>
    </row>
    <row r="2962" customFormat="false" ht="15" hidden="false" customHeight="false" outlineLevel="0" collapsed="false">
      <c r="A2962" s="31"/>
      <c r="B2962" s="32"/>
      <c r="C2962" s="32"/>
      <c r="D2962" s="33"/>
      <c r="E2962" s="34"/>
      <c r="F2962" s="32"/>
      <c r="G2962" s="35" t="str">
        <f aca="false">IF(A2962="","",A2962+7-WEEKDAY(A2962))</f>
        <v/>
      </c>
      <c r="H2962" s="36" t="str">
        <f aca="false">IF(A2962="","",DATE(YEAR(A2962),MONTH(A2962),1))</f>
        <v/>
      </c>
      <c r="I2962" s="37" t="str">
        <f aca="false">IF(B2962="","",IFERROR(INDEX(st_ID,MATCH(B2962,st_Name,0)),"Unknown"))</f>
        <v/>
      </c>
      <c r="J2962" s="37" t="str">
        <f aca="false">IF(C2962="","",IFERROR(INDEX(cl_Code,MATCH(C2962,cl_Name,0)),"Unknown"))</f>
        <v/>
      </c>
      <c r="K2962" s="37" t="str">
        <f aca="false">IF(D2962="","",IFERROR(INDEX(rt_Billable,MATCH(D2962,rt_Code,0)),"Unknown"))</f>
        <v/>
      </c>
      <c r="L2962" s="38" t="str">
        <f aca="false">IF(K2962&lt;&gt;"Yes","",IFERROR(INDEX(cr_Rate,MATCH(J2962&amp;"|"&amp;D2962,cr_Key,0)),INDEX(rt_Rate,MATCH(D2962,rt_Code,0))))</f>
        <v/>
      </c>
      <c r="M2962" s="25" t="str">
        <f aca="false">IF(L2962="","",ROUND(N(E2962)*L2962,2))</f>
        <v/>
      </c>
      <c r="N2962" s="39" t="str">
        <f aca="false">IF(OR(A2962="",B2962=""),"",SUMIFS(tl_Hours,tl_StaffID,I2962,tl_Date,A2962))</f>
        <v/>
      </c>
      <c r="O2962" s="40" t="str">
        <f aca="false">IF(A2962&amp;B2962&amp;D2962="","",IF(OR(A2962="",B2962="",D2962="",E2962=""),"Incomplete",IF(K2962="Unknown","Unknown code",IF(AND(K2962="Yes",C2962=""),"Billable, needs client",IF(N2962&gt;MaxDayHours,"Over "&amp;MaxDayHours&amp;" hours that day","")))))</f>
        <v/>
      </c>
    </row>
    <row r="2963" customFormat="false" ht="15" hidden="false" customHeight="false" outlineLevel="0" collapsed="false">
      <c r="A2963" s="31"/>
      <c r="B2963" s="32"/>
      <c r="C2963" s="32"/>
      <c r="D2963" s="33"/>
      <c r="E2963" s="34"/>
      <c r="F2963" s="32"/>
      <c r="G2963" s="35" t="str">
        <f aca="false">IF(A2963="","",A2963+7-WEEKDAY(A2963))</f>
        <v/>
      </c>
      <c r="H2963" s="36" t="str">
        <f aca="false">IF(A2963="","",DATE(YEAR(A2963),MONTH(A2963),1))</f>
        <v/>
      </c>
      <c r="I2963" s="37" t="str">
        <f aca="false">IF(B2963="","",IFERROR(INDEX(st_ID,MATCH(B2963,st_Name,0)),"Unknown"))</f>
        <v/>
      </c>
      <c r="J2963" s="37" t="str">
        <f aca="false">IF(C2963="","",IFERROR(INDEX(cl_Code,MATCH(C2963,cl_Name,0)),"Unknown"))</f>
        <v/>
      </c>
      <c r="K2963" s="37" t="str">
        <f aca="false">IF(D2963="","",IFERROR(INDEX(rt_Billable,MATCH(D2963,rt_Code,0)),"Unknown"))</f>
        <v/>
      </c>
      <c r="L2963" s="38" t="str">
        <f aca="false">IF(K2963&lt;&gt;"Yes","",IFERROR(INDEX(cr_Rate,MATCH(J2963&amp;"|"&amp;D2963,cr_Key,0)),INDEX(rt_Rate,MATCH(D2963,rt_Code,0))))</f>
        <v/>
      </c>
      <c r="M2963" s="25" t="str">
        <f aca="false">IF(L2963="","",ROUND(N(E2963)*L2963,2))</f>
        <v/>
      </c>
      <c r="N2963" s="39" t="str">
        <f aca="false">IF(OR(A2963="",B2963=""),"",SUMIFS(tl_Hours,tl_StaffID,I2963,tl_Date,A2963))</f>
        <v/>
      </c>
      <c r="O2963" s="40" t="str">
        <f aca="false">IF(A2963&amp;B2963&amp;D2963="","",IF(OR(A2963="",B2963="",D2963="",E2963=""),"Incomplete",IF(K2963="Unknown","Unknown code",IF(AND(K2963="Yes",C2963=""),"Billable, needs client",IF(N2963&gt;MaxDayHours,"Over "&amp;MaxDayHours&amp;" hours that day","")))))</f>
        <v/>
      </c>
    </row>
    <row r="2964" customFormat="false" ht="15" hidden="false" customHeight="false" outlineLevel="0" collapsed="false">
      <c r="A2964" s="31"/>
      <c r="B2964" s="32"/>
      <c r="C2964" s="32"/>
      <c r="D2964" s="33"/>
      <c r="E2964" s="34"/>
      <c r="F2964" s="32"/>
      <c r="G2964" s="35" t="str">
        <f aca="false">IF(A2964="","",A2964+7-WEEKDAY(A2964))</f>
        <v/>
      </c>
      <c r="H2964" s="36" t="str">
        <f aca="false">IF(A2964="","",DATE(YEAR(A2964),MONTH(A2964),1))</f>
        <v/>
      </c>
      <c r="I2964" s="37" t="str">
        <f aca="false">IF(B2964="","",IFERROR(INDEX(st_ID,MATCH(B2964,st_Name,0)),"Unknown"))</f>
        <v/>
      </c>
      <c r="J2964" s="37" t="str">
        <f aca="false">IF(C2964="","",IFERROR(INDEX(cl_Code,MATCH(C2964,cl_Name,0)),"Unknown"))</f>
        <v/>
      </c>
      <c r="K2964" s="37" t="str">
        <f aca="false">IF(D2964="","",IFERROR(INDEX(rt_Billable,MATCH(D2964,rt_Code,0)),"Unknown"))</f>
        <v/>
      </c>
      <c r="L2964" s="38" t="str">
        <f aca="false">IF(K2964&lt;&gt;"Yes","",IFERROR(INDEX(cr_Rate,MATCH(J2964&amp;"|"&amp;D2964,cr_Key,0)),INDEX(rt_Rate,MATCH(D2964,rt_Code,0))))</f>
        <v/>
      </c>
      <c r="M2964" s="25" t="str">
        <f aca="false">IF(L2964="","",ROUND(N(E2964)*L2964,2))</f>
        <v/>
      </c>
      <c r="N2964" s="39" t="str">
        <f aca="false">IF(OR(A2964="",B2964=""),"",SUMIFS(tl_Hours,tl_StaffID,I2964,tl_Date,A2964))</f>
        <v/>
      </c>
      <c r="O2964" s="40" t="str">
        <f aca="false">IF(A2964&amp;B2964&amp;D2964="","",IF(OR(A2964="",B2964="",D2964="",E2964=""),"Incomplete",IF(K2964="Unknown","Unknown code",IF(AND(K2964="Yes",C2964=""),"Billable, needs client",IF(N2964&gt;MaxDayHours,"Over "&amp;MaxDayHours&amp;" hours that day","")))))</f>
        <v/>
      </c>
    </row>
    <row r="2965" customFormat="false" ht="15" hidden="false" customHeight="false" outlineLevel="0" collapsed="false">
      <c r="A2965" s="31"/>
      <c r="B2965" s="32"/>
      <c r="C2965" s="32"/>
      <c r="D2965" s="33"/>
      <c r="E2965" s="34"/>
      <c r="F2965" s="32"/>
      <c r="G2965" s="35" t="str">
        <f aca="false">IF(A2965="","",A2965+7-WEEKDAY(A2965))</f>
        <v/>
      </c>
      <c r="H2965" s="36" t="str">
        <f aca="false">IF(A2965="","",DATE(YEAR(A2965),MONTH(A2965),1))</f>
        <v/>
      </c>
      <c r="I2965" s="37" t="str">
        <f aca="false">IF(B2965="","",IFERROR(INDEX(st_ID,MATCH(B2965,st_Name,0)),"Unknown"))</f>
        <v/>
      </c>
      <c r="J2965" s="37" t="str">
        <f aca="false">IF(C2965="","",IFERROR(INDEX(cl_Code,MATCH(C2965,cl_Name,0)),"Unknown"))</f>
        <v/>
      </c>
      <c r="K2965" s="37" t="str">
        <f aca="false">IF(D2965="","",IFERROR(INDEX(rt_Billable,MATCH(D2965,rt_Code,0)),"Unknown"))</f>
        <v/>
      </c>
      <c r="L2965" s="38" t="str">
        <f aca="false">IF(K2965&lt;&gt;"Yes","",IFERROR(INDEX(cr_Rate,MATCH(J2965&amp;"|"&amp;D2965,cr_Key,0)),INDEX(rt_Rate,MATCH(D2965,rt_Code,0))))</f>
        <v/>
      </c>
      <c r="M2965" s="25" t="str">
        <f aca="false">IF(L2965="","",ROUND(N(E2965)*L2965,2))</f>
        <v/>
      </c>
      <c r="N2965" s="39" t="str">
        <f aca="false">IF(OR(A2965="",B2965=""),"",SUMIFS(tl_Hours,tl_StaffID,I2965,tl_Date,A2965))</f>
        <v/>
      </c>
      <c r="O2965" s="40" t="str">
        <f aca="false">IF(A2965&amp;B2965&amp;D2965="","",IF(OR(A2965="",B2965="",D2965="",E2965=""),"Incomplete",IF(K2965="Unknown","Unknown code",IF(AND(K2965="Yes",C2965=""),"Billable, needs client",IF(N2965&gt;MaxDayHours,"Over "&amp;MaxDayHours&amp;" hours that day","")))))</f>
        <v/>
      </c>
    </row>
    <row r="2966" customFormat="false" ht="15" hidden="false" customHeight="false" outlineLevel="0" collapsed="false">
      <c r="A2966" s="31"/>
      <c r="B2966" s="32"/>
      <c r="C2966" s="32"/>
      <c r="D2966" s="33"/>
      <c r="E2966" s="34"/>
      <c r="F2966" s="32"/>
      <c r="G2966" s="35" t="str">
        <f aca="false">IF(A2966="","",A2966+7-WEEKDAY(A2966))</f>
        <v/>
      </c>
      <c r="H2966" s="36" t="str">
        <f aca="false">IF(A2966="","",DATE(YEAR(A2966),MONTH(A2966),1))</f>
        <v/>
      </c>
      <c r="I2966" s="37" t="str">
        <f aca="false">IF(B2966="","",IFERROR(INDEX(st_ID,MATCH(B2966,st_Name,0)),"Unknown"))</f>
        <v/>
      </c>
      <c r="J2966" s="37" t="str">
        <f aca="false">IF(C2966="","",IFERROR(INDEX(cl_Code,MATCH(C2966,cl_Name,0)),"Unknown"))</f>
        <v/>
      </c>
      <c r="K2966" s="37" t="str">
        <f aca="false">IF(D2966="","",IFERROR(INDEX(rt_Billable,MATCH(D2966,rt_Code,0)),"Unknown"))</f>
        <v/>
      </c>
      <c r="L2966" s="38" t="str">
        <f aca="false">IF(K2966&lt;&gt;"Yes","",IFERROR(INDEX(cr_Rate,MATCH(J2966&amp;"|"&amp;D2966,cr_Key,0)),INDEX(rt_Rate,MATCH(D2966,rt_Code,0))))</f>
        <v/>
      </c>
      <c r="M2966" s="25" t="str">
        <f aca="false">IF(L2966="","",ROUND(N(E2966)*L2966,2))</f>
        <v/>
      </c>
      <c r="N2966" s="39" t="str">
        <f aca="false">IF(OR(A2966="",B2966=""),"",SUMIFS(tl_Hours,tl_StaffID,I2966,tl_Date,A2966))</f>
        <v/>
      </c>
      <c r="O2966" s="40" t="str">
        <f aca="false">IF(A2966&amp;B2966&amp;D2966="","",IF(OR(A2966="",B2966="",D2966="",E2966=""),"Incomplete",IF(K2966="Unknown","Unknown code",IF(AND(K2966="Yes",C2966=""),"Billable, needs client",IF(N2966&gt;MaxDayHours,"Over "&amp;MaxDayHours&amp;" hours that day","")))))</f>
        <v/>
      </c>
    </row>
    <row r="2967" customFormat="false" ht="15" hidden="false" customHeight="false" outlineLevel="0" collapsed="false">
      <c r="A2967" s="31"/>
      <c r="B2967" s="32"/>
      <c r="C2967" s="32"/>
      <c r="D2967" s="33"/>
      <c r="E2967" s="34"/>
      <c r="F2967" s="32"/>
      <c r="G2967" s="35" t="str">
        <f aca="false">IF(A2967="","",A2967+7-WEEKDAY(A2967))</f>
        <v/>
      </c>
      <c r="H2967" s="36" t="str">
        <f aca="false">IF(A2967="","",DATE(YEAR(A2967),MONTH(A2967),1))</f>
        <v/>
      </c>
      <c r="I2967" s="37" t="str">
        <f aca="false">IF(B2967="","",IFERROR(INDEX(st_ID,MATCH(B2967,st_Name,0)),"Unknown"))</f>
        <v/>
      </c>
      <c r="J2967" s="37" t="str">
        <f aca="false">IF(C2967="","",IFERROR(INDEX(cl_Code,MATCH(C2967,cl_Name,0)),"Unknown"))</f>
        <v/>
      </c>
      <c r="K2967" s="37" t="str">
        <f aca="false">IF(D2967="","",IFERROR(INDEX(rt_Billable,MATCH(D2967,rt_Code,0)),"Unknown"))</f>
        <v/>
      </c>
      <c r="L2967" s="38" t="str">
        <f aca="false">IF(K2967&lt;&gt;"Yes","",IFERROR(INDEX(cr_Rate,MATCH(J2967&amp;"|"&amp;D2967,cr_Key,0)),INDEX(rt_Rate,MATCH(D2967,rt_Code,0))))</f>
        <v/>
      </c>
      <c r="M2967" s="25" t="str">
        <f aca="false">IF(L2967="","",ROUND(N(E2967)*L2967,2))</f>
        <v/>
      </c>
      <c r="N2967" s="39" t="str">
        <f aca="false">IF(OR(A2967="",B2967=""),"",SUMIFS(tl_Hours,tl_StaffID,I2967,tl_Date,A2967))</f>
        <v/>
      </c>
      <c r="O2967" s="40" t="str">
        <f aca="false">IF(A2967&amp;B2967&amp;D2967="","",IF(OR(A2967="",B2967="",D2967="",E2967=""),"Incomplete",IF(K2967="Unknown","Unknown code",IF(AND(K2967="Yes",C2967=""),"Billable, needs client",IF(N2967&gt;MaxDayHours,"Over "&amp;MaxDayHours&amp;" hours that day","")))))</f>
        <v/>
      </c>
    </row>
    <row r="2968" customFormat="false" ht="15" hidden="false" customHeight="false" outlineLevel="0" collapsed="false">
      <c r="A2968" s="31"/>
      <c r="B2968" s="32"/>
      <c r="C2968" s="32"/>
      <c r="D2968" s="33"/>
      <c r="E2968" s="34"/>
      <c r="F2968" s="32"/>
      <c r="G2968" s="35" t="str">
        <f aca="false">IF(A2968="","",A2968+7-WEEKDAY(A2968))</f>
        <v/>
      </c>
      <c r="H2968" s="36" t="str">
        <f aca="false">IF(A2968="","",DATE(YEAR(A2968),MONTH(A2968),1))</f>
        <v/>
      </c>
      <c r="I2968" s="37" t="str">
        <f aca="false">IF(B2968="","",IFERROR(INDEX(st_ID,MATCH(B2968,st_Name,0)),"Unknown"))</f>
        <v/>
      </c>
      <c r="J2968" s="37" t="str">
        <f aca="false">IF(C2968="","",IFERROR(INDEX(cl_Code,MATCH(C2968,cl_Name,0)),"Unknown"))</f>
        <v/>
      </c>
      <c r="K2968" s="37" t="str">
        <f aca="false">IF(D2968="","",IFERROR(INDEX(rt_Billable,MATCH(D2968,rt_Code,0)),"Unknown"))</f>
        <v/>
      </c>
      <c r="L2968" s="38" t="str">
        <f aca="false">IF(K2968&lt;&gt;"Yes","",IFERROR(INDEX(cr_Rate,MATCH(J2968&amp;"|"&amp;D2968,cr_Key,0)),INDEX(rt_Rate,MATCH(D2968,rt_Code,0))))</f>
        <v/>
      </c>
      <c r="M2968" s="25" t="str">
        <f aca="false">IF(L2968="","",ROUND(N(E2968)*L2968,2))</f>
        <v/>
      </c>
      <c r="N2968" s="39" t="str">
        <f aca="false">IF(OR(A2968="",B2968=""),"",SUMIFS(tl_Hours,tl_StaffID,I2968,tl_Date,A2968))</f>
        <v/>
      </c>
      <c r="O2968" s="40" t="str">
        <f aca="false">IF(A2968&amp;B2968&amp;D2968="","",IF(OR(A2968="",B2968="",D2968="",E2968=""),"Incomplete",IF(K2968="Unknown","Unknown code",IF(AND(K2968="Yes",C2968=""),"Billable, needs client",IF(N2968&gt;MaxDayHours,"Over "&amp;MaxDayHours&amp;" hours that day","")))))</f>
        <v/>
      </c>
    </row>
    <row r="2969" customFormat="false" ht="15" hidden="false" customHeight="false" outlineLevel="0" collapsed="false">
      <c r="A2969" s="31"/>
      <c r="B2969" s="32"/>
      <c r="C2969" s="32"/>
      <c r="D2969" s="33"/>
      <c r="E2969" s="34"/>
      <c r="F2969" s="32"/>
      <c r="G2969" s="35" t="str">
        <f aca="false">IF(A2969="","",A2969+7-WEEKDAY(A2969))</f>
        <v/>
      </c>
      <c r="H2969" s="36" t="str">
        <f aca="false">IF(A2969="","",DATE(YEAR(A2969),MONTH(A2969),1))</f>
        <v/>
      </c>
      <c r="I2969" s="37" t="str">
        <f aca="false">IF(B2969="","",IFERROR(INDEX(st_ID,MATCH(B2969,st_Name,0)),"Unknown"))</f>
        <v/>
      </c>
      <c r="J2969" s="37" t="str">
        <f aca="false">IF(C2969="","",IFERROR(INDEX(cl_Code,MATCH(C2969,cl_Name,0)),"Unknown"))</f>
        <v/>
      </c>
      <c r="K2969" s="37" t="str">
        <f aca="false">IF(D2969="","",IFERROR(INDEX(rt_Billable,MATCH(D2969,rt_Code,0)),"Unknown"))</f>
        <v/>
      </c>
      <c r="L2969" s="38" t="str">
        <f aca="false">IF(K2969&lt;&gt;"Yes","",IFERROR(INDEX(cr_Rate,MATCH(J2969&amp;"|"&amp;D2969,cr_Key,0)),INDEX(rt_Rate,MATCH(D2969,rt_Code,0))))</f>
        <v/>
      </c>
      <c r="M2969" s="25" t="str">
        <f aca="false">IF(L2969="","",ROUND(N(E2969)*L2969,2))</f>
        <v/>
      </c>
      <c r="N2969" s="39" t="str">
        <f aca="false">IF(OR(A2969="",B2969=""),"",SUMIFS(tl_Hours,tl_StaffID,I2969,tl_Date,A2969))</f>
        <v/>
      </c>
      <c r="O2969" s="40" t="str">
        <f aca="false">IF(A2969&amp;B2969&amp;D2969="","",IF(OR(A2969="",B2969="",D2969="",E2969=""),"Incomplete",IF(K2969="Unknown","Unknown code",IF(AND(K2969="Yes",C2969=""),"Billable, needs client",IF(N2969&gt;MaxDayHours,"Over "&amp;MaxDayHours&amp;" hours that day","")))))</f>
        <v/>
      </c>
    </row>
    <row r="2970" customFormat="false" ht="15" hidden="false" customHeight="false" outlineLevel="0" collapsed="false">
      <c r="A2970" s="31"/>
      <c r="B2970" s="32"/>
      <c r="C2970" s="32"/>
      <c r="D2970" s="33"/>
      <c r="E2970" s="34"/>
      <c r="F2970" s="32"/>
      <c r="G2970" s="35" t="str">
        <f aca="false">IF(A2970="","",A2970+7-WEEKDAY(A2970))</f>
        <v/>
      </c>
      <c r="H2970" s="36" t="str">
        <f aca="false">IF(A2970="","",DATE(YEAR(A2970),MONTH(A2970),1))</f>
        <v/>
      </c>
      <c r="I2970" s="37" t="str">
        <f aca="false">IF(B2970="","",IFERROR(INDEX(st_ID,MATCH(B2970,st_Name,0)),"Unknown"))</f>
        <v/>
      </c>
      <c r="J2970" s="37" t="str">
        <f aca="false">IF(C2970="","",IFERROR(INDEX(cl_Code,MATCH(C2970,cl_Name,0)),"Unknown"))</f>
        <v/>
      </c>
      <c r="K2970" s="37" t="str">
        <f aca="false">IF(D2970="","",IFERROR(INDEX(rt_Billable,MATCH(D2970,rt_Code,0)),"Unknown"))</f>
        <v/>
      </c>
      <c r="L2970" s="38" t="str">
        <f aca="false">IF(K2970&lt;&gt;"Yes","",IFERROR(INDEX(cr_Rate,MATCH(J2970&amp;"|"&amp;D2970,cr_Key,0)),INDEX(rt_Rate,MATCH(D2970,rt_Code,0))))</f>
        <v/>
      </c>
      <c r="M2970" s="25" t="str">
        <f aca="false">IF(L2970="","",ROUND(N(E2970)*L2970,2))</f>
        <v/>
      </c>
      <c r="N2970" s="39" t="str">
        <f aca="false">IF(OR(A2970="",B2970=""),"",SUMIFS(tl_Hours,tl_StaffID,I2970,tl_Date,A2970))</f>
        <v/>
      </c>
      <c r="O2970" s="40" t="str">
        <f aca="false">IF(A2970&amp;B2970&amp;D2970="","",IF(OR(A2970="",B2970="",D2970="",E2970=""),"Incomplete",IF(K2970="Unknown","Unknown code",IF(AND(K2970="Yes",C2970=""),"Billable, needs client",IF(N2970&gt;MaxDayHours,"Over "&amp;MaxDayHours&amp;" hours that day","")))))</f>
        <v/>
      </c>
    </row>
    <row r="2971" customFormat="false" ht="15" hidden="false" customHeight="false" outlineLevel="0" collapsed="false">
      <c r="A2971" s="31"/>
      <c r="B2971" s="32"/>
      <c r="C2971" s="32"/>
      <c r="D2971" s="33"/>
      <c r="E2971" s="34"/>
      <c r="F2971" s="32"/>
      <c r="G2971" s="35" t="str">
        <f aca="false">IF(A2971="","",A2971+7-WEEKDAY(A2971))</f>
        <v/>
      </c>
      <c r="H2971" s="36" t="str">
        <f aca="false">IF(A2971="","",DATE(YEAR(A2971),MONTH(A2971),1))</f>
        <v/>
      </c>
      <c r="I2971" s="37" t="str">
        <f aca="false">IF(B2971="","",IFERROR(INDEX(st_ID,MATCH(B2971,st_Name,0)),"Unknown"))</f>
        <v/>
      </c>
      <c r="J2971" s="37" t="str">
        <f aca="false">IF(C2971="","",IFERROR(INDEX(cl_Code,MATCH(C2971,cl_Name,0)),"Unknown"))</f>
        <v/>
      </c>
      <c r="K2971" s="37" t="str">
        <f aca="false">IF(D2971="","",IFERROR(INDEX(rt_Billable,MATCH(D2971,rt_Code,0)),"Unknown"))</f>
        <v/>
      </c>
      <c r="L2971" s="38" t="str">
        <f aca="false">IF(K2971&lt;&gt;"Yes","",IFERROR(INDEX(cr_Rate,MATCH(J2971&amp;"|"&amp;D2971,cr_Key,0)),INDEX(rt_Rate,MATCH(D2971,rt_Code,0))))</f>
        <v/>
      </c>
      <c r="M2971" s="25" t="str">
        <f aca="false">IF(L2971="","",ROUND(N(E2971)*L2971,2))</f>
        <v/>
      </c>
      <c r="N2971" s="39" t="str">
        <f aca="false">IF(OR(A2971="",B2971=""),"",SUMIFS(tl_Hours,tl_StaffID,I2971,tl_Date,A2971))</f>
        <v/>
      </c>
      <c r="O2971" s="40" t="str">
        <f aca="false">IF(A2971&amp;B2971&amp;D2971="","",IF(OR(A2971="",B2971="",D2971="",E2971=""),"Incomplete",IF(K2971="Unknown","Unknown code",IF(AND(K2971="Yes",C2971=""),"Billable, needs client",IF(N2971&gt;MaxDayHours,"Over "&amp;MaxDayHours&amp;" hours that day","")))))</f>
        <v/>
      </c>
    </row>
    <row r="2972" customFormat="false" ht="15" hidden="false" customHeight="false" outlineLevel="0" collapsed="false">
      <c r="A2972" s="31"/>
      <c r="B2972" s="32"/>
      <c r="C2972" s="32"/>
      <c r="D2972" s="33"/>
      <c r="E2972" s="34"/>
      <c r="F2972" s="32"/>
      <c r="G2972" s="35" t="str">
        <f aca="false">IF(A2972="","",A2972+7-WEEKDAY(A2972))</f>
        <v/>
      </c>
      <c r="H2972" s="36" t="str">
        <f aca="false">IF(A2972="","",DATE(YEAR(A2972),MONTH(A2972),1))</f>
        <v/>
      </c>
      <c r="I2972" s="37" t="str">
        <f aca="false">IF(B2972="","",IFERROR(INDEX(st_ID,MATCH(B2972,st_Name,0)),"Unknown"))</f>
        <v/>
      </c>
      <c r="J2972" s="37" t="str">
        <f aca="false">IF(C2972="","",IFERROR(INDEX(cl_Code,MATCH(C2972,cl_Name,0)),"Unknown"))</f>
        <v/>
      </c>
      <c r="K2972" s="37" t="str">
        <f aca="false">IF(D2972="","",IFERROR(INDEX(rt_Billable,MATCH(D2972,rt_Code,0)),"Unknown"))</f>
        <v/>
      </c>
      <c r="L2972" s="38" t="str">
        <f aca="false">IF(K2972&lt;&gt;"Yes","",IFERROR(INDEX(cr_Rate,MATCH(J2972&amp;"|"&amp;D2972,cr_Key,0)),INDEX(rt_Rate,MATCH(D2972,rt_Code,0))))</f>
        <v/>
      </c>
      <c r="M2972" s="25" t="str">
        <f aca="false">IF(L2972="","",ROUND(N(E2972)*L2972,2))</f>
        <v/>
      </c>
      <c r="N2972" s="39" t="str">
        <f aca="false">IF(OR(A2972="",B2972=""),"",SUMIFS(tl_Hours,tl_StaffID,I2972,tl_Date,A2972))</f>
        <v/>
      </c>
      <c r="O2972" s="40" t="str">
        <f aca="false">IF(A2972&amp;B2972&amp;D2972="","",IF(OR(A2972="",B2972="",D2972="",E2972=""),"Incomplete",IF(K2972="Unknown","Unknown code",IF(AND(K2972="Yes",C2972=""),"Billable, needs client",IF(N2972&gt;MaxDayHours,"Over "&amp;MaxDayHours&amp;" hours that day","")))))</f>
        <v/>
      </c>
    </row>
    <row r="2973" customFormat="false" ht="15" hidden="false" customHeight="false" outlineLevel="0" collapsed="false">
      <c r="A2973" s="31"/>
      <c r="B2973" s="32"/>
      <c r="C2973" s="32"/>
      <c r="D2973" s="33"/>
      <c r="E2973" s="34"/>
      <c r="F2973" s="32"/>
      <c r="G2973" s="35" t="str">
        <f aca="false">IF(A2973="","",A2973+7-WEEKDAY(A2973))</f>
        <v/>
      </c>
      <c r="H2973" s="36" t="str">
        <f aca="false">IF(A2973="","",DATE(YEAR(A2973),MONTH(A2973),1))</f>
        <v/>
      </c>
      <c r="I2973" s="37" t="str">
        <f aca="false">IF(B2973="","",IFERROR(INDEX(st_ID,MATCH(B2973,st_Name,0)),"Unknown"))</f>
        <v/>
      </c>
      <c r="J2973" s="37" t="str">
        <f aca="false">IF(C2973="","",IFERROR(INDEX(cl_Code,MATCH(C2973,cl_Name,0)),"Unknown"))</f>
        <v/>
      </c>
      <c r="K2973" s="37" t="str">
        <f aca="false">IF(D2973="","",IFERROR(INDEX(rt_Billable,MATCH(D2973,rt_Code,0)),"Unknown"))</f>
        <v/>
      </c>
      <c r="L2973" s="38" t="str">
        <f aca="false">IF(K2973&lt;&gt;"Yes","",IFERROR(INDEX(cr_Rate,MATCH(J2973&amp;"|"&amp;D2973,cr_Key,0)),INDEX(rt_Rate,MATCH(D2973,rt_Code,0))))</f>
        <v/>
      </c>
      <c r="M2973" s="25" t="str">
        <f aca="false">IF(L2973="","",ROUND(N(E2973)*L2973,2))</f>
        <v/>
      </c>
      <c r="N2973" s="39" t="str">
        <f aca="false">IF(OR(A2973="",B2973=""),"",SUMIFS(tl_Hours,tl_StaffID,I2973,tl_Date,A2973))</f>
        <v/>
      </c>
      <c r="O2973" s="40" t="str">
        <f aca="false">IF(A2973&amp;B2973&amp;D2973="","",IF(OR(A2973="",B2973="",D2973="",E2973=""),"Incomplete",IF(K2973="Unknown","Unknown code",IF(AND(K2973="Yes",C2973=""),"Billable, needs client",IF(N2973&gt;MaxDayHours,"Over "&amp;MaxDayHours&amp;" hours that day","")))))</f>
        <v/>
      </c>
    </row>
    <row r="2974" customFormat="false" ht="15" hidden="false" customHeight="false" outlineLevel="0" collapsed="false">
      <c r="A2974" s="31"/>
      <c r="B2974" s="32"/>
      <c r="C2974" s="32"/>
      <c r="D2974" s="33"/>
      <c r="E2974" s="34"/>
      <c r="F2974" s="32"/>
      <c r="G2974" s="35" t="str">
        <f aca="false">IF(A2974="","",A2974+7-WEEKDAY(A2974))</f>
        <v/>
      </c>
      <c r="H2974" s="36" t="str">
        <f aca="false">IF(A2974="","",DATE(YEAR(A2974),MONTH(A2974),1))</f>
        <v/>
      </c>
      <c r="I2974" s="37" t="str">
        <f aca="false">IF(B2974="","",IFERROR(INDEX(st_ID,MATCH(B2974,st_Name,0)),"Unknown"))</f>
        <v/>
      </c>
      <c r="J2974" s="37" t="str">
        <f aca="false">IF(C2974="","",IFERROR(INDEX(cl_Code,MATCH(C2974,cl_Name,0)),"Unknown"))</f>
        <v/>
      </c>
      <c r="K2974" s="37" t="str">
        <f aca="false">IF(D2974="","",IFERROR(INDEX(rt_Billable,MATCH(D2974,rt_Code,0)),"Unknown"))</f>
        <v/>
      </c>
      <c r="L2974" s="38" t="str">
        <f aca="false">IF(K2974&lt;&gt;"Yes","",IFERROR(INDEX(cr_Rate,MATCH(J2974&amp;"|"&amp;D2974,cr_Key,0)),INDEX(rt_Rate,MATCH(D2974,rt_Code,0))))</f>
        <v/>
      </c>
      <c r="M2974" s="25" t="str">
        <f aca="false">IF(L2974="","",ROUND(N(E2974)*L2974,2))</f>
        <v/>
      </c>
      <c r="N2974" s="39" t="str">
        <f aca="false">IF(OR(A2974="",B2974=""),"",SUMIFS(tl_Hours,tl_StaffID,I2974,tl_Date,A2974))</f>
        <v/>
      </c>
      <c r="O2974" s="40" t="str">
        <f aca="false">IF(A2974&amp;B2974&amp;D2974="","",IF(OR(A2974="",B2974="",D2974="",E2974=""),"Incomplete",IF(K2974="Unknown","Unknown code",IF(AND(K2974="Yes",C2974=""),"Billable, needs client",IF(N2974&gt;MaxDayHours,"Over "&amp;MaxDayHours&amp;" hours that day","")))))</f>
        <v/>
      </c>
    </row>
    <row r="2975" customFormat="false" ht="15" hidden="false" customHeight="false" outlineLevel="0" collapsed="false">
      <c r="A2975" s="31"/>
      <c r="B2975" s="32"/>
      <c r="C2975" s="32"/>
      <c r="D2975" s="33"/>
      <c r="E2975" s="34"/>
      <c r="F2975" s="32"/>
      <c r="G2975" s="35" t="str">
        <f aca="false">IF(A2975="","",A2975+7-WEEKDAY(A2975))</f>
        <v/>
      </c>
      <c r="H2975" s="36" t="str">
        <f aca="false">IF(A2975="","",DATE(YEAR(A2975),MONTH(A2975),1))</f>
        <v/>
      </c>
      <c r="I2975" s="37" t="str">
        <f aca="false">IF(B2975="","",IFERROR(INDEX(st_ID,MATCH(B2975,st_Name,0)),"Unknown"))</f>
        <v/>
      </c>
      <c r="J2975" s="37" t="str">
        <f aca="false">IF(C2975="","",IFERROR(INDEX(cl_Code,MATCH(C2975,cl_Name,0)),"Unknown"))</f>
        <v/>
      </c>
      <c r="K2975" s="37" t="str">
        <f aca="false">IF(D2975="","",IFERROR(INDEX(rt_Billable,MATCH(D2975,rt_Code,0)),"Unknown"))</f>
        <v/>
      </c>
      <c r="L2975" s="38" t="str">
        <f aca="false">IF(K2975&lt;&gt;"Yes","",IFERROR(INDEX(cr_Rate,MATCH(J2975&amp;"|"&amp;D2975,cr_Key,0)),INDEX(rt_Rate,MATCH(D2975,rt_Code,0))))</f>
        <v/>
      </c>
      <c r="M2975" s="25" t="str">
        <f aca="false">IF(L2975="","",ROUND(N(E2975)*L2975,2))</f>
        <v/>
      </c>
      <c r="N2975" s="39" t="str">
        <f aca="false">IF(OR(A2975="",B2975=""),"",SUMIFS(tl_Hours,tl_StaffID,I2975,tl_Date,A2975))</f>
        <v/>
      </c>
      <c r="O2975" s="40" t="str">
        <f aca="false">IF(A2975&amp;B2975&amp;D2975="","",IF(OR(A2975="",B2975="",D2975="",E2975=""),"Incomplete",IF(K2975="Unknown","Unknown code",IF(AND(K2975="Yes",C2975=""),"Billable, needs client",IF(N2975&gt;MaxDayHours,"Over "&amp;MaxDayHours&amp;" hours that day","")))))</f>
        <v/>
      </c>
    </row>
    <row r="2976" customFormat="false" ht="15" hidden="false" customHeight="false" outlineLevel="0" collapsed="false">
      <c r="A2976" s="31"/>
      <c r="B2976" s="32"/>
      <c r="C2976" s="32"/>
      <c r="D2976" s="33"/>
      <c r="E2976" s="34"/>
      <c r="F2976" s="32"/>
      <c r="G2976" s="35" t="str">
        <f aca="false">IF(A2976="","",A2976+7-WEEKDAY(A2976))</f>
        <v/>
      </c>
      <c r="H2976" s="36" t="str">
        <f aca="false">IF(A2976="","",DATE(YEAR(A2976),MONTH(A2976),1))</f>
        <v/>
      </c>
      <c r="I2976" s="37" t="str">
        <f aca="false">IF(B2976="","",IFERROR(INDEX(st_ID,MATCH(B2976,st_Name,0)),"Unknown"))</f>
        <v/>
      </c>
      <c r="J2976" s="37" t="str">
        <f aca="false">IF(C2976="","",IFERROR(INDEX(cl_Code,MATCH(C2976,cl_Name,0)),"Unknown"))</f>
        <v/>
      </c>
      <c r="K2976" s="37" t="str">
        <f aca="false">IF(D2976="","",IFERROR(INDEX(rt_Billable,MATCH(D2976,rt_Code,0)),"Unknown"))</f>
        <v/>
      </c>
      <c r="L2976" s="38" t="str">
        <f aca="false">IF(K2976&lt;&gt;"Yes","",IFERROR(INDEX(cr_Rate,MATCH(J2976&amp;"|"&amp;D2976,cr_Key,0)),INDEX(rt_Rate,MATCH(D2976,rt_Code,0))))</f>
        <v/>
      </c>
      <c r="M2976" s="25" t="str">
        <f aca="false">IF(L2976="","",ROUND(N(E2976)*L2976,2))</f>
        <v/>
      </c>
      <c r="N2976" s="39" t="str">
        <f aca="false">IF(OR(A2976="",B2976=""),"",SUMIFS(tl_Hours,tl_StaffID,I2976,tl_Date,A2976))</f>
        <v/>
      </c>
      <c r="O2976" s="40" t="str">
        <f aca="false">IF(A2976&amp;B2976&amp;D2976="","",IF(OR(A2976="",B2976="",D2976="",E2976=""),"Incomplete",IF(K2976="Unknown","Unknown code",IF(AND(K2976="Yes",C2976=""),"Billable, needs client",IF(N2976&gt;MaxDayHours,"Over "&amp;MaxDayHours&amp;" hours that day","")))))</f>
        <v/>
      </c>
    </row>
    <row r="2977" customFormat="false" ht="15" hidden="false" customHeight="false" outlineLevel="0" collapsed="false">
      <c r="A2977" s="31"/>
      <c r="B2977" s="32"/>
      <c r="C2977" s="32"/>
      <c r="D2977" s="33"/>
      <c r="E2977" s="34"/>
      <c r="F2977" s="32"/>
      <c r="G2977" s="35" t="str">
        <f aca="false">IF(A2977="","",A2977+7-WEEKDAY(A2977))</f>
        <v/>
      </c>
      <c r="H2977" s="36" t="str">
        <f aca="false">IF(A2977="","",DATE(YEAR(A2977),MONTH(A2977),1))</f>
        <v/>
      </c>
      <c r="I2977" s="37" t="str">
        <f aca="false">IF(B2977="","",IFERROR(INDEX(st_ID,MATCH(B2977,st_Name,0)),"Unknown"))</f>
        <v/>
      </c>
      <c r="J2977" s="37" t="str">
        <f aca="false">IF(C2977="","",IFERROR(INDEX(cl_Code,MATCH(C2977,cl_Name,0)),"Unknown"))</f>
        <v/>
      </c>
      <c r="K2977" s="37" t="str">
        <f aca="false">IF(D2977="","",IFERROR(INDEX(rt_Billable,MATCH(D2977,rt_Code,0)),"Unknown"))</f>
        <v/>
      </c>
      <c r="L2977" s="38" t="str">
        <f aca="false">IF(K2977&lt;&gt;"Yes","",IFERROR(INDEX(cr_Rate,MATCH(J2977&amp;"|"&amp;D2977,cr_Key,0)),INDEX(rt_Rate,MATCH(D2977,rt_Code,0))))</f>
        <v/>
      </c>
      <c r="M2977" s="25" t="str">
        <f aca="false">IF(L2977="","",ROUND(N(E2977)*L2977,2))</f>
        <v/>
      </c>
      <c r="N2977" s="39" t="str">
        <f aca="false">IF(OR(A2977="",B2977=""),"",SUMIFS(tl_Hours,tl_StaffID,I2977,tl_Date,A2977))</f>
        <v/>
      </c>
      <c r="O2977" s="40" t="str">
        <f aca="false">IF(A2977&amp;B2977&amp;D2977="","",IF(OR(A2977="",B2977="",D2977="",E2977=""),"Incomplete",IF(K2977="Unknown","Unknown code",IF(AND(K2977="Yes",C2977=""),"Billable, needs client",IF(N2977&gt;MaxDayHours,"Over "&amp;MaxDayHours&amp;" hours that day","")))))</f>
        <v/>
      </c>
    </row>
    <row r="2978" customFormat="false" ht="15" hidden="false" customHeight="false" outlineLevel="0" collapsed="false">
      <c r="A2978" s="31"/>
      <c r="B2978" s="32"/>
      <c r="C2978" s="32"/>
      <c r="D2978" s="33"/>
      <c r="E2978" s="34"/>
      <c r="F2978" s="32"/>
      <c r="G2978" s="35" t="str">
        <f aca="false">IF(A2978="","",A2978+7-WEEKDAY(A2978))</f>
        <v/>
      </c>
      <c r="H2978" s="36" t="str">
        <f aca="false">IF(A2978="","",DATE(YEAR(A2978),MONTH(A2978),1))</f>
        <v/>
      </c>
      <c r="I2978" s="37" t="str">
        <f aca="false">IF(B2978="","",IFERROR(INDEX(st_ID,MATCH(B2978,st_Name,0)),"Unknown"))</f>
        <v/>
      </c>
      <c r="J2978" s="37" t="str">
        <f aca="false">IF(C2978="","",IFERROR(INDEX(cl_Code,MATCH(C2978,cl_Name,0)),"Unknown"))</f>
        <v/>
      </c>
      <c r="K2978" s="37" t="str">
        <f aca="false">IF(D2978="","",IFERROR(INDEX(rt_Billable,MATCH(D2978,rt_Code,0)),"Unknown"))</f>
        <v/>
      </c>
      <c r="L2978" s="38" t="str">
        <f aca="false">IF(K2978&lt;&gt;"Yes","",IFERROR(INDEX(cr_Rate,MATCH(J2978&amp;"|"&amp;D2978,cr_Key,0)),INDEX(rt_Rate,MATCH(D2978,rt_Code,0))))</f>
        <v/>
      </c>
      <c r="M2978" s="25" t="str">
        <f aca="false">IF(L2978="","",ROUND(N(E2978)*L2978,2))</f>
        <v/>
      </c>
      <c r="N2978" s="39" t="str">
        <f aca="false">IF(OR(A2978="",B2978=""),"",SUMIFS(tl_Hours,tl_StaffID,I2978,tl_Date,A2978))</f>
        <v/>
      </c>
      <c r="O2978" s="40" t="str">
        <f aca="false">IF(A2978&amp;B2978&amp;D2978="","",IF(OR(A2978="",B2978="",D2978="",E2978=""),"Incomplete",IF(K2978="Unknown","Unknown code",IF(AND(K2978="Yes",C2978=""),"Billable, needs client",IF(N2978&gt;MaxDayHours,"Over "&amp;MaxDayHours&amp;" hours that day","")))))</f>
        <v/>
      </c>
    </row>
    <row r="2979" customFormat="false" ht="15" hidden="false" customHeight="false" outlineLevel="0" collapsed="false">
      <c r="A2979" s="31"/>
      <c r="B2979" s="32"/>
      <c r="C2979" s="32"/>
      <c r="D2979" s="33"/>
      <c r="E2979" s="34"/>
      <c r="F2979" s="32"/>
      <c r="G2979" s="35" t="str">
        <f aca="false">IF(A2979="","",A2979+7-WEEKDAY(A2979))</f>
        <v/>
      </c>
      <c r="H2979" s="36" t="str">
        <f aca="false">IF(A2979="","",DATE(YEAR(A2979),MONTH(A2979),1))</f>
        <v/>
      </c>
      <c r="I2979" s="37" t="str">
        <f aca="false">IF(B2979="","",IFERROR(INDEX(st_ID,MATCH(B2979,st_Name,0)),"Unknown"))</f>
        <v/>
      </c>
      <c r="J2979" s="37" t="str">
        <f aca="false">IF(C2979="","",IFERROR(INDEX(cl_Code,MATCH(C2979,cl_Name,0)),"Unknown"))</f>
        <v/>
      </c>
      <c r="K2979" s="37" t="str">
        <f aca="false">IF(D2979="","",IFERROR(INDEX(rt_Billable,MATCH(D2979,rt_Code,0)),"Unknown"))</f>
        <v/>
      </c>
      <c r="L2979" s="38" t="str">
        <f aca="false">IF(K2979&lt;&gt;"Yes","",IFERROR(INDEX(cr_Rate,MATCH(J2979&amp;"|"&amp;D2979,cr_Key,0)),INDEX(rt_Rate,MATCH(D2979,rt_Code,0))))</f>
        <v/>
      </c>
      <c r="M2979" s="25" t="str">
        <f aca="false">IF(L2979="","",ROUND(N(E2979)*L2979,2))</f>
        <v/>
      </c>
      <c r="N2979" s="39" t="str">
        <f aca="false">IF(OR(A2979="",B2979=""),"",SUMIFS(tl_Hours,tl_StaffID,I2979,tl_Date,A2979))</f>
        <v/>
      </c>
      <c r="O2979" s="40" t="str">
        <f aca="false">IF(A2979&amp;B2979&amp;D2979="","",IF(OR(A2979="",B2979="",D2979="",E2979=""),"Incomplete",IF(K2979="Unknown","Unknown code",IF(AND(K2979="Yes",C2979=""),"Billable, needs client",IF(N2979&gt;MaxDayHours,"Over "&amp;MaxDayHours&amp;" hours that day","")))))</f>
        <v/>
      </c>
    </row>
    <row r="2980" customFormat="false" ht="15" hidden="false" customHeight="false" outlineLevel="0" collapsed="false">
      <c r="A2980" s="31"/>
      <c r="B2980" s="32"/>
      <c r="C2980" s="32"/>
      <c r="D2980" s="33"/>
      <c r="E2980" s="34"/>
      <c r="F2980" s="32"/>
      <c r="G2980" s="35" t="str">
        <f aca="false">IF(A2980="","",A2980+7-WEEKDAY(A2980))</f>
        <v/>
      </c>
      <c r="H2980" s="36" t="str">
        <f aca="false">IF(A2980="","",DATE(YEAR(A2980),MONTH(A2980),1))</f>
        <v/>
      </c>
      <c r="I2980" s="37" t="str">
        <f aca="false">IF(B2980="","",IFERROR(INDEX(st_ID,MATCH(B2980,st_Name,0)),"Unknown"))</f>
        <v/>
      </c>
      <c r="J2980" s="37" t="str">
        <f aca="false">IF(C2980="","",IFERROR(INDEX(cl_Code,MATCH(C2980,cl_Name,0)),"Unknown"))</f>
        <v/>
      </c>
      <c r="K2980" s="37" t="str">
        <f aca="false">IF(D2980="","",IFERROR(INDEX(rt_Billable,MATCH(D2980,rt_Code,0)),"Unknown"))</f>
        <v/>
      </c>
      <c r="L2980" s="38" t="str">
        <f aca="false">IF(K2980&lt;&gt;"Yes","",IFERROR(INDEX(cr_Rate,MATCH(J2980&amp;"|"&amp;D2980,cr_Key,0)),INDEX(rt_Rate,MATCH(D2980,rt_Code,0))))</f>
        <v/>
      </c>
      <c r="M2980" s="25" t="str">
        <f aca="false">IF(L2980="","",ROUND(N(E2980)*L2980,2))</f>
        <v/>
      </c>
      <c r="N2980" s="39" t="str">
        <f aca="false">IF(OR(A2980="",B2980=""),"",SUMIFS(tl_Hours,tl_StaffID,I2980,tl_Date,A2980))</f>
        <v/>
      </c>
      <c r="O2980" s="40" t="str">
        <f aca="false">IF(A2980&amp;B2980&amp;D2980="","",IF(OR(A2980="",B2980="",D2980="",E2980=""),"Incomplete",IF(K2980="Unknown","Unknown code",IF(AND(K2980="Yes",C2980=""),"Billable, needs client",IF(N2980&gt;MaxDayHours,"Over "&amp;MaxDayHours&amp;" hours that day","")))))</f>
        <v/>
      </c>
    </row>
    <row r="2981" customFormat="false" ht="15" hidden="false" customHeight="false" outlineLevel="0" collapsed="false">
      <c r="A2981" s="31"/>
      <c r="B2981" s="32"/>
      <c r="C2981" s="32"/>
      <c r="D2981" s="33"/>
      <c r="E2981" s="34"/>
      <c r="F2981" s="32"/>
      <c r="G2981" s="35" t="str">
        <f aca="false">IF(A2981="","",A2981+7-WEEKDAY(A2981))</f>
        <v/>
      </c>
      <c r="H2981" s="36" t="str">
        <f aca="false">IF(A2981="","",DATE(YEAR(A2981),MONTH(A2981),1))</f>
        <v/>
      </c>
      <c r="I2981" s="37" t="str">
        <f aca="false">IF(B2981="","",IFERROR(INDEX(st_ID,MATCH(B2981,st_Name,0)),"Unknown"))</f>
        <v/>
      </c>
      <c r="J2981" s="37" t="str">
        <f aca="false">IF(C2981="","",IFERROR(INDEX(cl_Code,MATCH(C2981,cl_Name,0)),"Unknown"))</f>
        <v/>
      </c>
      <c r="K2981" s="37" t="str">
        <f aca="false">IF(D2981="","",IFERROR(INDEX(rt_Billable,MATCH(D2981,rt_Code,0)),"Unknown"))</f>
        <v/>
      </c>
      <c r="L2981" s="38" t="str">
        <f aca="false">IF(K2981&lt;&gt;"Yes","",IFERROR(INDEX(cr_Rate,MATCH(J2981&amp;"|"&amp;D2981,cr_Key,0)),INDEX(rt_Rate,MATCH(D2981,rt_Code,0))))</f>
        <v/>
      </c>
      <c r="M2981" s="25" t="str">
        <f aca="false">IF(L2981="","",ROUND(N(E2981)*L2981,2))</f>
        <v/>
      </c>
      <c r="N2981" s="39" t="str">
        <f aca="false">IF(OR(A2981="",B2981=""),"",SUMIFS(tl_Hours,tl_StaffID,I2981,tl_Date,A2981))</f>
        <v/>
      </c>
      <c r="O2981" s="40" t="str">
        <f aca="false">IF(A2981&amp;B2981&amp;D2981="","",IF(OR(A2981="",B2981="",D2981="",E2981=""),"Incomplete",IF(K2981="Unknown","Unknown code",IF(AND(K2981="Yes",C2981=""),"Billable, needs client",IF(N2981&gt;MaxDayHours,"Over "&amp;MaxDayHours&amp;" hours that day","")))))</f>
        <v/>
      </c>
    </row>
    <row r="2982" customFormat="false" ht="15" hidden="false" customHeight="false" outlineLevel="0" collapsed="false">
      <c r="A2982" s="31"/>
      <c r="B2982" s="32"/>
      <c r="C2982" s="32"/>
      <c r="D2982" s="33"/>
      <c r="E2982" s="34"/>
      <c r="F2982" s="32"/>
      <c r="G2982" s="35" t="str">
        <f aca="false">IF(A2982="","",A2982+7-WEEKDAY(A2982))</f>
        <v/>
      </c>
      <c r="H2982" s="36" t="str">
        <f aca="false">IF(A2982="","",DATE(YEAR(A2982),MONTH(A2982),1))</f>
        <v/>
      </c>
      <c r="I2982" s="37" t="str">
        <f aca="false">IF(B2982="","",IFERROR(INDEX(st_ID,MATCH(B2982,st_Name,0)),"Unknown"))</f>
        <v/>
      </c>
      <c r="J2982" s="37" t="str">
        <f aca="false">IF(C2982="","",IFERROR(INDEX(cl_Code,MATCH(C2982,cl_Name,0)),"Unknown"))</f>
        <v/>
      </c>
      <c r="K2982" s="37" t="str">
        <f aca="false">IF(D2982="","",IFERROR(INDEX(rt_Billable,MATCH(D2982,rt_Code,0)),"Unknown"))</f>
        <v/>
      </c>
      <c r="L2982" s="38" t="str">
        <f aca="false">IF(K2982&lt;&gt;"Yes","",IFERROR(INDEX(cr_Rate,MATCH(J2982&amp;"|"&amp;D2982,cr_Key,0)),INDEX(rt_Rate,MATCH(D2982,rt_Code,0))))</f>
        <v/>
      </c>
      <c r="M2982" s="25" t="str">
        <f aca="false">IF(L2982="","",ROUND(N(E2982)*L2982,2))</f>
        <v/>
      </c>
      <c r="N2982" s="39" t="str">
        <f aca="false">IF(OR(A2982="",B2982=""),"",SUMIFS(tl_Hours,tl_StaffID,I2982,tl_Date,A2982))</f>
        <v/>
      </c>
      <c r="O2982" s="40" t="str">
        <f aca="false">IF(A2982&amp;B2982&amp;D2982="","",IF(OR(A2982="",B2982="",D2982="",E2982=""),"Incomplete",IF(K2982="Unknown","Unknown code",IF(AND(K2982="Yes",C2982=""),"Billable, needs client",IF(N2982&gt;MaxDayHours,"Over "&amp;MaxDayHours&amp;" hours that day","")))))</f>
        <v/>
      </c>
    </row>
    <row r="2983" customFormat="false" ht="15" hidden="false" customHeight="false" outlineLevel="0" collapsed="false">
      <c r="A2983" s="31"/>
      <c r="B2983" s="32"/>
      <c r="C2983" s="32"/>
      <c r="D2983" s="33"/>
      <c r="E2983" s="34"/>
      <c r="F2983" s="32"/>
      <c r="G2983" s="35" t="str">
        <f aca="false">IF(A2983="","",A2983+7-WEEKDAY(A2983))</f>
        <v/>
      </c>
      <c r="H2983" s="36" t="str">
        <f aca="false">IF(A2983="","",DATE(YEAR(A2983),MONTH(A2983),1))</f>
        <v/>
      </c>
      <c r="I2983" s="37" t="str">
        <f aca="false">IF(B2983="","",IFERROR(INDEX(st_ID,MATCH(B2983,st_Name,0)),"Unknown"))</f>
        <v/>
      </c>
      <c r="J2983" s="37" t="str">
        <f aca="false">IF(C2983="","",IFERROR(INDEX(cl_Code,MATCH(C2983,cl_Name,0)),"Unknown"))</f>
        <v/>
      </c>
      <c r="K2983" s="37" t="str">
        <f aca="false">IF(D2983="","",IFERROR(INDEX(rt_Billable,MATCH(D2983,rt_Code,0)),"Unknown"))</f>
        <v/>
      </c>
      <c r="L2983" s="38" t="str">
        <f aca="false">IF(K2983&lt;&gt;"Yes","",IFERROR(INDEX(cr_Rate,MATCH(J2983&amp;"|"&amp;D2983,cr_Key,0)),INDEX(rt_Rate,MATCH(D2983,rt_Code,0))))</f>
        <v/>
      </c>
      <c r="M2983" s="25" t="str">
        <f aca="false">IF(L2983="","",ROUND(N(E2983)*L2983,2))</f>
        <v/>
      </c>
      <c r="N2983" s="39" t="str">
        <f aca="false">IF(OR(A2983="",B2983=""),"",SUMIFS(tl_Hours,tl_StaffID,I2983,tl_Date,A2983))</f>
        <v/>
      </c>
      <c r="O2983" s="40" t="str">
        <f aca="false">IF(A2983&amp;B2983&amp;D2983="","",IF(OR(A2983="",B2983="",D2983="",E2983=""),"Incomplete",IF(K2983="Unknown","Unknown code",IF(AND(K2983="Yes",C2983=""),"Billable, needs client",IF(N2983&gt;MaxDayHours,"Over "&amp;MaxDayHours&amp;" hours that day","")))))</f>
        <v/>
      </c>
    </row>
    <row r="2984" customFormat="false" ht="15" hidden="false" customHeight="false" outlineLevel="0" collapsed="false">
      <c r="A2984" s="31"/>
      <c r="B2984" s="32"/>
      <c r="C2984" s="32"/>
      <c r="D2984" s="33"/>
      <c r="E2984" s="34"/>
      <c r="F2984" s="32"/>
      <c r="G2984" s="35" t="str">
        <f aca="false">IF(A2984="","",A2984+7-WEEKDAY(A2984))</f>
        <v/>
      </c>
      <c r="H2984" s="36" t="str">
        <f aca="false">IF(A2984="","",DATE(YEAR(A2984),MONTH(A2984),1))</f>
        <v/>
      </c>
      <c r="I2984" s="37" t="str">
        <f aca="false">IF(B2984="","",IFERROR(INDEX(st_ID,MATCH(B2984,st_Name,0)),"Unknown"))</f>
        <v/>
      </c>
      <c r="J2984" s="37" t="str">
        <f aca="false">IF(C2984="","",IFERROR(INDEX(cl_Code,MATCH(C2984,cl_Name,0)),"Unknown"))</f>
        <v/>
      </c>
      <c r="K2984" s="37" t="str">
        <f aca="false">IF(D2984="","",IFERROR(INDEX(rt_Billable,MATCH(D2984,rt_Code,0)),"Unknown"))</f>
        <v/>
      </c>
      <c r="L2984" s="38" t="str">
        <f aca="false">IF(K2984&lt;&gt;"Yes","",IFERROR(INDEX(cr_Rate,MATCH(J2984&amp;"|"&amp;D2984,cr_Key,0)),INDEX(rt_Rate,MATCH(D2984,rt_Code,0))))</f>
        <v/>
      </c>
      <c r="M2984" s="25" t="str">
        <f aca="false">IF(L2984="","",ROUND(N(E2984)*L2984,2))</f>
        <v/>
      </c>
      <c r="N2984" s="39" t="str">
        <f aca="false">IF(OR(A2984="",B2984=""),"",SUMIFS(tl_Hours,tl_StaffID,I2984,tl_Date,A2984))</f>
        <v/>
      </c>
      <c r="O2984" s="40" t="str">
        <f aca="false">IF(A2984&amp;B2984&amp;D2984="","",IF(OR(A2984="",B2984="",D2984="",E2984=""),"Incomplete",IF(K2984="Unknown","Unknown code",IF(AND(K2984="Yes",C2984=""),"Billable, needs client",IF(N2984&gt;MaxDayHours,"Over "&amp;MaxDayHours&amp;" hours that day","")))))</f>
        <v/>
      </c>
    </row>
    <row r="2985" customFormat="false" ht="15" hidden="false" customHeight="false" outlineLevel="0" collapsed="false">
      <c r="A2985" s="31"/>
      <c r="B2985" s="32"/>
      <c r="C2985" s="32"/>
      <c r="D2985" s="33"/>
      <c r="E2985" s="34"/>
      <c r="F2985" s="32"/>
      <c r="G2985" s="35" t="str">
        <f aca="false">IF(A2985="","",A2985+7-WEEKDAY(A2985))</f>
        <v/>
      </c>
      <c r="H2985" s="36" t="str">
        <f aca="false">IF(A2985="","",DATE(YEAR(A2985),MONTH(A2985),1))</f>
        <v/>
      </c>
      <c r="I2985" s="37" t="str">
        <f aca="false">IF(B2985="","",IFERROR(INDEX(st_ID,MATCH(B2985,st_Name,0)),"Unknown"))</f>
        <v/>
      </c>
      <c r="J2985" s="37" t="str">
        <f aca="false">IF(C2985="","",IFERROR(INDEX(cl_Code,MATCH(C2985,cl_Name,0)),"Unknown"))</f>
        <v/>
      </c>
      <c r="K2985" s="37" t="str">
        <f aca="false">IF(D2985="","",IFERROR(INDEX(rt_Billable,MATCH(D2985,rt_Code,0)),"Unknown"))</f>
        <v/>
      </c>
      <c r="L2985" s="38" t="str">
        <f aca="false">IF(K2985&lt;&gt;"Yes","",IFERROR(INDEX(cr_Rate,MATCH(J2985&amp;"|"&amp;D2985,cr_Key,0)),INDEX(rt_Rate,MATCH(D2985,rt_Code,0))))</f>
        <v/>
      </c>
      <c r="M2985" s="25" t="str">
        <f aca="false">IF(L2985="","",ROUND(N(E2985)*L2985,2))</f>
        <v/>
      </c>
      <c r="N2985" s="39" t="str">
        <f aca="false">IF(OR(A2985="",B2985=""),"",SUMIFS(tl_Hours,tl_StaffID,I2985,tl_Date,A2985))</f>
        <v/>
      </c>
      <c r="O2985" s="40" t="str">
        <f aca="false">IF(A2985&amp;B2985&amp;D2985="","",IF(OR(A2985="",B2985="",D2985="",E2985=""),"Incomplete",IF(K2985="Unknown","Unknown code",IF(AND(K2985="Yes",C2985=""),"Billable, needs client",IF(N2985&gt;MaxDayHours,"Over "&amp;MaxDayHours&amp;" hours that day","")))))</f>
        <v/>
      </c>
    </row>
    <row r="2986" customFormat="false" ht="15" hidden="false" customHeight="false" outlineLevel="0" collapsed="false">
      <c r="A2986" s="31"/>
      <c r="B2986" s="32"/>
      <c r="C2986" s="32"/>
      <c r="D2986" s="33"/>
      <c r="E2986" s="34"/>
      <c r="F2986" s="32"/>
      <c r="G2986" s="35" t="str">
        <f aca="false">IF(A2986="","",A2986+7-WEEKDAY(A2986))</f>
        <v/>
      </c>
      <c r="H2986" s="36" t="str">
        <f aca="false">IF(A2986="","",DATE(YEAR(A2986),MONTH(A2986),1))</f>
        <v/>
      </c>
      <c r="I2986" s="37" t="str">
        <f aca="false">IF(B2986="","",IFERROR(INDEX(st_ID,MATCH(B2986,st_Name,0)),"Unknown"))</f>
        <v/>
      </c>
      <c r="J2986" s="37" t="str">
        <f aca="false">IF(C2986="","",IFERROR(INDEX(cl_Code,MATCH(C2986,cl_Name,0)),"Unknown"))</f>
        <v/>
      </c>
      <c r="K2986" s="37" t="str">
        <f aca="false">IF(D2986="","",IFERROR(INDEX(rt_Billable,MATCH(D2986,rt_Code,0)),"Unknown"))</f>
        <v/>
      </c>
      <c r="L2986" s="38" t="str">
        <f aca="false">IF(K2986&lt;&gt;"Yes","",IFERROR(INDEX(cr_Rate,MATCH(J2986&amp;"|"&amp;D2986,cr_Key,0)),INDEX(rt_Rate,MATCH(D2986,rt_Code,0))))</f>
        <v/>
      </c>
      <c r="M2986" s="25" t="str">
        <f aca="false">IF(L2986="","",ROUND(N(E2986)*L2986,2))</f>
        <v/>
      </c>
      <c r="N2986" s="39" t="str">
        <f aca="false">IF(OR(A2986="",B2986=""),"",SUMIFS(tl_Hours,tl_StaffID,I2986,tl_Date,A2986))</f>
        <v/>
      </c>
      <c r="O2986" s="40" t="str">
        <f aca="false">IF(A2986&amp;B2986&amp;D2986="","",IF(OR(A2986="",B2986="",D2986="",E2986=""),"Incomplete",IF(K2986="Unknown","Unknown code",IF(AND(K2986="Yes",C2986=""),"Billable, needs client",IF(N2986&gt;MaxDayHours,"Over "&amp;MaxDayHours&amp;" hours that day","")))))</f>
        <v/>
      </c>
    </row>
    <row r="2987" customFormat="false" ht="15" hidden="false" customHeight="false" outlineLevel="0" collapsed="false">
      <c r="A2987" s="31"/>
      <c r="B2987" s="32"/>
      <c r="C2987" s="32"/>
      <c r="D2987" s="33"/>
      <c r="E2987" s="34"/>
      <c r="F2987" s="32"/>
      <c r="G2987" s="35" t="str">
        <f aca="false">IF(A2987="","",A2987+7-WEEKDAY(A2987))</f>
        <v/>
      </c>
      <c r="H2987" s="36" t="str">
        <f aca="false">IF(A2987="","",DATE(YEAR(A2987),MONTH(A2987),1))</f>
        <v/>
      </c>
      <c r="I2987" s="37" t="str">
        <f aca="false">IF(B2987="","",IFERROR(INDEX(st_ID,MATCH(B2987,st_Name,0)),"Unknown"))</f>
        <v/>
      </c>
      <c r="J2987" s="37" t="str">
        <f aca="false">IF(C2987="","",IFERROR(INDEX(cl_Code,MATCH(C2987,cl_Name,0)),"Unknown"))</f>
        <v/>
      </c>
      <c r="K2987" s="37" t="str">
        <f aca="false">IF(D2987="","",IFERROR(INDEX(rt_Billable,MATCH(D2987,rt_Code,0)),"Unknown"))</f>
        <v/>
      </c>
      <c r="L2987" s="38" t="str">
        <f aca="false">IF(K2987&lt;&gt;"Yes","",IFERROR(INDEX(cr_Rate,MATCH(J2987&amp;"|"&amp;D2987,cr_Key,0)),INDEX(rt_Rate,MATCH(D2987,rt_Code,0))))</f>
        <v/>
      </c>
      <c r="M2987" s="25" t="str">
        <f aca="false">IF(L2987="","",ROUND(N(E2987)*L2987,2))</f>
        <v/>
      </c>
      <c r="N2987" s="39" t="str">
        <f aca="false">IF(OR(A2987="",B2987=""),"",SUMIFS(tl_Hours,tl_StaffID,I2987,tl_Date,A2987))</f>
        <v/>
      </c>
      <c r="O2987" s="40" t="str">
        <f aca="false">IF(A2987&amp;B2987&amp;D2987="","",IF(OR(A2987="",B2987="",D2987="",E2987=""),"Incomplete",IF(K2987="Unknown","Unknown code",IF(AND(K2987="Yes",C2987=""),"Billable, needs client",IF(N2987&gt;MaxDayHours,"Over "&amp;MaxDayHours&amp;" hours that day","")))))</f>
        <v/>
      </c>
    </row>
    <row r="2988" customFormat="false" ht="15" hidden="false" customHeight="false" outlineLevel="0" collapsed="false">
      <c r="A2988" s="31"/>
      <c r="B2988" s="32"/>
      <c r="C2988" s="32"/>
      <c r="D2988" s="33"/>
      <c r="E2988" s="34"/>
      <c r="F2988" s="32"/>
      <c r="G2988" s="35" t="str">
        <f aca="false">IF(A2988="","",A2988+7-WEEKDAY(A2988))</f>
        <v/>
      </c>
      <c r="H2988" s="36" t="str">
        <f aca="false">IF(A2988="","",DATE(YEAR(A2988),MONTH(A2988),1))</f>
        <v/>
      </c>
      <c r="I2988" s="37" t="str">
        <f aca="false">IF(B2988="","",IFERROR(INDEX(st_ID,MATCH(B2988,st_Name,0)),"Unknown"))</f>
        <v/>
      </c>
      <c r="J2988" s="37" t="str">
        <f aca="false">IF(C2988="","",IFERROR(INDEX(cl_Code,MATCH(C2988,cl_Name,0)),"Unknown"))</f>
        <v/>
      </c>
      <c r="K2988" s="37" t="str">
        <f aca="false">IF(D2988="","",IFERROR(INDEX(rt_Billable,MATCH(D2988,rt_Code,0)),"Unknown"))</f>
        <v/>
      </c>
      <c r="L2988" s="38" t="str">
        <f aca="false">IF(K2988&lt;&gt;"Yes","",IFERROR(INDEX(cr_Rate,MATCH(J2988&amp;"|"&amp;D2988,cr_Key,0)),INDEX(rt_Rate,MATCH(D2988,rt_Code,0))))</f>
        <v/>
      </c>
      <c r="M2988" s="25" t="str">
        <f aca="false">IF(L2988="","",ROUND(N(E2988)*L2988,2))</f>
        <v/>
      </c>
      <c r="N2988" s="39" t="str">
        <f aca="false">IF(OR(A2988="",B2988=""),"",SUMIFS(tl_Hours,tl_StaffID,I2988,tl_Date,A2988))</f>
        <v/>
      </c>
      <c r="O2988" s="40" t="str">
        <f aca="false">IF(A2988&amp;B2988&amp;D2988="","",IF(OR(A2988="",B2988="",D2988="",E2988=""),"Incomplete",IF(K2988="Unknown","Unknown code",IF(AND(K2988="Yes",C2988=""),"Billable, needs client",IF(N2988&gt;MaxDayHours,"Over "&amp;MaxDayHours&amp;" hours that day","")))))</f>
        <v/>
      </c>
    </row>
    <row r="2989" customFormat="false" ht="15" hidden="false" customHeight="false" outlineLevel="0" collapsed="false">
      <c r="A2989" s="31"/>
      <c r="B2989" s="32"/>
      <c r="C2989" s="32"/>
      <c r="D2989" s="33"/>
      <c r="E2989" s="34"/>
      <c r="F2989" s="32"/>
      <c r="G2989" s="35" t="str">
        <f aca="false">IF(A2989="","",A2989+7-WEEKDAY(A2989))</f>
        <v/>
      </c>
      <c r="H2989" s="36" t="str">
        <f aca="false">IF(A2989="","",DATE(YEAR(A2989),MONTH(A2989),1))</f>
        <v/>
      </c>
      <c r="I2989" s="37" t="str">
        <f aca="false">IF(B2989="","",IFERROR(INDEX(st_ID,MATCH(B2989,st_Name,0)),"Unknown"))</f>
        <v/>
      </c>
      <c r="J2989" s="37" t="str">
        <f aca="false">IF(C2989="","",IFERROR(INDEX(cl_Code,MATCH(C2989,cl_Name,0)),"Unknown"))</f>
        <v/>
      </c>
      <c r="K2989" s="37" t="str">
        <f aca="false">IF(D2989="","",IFERROR(INDEX(rt_Billable,MATCH(D2989,rt_Code,0)),"Unknown"))</f>
        <v/>
      </c>
      <c r="L2989" s="38" t="str">
        <f aca="false">IF(K2989&lt;&gt;"Yes","",IFERROR(INDEX(cr_Rate,MATCH(J2989&amp;"|"&amp;D2989,cr_Key,0)),INDEX(rt_Rate,MATCH(D2989,rt_Code,0))))</f>
        <v/>
      </c>
      <c r="M2989" s="25" t="str">
        <f aca="false">IF(L2989="","",ROUND(N(E2989)*L2989,2))</f>
        <v/>
      </c>
      <c r="N2989" s="39" t="str">
        <f aca="false">IF(OR(A2989="",B2989=""),"",SUMIFS(tl_Hours,tl_StaffID,I2989,tl_Date,A2989))</f>
        <v/>
      </c>
      <c r="O2989" s="40" t="str">
        <f aca="false">IF(A2989&amp;B2989&amp;D2989="","",IF(OR(A2989="",B2989="",D2989="",E2989=""),"Incomplete",IF(K2989="Unknown","Unknown code",IF(AND(K2989="Yes",C2989=""),"Billable, needs client",IF(N2989&gt;MaxDayHours,"Over "&amp;MaxDayHours&amp;" hours that day","")))))</f>
        <v/>
      </c>
    </row>
    <row r="2990" customFormat="false" ht="15" hidden="false" customHeight="false" outlineLevel="0" collapsed="false">
      <c r="A2990" s="31"/>
      <c r="B2990" s="32"/>
      <c r="C2990" s="32"/>
      <c r="D2990" s="33"/>
      <c r="E2990" s="34"/>
      <c r="F2990" s="32"/>
      <c r="G2990" s="35" t="str">
        <f aca="false">IF(A2990="","",A2990+7-WEEKDAY(A2990))</f>
        <v/>
      </c>
      <c r="H2990" s="36" t="str">
        <f aca="false">IF(A2990="","",DATE(YEAR(A2990),MONTH(A2990),1))</f>
        <v/>
      </c>
      <c r="I2990" s="37" t="str">
        <f aca="false">IF(B2990="","",IFERROR(INDEX(st_ID,MATCH(B2990,st_Name,0)),"Unknown"))</f>
        <v/>
      </c>
      <c r="J2990" s="37" t="str">
        <f aca="false">IF(C2990="","",IFERROR(INDEX(cl_Code,MATCH(C2990,cl_Name,0)),"Unknown"))</f>
        <v/>
      </c>
      <c r="K2990" s="37" t="str">
        <f aca="false">IF(D2990="","",IFERROR(INDEX(rt_Billable,MATCH(D2990,rt_Code,0)),"Unknown"))</f>
        <v/>
      </c>
      <c r="L2990" s="38" t="str">
        <f aca="false">IF(K2990&lt;&gt;"Yes","",IFERROR(INDEX(cr_Rate,MATCH(J2990&amp;"|"&amp;D2990,cr_Key,0)),INDEX(rt_Rate,MATCH(D2990,rt_Code,0))))</f>
        <v/>
      </c>
      <c r="M2990" s="25" t="str">
        <f aca="false">IF(L2990="","",ROUND(N(E2990)*L2990,2))</f>
        <v/>
      </c>
      <c r="N2990" s="39" t="str">
        <f aca="false">IF(OR(A2990="",B2990=""),"",SUMIFS(tl_Hours,tl_StaffID,I2990,tl_Date,A2990))</f>
        <v/>
      </c>
      <c r="O2990" s="40" t="str">
        <f aca="false">IF(A2990&amp;B2990&amp;D2990="","",IF(OR(A2990="",B2990="",D2990="",E2990=""),"Incomplete",IF(K2990="Unknown","Unknown code",IF(AND(K2990="Yes",C2990=""),"Billable, needs client",IF(N2990&gt;MaxDayHours,"Over "&amp;MaxDayHours&amp;" hours that day","")))))</f>
        <v/>
      </c>
    </row>
    <row r="2991" customFormat="false" ht="15" hidden="false" customHeight="false" outlineLevel="0" collapsed="false">
      <c r="A2991" s="31"/>
      <c r="B2991" s="32"/>
      <c r="C2991" s="32"/>
      <c r="D2991" s="33"/>
      <c r="E2991" s="34"/>
      <c r="F2991" s="32"/>
      <c r="G2991" s="35" t="str">
        <f aca="false">IF(A2991="","",A2991+7-WEEKDAY(A2991))</f>
        <v/>
      </c>
      <c r="H2991" s="36" t="str">
        <f aca="false">IF(A2991="","",DATE(YEAR(A2991),MONTH(A2991),1))</f>
        <v/>
      </c>
      <c r="I2991" s="37" t="str">
        <f aca="false">IF(B2991="","",IFERROR(INDEX(st_ID,MATCH(B2991,st_Name,0)),"Unknown"))</f>
        <v/>
      </c>
      <c r="J2991" s="37" t="str">
        <f aca="false">IF(C2991="","",IFERROR(INDEX(cl_Code,MATCH(C2991,cl_Name,0)),"Unknown"))</f>
        <v/>
      </c>
      <c r="K2991" s="37" t="str">
        <f aca="false">IF(D2991="","",IFERROR(INDEX(rt_Billable,MATCH(D2991,rt_Code,0)),"Unknown"))</f>
        <v/>
      </c>
      <c r="L2991" s="38" t="str">
        <f aca="false">IF(K2991&lt;&gt;"Yes","",IFERROR(INDEX(cr_Rate,MATCH(J2991&amp;"|"&amp;D2991,cr_Key,0)),INDEX(rt_Rate,MATCH(D2991,rt_Code,0))))</f>
        <v/>
      </c>
      <c r="M2991" s="25" t="str">
        <f aca="false">IF(L2991="","",ROUND(N(E2991)*L2991,2))</f>
        <v/>
      </c>
      <c r="N2991" s="39" t="str">
        <f aca="false">IF(OR(A2991="",B2991=""),"",SUMIFS(tl_Hours,tl_StaffID,I2991,tl_Date,A2991))</f>
        <v/>
      </c>
      <c r="O2991" s="40" t="str">
        <f aca="false">IF(A2991&amp;B2991&amp;D2991="","",IF(OR(A2991="",B2991="",D2991="",E2991=""),"Incomplete",IF(K2991="Unknown","Unknown code",IF(AND(K2991="Yes",C2991=""),"Billable, needs client",IF(N2991&gt;MaxDayHours,"Over "&amp;MaxDayHours&amp;" hours that day","")))))</f>
        <v/>
      </c>
    </row>
    <row r="2992" customFormat="false" ht="15" hidden="false" customHeight="false" outlineLevel="0" collapsed="false">
      <c r="A2992" s="31"/>
      <c r="B2992" s="32"/>
      <c r="C2992" s="32"/>
      <c r="D2992" s="33"/>
      <c r="E2992" s="34"/>
      <c r="F2992" s="32"/>
      <c r="G2992" s="35" t="str">
        <f aca="false">IF(A2992="","",A2992+7-WEEKDAY(A2992))</f>
        <v/>
      </c>
      <c r="H2992" s="36" t="str">
        <f aca="false">IF(A2992="","",DATE(YEAR(A2992),MONTH(A2992),1))</f>
        <v/>
      </c>
      <c r="I2992" s="37" t="str">
        <f aca="false">IF(B2992="","",IFERROR(INDEX(st_ID,MATCH(B2992,st_Name,0)),"Unknown"))</f>
        <v/>
      </c>
      <c r="J2992" s="37" t="str">
        <f aca="false">IF(C2992="","",IFERROR(INDEX(cl_Code,MATCH(C2992,cl_Name,0)),"Unknown"))</f>
        <v/>
      </c>
      <c r="K2992" s="37" t="str">
        <f aca="false">IF(D2992="","",IFERROR(INDEX(rt_Billable,MATCH(D2992,rt_Code,0)),"Unknown"))</f>
        <v/>
      </c>
      <c r="L2992" s="38" t="str">
        <f aca="false">IF(K2992&lt;&gt;"Yes","",IFERROR(INDEX(cr_Rate,MATCH(J2992&amp;"|"&amp;D2992,cr_Key,0)),INDEX(rt_Rate,MATCH(D2992,rt_Code,0))))</f>
        <v/>
      </c>
      <c r="M2992" s="25" t="str">
        <f aca="false">IF(L2992="","",ROUND(N(E2992)*L2992,2))</f>
        <v/>
      </c>
      <c r="N2992" s="39" t="str">
        <f aca="false">IF(OR(A2992="",B2992=""),"",SUMIFS(tl_Hours,tl_StaffID,I2992,tl_Date,A2992))</f>
        <v/>
      </c>
      <c r="O2992" s="40" t="str">
        <f aca="false">IF(A2992&amp;B2992&amp;D2992="","",IF(OR(A2992="",B2992="",D2992="",E2992=""),"Incomplete",IF(K2992="Unknown","Unknown code",IF(AND(K2992="Yes",C2992=""),"Billable, needs client",IF(N2992&gt;MaxDayHours,"Over "&amp;MaxDayHours&amp;" hours that day","")))))</f>
        <v/>
      </c>
    </row>
    <row r="2993" customFormat="false" ht="15" hidden="false" customHeight="false" outlineLevel="0" collapsed="false">
      <c r="A2993" s="31"/>
      <c r="B2993" s="32"/>
      <c r="C2993" s="32"/>
      <c r="D2993" s="33"/>
      <c r="E2993" s="34"/>
      <c r="F2993" s="32"/>
      <c r="G2993" s="35" t="str">
        <f aca="false">IF(A2993="","",A2993+7-WEEKDAY(A2993))</f>
        <v/>
      </c>
      <c r="H2993" s="36" t="str">
        <f aca="false">IF(A2993="","",DATE(YEAR(A2993),MONTH(A2993),1))</f>
        <v/>
      </c>
      <c r="I2993" s="37" t="str">
        <f aca="false">IF(B2993="","",IFERROR(INDEX(st_ID,MATCH(B2993,st_Name,0)),"Unknown"))</f>
        <v/>
      </c>
      <c r="J2993" s="37" t="str">
        <f aca="false">IF(C2993="","",IFERROR(INDEX(cl_Code,MATCH(C2993,cl_Name,0)),"Unknown"))</f>
        <v/>
      </c>
      <c r="K2993" s="37" t="str">
        <f aca="false">IF(D2993="","",IFERROR(INDEX(rt_Billable,MATCH(D2993,rt_Code,0)),"Unknown"))</f>
        <v/>
      </c>
      <c r="L2993" s="38" t="str">
        <f aca="false">IF(K2993&lt;&gt;"Yes","",IFERROR(INDEX(cr_Rate,MATCH(J2993&amp;"|"&amp;D2993,cr_Key,0)),INDEX(rt_Rate,MATCH(D2993,rt_Code,0))))</f>
        <v/>
      </c>
      <c r="M2993" s="25" t="str">
        <f aca="false">IF(L2993="","",ROUND(N(E2993)*L2993,2))</f>
        <v/>
      </c>
      <c r="N2993" s="39" t="str">
        <f aca="false">IF(OR(A2993="",B2993=""),"",SUMIFS(tl_Hours,tl_StaffID,I2993,tl_Date,A2993))</f>
        <v/>
      </c>
      <c r="O2993" s="40" t="str">
        <f aca="false">IF(A2993&amp;B2993&amp;D2993="","",IF(OR(A2993="",B2993="",D2993="",E2993=""),"Incomplete",IF(K2993="Unknown","Unknown code",IF(AND(K2993="Yes",C2993=""),"Billable, needs client",IF(N2993&gt;MaxDayHours,"Over "&amp;MaxDayHours&amp;" hours that day","")))))</f>
        <v/>
      </c>
    </row>
    <row r="2994" customFormat="false" ht="15" hidden="false" customHeight="false" outlineLevel="0" collapsed="false">
      <c r="A2994" s="31"/>
      <c r="B2994" s="32"/>
      <c r="C2994" s="32"/>
      <c r="D2994" s="33"/>
      <c r="E2994" s="34"/>
      <c r="F2994" s="32"/>
      <c r="G2994" s="35" t="str">
        <f aca="false">IF(A2994="","",A2994+7-WEEKDAY(A2994))</f>
        <v/>
      </c>
      <c r="H2994" s="36" t="str">
        <f aca="false">IF(A2994="","",DATE(YEAR(A2994),MONTH(A2994),1))</f>
        <v/>
      </c>
      <c r="I2994" s="37" t="str">
        <f aca="false">IF(B2994="","",IFERROR(INDEX(st_ID,MATCH(B2994,st_Name,0)),"Unknown"))</f>
        <v/>
      </c>
      <c r="J2994" s="37" t="str">
        <f aca="false">IF(C2994="","",IFERROR(INDEX(cl_Code,MATCH(C2994,cl_Name,0)),"Unknown"))</f>
        <v/>
      </c>
      <c r="K2994" s="37" t="str">
        <f aca="false">IF(D2994="","",IFERROR(INDEX(rt_Billable,MATCH(D2994,rt_Code,0)),"Unknown"))</f>
        <v/>
      </c>
      <c r="L2994" s="38" t="str">
        <f aca="false">IF(K2994&lt;&gt;"Yes","",IFERROR(INDEX(cr_Rate,MATCH(J2994&amp;"|"&amp;D2994,cr_Key,0)),INDEX(rt_Rate,MATCH(D2994,rt_Code,0))))</f>
        <v/>
      </c>
      <c r="M2994" s="25" t="str">
        <f aca="false">IF(L2994="","",ROUND(N(E2994)*L2994,2))</f>
        <v/>
      </c>
      <c r="N2994" s="39" t="str">
        <f aca="false">IF(OR(A2994="",B2994=""),"",SUMIFS(tl_Hours,tl_StaffID,I2994,tl_Date,A2994))</f>
        <v/>
      </c>
      <c r="O2994" s="40" t="str">
        <f aca="false">IF(A2994&amp;B2994&amp;D2994="","",IF(OR(A2994="",B2994="",D2994="",E2994=""),"Incomplete",IF(K2994="Unknown","Unknown code",IF(AND(K2994="Yes",C2994=""),"Billable, needs client",IF(N2994&gt;MaxDayHours,"Over "&amp;MaxDayHours&amp;" hours that day","")))))</f>
        <v/>
      </c>
    </row>
    <row r="2995" customFormat="false" ht="15" hidden="false" customHeight="false" outlineLevel="0" collapsed="false">
      <c r="A2995" s="31"/>
      <c r="B2995" s="32"/>
      <c r="C2995" s="32"/>
      <c r="D2995" s="33"/>
      <c r="E2995" s="34"/>
      <c r="F2995" s="32"/>
      <c r="G2995" s="35" t="str">
        <f aca="false">IF(A2995="","",A2995+7-WEEKDAY(A2995))</f>
        <v/>
      </c>
      <c r="H2995" s="36" t="str">
        <f aca="false">IF(A2995="","",DATE(YEAR(A2995),MONTH(A2995),1))</f>
        <v/>
      </c>
      <c r="I2995" s="37" t="str">
        <f aca="false">IF(B2995="","",IFERROR(INDEX(st_ID,MATCH(B2995,st_Name,0)),"Unknown"))</f>
        <v/>
      </c>
      <c r="J2995" s="37" t="str">
        <f aca="false">IF(C2995="","",IFERROR(INDEX(cl_Code,MATCH(C2995,cl_Name,0)),"Unknown"))</f>
        <v/>
      </c>
      <c r="K2995" s="37" t="str">
        <f aca="false">IF(D2995="","",IFERROR(INDEX(rt_Billable,MATCH(D2995,rt_Code,0)),"Unknown"))</f>
        <v/>
      </c>
      <c r="L2995" s="38" t="str">
        <f aca="false">IF(K2995&lt;&gt;"Yes","",IFERROR(INDEX(cr_Rate,MATCH(J2995&amp;"|"&amp;D2995,cr_Key,0)),INDEX(rt_Rate,MATCH(D2995,rt_Code,0))))</f>
        <v/>
      </c>
      <c r="M2995" s="25" t="str">
        <f aca="false">IF(L2995="","",ROUND(N(E2995)*L2995,2))</f>
        <v/>
      </c>
      <c r="N2995" s="39" t="str">
        <f aca="false">IF(OR(A2995="",B2995=""),"",SUMIFS(tl_Hours,tl_StaffID,I2995,tl_Date,A2995))</f>
        <v/>
      </c>
      <c r="O2995" s="40" t="str">
        <f aca="false">IF(A2995&amp;B2995&amp;D2995="","",IF(OR(A2995="",B2995="",D2995="",E2995=""),"Incomplete",IF(K2995="Unknown","Unknown code",IF(AND(K2995="Yes",C2995=""),"Billable, needs client",IF(N2995&gt;MaxDayHours,"Over "&amp;MaxDayHours&amp;" hours that day","")))))</f>
        <v/>
      </c>
    </row>
    <row r="2996" customFormat="false" ht="15" hidden="false" customHeight="false" outlineLevel="0" collapsed="false">
      <c r="A2996" s="31"/>
      <c r="B2996" s="32"/>
      <c r="C2996" s="32"/>
      <c r="D2996" s="33"/>
      <c r="E2996" s="34"/>
      <c r="F2996" s="32"/>
      <c r="G2996" s="35" t="str">
        <f aca="false">IF(A2996="","",A2996+7-WEEKDAY(A2996))</f>
        <v/>
      </c>
      <c r="H2996" s="36" t="str">
        <f aca="false">IF(A2996="","",DATE(YEAR(A2996),MONTH(A2996),1))</f>
        <v/>
      </c>
      <c r="I2996" s="37" t="str">
        <f aca="false">IF(B2996="","",IFERROR(INDEX(st_ID,MATCH(B2996,st_Name,0)),"Unknown"))</f>
        <v/>
      </c>
      <c r="J2996" s="37" t="str">
        <f aca="false">IF(C2996="","",IFERROR(INDEX(cl_Code,MATCH(C2996,cl_Name,0)),"Unknown"))</f>
        <v/>
      </c>
      <c r="K2996" s="37" t="str">
        <f aca="false">IF(D2996="","",IFERROR(INDEX(rt_Billable,MATCH(D2996,rt_Code,0)),"Unknown"))</f>
        <v/>
      </c>
      <c r="L2996" s="38" t="str">
        <f aca="false">IF(K2996&lt;&gt;"Yes","",IFERROR(INDEX(cr_Rate,MATCH(J2996&amp;"|"&amp;D2996,cr_Key,0)),INDEX(rt_Rate,MATCH(D2996,rt_Code,0))))</f>
        <v/>
      </c>
      <c r="M2996" s="25" t="str">
        <f aca="false">IF(L2996="","",ROUND(N(E2996)*L2996,2))</f>
        <v/>
      </c>
      <c r="N2996" s="39" t="str">
        <f aca="false">IF(OR(A2996="",B2996=""),"",SUMIFS(tl_Hours,tl_StaffID,I2996,tl_Date,A2996))</f>
        <v/>
      </c>
      <c r="O2996" s="40" t="str">
        <f aca="false">IF(A2996&amp;B2996&amp;D2996="","",IF(OR(A2996="",B2996="",D2996="",E2996=""),"Incomplete",IF(K2996="Unknown","Unknown code",IF(AND(K2996="Yes",C2996=""),"Billable, needs client",IF(N2996&gt;MaxDayHours,"Over "&amp;MaxDayHours&amp;" hours that day","")))))</f>
        <v/>
      </c>
    </row>
    <row r="2997" customFormat="false" ht="15" hidden="false" customHeight="false" outlineLevel="0" collapsed="false">
      <c r="A2997" s="31"/>
      <c r="B2997" s="32"/>
      <c r="C2997" s="32"/>
      <c r="D2997" s="33"/>
      <c r="E2997" s="34"/>
      <c r="F2997" s="32"/>
      <c r="G2997" s="35" t="str">
        <f aca="false">IF(A2997="","",A2997+7-WEEKDAY(A2997))</f>
        <v/>
      </c>
      <c r="H2997" s="36" t="str">
        <f aca="false">IF(A2997="","",DATE(YEAR(A2997),MONTH(A2997),1))</f>
        <v/>
      </c>
      <c r="I2997" s="37" t="str">
        <f aca="false">IF(B2997="","",IFERROR(INDEX(st_ID,MATCH(B2997,st_Name,0)),"Unknown"))</f>
        <v/>
      </c>
      <c r="J2997" s="37" t="str">
        <f aca="false">IF(C2997="","",IFERROR(INDEX(cl_Code,MATCH(C2997,cl_Name,0)),"Unknown"))</f>
        <v/>
      </c>
      <c r="K2997" s="37" t="str">
        <f aca="false">IF(D2997="","",IFERROR(INDEX(rt_Billable,MATCH(D2997,rt_Code,0)),"Unknown"))</f>
        <v/>
      </c>
      <c r="L2997" s="38" t="str">
        <f aca="false">IF(K2997&lt;&gt;"Yes","",IFERROR(INDEX(cr_Rate,MATCH(J2997&amp;"|"&amp;D2997,cr_Key,0)),INDEX(rt_Rate,MATCH(D2997,rt_Code,0))))</f>
        <v/>
      </c>
      <c r="M2997" s="25" t="str">
        <f aca="false">IF(L2997="","",ROUND(N(E2997)*L2997,2))</f>
        <v/>
      </c>
      <c r="N2997" s="39" t="str">
        <f aca="false">IF(OR(A2997="",B2997=""),"",SUMIFS(tl_Hours,tl_StaffID,I2997,tl_Date,A2997))</f>
        <v/>
      </c>
      <c r="O2997" s="40" t="str">
        <f aca="false">IF(A2997&amp;B2997&amp;D2997="","",IF(OR(A2997="",B2997="",D2997="",E2997=""),"Incomplete",IF(K2997="Unknown","Unknown code",IF(AND(K2997="Yes",C2997=""),"Billable, needs client",IF(N2997&gt;MaxDayHours,"Over "&amp;MaxDayHours&amp;" hours that day","")))))</f>
        <v/>
      </c>
    </row>
    <row r="2998" customFormat="false" ht="15" hidden="false" customHeight="false" outlineLevel="0" collapsed="false">
      <c r="A2998" s="31"/>
      <c r="B2998" s="32"/>
      <c r="C2998" s="32"/>
      <c r="D2998" s="33"/>
      <c r="E2998" s="34"/>
      <c r="F2998" s="32"/>
      <c r="G2998" s="35" t="str">
        <f aca="false">IF(A2998="","",A2998+7-WEEKDAY(A2998))</f>
        <v/>
      </c>
      <c r="H2998" s="36" t="str">
        <f aca="false">IF(A2998="","",DATE(YEAR(A2998),MONTH(A2998),1))</f>
        <v/>
      </c>
      <c r="I2998" s="37" t="str">
        <f aca="false">IF(B2998="","",IFERROR(INDEX(st_ID,MATCH(B2998,st_Name,0)),"Unknown"))</f>
        <v/>
      </c>
      <c r="J2998" s="37" t="str">
        <f aca="false">IF(C2998="","",IFERROR(INDEX(cl_Code,MATCH(C2998,cl_Name,0)),"Unknown"))</f>
        <v/>
      </c>
      <c r="K2998" s="37" t="str">
        <f aca="false">IF(D2998="","",IFERROR(INDEX(rt_Billable,MATCH(D2998,rt_Code,0)),"Unknown"))</f>
        <v/>
      </c>
      <c r="L2998" s="38" t="str">
        <f aca="false">IF(K2998&lt;&gt;"Yes","",IFERROR(INDEX(cr_Rate,MATCH(J2998&amp;"|"&amp;D2998,cr_Key,0)),INDEX(rt_Rate,MATCH(D2998,rt_Code,0))))</f>
        <v/>
      </c>
      <c r="M2998" s="25" t="str">
        <f aca="false">IF(L2998="","",ROUND(N(E2998)*L2998,2))</f>
        <v/>
      </c>
      <c r="N2998" s="39" t="str">
        <f aca="false">IF(OR(A2998="",B2998=""),"",SUMIFS(tl_Hours,tl_StaffID,I2998,tl_Date,A2998))</f>
        <v/>
      </c>
      <c r="O2998" s="40" t="str">
        <f aca="false">IF(A2998&amp;B2998&amp;D2998="","",IF(OR(A2998="",B2998="",D2998="",E2998=""),"Incomplete",IF(K2998="Unknown","Unknown code",IF(AND(K2998="Yes",C2998=""),"Billable, needs client",IF(N2998&gt;MaxDayHours,"Over "&amp;MaxDayHours&amp;" hours that day","")))))</f>
        <v/>
      </c>
    </row>
    <row r="2999" customFormat="false" ht="15" hidden="false" customHeight="false" outlineLevel="0" collapsed="false">
      <c r="A2999" s="31"/>
      <c r="B2999" s="32"/>
      <c r="C2999" s="32"/>
      <c r="D2999" s="33"/>
      <c r="E2999" s="34"/>
      <c r="F2999" s="32"/>
      <c r="G2999" s="35" t="str">
        <f aca="false">IF(A2999="","",A2999+7-WEEKDAY(A2999))</f>
        <v/>
      </c>
      <c r="H2999" s="36" t="str">
        <f aca="false">IF(A2999="","",DATE(YEAR(A2999),MONTH(A2999),1))</f>
        <v/>
      </c>
      <c r="I2999" s="37" t="str">
        <f aca="false">IF(B2999="","",IFERROR(INDEX(st_ID,MATCH(B2999,st_Name,0)),"Unknown"))</f>
        <v/>
      </c>
      <c r="J2999" s="37" t="str">
        <f aca="false">IF(C2999="","",IFERROR(INDEX(cl_Code,MATCH(C2999,cl_Name,0)),"Unknown"))</f>
        <v/>
      </c>
      <c r="K2999" s="37" t="str">
        <f aca="false">IF(D2999="","",IFERROR(INDEX(rt_Billable,MATCH(D2999,rt_Code,0)),"Unknown"))</f>
        <v/>
      </c>
      <c r="L2999" s="38" t="str">
        <f aca="false">IF(K2999&lt;&gt;"Yes","",IFERROR(INDEX(cr_Rate,MATCH(J2999&amp;"|"&amp;D2999,cr_Key,0)),INDEX(rt_Rate,MATCH(D2999,rt_Code,0))))</f>
        <v/>
      </c>
      <c r="M2999" s="25" t="str">
        <f aca="false">IF(L2999="","",ROUND(N(E2999)*L2999,2))</f>
        <v/>
      </c>
      <c r="N2999" s="39" t="str">
        <f aca="false">IF(OR(A2999="",B2999=""),"",SUMIFS(tl_Hours,tl_StaffID,I2999,tl_Date,A2999))</f>
        <v/>
      </c>
      <c r="O2999" s="40" t="str">
        <f aca="false">IF(A2999&amp;B2999&amp;D2999="","",IF(OR(A2999="",B2999="",D2999="",E2999=""),"Incomplete",IF(K2999="Unknown","Unknown code",IF(AND(K2999="Yes",C2999=""),"Billable, needs client",IF(N2999&gt;MaxDayHours,"Over "&amp;MaxDayHours&amp;" hours that day","")))))</f>
        <v/>
      </c>
    </row>
    <row r="3000" customFormat="false" ht="15" hidden="false" customHeight="false" outlineLevel="0" collapsed="false">
      <c r="A3000" s="31"/>
      <c r="B3000" s="32"/>
      <c r="C3000" s="32"/>
      <c r="D3000" s="33"/>
      <c r="E3000" s="34"/>
      <c r="F3000" s="32"/>
      <c r="G3000" s="35" t="str">
        <f aca="false">IF(A3000="","",A3000+7-WEEKDAY(A3000))</f>
        <v/>
      </c>
      <c r="H3000" s="36" t="str">
        <f aca="false">IF(A3000="","",DATE(YEAR(A3000),MONTH(A3000),1))</f>
        <v/>
      </c>
      <c r="I3000" s="37" t="str">
        <f aca="false">IF(B3000="","",IFERROR(INDEX(st_ID,MATCH(B3000,st_Name,0)),"Unknown"))</f>
        <v/>
      </c>
      <c r="J3000" s="37" t="str">
        <f aca="false">IF(C3000="","",IFERROR(INDEX(cl_Code,MATCH(C3000,cl_Name,0)),"Unknown"))</f>
        <v/>
      </c>
      <c r="K3000" s="37" t="str">
        <f aca="false">IF(D3000="","",IFERROR(INDEX(rt_Billable,MATCH(D3000,rt_Code,0)),"Unknown"))</f>
        <v/>
      </c>
      <c r="L3000" s="38" t="str">
        <f aca="false">IF(K3000&lt;&gt;"Yes","",IFERROR(INDEX(cr_Rate,MATCH(J3000&amp;"|"&amp;D3000,cr_Key,0)),INDEX(rt_Rate,MATCH(D3000,rt_Code,0))))</f>
        <v/>
      </c>
      <c r="M3000" s="25" t="str">
        <f aca="false">IF(L3000="","",ROUND(N(E3000)*L3000,2))</f>
        <v/>
      </c>
      <c r="N3000" s="39" t="str">
        <f aca="false">IF(OR(A3000="",B3000=""),"",SUMIFS(tl_Hours,tl_StaffID,I3000,tl_Date,A3000))</f>
        <v/>
      </c>
      <c r="O3000" s="40" t="str">
        <f aca="false">IF(A3000&amp;B3000&amp;D3000="","",IF(OR(A3000="",B3000="",D3000="",E3000=""),"Incomplete",IF(K3000="Unknown","Unknown code",IF(AND(K3000="Yes",C3000=""),"Billable, needs client",IF(N3000&gt;MaxDayHours,"Over "&amp;MaxDayHours&amp;" hours that day","")))))</f>
        <v/>
      </c>
    </row>
    <row r="3001" customFormat="false" ht="15" hidden="false" customHeight="false" outlineLevel="0" collapsed="false">
      <c r="A3001" s="31"/>
      <c r="B3001" s="32"/>
      <c r="C3001" s="32"/>
      <c r="D3001" s="33"/>
      <c r="E3001" s="34"/>
      <c r="F3001" s="32"/>
      <c r="G3001" s="35" t="str">
        <f aca="false">IF(A3001="","",A3001+7-WEEKDAY(A3001))</f>
        <v/>
      </c>
      <c r="H3001" s="36" t="str">
        <f aca="false">IF(A3001="","",DATE(YEAR(A3001),MONTH(A3001),1))</f>
        <v/>
      </c>
      <c r="I3001" s="37" t="str">
        <f aca="false">IF(B3001="","",IFERROR(INDEX(st_ID,MATCH(B3001,st_Name,0)),"Unknown"))</f>
        <v/>
      </c>
      <c r="J3001" s="37" t="str">
        <f aca="false">IF(C3001="","",IFERROR(INDEX(cl_Code,MATCH(C3001,cl_Name,0)),"Unknown"))</f>
        <v/>
      </c>
      <c r="K3001" s="37" t="str">
        <f aca="false">IF(D3001="","",IFERROR(INDEX(rt_Billable,MATCH(D3001,rt_Code,0)),"Unknown"))</f>
        <v/>
      </c>
      <c r="L3001" s="38" t="str">
        <f aca="false">IF(K3001&lt;&gt;"Yes","",IFERROR(INDEX(cr_Rate,MATCH(J3001&amp;"|"&amp;D3001,cr_Key,0)),INDEX(rt_Rate,MATCH(D3001,rt_Code,0))))</f>
        <v/>
      </c>
      <c r="M3001" s="25" t="str">
        <f aca="false">IF(L3001="","",ROUND(N(E3001)*L3001,2))</f>
        <v/>
      </c>
      <c r="N3001" s="39" t="str">
        <f aca="false">IF(OR(A3001="",B3001=""),"",SUMIFS(tl_Hours,tl_StaffID,I3001,tl_Date,A3001))</f>
        <v/>
      </c>
      <c r="O3001" s="40" t="str">
        <f aca="false">IF(A3001&amp;B3001&amp;D3001="","",IF(OR(A3001="",B3001="",D3001="",E3001=""),"Incomplete",IF(K3001="Unknown","Unknown code",IF(AND(K3001="Yes",C3001=""),"Billable, needs client",IF(N3001&gt;MaxDayHours,"Over "&amp;MaxDayHours&amp;" hours that day","")))))</f>
        <v/>
      </c>
    </row>
    <row r="3002" customFormat="false" ht="15" hidden="false" customHeight="false" outlineLevel="0" collapsed="false">
      <c r="A3002" s="31"/>
      <c r="B3002" s="32"/>
      <c r="C3002" s="32"/>
      <c r="D3002" s="33"/>
      <c r="E3002" s="34"/>
      <c r="F3002" s="32"/>
      <c r="G3002" s="35" t="str">
        <f aca="false">IF(A3002="","",A3002+7-WEEKDAY(A3002))</f>
        <v/>
      </c>
      <c r="H3002" s="36" t="str">
        <f aca="false">IF(A3002="","",DATE(YEAR(A3002),MONTH(A3002),1))</f>
        <v/>
      </c>
      <c r="I3002" s="37" t="str">
        <f aca="false">IF(B3002="","",IFERROR(INDEX(st_ID,MATCH(B3002,st_Name,0)),"Unknown"))</f>
        <v/>
      </c>
      <c r="J3002" s="37" t="str">
        <f aca="false">IF(C3002="","",IFERROR(INDEX(cl_Code,MATCH(C3002,cl_Name,0)),"Unknown"))</f>
        <v/>
      </c>
      <c r="K3002" s="37" t="str">
        <f aca="false">IF(D3002="","",IFERROR(INDEX(rt_Billable,MATCH(D3002,rt_Code,0)),"Unknown"))</f>
        <v/>
      </c>
      <c r="L3002" s="38" t="str">
        <f aca="false">IF(K3002&lt;&gt;"Yes","",IFERROR(INDEX(cr_Rate,MATCH(J3002&amp;"|"&amp;D3002,cr_Key,0)),INDEX(rt_Rate,MATCH(D3002,rt_Code,0))))</f>
        <v/>
      </c>
      <c r="M3002" s="25" t="str">
        <f aca="false">IF(L3002="","",ROUND(N(E3002)*L3002,2))</f>
        <v/>
      </c>
      <c r="N3002" s="39" t="str">
        <f aca="false">IF(OR(A3002="",B3002=""),"",SUMIFS(tl_Hours,tl_StaffID,I3002,tl_Date,A3002))</f>
        <v/>
      </c>
      <c r="O3002" s="40" t="str">
        <f aca="false">IF(A3002&amp;B3002&amp;D3002="","",IF(OR(A3002="",B3002="",D3002="",E3002=""),"Incomplete",IF(K3002="Unknown","Unknown code",IF(AND(K3002="Yes",C3002=""),"Billable, needs client",IF(N3002&gt;MaxDayHours,"Over "&amp;MaxDayHours&amp;" hours that day","")))))</f>
        <v/>
      </c>
    </row>
    <row r="3003" customFormat="false" ht="15" hidden="false" customHeight="false" outlineLevel="0" collapsed="false">
      <c r="A3003" s="31"/>
      <c r="B3003" s="32"/>
      <c r="C3003" s="32"/>
      <c r="D3003" s="33"/>
      <c r="E3003" s="34"/>
      <c r="F3003" s="32"/>
      <c r="G3003" s="35" t="str">
        <f aca="false">IF(A3003="","",A3003+7-WEEKDAY(A3003))</f>
        <v/>
      </c>
      <c r="H3003" s="36" t="str">
        <f aca="false">IF(A3003="","",DATE(YEAR(A3003),MONTH(A3003),1))</f>
        <v/>
      </c>
      <c r="I3003" s="37" t="str">
        <f aca="false">IF(B3003="","",IFERROR(INDEX(st_ID,MATCH(B3003,st_Name,0)),"Unknown"))</f>
        <v/>
      </c>
      <c r="J3003" s="37" t="str">
        <f aca="false">IF(C3003="","",IFERROR(INDEX(cl_Code,MATCH(C3003,cl_Name,0)),"Unknown"))</f>
        <v/>
      </c>
      <c r="K3003" s="37" t="str">
        <f aca="false">IF(D3003="","",IFERROR(INDEX(rt_Billable,MATCH(D3003,rt_Code,0)),"Unknown"))</f>
        <v/>
      </c>
      <c r="L3003" s="38" t="str">
        <f aca="false">IF(K3003&lt;&gt;"Yes","",IFERROR(INDEX(cr_Rate,MATCH(J3003&amp;"|"&amp;D3003,cr_Key,0)),INDEX(rt_Rate,MATCH(D3003,rt_Code,0))))</f>
        <v/>
      </c>
      <c r="M3003" s="25" t="str">
        <f aca="false">IF(L3003="","",ROUND(N(E3003)*L3003,2))</f>
        <v/>
      </c>
      <c r="N3003" s="39" t="str">
        <f aca="false">IF(OR(A3003="",B3003=""),"",SUMIFS(tl_Hours,tl_StaffID,I3003,tl_Date,A3003))</f>
        <v/>
      </c>
      <c r="O3003" s="40" t="str">
        <f aca="false">IF(A3003&amp;B3003&amp;D3003="","",IF(OR(A3003="",B3003="",D3003="",E3003=""),"Incomplete",IF(K3003="Unknown","Unknown code",IF(AND(K3003="Yes",C3003=""),"Billable, needs client",IF(N3003&gt;MaxDayHours,"Over "&amp;MaxDayHours&amp;" hours that day","")))))</f>
        <v/>
      </c>
    </row>
    <row r="3004" customFormat="false" ht="15" hidden="false" customHeight="false" outlineLevel="0" collapsed="false">
      <c r="A3004" s="31"/>
      <c r="B3004" s="32"/>
      <c r="C3004" s="32"/>
      <c r="D3004" s="33"/>
      <c r="E3004" s="34"/>
      <c r="F3004" s="32"/>
      <c r="G3004" s="35" t="str">
        <f aca="false">IF(A3004="","",A3004+7-WEEKDAY(A3004))</f>
        <v/>
      </c>
      <c r="H3004" s="36" t="str">
        <f aca="false">IF(A3004="","",DATE(YEAR(A3004),MONTH(A3004),1))</f>
        <v/>
      </c>
      <c r="I3004" s="37" t="str">
        <f aca="false">IF(B3004="","",IFERROR(INDEX(st_ID,MATCH(B3004,st_Name,0)),"Unknown"))</f>
        <v/>
      </c>
      <c r="J3004" s="37" t="str">
        <f aca="false">IF(C3004="","",IFERROR(INDEX(cl_Code,MATCH(C3004,cl_Name,0)),"Unknown"))</f>
        <v/>
      </c>
      <c r="K3004" s="37" t="str">
        <f aca="false">IF(D3004="","",IFERROR(INDEX(rt_Billable,MATCH(D3004,rt_Code,0)),"Unknown"))</f>
        <v/>
      </c>
      <c r="L3004" s="38" t="str">
        <f aca="false">IF(K3004&lt;&gt;"Yes","",IFERROR(INDEX(cr_Rate,MATCH(J3004&amp;"|"&amp;D3004,cr_Key,0)),INDEX(rt_Rate,MATCH(D3004,rt_Code,0))))</f>
        <v/>
      </c>
      <c r="M3004" s="25" t="str">
        <f aca="false">IF(L3004="","",ROUND(N(E3004)*L3004,2))</f>
        <v/>
      </c>
      <c r="N3004" s="39" t="str">
        <f aca="false">IF(OR(A3004="",B3004=""),"",SUMIFS(tl_Hours,tl_StaffID,I3004,tl_Date,A3004))</f>
        <v/>
      </c>
      <c r="O3004" s="40" t="str">
        <f aca="false">IF(A3004&amp;B3004&amp;D3004="","",IF(OR(A3004="",B3004="",D3004="",E3004=""),"Incomplete",IF(K3004="Unknown","Unknown code",IF(AND(K3004="Yes",C3004=""),"Billable, needs client",IF(N3004&gt;MaxDayHours,"Over "&amp;MaxDayHours&amp;" hours that day","")))))</f>
        <v/>
      </c>
    </row>
  </sheetData>
  <sheetProtection sheet="true" formatColumns="false" formatRows="false" sort="false" autoFilter="false"/>
  <autoFilter ref="A4:O3004"/>
  <conditionalFormatting sqref="O5:O3004">
    <cfRule type="expression" priority="2" aboveAverage="0" equalAverage="0" bottom="0" percent="0" rank="0" text="" dxfId="1">
      <formula>$O5&lt;&gt;""</formula>
    </cfRule>
  </conditionalFormatting>
  <conditionalFormatting sqref="N5:N3004">
    <cfRule type="expression" priority="3" aboveAverage="0" equalAverage="0" bottom="0" percent="0" rank="0" text="" dxfId="12">
      <formula>AND(ISNUMBER($N5),$N5&gt;MaxDayHours)</formula>
    </cfRule>
  </conditionalFormatting>
  <conditionalFormatting sqref="K5:K3004">
    <cfRule type="expression" priority="4" aboveAverage="0" equalAverage="0" bottom="0" percent="0" rank="0" text="" dxfId="13">
      <formula>$K5="No"</formula>
    </cfRule>
  </conditionalFormatting>
  <dataValidations count="5">
    <dataValidation allowBlank="true" error="Enter a date such as 9/14/2026." errorStyle="stop" errorTitle="Check the date" operator="between" showDropDown="false" showErrorMessage="true" showInputMessage="false" sqref="A5:A3004" type="date">
      <formula1>DATE(2020,1,1)</formula1>
      <formula2>DATE(2035,12,31)</formula2>
    </dataValidation>
    <dataValidation allowBlank="true" error="Pick a value from the list." errorStyle="stop" errorTitle="Not on the list" operator="between" showDropDown="false" showErrorMessage="true" showInputMessage="false" sqref="B5:B3004" type="list">
      <formula1>StaffNames</formula1>
      <formula2>0</formula2>
    </dataValidation>
    <dataValidation allowBlank="true" error="Pick a value from the list." errorStyle="stop" errorTitle="Not on the list" operator="between" prompt="Leave blank for non-billable time." showDropDown="false" showErrorMessage="true" showInputMessage="true" sqref="C5:C3004" type="list">
      <formula1>ClientNames</formula1>
      <formula2>0</formula2>
    </dataValidation>
    <dataValidation allowBlank="true" error="Pick a value from the list." errorStyle="stop" errorTitle="Not on the list" operator="between" showDropDown="false" showErrorMessage="true" showInputMessage="false" sqref="D5:D3004" type="list">
      <formula1>rt_Code</formula1>
      <formula2>0</formula2>
    </dataValidation>
    <dataValidation allowBlank="true" error="Hours must be between 0 and 24." errorStyle="stop" errorTitle="Check the number" operator="between" showDropDown="false" showErrorMessage="true" showInputMessage="false" sqref="E5:E3004" type="decimal">
      <formula1>0</formula1>
      <formula2>24</formula2>
    </dataValidation>
  </dataValidations>
  <printOptions headings="false" gridLines="false" gridLinesSet="true" horizontalCentered="true" verticalCentered="false"/>
  <pageMargins left="0.5" right="0.5" top="0.55" bottom="0.5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B4FA8"/>
    <pageSetUpPr fitToPage="true"/>
  </sheetPr>
  <dimension ref="B1:Q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2"/>
    <col collapsed="false" customWidth="true" hidden="false" outlineLevel="0" max="3" min="3" style="0" width="26"/>
    <col collapsed="false" customWidth="true" hidden="false" outlineLevel="0" max="11" min="4" style="0" width="10"/>
    <col collapsed="false" customWidth="true" hidden="false" outlineLevel="0" max="17" min="12" style="0" width="9"/>
    <col collapsed="false" customWidth="true" hidden="false" outlineLevel="0" max="18" min="18" style="0" width="3"/>
  </cols>
  <sheetData>
    <row r="1" customFormat="false" ht="33.75" hidden="false" customHeight="true" outlineLevel="0" collapsed="false">
      <c r="B1" s="1" t="s">
        <v>115</v>
      </c>
    </row>
    <row r="2" customFormat="false" ht="18" hidden="false" customHeight="true" outlineLevel="0" collapsed="false">
      <c r="B2" s="28" t="s">
        <v>116</v>
      </c>
    </row>
    <row r="4" customFormat="false" ht="19.5" hidden="false" customHeight="true" outlineLevel="0" collapsed="false">
      <c r="B4" s="41" t="s">
        <v>72</v>
      </c>
      <c r="C4" s="42" t="s">
        <v>86</v>
      </c>
      <c r="E4" s="2" t="str">
        <f aca="false">IFERROR(INDEX(st_Role,MATCH(WT_Staff,st_Name,0)),"")</f>
        <v>Speech-Language Pathologist</v>
      </c>
      <c r="H4" s="43" t="str">
        <f aca="false">IFERROR(INDEX(st_ID,MATCH(WT_Staff,st_Name,0)),"")</f>
        <v>QP-01</v>
      </c>
    </row>
    <row r="5" customFormat="false" ht="19.5" hidden="false" customHeight="true" outlineLevel="0" collapsed="false">
      <c r="B5" s="41" t="s">
        <v>77</v>
      </c>
      <c r="C5" s="44" t="n">
        <v>46284</v>
      </c>
      <c r="E5" s="2" t="str">
        <f aca="false">IFERROR("Expected "&amp;INDEX(st_Weekly,MATCH(WT_Staff,st_Name,0))&amp;" hours, billable target "&amp;INDEX(st_Target,MATCH(WT_Staff,st_Name,0))&amp;" hours","")</f>
        <v>Expected 40 hours, billable target 26 hours</v>
      </c>
    </row>
    <row r="7" customFormat="false" ht="30" hidden="false" customHeight="true" outlineLevel="0" collapsed="false">
      <c r="B7" s="29" t="s">
        <v>117</v>
      </c>
      <c r="C7" s="29" t="s">
        <v>118</v>
      </c>
      <c r="D7" s="45" t="n">
        <f aca="false">WT_Week-6</f>
        <v>46278</v>
      </c>
      <c r="E7" s="45" t="n">
        <f aca="false">WT_Week-5</f>
        <v>46279</v>
      </c>
      <c r="F7" s="45" t="n">
        <f aca="false">WT_Week-4</f>
        <v>46280</v>
      </c>
      <c r="G7" s="45" t="n">
        <f aca="false">WT_Week-3</f>
        <v>46281</v>
      </c>
      <c r="H7" s="45" t="n">
        <f aca="false">WT_Week-2</f>
        <v>46282</v>
      </c>
      <c r="I7" s="45" t="n">
        <f aca="false">WT_Week-1</f>
        <v>46283</v>
      </c>
      <c r="J7" s="45" t="n">
        <f aca="false">WT_Week-0</f>
        <v>46284</v>
      </c>
      <c r="K7" s="29" t="s">
        <v>119</v>
      </c>
      <c r="L7" s="29" t="s">
        <v>81</v>
      </c>
    </row>
    <row r="8" customFormat="false" ht="18" hidden="false" customHeight="true" outlineLevel="0" collapsed="false">
      <c r="B8" s="37" t="str">
        <f aca="false">INDEX(rt_Code,1)</f>
        <v>EVAL</v>
      </c>
      <c r="C8" s="40" t="str">
        <f aca="false">INDEX(rt_Name,1)</f>
        <v>Evaluation and report</v>
      </c>
      <c r="D8" s="46" t="n">
        <f aca="false">SUMIFS(tl_Hours,tl_StaffID,WT_ID,tl_Date,D$7,tl_Code,$B8)</f>
        <v>0</v>
      </c>
      <c r="E8" s="46" t="n">
        <f aca="false">SUMIFS(tl_Hours,tl_StaffID,WT_ID,tl_Date,E$7,tl_Code,$B8)</f>
        <v>0</v>
      </c>
      <c r="F8" s="46" t="n">
        <f aca="false">SUMIFS(tl_Hours,tl_StaffID,WT_ID,tl_Date,F$7,tl_Code,$B8)</f>
        <v>0</v>
      </c>
      <c r="G8" s="46" t="n">
        <f aca="false">SUMIFS(tl_Hours,tl_StaffID,WT_ID,tl_Date,G$7,tl_Code,$B8)</f>
        <v>0.75</v>
      </c>
      <c r="H8" s="46" t="n">
        <f aca="false">SUMIFS(tl_Hours,tl_StaffID,WT_ID,tl_Date,H$7,tl_Code,$B8)</f>
        <v>1.5</v>
      </c>
      <c r="I8" s="46" t="n">
        <f aca="false">SUMIFS(tl_Hours,tl_StaffID,WT_ID,tl_Date,I$7,tl_Code,$B8)</f>
        <v>0</v>
      </c>
      <c r="J8" s="46" t="n">
        <f aca="false">SUMIFS(tl_Hours,tl_StaffID,WT_ID,tl_Date,J$7,tl_Code,$B8)</f>
        <v>0</v>
      </c>
      <c r="K8" s="47" t="n">
        <f aca="false">SUM(D8:J8)</f>
        <v>2.25</v>
      </c>
      <c r="L8" s="21" t="str">
        <f aca="false">INDEX(rt_Billable,1)</f>
        <v>Yes</v>
      </c>
    </row>
    <row r="9" customFormat="false" ht="18" hidden="false" customHeight="true" outlineLevel="0" collapsed="false">
      <c r="B9" s="37" t="str">
        <f aca="false">INDEX(rt_Code,2)</f>
        <v>IND</v>
      </c>
      <c r="C9" s="40" t="str">
        <f aca="false">INDEX(rt_Name,2)</f>
        <v>Individual therapy</v>
      </c>
      <c r="D9" s="46" t="n">
        <f aca="false">SUMIFS(tl_Hours,tl_StaffID,WT_ID,tl_Date,D$7,tl_Code,$B9)</f>
        <v>0</v>
      </c>
      <c r="E9" s="46" t="n">
        <f aca="false">SUMIFS(tl_Hours,tl_StaffID,WT_ID,tl_Date,E$7,tl_Code,$B9)</f>
        <v>0</v>
      </c>
      <c r="F9" s="46" t="n">
        <f aca="false">SUMIFS(tl_Hours,tl_StaffID,WT_ID,tl_Date,F$7,tl_Code,$B9)</f>
        <v>0</v>
      </c>
      <c r="G9" s="46" t="n">
        <f aca="false">SUMIFS(tl_Hours,tl_StaffID,WT_ID,tl_Date,G$7,tl_Code,$B9)</f>
        <v>4.25</v>
      </c>
      <c r="H9" s="46" t="n">
        <f aca="false">SUMIFS(tl_Hours,tl_StaffID,WT_ID,tl_Date,H$7,tl_Code,$B9)</f>
        <v>0</v>
      </c>
      <c r="I9" s="46" t="n">
        <f aca="false">SUMIFS(tl_Hours,tl_StaffID,WT_ID,tl_Date,I$7,tl_Code,$B9)</f>
        <v>4.5</v>
      </c>
      <c r="J9" s="46" t="n">
        <f aca="false">SUMIFS(tl_Hours,tl_StaffID,WT_ID,tl_Date,J$7,tl_Code,$B9)</f>
        <v>0</v>
      </c>
      <c r="K9" s="47" t="n">
        <f aca="false">SUM(D9:J9)</f>
        <v>8.75</v>
      </c>
      <c r="L9" s="21" t="str">
        <f aca="false">INDEX(rt_Billable,2)</f>
        <v>Yes</v>
      </c>
    </row>
    <row r="10" customFormat="false" ht="18" hidden="false" customHeight="true" outlineLevel="0" collapsed="false">
      <c r="B10" s="37" t="str">
        <f aca="false">INDEX(rt_Code,3)</f>
        <v>GRP</v>
      </c>
      <c r="C10" s="40" t="str">
        <f aca="false">INDEX(rt_Name,3)</f>
        <v>Group therapy</v>
      </c>
      <c r="D10" s="46" t="n">
        <f aca="false">SUMIFS(tl_Hours,tl_StaffID,WT_ID,tl_Date,D$7,tl_Code,$B10)</f>
        <v>0</v>
      </c>
      <c r="E10" s="46" t="n">
        <f aca="false">SUMIFS(tl_Hours,tl_StaffID,WT_ID,tl_Date,E$7,tl_Code,$B10)</f>
        <v>0</v>
      </c>
      <c r="F10" s="46" t="n">
        <f aca="false">SUMIFS(tl_Hours,tl_StaffID,WT_ID,tl_Date,F$7,tl_Code,$B10)</f>
        <v>5.5</v>
      </c>
      <c r="G10" s="46" t="n">
        <f aca="false">SUMIFS(tl_Hours,tl_StaffID,WT_ID,tl_Date,G$7,tl_Code,$B10)</f>
        <v>0</v>
      </c>
      <c r="H10" s="46" t="n">
        <f aca="false">SUMIFS(tl_Hours,tl_StaffID,WT_ID,tl_Date,H$7,tl_Code,$B10)</f>
        <v>0</v>
      </c>
      <c r="I10" s="46" t="n">
        <f aca="false">SUMIFS(tl_Hours,tl_StaffID,WT_ID,tl_Date,I$7,tl_Code,$B10)</f>
        <v>0</v>
      </c>
      <c r="J10" s="46" t="n">
        <f aca="false">SUMIFS(tl_Hours,tl_StaffID,WT_ID,tl_Date,J$7,tl_Code,$B10)</f>
        <v>0</v>
      </c>
      <c r="K10" s="47" t="n">
        <f aca="false">SUM(D10:J10)</f>
        <v>5.5</v>
      </c>
      <c r="L10" s="21" t="str">
        <f aca="false">INDEX(rt_Billable,3)</f>
        <v>Yes</v>
      </c>
    </row>
    <row r="11" customFormat="false" ht="18" hidden="false" customHeight="true" outlineLevel="0" collapsed="false">
      <c r="B11" s="37" t="str">
        <f aca="false">INDEX(rt_Code,4)</f>
        <v>CONS</v>
      </c>
      <c r="C11" s="40" t="str">
        <f aca="false">INDEX(rt_Name,4)</f>
        <v>Consultation or IEP meeting</v>
      </c>
      <c r="D11" s="46" t="n">
        <f aca="false">SUMIFS(tl_Hours,tl_StaffID,WT_ID,tl_Date,D$7,tl_Code,$B11)</f>
        <v>0</v>
      </c>
      <c r="E11" s="46" t="n">
        <f aca="false">SUMIFS(tl_Hours,tl_StaffID,WT_ID,tl_Date,E$7,tl_Code,$B11)</f>
        <v>0</v>
      </c>
      <c r="F11" s="46" t="n">
        <f aca="false">SUMIFS(tl_Hours,tl_StaffID,WT_ID,tl_Date,F$7,tl_Code,$B11)</f>
        <v>1</v>
      </c>
      <c r="G11" s="46" t="n">
        <f aca="false">SUMIFS(tl_Hours,tl_StaffID,WT_ID,tl_Date,G$7,tl_Code,$B11)</f>
        <v>0.5</v>
      </c>
      <c r="H11" s="46" t="n">
        <f aca="false">SUMIFS(tl_Hours,tl_StaffID,WT_ID,tl_Date,H$7,tl_Code,$B11)</f>
        <v>0</v>
      </c>
      <c r="I11" s="46" t="n">
        <f aca="false">SUMIFS(tl_Hours,tl_StaffID,WT_ID,tl_Date,I$7,tl_Code,$B11)</f>
        <v>0</v>
      </c>
      <c r="J11" s="46" t="n">
        <f aca="false">SUMIFS(tl_Hours,tl_StaffID,WT_ID,tl_Date,J$7,tl_Code,$B11)</f>
        <v>0</v>
      </c>
      <c r="K11" s="47" t="n">
        <f aca="false">SUM(D11:J11)</f>
        <v>1.5</v>
      </c>
      <c r="L11" s="21" t="str">
        <f aca="false">INDEX(rt_Billable,4)</f>
        <v>Yes</v>
      </c>
    </row>
    <row r="12" customFormat="false" ht="18" hidden="false" customHeight="true" outlineLevel="0" collapsed="false">
      <c r="B12" s="37" t="str">
        <f aca="false">INDEX(rt_Code,5)</f>
        <v>TELE</v>
      </c>
      <c r="C12" s="40" t="str">
        <f aca="false">INDEX(rt_Name,5)</f>
        <v>Teletherapy session</v>
      </c>
      <c r="D12" s="46" t="n">
        <f aca="false">SUMIFS(tl_Hours,tl_StaffID,WT_ID,tl_Date,D$7,tl_Code,$B12)</f>
        <v>0</v>
      </c>
      <c r="E12" s="46" t="n">
        <f aca="false">SUMIFS(tl_Hours,tl_StaffID,WT_ID,tl_Date,E$7,tl_Code,$B12)</f>
        <v>0</v>
      </c>
      <c r="F12" s="46" t="n">
        <f aca="false">SUMIFS(tl_Hours,tl_StaffID,WT_ID,tl_Date,F$7,tl_Code,$B12)</f>
        <v>0</v>
      </c>
      <c r="G12" s="46" t="n">
        <f aca="false">SUMIFS(tl_Hours,tl_StaffID,WT_ID,tl_Date,G$7,tl_Code,$B12)</f>
        <v>0</v>
      </c>
      <c r="H12" s="46" t="n">
        <f aca="false">SUMIFS(tl_Hours,tl_StaffID,WT_ID,tl_Date,H$7,tl_Code,$B12)</f>
        <v>5</v>
      </c>
      <c r="I12" s="46" t="n">
        <f aca="false">SUMIFS(tl_Hours,tl_StaffID,WT_ID,tl_Date,I$7,tl_Code,$B12)</f>
        <v>0</v>
      </c>
      <c r="J12" s="46" t="n">
        <f aca="false">SUMIFS(tl_Hours,tl_StaffID,WT_ID,tl_Date,J$7,tl_Code,$B12)</f>
        <v>0</v>
      </c>
      <c r="K12" s="47" t="n">
        <f aca="false">SUM(D12:J12)</f>
        <v>5</v>
      </c>
      <c r="L12" s="21" t="str">
        <f aca="false">INDEX(rt_Billable,5)</f>
        <v>Yes</v>
      </c>
    </row>
    <row r="13" customFormat="false" ht="18" hidden="false" customHeight="true" outlineLevel="0" collapsed="false">
      <c r="B13" s="37" t="str">
        <f aca="false">INDEX(rt_Code,6)</f>
        <v>SCRN</v>
      </c>
      <c r="C13" s="40" t="str">
        <f aca="false">INDEX(rt_Name,6)</f>
        <v>Screening</v>
      </c>
      <c r="D13" s="46" t="n">
        <f aca="false">SUMIFS(tl_Hours,tl_StaffID,WT_ID,tl_Date,D$7,tl_Code,$B13)</f>
        <v>0</v>
      </c>
      <c r="E13" s="46" t="n">
        <f aca="false">SUMIFS(tl_Hours,tl_StaffID,WT_ID,tl_Date,E$7,tl_Code,$B13)</f>
        <v>0</v>
      </c>
      <c r="F13" s="46" t="n">
        <f aca="false">SUMIFS(tl_Hours,tl_StaffID,WT_ID,tl_Date,F$7,tl_Code,$B13)</f>
        <v>0</v>
      </c>
      <c r="G13" s="46" t="n">
        <f aca="false">SUMIFS(tl_Hours,tl_StaffID,WT_ID,tl_Date,G$7,tl_Code,$B13)</f>
        <v>0</v>
      </c>
      <c r="H13" s="46" t="n">
        <f aca="false">SUMIFS(tl_Hours,tl_StaffID,WT_ID,tl_Date,H$7,tl_Code,$B13)</f>
        <v>0</v>
      </c>
      <c r="I13" s="46" t="n">
        <f aca="false">SUMIFS(tl_Hours,tl_StaffID,WT_ID,tl_Date,I$7,tl_Code,$B13)</f>
        <v>2</v>
      </c>
      <c r="J13" s="46" t="n">
        <f aca="false">SUMIFS(tl_Hours,tl_StaffID,WT_ID,tl_Date,J$7,tl_Code,$B13)</f>
        <v>0</v>
      </c>
      <c r="K13" s="47" t="n">
        <f aca="false">SUM(D13:J13)</f>
        <v>2</v>
      </c>
      <c r="L13" s="21" t="str">
        <f aca="false">INDEX(rt_Billable,6)</f>
        <v>Yes</v>
      </c>
    </row>
    <row r="14" customFormat="false" ht="18" hidden="false" customHeight="true" outlineLevel="0" collapsed="false">
      <c r="B14" s="37" t="str">
        <f aca="false">INDEX(rt_Code,7)</f>
        <v>DOC</v>
      </c>
      <c r="C14" s="40" t="str">
        <f aca="false">INDEX(rt_Name,7)</f>
        <v>Documentation</v>
      </c>
      <c r="D14" s="46" t="n">
        <f aca="false">SUMIFS(tl_Hours,tl_StaffID,WT_ID,tl_Date,D$7,tl_Code,$B14)</f>
        <v>0</v>
      </c>
      <c r="E14" s="46" t="n">
        <f aca="false">SUMIFS(tl_Hours,tl_StaffID,WT_ID,tl_Date,E$7,tl_Code,$B14)</f>
        <v>0</v>
      </c>
      <c r="F14" s="46" t="n">
        <f aca="false">SUMIFS(tl_Hours,tl_StaffID,WT_ID,tl_Date,F$7,tl_Code,$B14)</f>
        <v>0.5</v>
      </c>
      <c r="G14" s="46" t="n">
        <f aca="false">SUMIFS(tl_Hours,tl_StaffID,WT_ID,tl_Date,G$7,tl_Code,$B14)</f>
        <v>1</v>
      </c>
      <c r="H14" s="46" t="n">
        <f aca="false">SUMIFS(tl_Hours,tl_StaffID,WT_ID,tl_Date,H$7,tl_Code,$B14)</f>
        <v>1.5</v>
      </c>
      <c r="I14" s="46" t="n">
        <f aca="false">SUMIFS(tl_Hours,tl_StaffID,WT_ID,tl_Date,I$7,tl_Code,$B14)</f>
        <v>1.5</v>
      </c>
      <c r="J14" s="46" t="n">
        <f aca="false">SUMIFS(tl_Hours,tl_StaffID,WT_ID,tl_Date,J$7,tl_Code,$B14)</f>
        <v>0</v>
      </c>
      <c r="K14" s="47" t="n">
        <f aca="false">SUM(D14:J14)</f>
        <v>4.5</v>
      </c>
      <c r="L14" s="21" t="str">
        <f aca="false">INDEX(rt_Billable,7)</f>
        <v>No</v>
      </c>
    </row>
    <row r="15" customFormat="false" ht="18" hidden="false" customHeight="true" outlineLevel="0" collapsed="false">
      <c r="B15" s="37" t="str">
        <f aca="false">INDEX(rt_Code,8)</f>
        <v>MTG</v>
      </c>
      <c r="C15" s="40" t="str">
        <f aca="false">INDEX(rt_Name,8)</f>
        <v>Team meeting</v>
      </c>
      <c r="D15" s="46" t="n">
        <f aca="false">SUMIFS(tl_Hours,tl_StaffID,WT_ID,tl_Date,D$7,tl_Code,$B15)</f>
        <v>0</v>
      </c>
      <c r="E15" s="46" t="n">
        <f aca="false">SUMIFS(tl_Hours,tl_StaffID,WT_ID,tl_Date,E$7,tl_Code,$B15)</f>
        <v>0</v>
      </c>
      <c r="F15" s="46" t="n">
        <f aca="false">SUMIFS(tl_Hours,tl_StaffID,WT_ID,tl_Date,F$7,tl_Code,$B15)</f>
        <v>0</v>
      </c>
      <c r="G15" s="46" t="n">
        <f aca="false">SUMIFS(tl_Hours,tl_StaffID,WT_ID,tl_Date,G$7,tl_Code,$B15)</f>
        <v>1</v>
      </c>
      <c r="H15" s="46" t="n">
        <f aca="false">SUMIFS(tl_Hours,tl_StaffID,WT_ID,tl_Date,H$7,tl_Code,$B15)</f>
        <v>0</v>
      </c>
      <c r="I15" s="46" t="n">
        <f aca="false">SUMIFS(tl_Hours,tl_StaffID,WT_ID,tl_Date,I$7,tl_Code,$B15)</f>
        <v>0</v>
      </c>
      <c r="J15" s="46" t="n">
        <f aca="false">SUMIFS(tl_Hours,tl_StaffID,WT_ID,tl_Date,J$7,tl_Code,$B15)</f>
        <v>0</v>
      </c>
      <c r="K15" s="47" t="n">
        <f aca="false">SUM(D15:J15)</f>
        <v>1</v>
      </c>
      <c r="L15" s="21" t="str">
        <f aca="false">INDEX(rt_Billable,8)</f>
        <v>No</v>
      </c>
    </row>
    <row r="16" customFormat="false" ht="18" hidden="false" customHeight="true" outlineLevel="0" collapsed="false">
      <c r="B16" s="37" t="str">
        <f aca="false">INDEX(rt_Code,9)</f>
        <v>TRV</v>
      </c>
      <c r="C16" s="40" t="str">
        <f aca="false">INDEX(rt_Name,9)</f>
        <v>Travel between sites</v>
      </c>
      <c r="D16" s="46" t="n">
        <f aca="false">SUMIFS(tl_Hours,tl_StaffID,WT_ID,tl_Date,D$7,tl_Code,$B16)</f>
        <v>0</v>
      </c>
      <c r="E16" s="46" t="n">
        <f aca="false">SUMIFS(tl_Hours,tl_StaffID,WT_ID,tl_Date,E$7,tl_Code,$B16)</f>
        <v>0</v>
      </c>
      <c r="F16" s="46" t="n">
        <f aca="false">SUMIFS(tl_Hours,tl_StaffID,WT_ID,tl_Date,F$7,tl_Code,$B16)</f>
        <v>0</v>
      </c>
      <c r="G16" s="46" t="n">
        <f aca="false">SUMIFS(tl_Hours,tl_StaffID,WT_ID,tl_Date,G$7,tl_Code,$B16)</f>
        <v>0.5</v>
      </c>
      <c r="H16" s="46" t="n">
        <f aca="false">SUMIFS(tl_Hours,tl_StaffID,WT_ID,tl_Date,H$7,tl_Code,$B16)</f>
        <v>0</v>
      </c>
      <c r="I16" s="46" t="n">
        <f aca="false">SUMIFS(tl_Hours,tl_StaffID,WT_ID,tl_Date,I$7,tl_Code,$B16)</f>
        <v>0</v>
      </c>
      <c r="J16" s="46" t="n">
        <f aca="false">SUMIFS(tl_Hours,tl_StaffID,WT_ID,tl_Date,J$7,tl_Code,$B16)</f>
        <v>0</v>
      </c>
      <c r="K16" s="47" t="n">
        <f aca="false">SUM(D16:J16)</f>
        <v>0.5</v>
      </c>
      <c r="L16" s="21" t="str">
        <f aca="false">INDEX(rt_Billable,9)</f>
        <v>No</v>
      </c>
    </row>
    <row r="17" customFormat="false" ht="18" hidden="false" customHeight="true" outlineLevel="0" collapsed="false">
      <c r="B17" s="37" t="str">
        <f aca="false">INDEX(rt_Code,10)</f>
        <v>TRN</v>
      </c>
      <c r="C17" s="40" t="str">
        <f aca="false">INDEX(rt_Name,10)</f>
        <v>Training</v>
      </c>
      <c r="D17" s="46" t="n">
        <f aca="false">SUMIFS(tl_Hours,tl_StaffID,WT_ID,tl_Date,D$7,tl_Code,$B17)</f>
        <v>0</v>
      </c>
      <c r="E17" s="46" t="n">
        <f aca="false">SUMIFS(tl_Hours,tl_StaffID,WT_ID,tl_Date,E$7,tl_Code,$B17)</f>
        <v>0</v>
      </c>
      <c r="F17" s="46" t="n">
        <f aca="false">SUMIFS(tl_Hours,tl_StaffID,WT_ID,tl_Date,F$7,tl_Code,$B17)</f>
        <v>1.5</v>
      </c>
      <c r="G17" s="46" t="n">
        <f aca="false">SUMIFS(tl_Hours,tl_StaffID,WT_ID,tl_Date,G$7,tl_Code,$B17)</f>
        <v>0</v>
      </c>
      <c r="H17" s="46" t="n">
        <f aca="false">SUMIFS(tl_Hours,tl_StaffID,WT_ID,tl_Date,H$7,tl_Code,$B17)</f>
        <v>0</v>
      </c>
      <c r="I17" s="46" t="n">
        <f aca="false">SUMIFS(tl_Hours,tl_StaffID,WT_ID,tl_Date,I$7,tl_Code,$B17)</f>
        <v>0</v>
      </c>
      <c r="J17" s="46" t="n">
        <f aca="false">SUMIFS(tl_Hours,tl_StaffID,WT_ID,tl_Date,J$7,tl_Code,$B17)</f>
        <v>0</v>
      </c>
      <c r="K17" s="47" t="n">
        <f aca="false">SUM(D17:J17)</f>
        <v>1.5</v>
      </c>
      <c r="L17" s="21" t="str">
        <f aca="false">INDEX(rt_Billable,10)</f>
        <v>No</v>
      </c>
    </row>
    <row r="18" customFormat="false" ht="18" hidden="false" customHeight="true" outlineLevel="0" collapsed="false">
      <c r="B18" s="37" t="str">
        <f aca="false">INDEX(rt_Code,11)</f>
        <v>ADM</v>
      </c>
      <c r="C18" s="40" t="str">
        <f aca="false">INDEX(rt_Name,11)</f>
        <v>Administration</v>
      </c>
      <c r="D18" s="46" t="n">
        <f aca="false">SUMIFS(tl_Hours,tl_StaffID,WT_ID,tl_Date,D$7,tl_Code,$B18)</f>
        <v>0</v>
      </c>
      <c r="E18" s="46" t="n">
        <f aca="false">SUMIFS(tl_Hours,tl_StaffID,WT_ID,tl_Date,E$7,tl_Code,$B18)</f>
        <v>0</v>
      </c>
      <c r="F18" s="46" t="n">
        <f aca="false">SUMIFS(tl_Hours,tl_StaffID,WT_ID,tl_Date,F$7,tl_Code,$B18)</f>
        <v>0</v>
      </c>
      <c r="G18" s="46" t="n">
        <f aca="false">SUMIFS(tl_Hours,tl_StaffID,WT_ID,tl_Date,G$7,tl_Code,$B18)</f>
        <v>0</v>
      </c>
      <c r="H18" s="46" t="n">
        <f aca="false">SUMIFS(tl_Hours,tl_StaffID,WT_ID,tl_Date,H$7,tl_Code,$B18)</f>
        <v>0</v>
      </c>
      <c r="I18" s="46" t="n">
        <f aca="false">SUMIFS(tl_Hours,tl_StaffID,WT_ID,tl_Date,I$7,tl_Code,$B18)</f>
        <v>0</v>
      </c>
      <c r="J18" s="46" t="n">
        <f aca="false">SUMIFS(tl_Hours,tl_StaffID,WT_ID,tl_Date,J$7,tl_Code,$B18)</f>
        <v>0</v>
      </c>
      <c r="K18" s="47" t="n">
        <f aca="false">SUM(D18:J18)</f>
        <v>0</v>
      </c>
      <c r="L18" s="21" t="str">
        <f aca="false">INDEX(rt_Billable,11)</f>
        <v>No</v>
      </c>
    </row>
    <row r="19" customFormat="false" ht="18" hidden="false" customHeight="true" outlineLevel="0" collapsed="false">
      <c r="B19" s="37" t="str">
        <f aca="false">INDEX(rt_Code,12)</f>
        <v>PTO</v>
      </c>
      <c r="C19" s="40" t="str">
        <f aca="false">INDEX(rt_Name,12)</f>
        <v>Paid time off</v>
      </c>
      <c r="D19" s="46" t="n">
        <f aca="false">SUMIFS(tl_Hours,tl_StaffID,WT_ID,tl_Date,D$7,tl_Code,$B19)</f>
        <v>0</v>
      </c>
      <c r="E19" s="46" t="n">
        <f aca="false">SUMIFS(tl_Hours,tl_StaffID,WT_ID,tl_Date,E$7,tl_Code,$B19)</f>
        <v>8</v>
      </c>
      <c r="F19" s="46" t="n">
        <f aca="false">SUMIFS(tl_Hours,tl_StaffID,WT_ID,tl_Date,F$7,tl_Code,$B19)</f>
        <v>0</v>
      </c>
      <c r="G19" s="46" t="n">
        <f aca="false">SUMIFS(tl_Hours,tl_StaffID,WT_ID,tl_Date,G$7,tl_Code,$B19)</f>
        <v>0</v>
      </c>
      <c r="H19" s="46" t="n">
        <f aca="false">SUMIFS(tl_Hours,tl_StaffID,WT_ID,tl_Date,H$7,tl_Code,$B19)</f>
        <v>0</v>
      </c>
      <c r="I19" s="46" t="n">
        <f aca="false">SUMIFS(tl_Hours,tl_StaffID,WT_ID,tl_Date,I$7,tl_Code,$B19)</f>
        <v>0</v>
      </c>
      <c r="J19" s="46" t="n">
        <f aca="false">SUMIFS(tl_Hours,tl_StaffID,WT_ID,tl_Date,J$7,tl_Code,$B19)</f>
        <v>0</v>
      </c>
      <c r="K19" s="47" t="n">
        <f aca="false">SUM(D19:J19)</f>
        <v>8</v>
      </c>
      <c r="L19" s="21" t="str">
        <f aca="false">INDEX(rt_Billable,12)</f>
        <v>No</v>
      </c>
    </row>
    <row r="20" customFormat="false" ht="18.75" hidden="false" customHeight="true" outlineLevel="0" collapsed="false">
      <c r="B20" s="48" t="s">
        <v>120</v>
      </c>
      <c r="C20" s="48"/>
      <c r="D20" s="49" t="n">
        <f aca="false">SUMIF($L$8:$L$19,"Yes",D8:D19)</f>
        <v>0</v>
      </c>
      <c r="E20" s="49" t="n">
        <f aca="false">SUMIF($L$8:$L$19,"Yes",E8:E19)</f>
        <v>0</v>
      </c>
      <c r="F20" s="49" t="n">
        <f aca="false">SUMIF($L$8:$L$19,"Yes",F8:F19)</f>
        <v>6.5</v>
      </c>
      <c r="G20" s="49" t="n">
        <f aca="false">SUMIF($L$8:$L$19,"Yes",G8:G19)</f>
        <v>5.5</v>
      </c>
      <c r="H20" s="49" t="n">
        <f aca="false">SUMIF($L$8:$L$19,"Yes",H8:H19)</f>
        <v>6.5</v>
      </c>
      <c r="I20" s="49" t="n">
        <f aca="false">SUMIF($L$8:$L$19,"Yes",I8:I19)</f>
        <v>6.5</v>
      </c>
      <c r="J20" s="49" t="n">
        <f aca="false">SUMIF($L$8:$L$19,"Yes",J8:J19)</f>
        <v>0</v>
      </c>
      <c r="K20" s="49" t="n">
        <f aca="false">SUMIF($L$8:$L$19,"Yes",K8:K19)</f>
        <v>25</v>
      </c>
      <c r="L20" s="50"/>
    </row>
    <row r="21" customFormat="false" ht="18.75" hidden="false" customHeight="true" outlineLevel="0" collapsed="false">
      <c r="B21" s="48" t="s">
        <v>121</v>
      </c>
      <c r="C21" s="48"/>
      <c r="D21" s="49" t="n">
        <f aca="false">SUMIF($L$8:$L$19,"No",D8:D19)</f>
        <v>0</v>
      </c>
      <c r="E21" s="49" t="n">
        <f aca="false">SUMIF($L$8:$L$19,"No",E8:E19)</f>
        <v>8</v>
      </c>
      <c r="F21" s="49" t="n">
        <f aca="false">SUMIF($L$8:$L$19,"No",F8:F19)</f>
        <v>2</v>
      </c>
      <c r="G21" s="49" t="n">
        <f aca="false">SUMIF($L$8:$L$19,"No",G8:G19)</f>
        <v>2.5</v>
      </c>
      <c r="H21" s="49" t="n">
        <f aca="false">SUMIF($L$8:$L$19,"No",H8:H19)</f>
        <v>1.5</v>
      </c>
      <c r="I21" s="49" t="n">
        <f aca="false">SUMIF($L$8:$L$19,"No",I8:I19)</f>
        <v>1.5</v>
      </c>
      <c r="J21" s="49" t="n">
        <f aca="false">SUMIF($L$8:$L$19,"No",J8:J19)</f>
        <v>0</v>
      </c>
      <c r="K21" s="49" t="n">
        <f aca="false">SUMIF($L$8:$L$19,"No",K8:K19)</f>
        <v>15.5</v>
      </c>
      <c r="L21" s="50"/>
    </row>
    <row r="22" customFormat="false" ht="18.75" hidden="false" customHeight="true" outlineLevel="0" collapsed="false">
      <c r="B22" s="48" t="s">
        <v>122</v>
      </c>
      <c r="C22" s="48"/>
      <c r="D22" s="49" t="n">
        <f aca="false">D20+D21</f>
        <v>0</v>
      </c>
      <c r="E22" s="49" t="n">
        <f aca="false">E20+E21</f>
        <v>8</v>
      </c>
      <c r="F22" s="49" t="n">
        <f aca="false">F20+F21</f>
        <v>8.5</v>
      </c>
      <c r="G22" s="49" t="n">
        <f aca="false">G20+G21</f>
        <v>8</v>
      </c>
      <c r="H22" s="49" t="n">
        <f aca="false">H20+H21</f>
        <v>8</v>
      </c>
      <c r="I22" s="49" t="n">
        <f aca="false">I20+I21</f>
        <v>8</v>
      </c>
      <c r="J22" s="49" t="n">
        <f aca="false">J20+J21</f>
        <v>0</v>
      </c>
      <c r="K22" s="49" t="n">
        <f aca="false">K20+K21</f>
        <v>40.5</v>
      </c>
      <c r="L22" s="50"/>
    </row>
    <row r="24" customFormat="false" ht="15" hidden="false" customHeight="false" outlineLevel="0" collapsed="false">
      <c r="B24" s="51" t="s">
        <v>122</v>
      </c>
      <c r="E24" s="51" t="s">
        <v>120</v>
      </c>
      <c r="H24" s="51" t="s">
        <v>123</v>
      </c>
      <c r="K24" s="51" t="s">
        <v>124</v>
      </c>
      <c r="N24" s="51" t="s">
        <v>125</v>
      </c>
    </row>
    <row r="25" customFormat="false" ht="25.5" hidden="false" customHeight="true" outlineLevel="0" collapsed="false">
      <c r="B25" s="52" t="n">
        <f aca="false">K22</f>
        <v>40.5</v>
      </c>
      <c r="C25" s="52"/>
      <c r="E25" s="52" t="n">
        <f aca="false">K20</f>
        <v>25</v>
      </c>
      <c r="F25" s="52"/>
      <c r="H25" s="53" t="n">
        <f aca="false">IF(K22=0,0,K20/K22)</f>
        <v>0.617283950617284</v>
      </c>
      <c r="I25" s="53"/>
      <c r="K25" s="52" t="n">
        <f aca="false">IFERROR(INDEX(st_Target,MATCH(WT_Staff,st_Name,0)),0)</f>
        <v>26</v>
      </c>
      <c r="L25" s="52"/>
      <c r="N25" s="54" t="str">
        <f aca="false">IF(K25=0,"No target",IF(E25&gt;=K25,"At or above target",IF(E25&gt;=K25*UtilWarn,"Slightly below target","Below target")))</f>
        <v>Slightly below target</v>
      </c>
      <c r="O25" s="54"/>
      <c r="P25" s="54"/>
      <c r="Q25" s="54"/>
    </row>
    <row r="26" customFormat="false" ht="27.75" hidden="false" customHeight="true" outlineLevel="0" collapsed="false">
      <c r="B26" s="55"/>
      <c r="C26" s="55"/>
      <c r="D26" s="55"/>
      <c r="E26" s="55"/>
      <c r="F26" s="55"/>
      <c r="H26" s="55"/>
      <c r="I26" s="55"/>
      <c r="J26" s="55"/>
      <c r="K26" s="55"/>
      <c r="L26" s="55"/>
    </row>
    <row r="27" customFormat="false" ht="15" hidden="false" customHeight="false" outlineLevel="0" collapsed="false">
      <c r="B27" s="51" t="s">
        <v>126</v>
      </c>
      <c r="H27" s="51" t="s">
        <v>127</v>
      </c>
    </row>
    <row r="30" customFormat="false" ht="15" hidden="false" customHeight="false" outlineLevel="0" collapsed="false">
      <c r="B30" s="3" t="s">
        <v>128</v>
      </c>
    </row>
    <row r="31" customFormat="false" ht="15" hidden="false" customHeight="false" outlineLevel="0" collapsed="false">
      <c r="B31" s="27" t="s">
        <v>129</v>
      </c>
    </row>
    <row r="32" customFormat="false" ht="30" hidden="false" customHeight="true" outlineLevel="0" collapsed="false">
      <c r="B32" s="29" t="s">
        <v>130</v>
      </c>
      <c r="C32" s="29" t="s">
        <v>131</v>
      </c>
      <c r="D32" s="56" t="n">
        <f aca="false">INDEX(WeekList,1)</f>
        <v>46207</v>
      </c>
      <c r="E32" s="56" t="n">
        <f aca="false">INDEX(WeekList,2)</f>
        <v>46214</v>
      </c>
      <c r="F32" s="56" t="n">
        <f aca="false">INDEX(WeekList,3)</f>
        <v>46221</v>
      </c>
      <c r="G32" s="56" t="n">
        <f aca="false">INDEX(WeekList,4)</f>
        <v>46228</v>
      </c>
      <c r="H32" s="56" t="n">
        <f aca="false">INDEX(WeekList,5)</f>
        <v>46235</v>
      </c>
      <c r="I32" s="56" t="n">
        <f aca="false">INDEX(WeekList,6)</f>
        <v>46242</v>
      </c>
      <c r="J32" s="56" t="n">
        <f aca="false">INDEX(WeekList,7)</f>
        <v>46249</v>
      </c>
      <c r="K32" s="56" t="n">
        <f aca="false">INDEX(WeekList,8)</f>
        <v>46256</v>
      </c>
      <c r="L32" s="56" t="n">
        <f aca="false">INDEX(WeekList,9)</f>
        <v>46263</v>
      </c>
      <c r="M32" s="56" t="n">
        <f aca="false">INDEX(WeekList,10)</f>
        <v>46270</v>
      </c>
      <c r="N32" s="56" t="n">
        <f aca="false">INDEX(WeekList,11)</f>
        <v>46277</v>
      </c>
      <c r="O32" s="56" t="n">
        <f aca="false">INDEX(WeekList,12)</f>
        <v>46284</v>
      </c>
      <c r="P32" s="56" t="n">
        <f aca="false">INDEX(WeekList,13)</f>
        <v>46291</v>
      </c>
      <c r="Q32" s="56" t="n">
        <f aca="false">INDEX(WeekList,14)</f>
        <v>46298</v>
      </c>
    </row>
    <row r="33" customFormat="false" ht="18" hidden="false" customHeight="true" outlineLevel="0" collapsed="false">
      <c r="B33" s="37" t="str">
        <f aca="false">INDEX(st_ID,1)</f>
        <v>QP-01</v>
      </c>
      <c r="C33" s="40" t="str">
        <f aca="false">INDEX(st_Name,1)</f>
        <v>Ellen Marquez</v>
      </c>
      <c r="D33" s="57" t="n">
        <f aca="false">SUMIFS(tl_Hours,tl_StaffID,$B33,tl_Week,D$32)</f>
        <v>24</v>
      </c>
      <c r="E33" s="57" t="n">
        <f aca="false">SUMIFS(tl_Hours,tl_StaffID,$B33,tl_Week,E$32)</f>
        <v>40</v>
      </c>
      <c r="F33" s="57" t="n">
        <f aca="false">SUMIFS(tl_Hours,tl_StaffID,$B33,tl_Week,F$32)</f>
        <v>40</v>
      </c>
      <c r="G33" s="57" t="n">
        <f aca="false">SUMIFS(tl_Hours,tl_StaffID,$B33,tl_Week,G$32)</f>
        <v>40</v>
      </c>
      <c r="H33" s="57" t="n">
        <f aca="false">SUMIFS(tl_Hours,tl_StaffID,$B33,tl_Week,H$32)</f>
        <v>40</v>
      </c>
      <c r="I33" s="57" t="n">
        <f aca="false">SUMIFS(tl_Hours,tl_StaffID,$B33,tl_Week,I$32)</f>
        <v>40</v>
      </c>
      <c r="J33" s="57" t="n">
        <f aca="false">SUMIFS(tl_Hours,tl_StaffID,$B33,tl_Week,J$32)</f>
        <v>40</v>
      </c>
      <c r="K33" s="57" t="n">
        <f aca="false">SUMIFS(tl_Hours,tl_StaffID,$B33,tl_Week,K$32)</f>
        <v>40</v>
      </c>
      <c r="L33" s="57" t="n">
        <f aca="false">SUMIFS(tl_Hours,tl_StaffID,$B33,tl_Week,L$32)</f>
        <v>40</v>
      </c>
      <c r="M33" s="57" t="n">
        <f aca="false">SUMIFS(tl_Hours,tl_StaffID,$B33,tl_Week,M$32)</f>
        <v>40</v>
      </c>
      <c r="N33" s="57" t="n">
        <f aca="false">SUMIFS(tl_Hours,tl_StaffID,$B33,tl_Week,N$32)</f>
        <v>40</v>
      </c>
      <c r="O33" s="57" t="n">
        <f aca="false">SUMIFS(tl_Hours,tl_StaffID,$B33,tl_Week,O$32)</f>
        <v>40.5</v>
      </c>
      <c r="P33" s="57" t="n">
        <f aca="false">SUMIFS(tl_Hours,tl_StaffID,$B33,tl_Week,P$32)</f>
        <v>40</v>
      </c>
      <c r="Q33" s="57" t="n">
        <f aca="false">SUMIFS(tl_Hours,tl_StaffID,$B33,tl_Week,Q$32)</f>
        <v>24</v>
      </c>
    </row>
    <row r="34" customFormat="false" ht="18" hidden="false" customHeight="true" outlineLevel="0" collapsed="false">
      <c r="B34" s="37" t="str">
        <f aca="false">INDEX(st_ID,2)</f>
        <v>QP-02</v>
      </c>
      <c r="C34" s="40" t="str">
        <f aca="false">INDEX(st_Name,2)</f>
        <v>Jordan Fairley</v>
      </c>
      <c r="D34" s="57" t="n">
        <f aca="false">SUMIFS(tl_Hours,tl_StaffID,$B34,tl_Week,D$32)</f>
        <v>24</v>
      </c>
      <c r="E34" s="57" t="n">
        <f aca="false">SUMIFS(tl_Hours,tl_StaffID,$B34,tl_Week,E$32)</f>
        <v>40</v>
      </c>
      <c r="F34" s="57" t="n">
        <f aca="false">SUMIFS(tl_Hours,tl_StaffID,$B34,tl_Week,F$32)</f>
        <v>40</v>
      </c>
      <c r="G34" s="57" t="n">
        <f aca="false">SUMIFS(tl_Hours,tl_StaffID,$B34,tl_Week,G$32)</f>
        <v>40</v>
      </c>
      <c r="H34" s="57" t="n">
        <f aca="false">SUMIFS(tl_Hours,tl_StaffID,$B34,tl_Week,H$32)</f>
        <v>40</v>
      </c>
      <c r="I34" s="57" t="n">
        <f aca="false">SUMIFS(tl_Hours,tl_StaffID,$B34,tl_Week,I$32)</f>
        <v>40</v>
      </c>
      <c r="J34" s="57" t="n">
        <f aca="false">SUMIFS(tl_Hours,tl_StaffID,$B34,tl_Week,J$32)</f>
        <v>40</v>
      </c>
      <c r="K34" s="57" t="n">
        <f aca="false">SUMIFS(tl_Hours,tl_StaffID,$B34,tl_Week,K$32)</f>
        <v>0</v>
      </c>
      <c r="L34" s="57" t="n">
        <f aca="false">SUMIFS(tl_Hours,tl_StaffID,$B34,tl_Week,L$32)</f>
        <v>40</v>
      </c>
      <c r="M34" s="57" t="n">
        <f aca="false">SUMIFS(tl_Hours,tl_StaffID,$B34,tl_Week,M$32)</f>
        <v>40</v>
      </c>
      <c r="N34" s="57" t="n">
        <f aca="false">SUMIFS(tl_Hours,tl_StaffID,$B34,tl_Week,N$32)</f>
        <v>40</v>
      </c>
      <c r="O34" s="57" t="n">
        <f aca="false">SUMIFS(tl_Hours,tl_StaffID,$B34,tl_Week,O$32)</f>
        <v>40</v>
      </c>
      <c r="P34" s="57" t="n">
        <f aca="false">SUMIFS(tl_Hours,tl_StaffID,$B34,tl_Week,P$32)</f>
        <v>40</v>
      </c>
      <c r="Q34" s="57" t="n">
        <f aca="false">SUMIFS(tl_Hours,tl_StaffID,$B34,tl_Week,Q$32)</f>
        <v>24</v>
      </c>
    </row>
    <row r="35" customFormat="false" ht="18" hidden="false" customHeight="true" outlineLevel="0" collapsed="false">
      <c r="B35" s="37" t="str">
        <f aca="false">INDEX(st_ID,3)</f>
        <v>QP-03</v>
      </c>
      <c r="C35" s="40" t="str">
        <f aca="false">INDEX(st_Name,3)</f>
        <v>Naomi Okafor</v>
      </c>
      <c r="D35" s="57" t="n">
        <f aca="false">SUMIFS(tl_Hours,tl_StaffID,$B35,tl_Week,D$32)</f>
        <v>16</v>
      </c>
      <c r="E35" s="57" t="n">
        <f aca="false">SUMIFS(tl_Hours,tl_StaffID,$B35,tl_Week,E$32)</f>
        <v>24</v>
      </c>
      <c r="F35" s="57" t="n">
        <f aca="false">SUMIFS(tl_Hours,tl_StaffID,$B35,tl_Week,F$32)</f>
        <v>24</v>
      </c>
      <c r="G35" s="57" t="n">
        <f aca="false">SUMIFS(tl_Hours,tl_StaffID,$B35,tl_Week,G$32)</f>
        <v>24</v>
      </c>
      <c r="H35" s="57" t="n">
        <f aca="false">SUMIFS(tl_Hours,tl_StaffID,$B35,tl_Week,H$32)</f>
        <v>24</v>
      </c>
      <c r="I35" s="57" t="n">
        <f aca="false">SUMIFS(tl_Hours,tl_StaffID,$B35,tl_Week,I$32)</f>
        <v>24</v>
      </c>
      <c r="J35" s="57" t="n">
        <f aca="false">SUMIFS(tl_Hours,tl_StaffID,$B35,tl_Week,J$32)</f>
        <v>24</v>
      </c>
      <c r="K35" s="57" t="n">
        <f aca="false">SUMIFS(tl_Hours,tl_StaffID,$B35,tl_Week,K$32)</f>
        <v>24</v>
      </c>
      <c r="L35" s="57" t="n">
        <f aca="false">SUMIFS(tl_Hours,tl_StaffID,$B35,tl_Week,L$32)</f>
        <v>24</v>
      </c>
      <c r="M35" s="57" t="n">
        <f aca="false">SUMIFS(tl_Hours,tl_StaffID,$B35,tl_Week,M$32)</f>
        <v>24</v>
      </c>
      <c r="N35" s="57" t="n">
        <f aca="false">SUMIFS(tl_Hours,tl_StaffID,$B35,tl_Week,N$32)</f>
        <v>24</v>
      </c>
      <c r="O35" s="57" t="n">
        <f aca="false">SUMIFS(tl_Hours,tl_StaffID,$B35,tl_Week,O$32)</f>
        <v>24</v>
      </c>
      <c r="P35" s="57" t="n">
        <f aca="false">SUMIFS(tl_Hours,tl_StaffID,$B35,tl_Week,P$32)</f>
        <v>24</v>
      </c>
      <c r="Q35" s="57" t="n">
        <f aca="false">SUMIFS(tl_Hours,tl_StaffID,$B35,tl_Week,Q$32)</f>
        <v>16</v>
      </c>
    </row>
    <row r="36" customFormat="false" ht="18" hidden="false" customHeight="true" outlineLevel="0" collapsed="false">
      <c r="B36" s="37" t="str">
        <f aca="false">INDEX(st_ID,4)</f>
        <v>QP-04</v>
      </c>
      <c r="C36" s="40" t="str">
        <f aca="false">INDEX(st_Name,4)</f>
        <v>Kevin Talbot</v>
      </c>
      <c r="D36" s="57" t="n">
        <f aca="false">SUMIFS(tl_Hours,tl_StaffID,$B36,tl_Week,D$32)</f>
        <v>24</v>
      </c>
      <c r="E36" s="57" t="n">
        <f aca="false">SUMIFS(tl_Hours,tl_StaffID,$B36,tl_Week,E$32)</f>
        <v>40</v>
      </c>
      <c r="F36" s="57" t="n">
        <f aca="false">SUMIFS(tl_Hours,tl_StaffID,$B36,tl_Week,F$32)</f>
        <v>40</v>
      </c>
      <c r="G36" s="57" t="n">
        <f aca="false">SUMIFS(tl_Hours,tl_StaffID,$B36,tl_Week,G$32)</f>
        <v>40</v>
      </c>
      <c r="H36" s="57" t="n">
        <f aca="false">SUMIFS(tl_Hours,tl_StaffID,$B36,tl_Week,H$32)</f>
        <v>40</v>
      </c>
      <c r="I36" s="57" t="n">
        <f aca="false">SUMIFS(tl_Hours,tl_StaffID,$B36,tl_Week,I$32)</f>
        <v>40</v>
      </c>
      <c r="J36" s="57" t="n">
        <f aca="false">SUMIFS(tl_Hours,tl_StaffID,$B36,tl_Week,J$32)</f>
        <v>40</v>
      </c>
      <c r="K36" s="57" t="n">
        <f aca="false">SUMIFS(tl_Hours,tl_StaffID,$B36,tl_Week,K$32)</f>
        <v>40</v>
      </c>
      <c r="L36" s="57" t="n">
        <f aca="false">SUMIFS(tl_Hours,tl_StaffID,$B36,tl_Week,L$32)</f>
        <v>40</v>
      </c>
      <c r="M36" s="57" t="n">
        <f aca="false">SUMIFS(tl_Hours,tl_StaffID,$B36,tl_Week,M$32)</f>
        <v>40</v>
      </c>
      <c r="N36" s="57" t="n">
        <f aca="false">SUMIFS(tl_Hours,tl_StaffID,$B36,tl_Week,N$32)</f>
        <v>40</v>
      </c>
      <c r="O36" s="57" t="n">
        <f aca="false">SUMIFS(tl_Hours,tl_StaffID,$B36,tl_Week,O$32)</f>
        <v>40</v>
      </c>
      <c r="P36" s="57" t="n">
        <f aca="false">SUMIFS(tl_Hours,tl_StaffID,$B36,tl_Week,P$32)</f>
        <v>40</v>
      </c>
      <c r="Q36" s="57" t="n">
        <f aca="false">SUMIFS(tl_Hours,tl_StaffID,$B36,tl_Week,Q$32)</f>
        <v>24.75</v>
      </c>
    </row>
    <row r="37" customFormat="false" ht="18" hidden="false" customHeight="true" outlineLevel="0" collapsed="false">
      <c r="B37" s="37" t="str">
        <f aca="false">INDEX(st_ID,5)</f>
        <v>QP-05</v>
      </c>
      <c r="C37" s="40" t="str">
        <f aca="false">INDEX(st_Name,5)</f>
        <v>Rosa Quintero</v>
      </c>
      <c r="D37" s="57" t="n">
        <f aca="false">SUMIFS(tl_Hours,tl_StaffID,$B37,tl_Week,D$32)</f>
        <v>24</v>
      </c>
      <c r="E37" s="57" t="n">
        <f aca="false">SUMIFS(tl_Hours,tl_StaffID,$B37,tl_Week,E$32)</f>
        <v>40</v>
      </c>
      <c r="F37" s="57" t="n">
        <f aca="false">SUMIFS(tl_Hours,tl_StaffID,$B37,tl_Week,F$32)</f>
        <v>40</v>
      </c>
      <c r="G37" s="57" t="n">
        <f aca="false">SUMIFS(tl_Hours,tl_StaffID,$B37,tl_Week,G$32)</f>
        <v>40</v>
      </c>
      <c r="H37" s="57" t="n">
        <f aca="false">SUMIFS(tl_Hours,tl_StaffID,$B37,tl_Week,H$32)</f>
        <v>40</v>
      </c>
      <c r="I37" s="57" t="n">
        <f aca="false">SUMIFS(tl_Hours,tl_StaffID,$B37,tl_Week,I$32)</f>
        <v>40</v>
      </c>
      <c r="J37" s="57" t="n">
        <f aca="false">SUMIFS(tl_Hours,tl_StaffID,$B37,tl_Week,J$32)</f>
        <v>40</v>
      </c>
      <c r="K37" s="57" t="n">
        <f aca="false">SUMIFS(tl_Hours,tl_StaffID,$B37,tl_Week,K$32)</f>
        <v>40</v>
      </c>
      <c r="L37" s="57" t="n">
        <f aca="false">SUMIFS(tl_Hours,tl_StaffID,$B37,tl_Week,L$32)</f>
        <v>40</v>
      </c>
      <c r="M37" s="57" t="n">
        <f aca="false">SUMIFS(tl_Hours,tl_StaffID,$B37,tl_Week,M$32)</f>
        <v>40</v>
      </c>
      <c r="N37" s="57" t="n">
        <f aca="false">SUMIFS(tl_Hours,tl_StaffID,$B37,tl_Week,N$32)</f>
        <v>40</v>
      </c>
      <c r="O37" s="57" t="n">
        <f aca="false">SUMIFS(tl_Hours,tl_StaffID,$B37,tl_Week,O$32)</f>
        <v>40</v>
      </c>
      <c r="P37" s="57" t="n">
        <f aca="false">SUMIFS(tl_Hours,tl_StaffID,$B37,tl_Week,P$32)</f>
        <v>40</v>
      </c>
      <c r="Q37" s="57" t="n">
        <f aca="false">SUMIFS(tl_Hours,tl_StaffID,$B37,tl_Week,Q$32)</f>
        <v>24</v>
      </c>
    </row>
    <row r="38" customFormat="false" ht="18" hidden="false" customHeight="true" outlineLevel="0" collapsed="false">
      <c r="B38" s="37" t="str">
        <f aca="false">INDEX(st_ID,6)</f>
        <v>QP-06</v>
      </c>
      <c r="C38" s="40" t="str">
        <f aca="false">INDEX(st_Name,6)</f>
        <v>Grant Holloway</v>
      </c>
      <c r="D38" s="57" t="n">
        <f aca="false">SUMIFS(tl_Hours,tl_StaffID,$B38,tl_Week,D$32)</f>
        <v>24</v>
      </c>
      <c r="E38" s="57" t="n">
        <f aca="false">SUMIFS(tl_Hours,tl_StaffID,$B38,tl_Week,E$32)</f>
        <v>40</v>
      </c>
      <c r="F38" s="57" t="n">
        <f aca="false">SUMIFS(tl_Hours,tl_StaffID,$B38,tl_Week,F$32)</f>
        <v>40</v>
      </c>
      <c r="G38" s="57" t="n">
        <f aca="false">SUMIFS(tl_Hours,tl_StaffID,$B38,tl_Week,G$32)</f>
        <v>40</v>
      </c>
      <c r="H38" s="57" t="n">
        <f aca="false">SUMIFS(tl_Hours,tl_StaffID,$B38,tl_Week,H$32)</f>
        <v>40</v>
      </c>
      <c r="I38" s="57" t="n">
        <f aca="false">SUMIFS(tl_Hours,tl_StaffID,$B38,tl_Week,I$32)</f>
        <v>40</v>
      </c>
      <c r="J38" s="57" t="n">
        <f aca="false">SUMIFS(tl_Hours,tl_StaffID,$B38,tl_Week,J$32)</f>
        <v>40</v>
      </c>
      <c r="K38" s="57" t="n">
        <f aca="false">SUMIFS(tl_Hours,tl_StaffID,$B38,tl_Week,K$32)</f>
        <v>40</v>
      </c>
      <c r="L38" s="57" t="n">
        <f aca="false">SUMIFS(tl_Hours,tl_StaffID,$B38,tl_Week,L$32)</f>
        <v>40</v>
      </c>
      <c r="M38" s="57" t="n">
        <f aca="false">SUMIFS(tl_Hours,tl_StaffID,$B38,tl_Week,M$32)</f>
        <v>40</v>
      </c>
      <c r="N38" s="57" t="n">
        <f aca="false">SUMIFS(tl_Hours,tl_StaffID,$B38,tl_Week,N$32)</f>
        <v>40</v>
      </c>
      <c r="O38" s="57" t="n">
        <f aca="false">SUMIFS(tl_Hours,tl_StaffID,$B38,tl_Week,O$32)</f>
        <v>40</v>
      </c>
      <c r="P38" s="57" t="n">
        <f aca="false">SUMIFS(tl_Hours,tl_StaffID,$B38,tl_Week,P$32)</f>
        <v>40</v>
      </c>
      <c r="Q38" s="57" t="n">
        <f aca="false">SUMIFS(tl_Hours,tl_StaffID,$B38,tl_Week,Q$32)</f>
        <v>24</v>
      </c>
    </row>
    <row r="39" customFormat="false" ht="18" hidden="false" customHeight="true" outlineLevel="0" collapsed="false">
      <c r="B39" s="37" t="str">
        <f aca="false">INDEX(st_ID,7)</f>
        <v>QP-07</v>
      </c>
      <c r="C39" s="40" t="str">
        <f aca="false">INDEX(st_Name,7)</f>
        <v>Tess Ingram</v>
      </c>
      <c r="D39" s="57" t="n">
        <f aca="false">SUMIFS(tl_Hours,tl_StaffID,$B39,tl_Week,D$32)</f>
        <v>24</v>
      </c>
      <c r="E39" s="57" t="n">
        <f aca="false">SUMIFS(tl_Hours,tl_StaffID,$B39,tl_Week,E$32)</f>
        <v>40</v>
      </c>
      <c r="F39" s="57" t="n">
        <f aca="false">SUMIFS(tl_Hours,tl_StaffID,$B39,tl_Week,F$32)</f>
        <v>40</v>
      </c>
      <c r="G39" s="57" t="n">
        <f aca="false">SUMIFS(tl_Hours,tl_StaffID,$B39,tl_Week,G$32)</f>
        <v>40</v>
      </c>
      <c r="H39" s="57" t="n">
        <f aca="false">SUMIFS(tl_Hours,tl_StaffID,$B39,tl_Week,H$32)</f>
        <v>40</v>
      </c>
      <c r="I39" s="57" t="n">
        <f aca="false">SUMIFS(tl_Hours,tl_StaffID,$B39,tl_Week,I$32)</f>
        <v>40</v>
      </c>
      <c r="J39" s="57" t="n">
        <f aca="false">SUMIFS(tl_Hours,tl_StaffID,$B39,tl_Week,J$32)</f>
        <v>40</v>
      </c>
      <c r="K39" s="57" t="n">
        <f aca="false">SUMIFS(tl_Hours,tl_StaffID,$B39,tl_Week,K$32)</f>
        <v>40</v>
      </c>
      <c r="L39" s="57" t="n">
        <f aca="false">SUMIFS(tl_Hours,tl_StaffID,$B39,tl_Week,L$32)</f>
        <v>40</v>
      </c>
      <c r="M39" s="57" t="n">
        <f aca="false">SUMIFS(tl_Hours,tl_StaffID,$B39,tl_Week,M$32)</f>
        <v>40.5</v>
      </c>
      <c r="N39" s="57" t="n">
        <f aca="false">SUMIFS(tl_Hours,tl_StaffID,$B39,tl_Week,N$32)</f>
        <v>40.5</v>
      </c>
      <c r="O39" s="57" t="n">
        <f aca="false">SUMIFS(tl_Hours,tl_StaffID,$B39,tl_Week,O$32)</f>
        <v>52</v>
      </c>
      <c r="P39" s="57" t="n">
        <f aca="false">SUMIFS(tl_Hours,tl_StaffID,$B39,tl_Week,P$32)</f>
        <v>40</v>
      </c>
      <c r="Q39" s="57" t="n">
        <f aca="false">SUMIFS(tl_Hours,tl_StaffID,$B39,tl_Week,Q$32)</f>
        <v>24.25</v>
      </c>
    </row>
    <row r="40" customFormat="false" ht="18" hidden="false" customHeight="true" outlineLevel="0" collapsed="false">
      <c r="B40" s="37" t="str">
        <f aca="false">INDEX(st_ID,8)</f>
        <v>QP-08</v>
      </c>
      <c r="C40" s="40" t="str">
        <f aca="false">INDEX(st_Name,8)</f>
        <v>Mia Corbett</v>
      </c>
      <c r="D40" s="57" t="n">
        <f aca="false">SUMIFS(tl_Hours,tl_StaffID,$B40,tl_Week,D$32)</f>
        <v>24</v>
      </c>
      <c r="E40" s="57" t="n">
        <f aca="false">SUMIFS(tl_Hours,tl_StaffID,$B40,tl_Week,E$32)</f>
        <v>40</v>
      </c>
      <c r="F40" s="57" t="n">
        <f aca="false">SUMIFS(tl_Hours,tl_StaffID,$B40,tl_Week,F$32)</f>
        <v>40</v>
      </c>
      <c r="G40" s="57" t="n">
        <f aca="false">SUMIFS(tl_Hours,tl_StaffID,$B40,tl_Week,G$32)</f>
        <v>40</v>
      </c>
      <c r="H40" s="57" t="n">
        <f aca="false">SUMIFS(tl_Hours,tl_StaffID,$B40,tl_Week,H$32)</f>
        <v>40</v>
      </c>
      <c r="I40" s="57" t="n">
        <f aca="false">SUMIFS(tl_Hours,tl_StaffID,$B40,tl_Week,I$32)</f>
        <v>40</v>
      </c>
      <c r="J40" s="57" t="n">
        <f aca="false">SUMIFS(tl_Hours,tl_StaffID,$B40,tl_Week,J$32)</f>
        <v>40</v>
      </c>
      <c r="K40" s="57" t="n">
        <f aca="false">SUMIFS(tl_Hours,tl_StaffID,$B40,tl_Week,K$32)</f>
        <v>40</v>
      </c>
      <c r="L40" s="57" t="n">
        <f aca="false">SUMIFS(tl_Hours,tl_StaffID,$B40,tl_Week,L$32)</f>
        <v>40</v>
      </c>
      <c r="M40" s="57" t="n">
        <f aca="false">SUMIFS(tl_Hours,tl_StaffID,$B40,tl_Week,M$32)</f>
        <v>40</v>
      </c>
      <c r="N40" s="57" t="n">
        <f aca="false">SUMIFS(tl_Hours,tl_StaffID,$B40,tl_Week,N$32)</f>
        <v>40</v>
      </c>
      <c r="O40" s="57" t="n">
        <f aca="false">SUMIFS(tl_Hours,tl_StaffID,$B40,tl_Week,O$32)</f>
        <v>40</v>
      </c>
      <c r="P40" s="57" t="n">
        <f aca="false">SUMIFS(tl_Hours,tl_StaffID,$B40,tl_Week,P$32)</f>
        <v>40</v>
      </c>
      <c r="Q40" s="57" t="n">
        <f aca="false">SUMIFS(tl_Hours,tl_StaffID,$B40,tl_Week,Q$32)</f>
        <v>24</v>
      </c>
    </row>
    <row r="42" customFormat="false" ht="15" hidden="false" customHeight="false" outlineLevel="0" collapsed="false">
      <c r="B42" s="27" t="s">
        <v>132</v>
      </c>
    </row>
  </sheetData>
  <sheetProtection sheet="true" formatColumns="false" formatRows="false" sort="false" autoFilter="false"/>
  <mergeCells count="8">
    <mergeCell ref="B20:C20"/>
    <mergeCell ref="B21:C21"/>
    <mergeCell ref="B22:C22"/>
    <mergeCell ref="B25:C25"/>
    <mergeCell ref="E25:F25"/>
    <mergeCell ref="H25:I25"/>
    <mergeCell ref="K25:L25"/>
    <mergeCell ref="N25:Q25"/>
  </mergeCells>
  <conditionalFormatting sqref="N25">
    <cfRule type="expression" priority="2" aboveAverage="0" equalAverage="0" bottom="0" percent="0" rank="0" text="" dxfId="14">
      <formula>$N$25="At or above target"</formula>
    </cfRule>
    <cfRule type="expression" priority="3" aboveAverage="0" equalAverage="0" bottom="0" percent="0" rank="0" text="" dxfId="15">
      <formula>$N$25="Slightly below target"</formula>
    </cfRule>
    <cfRule type="expression" priority="4" aboveAverage="0" equalAverage="0" bottom="0" percent="0" rank="0" text="" dxfId="16">
      <formula>$N$25="Below target"</formula>
    </cfRule>
  </conditionalFormatting>
  <conditionalFormatting sqref="E33:P40">
    <cfRule type="expression" priority="5" aboveAverage="0" equalAverage="0" bottom="0" percent="0" rank="0" text="" dxfId="1">
      <formula>E33=0</formula>
    </cfRule>
    <cfRule type="expression" priority="6" aboveAverage="0" equalAverage="0" bottom="0" percent="0" rank="0" text="" dxfId="17">
      <formula>E33&lt;0.8*INDEX(st_Weekly,MATCH($B33,st_ID,0))</formula>
    </cfRule>
  </conditionalFormatting>
  <dataValidations count="2">
    <dataValidation allowBlank="true" error="Pick a value from the list." errorStyle="stop" errorTitle="Not on the list" operator="between" showDropDown="false" showErrorMessage="true" showInputMessage="false" sqref="C4" type="list">
      <formula1>StaffNames</formula1>
      <formula2>0</formula2>
    </dataValidation>
    <dataValidation allowBlank="true" error="Pick a value from the list." errorStyle="stop" errorTitle="Not on the list" operator="between" showDropDown="false" showErrorMessage="true" showInputMessage="false" sqref="C5" type="list">
      <formula1>WeekList</formula1>
      <formula2>0</formula2>
    </dataValidation>
  </dataValidations>
  <printOptions headings="false" gridLines="false" gridLinesSet="true" horizontalCentered="true" verticalCentered="false"/>
  <pageMargins left="0.5" right="0.5" top="0.55" bottom="0.5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B4FA8"/>
    <pageSetUpPr fitToPage="true"/>
  </sheetPr>
  <dimension ref="B2:R8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3"/>
    <col collapsed="false" customWidth="true" hidden="false" outlineLevel="0" max="3" min="3" style="0" width="36"/>
    <col collapsed="false" customWidth="true" hidden="false" outlineLevel="0" max="4" min="4" style="0" width="15"/>
    <col collapsed="false" customWidth="true" hidden="false" outlineLevel="0" max="5" min="5" style="0" width="12"/>
    <col collapsed="false" customWidth="true" hidden="false" outlineLevel="0" max="6" min="6" style="0" width="16"/>
    <col collapsed="false" customWidth="true" hidden="false" outlineLevel="0" max="8" min="7" style="0" width="3"/>
    <col collapsed="false" customWidth="true" hidden="false" outlineLevel="0" max="9" min="9" style="0" width="16"/>
    <col collapsed="false" customWidth="true" hidden="false" outlineLevel="0" max="10" min="10" style="0" width="30"/>
    <col collapsed="false" customWidth="true" hidden="true" outlineLevel="0" max="13" min="13" style="0" width="5"/>
    <col collapsed="false" customWidth="true" hidden="true" outlineLevel="0" max="15" min="14" style="0" width="8"/>
    <col collapsed="false" customWidth="true" hidden="true" outlineLevel="0" max="16" min="16" style="0" width="9"/>
    <col collapsed="false" customWidth="true" hidden="true" outlineLevel="0" max="17" min="17" style="0" width="11"/>
    <col collapsed="false" customWidth="true" hidden="true" outlineLevel="0" max="18" min="18" style="0" width="6"/>
  </cols>
  <sheetData>
    <row r="2" customFormat="false" ht="31.5" hidden="false" customHeight="true" outlineLevel="0" collapsed="false">
      <c r="B2" s="58" t="str">
        <f aca="false">PracticeName</f>
        <v>Quillfield Pediatric Therapy</v>
      </c>
      <c r="F2" s="59" t="s">
        <v>36</v>
      </c>
    </row>
    <row r="3" customFormat="false" ht="15" hidden="false" customHeight="false" outlineLevel="0" collapsed="false">
      <c r="B3" s="2" t="s">
        <v>133</v>
      </c>
      <c r="I3" s="41" t="s">
        <v>134</v>
      </c>
      <c r="J3" s="42" t="s">
        <v>87</v>
      </c>
    </row>
    <row r="4" customFormat="false" ht="15" hidden="false" customHeight="false" outlineLevel="0" collapsed="false">
      <c r="I4" s="41" t="s">
        <v>135</v>
      </c>
      <c r="J4" s="60" t="n">
        <v>46266</v>
      </c>
    </row>
    <row r="5" customFormat="false" ht="15" hidden="false" customHeight="false" outlineLevel="0" collapsed="false">
      <c r="B5" s="2" t="s">
        <v>136</v>
      </c>
      <c r="D5" s="61" t="s">
        <v>137</v>
      </c>
      <c r="E5" s="62" t="str">
        <f aca="false">InvPrefix&amp;"-"&amp;InvCode&amp;"-"&amp;TEXT(InvMonth,"yymm")</f>
        <v>QPT-HCS-2609</v>
      </c>
      <c r="F5" s="62"/>
      <c r="J5" s="2" t="str">
        <f aca="false">IFERROR(INDEX(cl_Code,MATCH(InvClient,cl_Name,0)),"")</f>
        <v>HCS</v>
      </c>
    </row>
    <row r="6" customFormat="false" ht="16.15" hidden="false" customHeight="false" outlineLevel="0" collapsed="false">
      <c r="B6" s="63" t="str">
        <f aca="false">InvClient</f>
        <v>Harlow County Schools</v>
      </c>
      <c r="D6" s="61" t="s">
        <v>138</v>
      </c>
      <c r="E6" s="64" t="n">
        <f aca="false">EOMONTH(InvMonth,0)+1</f>
        <v>46296</v>
      </c>
      <c r="F6" s="64"/>
    </row>
    <row r="7" customFormat="false" ht="15" hidden="false" customHeight="true" outlineLevel="0" collapsed="false">
      <c r="B7" s="65" t="str">
        <f aca="false">IFERROR("Attention: "&amp;INDEX(cl_Attn,MATCH(InvClient,cl_Name,0)),"")</f>
        <v>Attention: Accounts Payable, Student Services</v>
      </c>
      <c r="D7" s="61" t="s">
        <v>139</v>
      </c>
      <c r="E7" s="62" t="str">
        <f aca="false">TEXT(InvMonth,"mmm d")&amp;" to "&amp;TEXT(EOMONTH(InvMonth,0),"mmm d, yyyy")</f>
        <v>Sep 1 to Sep 30, 2026</v>
      </c>
      <c r="F7" s="62"/>
      <c r="I7" s="16" t="s">
        <v>140</v>
      </c>
      <c r="J7" s="16"/>
    </row>
    <row r="8" customFormat="false" ht="15" hidden="false" customHeight="false" outlineLevel="0" collapsed="false">
      <c r="D8" s="61" t="s">
        <v>141</v>
      </c>
      <c r="E8" s="64" t="n">
        <f aca="false">E6+IFERROR(INDEX(cl_Terms,MATCH(InvClient,cl_Name,0)),30)</f>
        <v>46326</v>
      </c>
      <c r="F8" s="64"/>
      <c r="I8" s="16"/>
      <c r="J8" s="16"/>
    </row>
    <row r="9" customFormat="false" ht="15" hidden="false" customHeight="false" outlineLevel="0" collapsed="false">
      <c r="D9" s="61" t="s">
        <v>142</v>
      </c>
      <c r="E9" s="62" t="str">
        <f aca="false">IFERROR(IF(INDEX(cl_PO,MATCH(InvClient,cl_Name,0))="","None on file",INDEX(cl_PO,MATCH(InvClient,cl_Name,0))),"")</f>
        <v>PO 26-0418</v>
      </c>
      <c r="F9" s="62"/>
      <c r="I9" s="16"/>
      <c r="J9" s="16"/>
    </row>
    <row r="10" customFormat="false" ht="15" hidden="false" customHeight="false" outlineLevel="0" collapsed="false">
      <c r="I10" s="41" t="s">
        <v>143</v>
      </c>
      <c r="J10" s="66" t="n">
        <v>0</v>
      </c>
    </row>
    <row r="11" customFormat="false" ht="24" hidden="false" customHeight="true" outlineLevel="0" collapsed="false">
      <c r="I11" s="16" t="s">
        <v>144</v>
      </c>
      <c r="J11" s="16"/>
      <c r="M11" s="30" t="s">
        <v>145</v>
      </c>
      <c r="N11" s="30" t="s">
        <v>72</v>
      </c>
      <c r="O11" s="30" t="s">
        <v>117</v>
      </c>
      <c r="P11" s="30" t="s">
        <v>75</v>
      </c>
      <c r="Q11" s="30" t="s">
        <v>83</v>
      </c>
      <c r="R11" s="30" t="s">
        <v>146</v>
      </c>
    </row>
    <row r="12" customFormat="false" ht="24" hidden="false" customHeight="true" outlineLevel="0" collapsed="false">
      <c r="B12" s="67" t="s">
        <v>118</v>
      </c>
      <c r="C12" s="68" t="s">
        <v>147</v>
      </c>
      <c r="D12" s="29" t="s">
        <v>75</v>
      </c>
      <c r="E12" s="29" t="s">
        <v>82</v>
      </c>
      <c r="F12" s="29" t="s">
        <v>83</v>
      </c>
      <c r="I12" s="16"/>
      <c r="J12" s="16"/>
      <c r="M12" s="69" t="n">
        <v>1</v>
      </c>
      <c r="N12" s="69" t="str">
        <f aca="false">IF(INDEX(st_ID,1)="","",INDEX(st_ID,1))</f>
        <v>QP-01</v>
      </c>
      <c r="O12" s="69" t="s">
        <v>92</v>
      </c>
      <c r="P12" s="69" t="n">
        <f aca="false">IF(N12="",0,SUMIFS(tl_Hours,tl_StaffID,N12,tl_Code,O12,tl_ClientCode,InvCode,tl_Month,InvMonth))</f>
        <v>2.5</v>
      </c>
      <c r="Q12" s="69" t="n">
        <f aca="false">IF(N12="",0,SUMIFS(tl_Amount,tl_StaffID,N12,tl_Code,O12,tl_ClientCode,InvCode,tl_Month,InvMonth))</f>
        <v>350</v>
      </c>
      <c r="R12" s="69" t="n">
        <f aca="false">IF(P12&gt;0,1,0)</f>
        <v>1</v>
      </c>
    </row>
    <row r="13" customFormat="false" ht="16.5" hidden="false" customHeight="true" outlineLevel="0" collapsed="false">
      <c r="B13" s="70" t="str">
        <f aca="false">IFERROR(INDEX(rt_Name,MATCH(INDEX(inv_Code,MATCH(1,inv_Seq,0)),rt_Code,0)),"")</f>
        <v>Evaluation and report</v>
      </c>
      <c r="C13" s="71" t="str">
        <f aca="false">IFERROR(INDEX(st_Name,MATCH(INDEX(inv_StaffID,MATCH(1,inv_Seq,0)),st_ID,0))&amp;", "&amp;INDEX(st_Role,MATCH(INDEX(inv_StaffID,MATCH(1,inv_Seq,0)),st_ID,0)),"")</f>
        <v>Ellen Marquez, Speech-Language Pathologist</v>
      </c>
      <c r="D13" s="72" t="n">
        <f aca="false">IFERROR(INDEX(inv_Hours,MATCH(1,inv_Seq,0)),"")</f>
        <v>2.5</v>
      </c>
      <c r="E13" s="25" t="n">
        <f aca="false">IFERROR(INDEX(inv_Amt,MATCH(1,inv_Seq,0))/INDEX(inv_Hours,MATCH(1,inv_Seq,0)),"")</f>
        <v>140</v>
      </c>
      <c r="F13" s="25" t="n">
        <f aca="false">IFERROR(INDEX(inv_Amt,MATCH(1,inv_Seq,0)),"")</f>
        <v>350</v>
      </c>
      <c r="M13" s="69" t="n">
        <v>2</v>
      </c>
      <c r="N13" s="69" t="str">
        <f aca="false">IF(INDEX(st_ID,1)="","",INDEX(st_ID,1))</f>
        <v>QP-01</v>
      </c>
      <c r="O13" s="69" t="s">
        <v>88</v>
      </c>
      <c r="P13" s="69" t="n">
        <f aca="false">IF(N13="",0,SUMIFS(tl_Hours,tl_StaffID,N13,tl_Code,O13,tl_ClientCode,InvCode,tl_Month,InvMonth))</f>
        <v>12.5</v>
      </c>
      <c r="Q13" s="69" t="n">
        <f aca="false">IF(N13="",0,SUMIFS(tl_Amount,tl_StaffID,N13,tl_Code,O13,tl_ClientCode,InvCode,tl_Month,InvMonth))</f>
        <v>1225</v>
      </c>
      <c r="R13" s="69" t="n">
        <f aca="false">R12+IF(P13&gt;0,1,0)</f>
        <v>2</v>
      </c>
    </row>
    <row r="14" customFormat="false" ht="16.5" hidden="false" customHeight="true" outlineLevel="0" collapsed="false">
      <c r="B14" s="70" t="str">
        <f aca="false">IFERROR(INDEX(rt_Name,MATCH(INDEX(inv_Code,MATCH(2,inv_Seq,0)),rt_Code,0)),"")</f>
        <v>Individual therapy</v>
      </c>
      <c r="C14" s="71" t="str">
        <f aca="false">IFERROR(INDEX(st_Name,MATCH(INDEX(inv_StaffID,MATCH(2,inv_Seq,0)),st_ID,0))&amp;", "&amp;INDEX(st_Role,MATCH(INDEX(inv_StaffID,MATCH(2,inv_Seq,0)),st_ID,0)),"")</f>
        <v>Ellen Marquez, Speech-Language Pathologist</v>
      </c>
      <c r="D14" s="72" t="n">
        <f aca="false">IFERROR(INDEX(inv_Hours,MATCH(2,inv_Seq,0)),"")</f>
        <v>12.5</v>
      </c>
      <c r="E14" s="25" t="n">
        <f aca="false">IFERROR(INDEX(inv_Amt,MATCH(2,inv_Seq,0))/INDEX(inv_Hours,MATCH(2,inv_Seq,0)),"")</f>
        <v>98</v>
      </c>
      <c r="F14" s="25" t="n">
        <f aca="false">IFERROR(INDEX(inv_Amt,MATCH(2,inv_Seq,0)),"")</f>
        <v>1225</v>
      </c>
      <c r="M14" s="69" t="n">
        <v>3</v>
      </c>
      <c r="N14" s="69" t="str">
        <f aca="false">IF(INDEX(st_ID,1)="","",INDEX(st_ID,1))</f>
        <v>QP-01</v>
      </c>
      <c r="O14" s="69" t="s">
        <v>104</v>
      </c>
      <c r="P14" s="69" t="n">
        <f aca="false">IF(N14="",0,SUMIFS(tl_Hours,tl_StaffID,N14,tl_Code,O14,tl_ClientCode,InvCode,tl_Month,InvMonth))</f>
        <v>10.25</v>
      </c>
      <c r="Q14" s="69" t="n">
        <f aca="false">IF(N14="",0,SUMIFS(tl_Amount,tl_StaffID,N14,tl_Code,O14,tl_ClientCode,InvCode,tl_Month,InvMonth))</f>
        <v>635.5</v>
      </c>
      <c r="R14" s="69" t="n">
        <f aca="false">R13+IF(P14&gt;0,1,0)</f>
        <v>3</v>
      </c>
    </row>
    <row r="15" customFormat="false" ht="16.5" hidden="false" customHeight="true" outlineLevel="0" collapsed="false">
      <c r="B15" s="70" t="str">
        <f aca="false">IFERROR(INDEX(rt_Name,MATCH(INDEX(inv_Code,MATCH(3,inv_Seq,0)),rt_Code,0)),"")</f>
        <v>Group therapy</v>
      </c>
      <c r="C15" s="71" t="str">
        <f aca="false">IFERROR(INDEX(st_Name,MATCH(INDEX(inv_StaffID,MATCH(3,inv_Seq,0)),st_ID,0))&amp;", "&amp;INDEX(st_Role,MATCH(INDEX(inv_StaffID,MATCH(3,inv_Seq,0)),st_ID,0)),"")</f>
        <v>Ellen Marquez, Speech-Language Pathologist</v>
      </c>
      <c r="D15" s="72" t="n">
        <f aca="false">IFERROR(INDEX(inv_Hours,MATCH(3,inv_Seq,0)),"")</f>
        <v>10.25</v>
      </c>
      <c r="E15" s="25" t="n">
        <f aca="false">IFERROR(INDEX(inv_Amt,MATCH(3,inv_Seq,0))/INDEX(inv_Hours,MATCH(3,inv_Seq,0)),"")</f>
        <v>62</v>
      </c>
      <c r="F15" s="25" t="n">
        <f aca="false">IFERROR(INDEX(inv_Amt,MATCH(3,inv_Seq,0)),"")</f>
        <v>635.5</v>
      </c>
      <c r="M15" s="69" t="n">
        <v>4</v>
      </c>
      <c r="N15" s="69" t="str">
        <f aca="false">IF(INDEX(st_ID,1)="","",INDEX(st_ID,1))</f>
        <v>QP-01</v>
      </c>
      <c r="O15" s="69" t="s">
        <v>89</v>
      </c>
      <c r="P15" s="69" t="n">
        <f aca="false">IF(N15="",0,SUMIFS(tl_Hours,tl_StaffID,N15,tl_Code,O15,tl_ClientCode,InvCode,tl_Month,InvMonth))</f>
        <v>2</v>
      </c>
      <c r="Q15" s="69" t="n">
        <f aca="false">IF(N15="",0,SUMIFS(tl_Amount,tl_StaffID,N15,tl_Code,O15,tl_ClientCode,InvCode,tl_Month,InvMonth))</f>
        <v>176</v>
      </c>
      <c r="R15" s="69" t="n">
        <f aca="false">R14+IF(P15&gt;0,1,0)</f>
        <v>4</v>
      </c>
    </row>
    <row r="16" customFormat="false" ht="16.5" hidden="false" customHeight="true" outlineLevel="0" collapsed="false">
      <c r="B16" s="70" t="str">
        <f aca="false">IFERROR(INDEX(rt_Name,MATCH(INDEX(inv_Code,MATCH(4,inv_Seq,0)),rt_Code,0)),"")</f>
        <v>Consultation or IEP meeting</v>
      </c>
      <c r="C16" s="71" t="str">
        <f aca="false">IFERROR(INDEX(st_Name,MATCH(INDEX(inv_StaffID,MATCH(4,inv_Seq,0)),st_ID,0))&amp;", "&amp;INDEX(st_Role,MATCH(INDEX(inv_StaffID,MATCH(4,inv_Seq,0)),st_ID,0)),"")</f>
        <v>Ellen Marquez, Speech-Language Pathologist</v>
      </c>
      <c r="D16" s="72" t="n">
        <f aca="false">IFERROR(INDEX(inv_Hours,MATCH(4,inv_Seq,0)),"")</f>
        <v>2</v>
      </c>
      <c r="E16" s="25" t="n">
        <f aca="false">IFERROR(INDEX(inv_Amt,MATCH(4,inv_Seq,0))/INDEX(inv_Hours,MATCH(4,inv_Seq,0)),"")</f>
        <v>88</v>
      </c>
      <c r="F16" s="25" t="n">
        <f aca="false">IFERROR(INDEX(inv_Amt,MATCH(4,inv_Seq,0)),"")</f>
        <v>176</v>
      </c>
      <c r="M16" s="69" t="n">
        <v>5</v>
      </c>
      <c r="N16" s="69" t="str">
        <f aca="false">IF(INDEX(st_ID,1)="","",INDEX(st_ID,1))</f>
        <v>QP-01</v>
      </c>
      <c r="O16" s="69" t="s">
        <v>91</v>
      </c>
      <c r="P16" s="69" t="n">
        <f aca="false">IF(N16="",0,SUMIFS(tl_Hours,tl_StaffID,N16,tl_Code,O16,tl_ClientCode,InvCode,tl_Month,InvMonth))</f>
        <v>0</v>
      </c>
      <c r="Q16" s="69" t="n">
        <f aca="false">IF(N16="",0,SUMIFS(tl_Amount,tl_StaffID,N16,tl_Code,O16,tl_ClientCode,InvCode,tl_Month,InvMonth))</f>
        <v>0</v>
      </c>
      <c r="R16" s="69" t="n">
        <f aca="false">R15+IF(P16&gt;0,1,0)</f>
        <v>4</v>
      </c>
    </row>
    <row r="17" customFormat="false" ht="16.5" hidden="false" customHeight="true" outlineLevel="0" collapsed="false">
      <c r="B17" s="70" t="str">
        <f aca="false">IFERROR(INDEX(rt_Name,MATCH(INDEX(inv_Code,MATCH(5,inv_Seq,0)),rt_Code,0)),"")</f>
        <v>Screening</v>
      </c>
      <c r="C17" s="71" t="str">
        <f aca="false">IFERROR(INDEX(st_Name,MATCH(INDEX(inv_StaffID,MATCH(5,inv_Seq,0)),st_ID,0))&amp;", "&amp;INDEX(st_Role,MATCH(INDEX(inv_StaffID,MATCH(5,inv_Seq,0)),st_ID,0)),"")</f>
        <v>Ellen Marquez, Speech-Language Pathologist</v>
      </c>
      <c r="D17" s="72" t="n">
        <f aca="false">IFERROR(INDEX(inv_Hours,MATCH(5,inv_Seq,0)),"")</f>
        <v>2.5</v>
      </c>
      <c r="E17" s="25" t="n">
        <f aca="false">IFERROR(INDEX(inv_Amt,MATCH(5,inv_Seq,0))/INDEX(inv_Hours,MATCH(5,inv_Seq,0)),"")</f>
        <v>85</v>
      </c>
      <c r="F17" s="25" t="n">
        <f aca="false">IFERROR(INDEX(inv_Amt,MATCH(5,inv_Seq,0)),"")</f>
        <v>212.5</v>
      </c>
      <c r="M17" s="69" t="n">
        <v>6</v>
      </c>
      <c r="N17" s="69" t="str">
        <f aca="false">IF(INDEX(st_ID,1)="","",INDEX(st_ID,1))</f>
        <v>QP-01</v>
      </c>
      <c r="O17" s="69" t="s">
        <v>113</v>
      </c>
      <c r="P17" s="69" t="n">
        <f aca="false">IF(N17="",0,SUMIFS(tl_Hours,tl_StaffID,N17,tl_Code,O17,tl_ClientCode,InvCode,tl_Month,InvMonth))</f>
        <v>2.5</v>
      </c>
      <c r="Q17" s="69" t="n">
        <f aca="false">IF(N17="",0,SUMIFS(tl_Amount,tl_StaffID,N17,tl_Code,O17,tl_ClientCode,InvCode,tl_Month,InvMonth))</f>
        <v>212.5</v>
      </c>
      <c r="R17" s="69" t="n">
        <f aca="false">R16+IF(P17&gt;0,1,0)</f>
        <v>5</v>
      </c>
    </row>
    <row r="18" customFormat="false" ht="16.5" hidden="false" customHeight="true" outlineLevel="0" collapsed="false">
      <c r="B18" s="70" t="str">
        <f aca="false">IFERROR(INDEX(rt_Name,MATCH(INDEX(inv_Code,MATCH(6,inv_Seq,0)),rt_Code,0)),"")</f>
        <v>Individual therapy</v>
      </c>
      <c r="C18" s="71" t="str">
        <f aca="false">IFERROR(INDEX(st_Name,MATCH(INDEX(inv_StaffID,MATCH(6,inv_Seq,0)),st_ID,0))&amp;", "&amp;INDEX(st_Role,MATCH(INDEX(inv_StaffID,MATCH(6,inv_Seq,0)),st_ID,0)),"")</f>
        <v>Jordan Fairley, Speech-Language Pathologist</v>
      </c>
      <c r="D18" s="72" t="n">
        <f aca="false">IFERROR(INDEX(inv_Hours,MATCH(6,inv_Seq,0)),"")</f>
        <v>2.25</v>
      </c>
      <c r="E18" s="25" t="n">
        <f aca="false">IFERROR(INDEX(inv_Amt,MATCH(6,inv_Seq,0))/INDEX(inv_Hours,MATCH(6,inv_Seq,0)),"")</f>
        <v>98</v>
      </c>
      <c r="F18" s="25" t="n">
        <f aca="false">IFERROR(INDEX(inv_Amt,MATCH(6,inv_Seq,0)),"")</f>
        <v>220.5</v>
      </c>
      <c r="M18" s="69" t="n">
        <v>7</v>
      </c>
      <c r="N18" s="69" t="str">
        <f aca="false">IF(INDEX(st_ID,2)="","",INDEX(st_ID,2))</f>
        <v>QP-02</v>
      </c>
      <c r="O18" s="69" t="s">
        <v>92</v>
      </c>
      <c r="P18" s="69" t="n">
        <f aca="false">IF(N18="",0,SUMIFS(tl_Hours,tl_StaffID,N18,tl_Code,O18,tl_ClientCode,InvCode,tl_Month,InvMonth))</f>
        <v>0</v>
      </c>
      <c r="Q18" s="69" t="n">
        <f aca="false">IF(N18="",0,SUMIFS(tl_Amount,tl_StaffID,N18,tl_Code,O18,tl_ClientCode,InvCode,tl_Month,InvMonth))</f>
        <v>0</v>
      </c>
      <c r="R18" s="69" t="n">
        <f aca="false">R17+IF(P18&gt;0,1,0)</f>
        <v>5</v>
      </c>
    </row>
    <row r="19" customFormat="false" ht="16.5" hidden="false" customHeight="true" outlineLevel="0" collapsed="false">
      <c r="B19" s="70" t="str">
        <f aca="false">IFERROR(INDEX(rt_Name,MATCH(INDEX(inv_Code,MATCH(7,inv_Seq,0)),rt_Code,0)),"")</f>
        <v>Group therapy</v>
      </c>
      <c r="C19" s="71" t="str">
        <f aca="false">IFERROR(INDEX(st_Name,MATCH(INDEX(inv_StaffID,MATCH(7,inv_Seq,0)),st_ID,0))&amp;", "&amp;INDEX(st_Role,MATCH(INDEX(inv_StaffID,MATCH(7,inv_Seq,0)),st_ID,0)),"")</f>
        <v>Jordan Fairley, Speech-Language Pathologist</v>
      </c>
      <c r="D19" s="72" t="n">
        <f aca="false">IFERROR(INDEX(inv_Hours,MATCH(7,inv_Seq,0)),"")</f>
        <v>21.75</v>
      </c>
      <c r="E19" s="25" t="n">
        <f aca="false">IFERROR(INDEX(inv_Amt,MATCH(7,inv_Seq,0))/INDEX(inv_Hours,MATCH(7,inv_Seq,0)),"")</f>
        <v>62</v>
      </c>
      <c r="F19" s="25" t="n">
        <f aca="false">IFERROR(INDEX(inv_Amt,MATCH(7,inv_Seq,0)),"")</f>
        <v>1348.5</v>
      </c>
      <c r="M19" s="69" t="n">
        <v>8</v>
      </c>
      <c r="N19" s="69" t="str">
        <f aca="false">IF(INDEX(st_ID,2)="","",INDEX(st_ID,2))</f>
        <v>QP-02</v>
      </c>
      <c r="O19" s="69" t="s">
        <v>88</v>
      </c>
      <c r="P19" s="69" t="n">
        <f aca="false">IF(N19="",0,SUMIFS(tl_Hours,tl_StaffID,N19,tl_Code,O19,tl_ClientCode,InvCode,tl_Month,InvMonth))</f>
        <v>2.25</v>
      </c>
      <c r="Q19" s="69" t="n">
        <f aca="false">IF(N19="",0,SUMIFS(tl_Amount,tl_StaffID,N19,tl_Code,O19,tl_ClientCode,InvCode,tl_Month,InvMonth))</f>
        <v>220.5</v>
      </c>
      <c r="R19" s="69" t="n">
        <f aca="false">R18+IF(P19&gt;0,1,0)</f>
        <v>6</v>
      </c>
    </row>
    <row r="20" customFormat="false" ht="16.5" hidden="false" customHeight="true" outlineLevel="0" collapsed="false">
      <c r="B20" s="70" t="str">
        <f aca="false">IFERROR(INDEX(rt_Name,MATCH(INDEX(inv_Code,MATCH(8,inv_Seq,0)),rt_Code,0)),"")</f>
        <v>Consultation or IEP meeting</v>
      </c>
      <c r="C20" s="71" t="str">
        <f aca="false">IFERROR(INDEX(st_Name,MATCH(INDEX(inv_StaffID,MATCH(8,inv_Seq,0)),st_ID,0))&amp;", "&amp;INDEX(st_Role,MATCH(INDEX(inv_StaffID,MATCH(8,inv_Seq,0)),st_ID,0)),"")</f>
        <v>Jordan Fairley, Speech-Language Pathologist</v>
      </c>
      <c r="D20" s="72" t="n">
        <f aca="false">IFERROR(INDEX(inv_Hours,MATCH(8,inv_Seq,0)),"")</f>
        <v>5.75</v>
      </c>
      <c r="E20" s="25" t="n">
        <f aca="false">IFERROR(INDEX(inv_Amt,MATCH(8,inv_Seq,0))/INDEX(inv_Hours,MATCH(8,inv_Seq,0)),"")</f>
        <v>88</v>
      </c>
      <c r="F20" s="25" t="n">
        <f aca="false">IFERROR(INDEX(inv_Amt,MATCH(8,inv_Seq,0)),"")</f>
        <v>506</v>
      </c>
      <c r="M20" s="69" t="n">
        <v>9</v>
      </c>
      <c r="N20" s="69" t="str">
        <f aca="false">IF(INDEX(st_ID,2)="","",INDEX(st_ID,2))</f>
        <v>QP-02</v>
      </c>
      <c r="O20" s="69" t="s">
        <v>104</v>
      </c>
      <c r="P20" s="69" t="n">
        <f aca="false">IF(N20="",0,SUMIFS(tl_Hours,tl_StaffID,N20,tl_Code,O20,tl_ClientCode,InvCode,tl_Month,InvMonth))</f>
        <v>21.75</v>
      </c>
      <c r="Q20" s="69" t="n">
        <f aca="false">IF(N20="",0,SUMIFS(tl_Amount,tl_StaffID,N20,tl_Code,O20,tl_ClientCode,InvCode,tl_Month,InvMonth))</f>
        <v>1348.5</v>
      </c>
      <c r="R20" s="69" t="n">
        <f aca="false">R19+IF(P20&gt;0,1,0)</f>
        <v>7</v>
      </c>
    </row>
    <row r="21" customFormat="false" ht="16.5" hidden="false" customHeight="true" outlineLevel="0" collapsed="false">
      <c r="B21" s="70" t="str">
        <f aca="false">IFERROR(INDEX(rt_Name,MATCH(INDEX(inv_Code,MATCH(9,inv_Seq,0)),rt_Code,0)),"")</f>
        <v>Screening</v>
      </c>
      <c r="C21" s="71" t="str">
        <f aca="false">IFERROR(INDEX(st_Name,MATCH(INDEX(inv_StaffID,MATCH(9,inv_Seq,0)),st_ID,0))&amp;", "&amp;INDEX(st_Role,MATCH(INDEX(inv_StaffID,MATCH(9,inv_Seq,0)),st_ID,0)),"")</f>
        <v>Jordan Fairley, Speech-Language Pathologist</v>
      </c>
      <c r="D21" s="72" t="n">
        <f aca="false">IFERROR(INDEX(inv_Hours,MATCH(9,inv_Seq,0)),"")</f>
        <v>4.25</v>
      </c>
      <c r="E21" s="25" t="n">
        <f aca="false">IFERROR(INDEX(inv_Amt,MATCH(9,inv_Seq,0))/INDEX(inv_Hours,MATCH(9,inv_Seq,0)),"")</f>
        <v>85</v>
      </c>
      <c r="F21" s="25" t="n">
        <f aca="false">IFERROR(INDEX(inv_Amt,MATCH(9,inv_Seq,0)),"")</f>
        <v>361.25</v>
      </c>
      <c r="M21" s="69" t="n">
        <v>10</v>
      </c>
      <c r="N21" s="69" t="str">
        <f aca="false">IF(INDEX(st_ID,2)="","",INDEX(st_ID,2))</f>
        <v>QP-02</v>
      </c>
      <c r="O21" s="69" t="s">
        <v>89</v>
      </c>
      <c r="P21" s="69" t="n">
        <f aca="false">IF(N21="",0,SUMIFS(tl_Hours,tl_StaffID,N21,tl_Code,O21,tl_ClientCode,InvCode,tl_Month,InvMonth))</f>
        <v>5.75</v>
      </c>
      <c r="Q21" s="69" t="n">
        <f aca="false">IF(N21="",0,SUMIFS(tl_Amount,tl_StaffID,N21,tl_Code,O21,tl_ClientCode,InvCode,tl_Month,InvMonth))</f>
        <v>506</v>
      </c>
      <c r="R21" s="69" t="n">
        <f aca="false">R20+IF(P21&gt;0,1,0)</f>
        <v>8</v>
      </c>
    </row>
    <row r="22" customFormat="false" ht="16.5" hidden="false" customHeight="true" outlineLevel="0" collapsed="false">
      <c r="B22" s="70" t="str">
        <f aca="false">IFERROR(INDEX(rt_Name,MATCH(INDEX(inv_Code,MATCH(10,inv_Seq,0)),rt_Code,0)),"")</f>
        <v>Evaluation and report</v>
      </c>
      <c r="C22" s="71" t="str">
        <f aca="false">IFERROR(INDEX(st_Name,MATCH(INDEX(inv_StaffID,MATCH(10,inv_Seq,0)),st_ID,0))&amp;", "&amp;INDEX(st_Role,MATCH(INDEX(inv_StaffID,MATCH(10,inv_Seq,0)),st_ID,0)),"")</f>
        <v>Kevin Talbot, Occupational Therapist</v>
      </c>
      <c r="D22" s="72" t="n">
        <f aca="false">IFERROR(INDEX(inv_Hours,MATCH(10,inv_Seq,0)),"")</f>
        <v>7.25</v>
      </c>
      <c r="E22" s="25" t="n">
        <f aca="false">IFERROR(INDEX(inv_Amt,MATCH(10,inv_Seq,0))/INDEX(inv_Hours,MATCH(10,inv_Seq,0)),"")</f>
        <v>140</v>
      </c>
      <c r="F22" s="25" t="n">
        <f aca="false">IFERROR(INDEX(inv_Amt,MATCH(10,inv_Seq,0)),"")</f>
        <v>1015</v>
      </c>
      <c r="M22" s="69" t="n">
        <v>11</v>
      </c>
      <c r="N22" s="69" t="str">
        <f aca="false">IF(INDEX(st_ID,2)="","",INDEX(st_ID,2))</f>
        <v>QP-02</v>
      </c>
      <c r="O22" s="69" t="s">
        <v>91</v>
      </c>
      <c r="P22" s="69" t="n">
        <f aca="false">IF(N22="",0,SUMIFS(tl_Hours,tl_StaffID,N22,tl_Code,O22,tl_ClientCode,InvCode,tl_Month,InvMonth))</f>
        <v>0</v>
      </c>
      <c r="Q22" s="69" t="n">
        <f aca="false">IF(N22="",0,SUMIFS(tl_Amount,tl_StaffID,N22,tl_Code,O22,tl_ClientCode,InvCode,tl_Month,InvMonth))</f>
        <v>0</v>
      </c>
      <c r="R22" s="69" t="n">
        <f aca="false">R21+IF(P22&gt;0,1,0)</f>
        <v>8</v>
      </c>
    </row>
    <row r="23" customFormat="false" ht="16.5" hidden="false" customHeight="true" outlineLevel="0" collapsed="false">
      <c r="B23" s="70" t="str">
        <f aca="false">IFERROR(INDEX(rt_Name,MATCH(INDEX(inv_Code,MATCH(11,inv_Seq,0)),rt_Code,0)),"")</f>
        <v>Individual therapy</v>
      </c>
      <c r="C23" s="71" t="str">
        <f aca="false">IFERROR(INDEX(st_Name,MATCH(INDEX(inv_StaffID,MATCH(11,inv_Seq,0)),st_ID,0))&amp;", "&amp;INDEX(st_Role,MATCH(INDEX(inv_StaffID,MATCH(11,inv_Seq,0)),st_ID,0)),"")</f>
        <v>Kevin Talbot, Occupational Therapist</v>
      </c>
      <c r="D23" s="72" t="n">
        <f aca="false">IFERROR(INDEX(inv_Hours,MATCH(11,inv_Seq,0)),"")</f>
        <v>16</v>
      </c>
      <c r="E23" s="25" t="n">
        <f aca="false">IFERROR(INDEX(inv_Amt,MATCH(11,inv_Seq,0))/INDEX(inv_Hours,MATCH(11,inv_Seq,0)),"")</f>
        <v>98</v>
      </c>
      <c r="F23" s="25" t="n">
        <f aca="false">IFERROR(INDEX(inv_Amt,MATCH(11,inv_Seq,0)),"")</f>
        <v>1568</v>
      </c>
      <c r="M23" s="69" t="n">
        <v>12</v>
      </c>
      <c r="N23" s="69" t="str">
        <f aca="false">IF(INDEX(st_ID,2)="","",INDEX(st_ID,2))</f>
        <v>QP-02</v>
      </c>
      <c r="O23" s="69" t="s">
        <v>113</v>
      </c>
      <c r="P23" s="69" t="n">
        <f aca="false">IF(N23="",0,SUMIFS(tl_Hours,tl_StaffID,N23,tl_Code,O23,tl_ClientCode,InvCode,tl_Month,InvMonth))</f>
        <v>4.25</v>
      </c>
      <c r="Q23" s="69" t="n">
        <f aca="false">IF(N23="",0,SUMIFS(tl_Amount,tl_StaffID,N23,tl_Code,O23,tl_ClientCode,InvCode,tl_Month,InvMonth))</f>
        <v>361.25</v>
      </c>
      <c r="R23" s="69" t="n">
        <f aca="false">R22+IF(P23&gt;0,1,0)</f>
        <v>9</v>
      </c>
    </row>
    <row r="24" customFormat="false" ht="16.5" hidden="false" customHeight="true" outlineLevel="0" collapsed="false">
      <c r="B24" s="70" t="str">
        <f aca="false">IFERROR(INDEX(rt_Name,MATCH(INDEX(inv_Code,MATCH(12,inv_Seq,0)),rt_Code,0)),"")</f>
        <v>Group therapy</v>
      </c>
      <c r="C24" s="71" t="str">
        <f aca="false">IFERROR(INDEX(st_Name,MATCH(INDEX(inv_StaffID,MATCH(12,inv_Seq,0)),st_ID,0))&amp;", "&amp;INDEX(st_Role,MATCH(INDEX(inv_StaffID,MATCH(12,inv_Seq,0)),st_ID,0)),"")</f>
        <v>Kevin Talbot, Occupational Therapist</v>
      </c>
      <c r="D24" s="72" t="n">
        <f aca="false">IFERROR(INDEX(inv_Hours,MATCH(12,inv_Seq,0)),"")</f>
        <v>20.5</v>
      </c>
      <c r="E24" s="25" t="n">
        <f aca="false">IFERROR(INDEX(inv_Amt,MATCH(12,inv_Seq,0))/INDEX(inv_Hours,MATCH(12,inv_Seq,0)),"")</f>
        <v>62</v>
      </c>
      <c r="F24" s="25" t="n">
        <f aca="false">IFERROR(INDEX(inv_Amt,MATCH(12,inv_Seq,0)),"")</f>
        <v>1271</v>
      </c>
      <c r="M24" s="69" t="n">
        <v>13</v>
      </c>
      <c r="N24" s="69" t="str">
        <f aca="false">IF(INDEX(st_ID,3)="","",INDEX(st_ID,3))</f>
        <v>QP-03</v>
      </c>
      <c r="O24" s="69" t="s">
        <v>92</v>
      </c>
      <c r="P24" s="69" t="n">
        <f aca="false">IF(N24="",0,SUMIFS(tl_Hours,tl_StaffID,N24,tl_Code,O24,tl_ClientCode,InvCode,tl_Month,InvMonth))</f>
        <v>0</v>
      </c>
      <c r="Q24" s="69" t="n">
        <f aca="false">IF(N24="",0,SUMIFS(tl_Amount,tl_StaffID,N24,tl_Code,O24,tl_ClientCode,InvCode,tl_Month,InvMonth))</f>
        <v>0</v>
      </c>
      <c r="R24" s="69" t="n">
        <f aca="false">R23+IF(P24&gt;0,1,0)</f>
        <v>9</v>
      </c>
    </row>
    <row r="25" customFormat="false" ht="16.5" hidden="false" customHeight="true" outlineLevel="0" collapsed="false">
      <c r="B25" s="70" t="str">
        <f aca="false">IFERROR(INDEX(rt_Name,MATCH(INDEX(inv_Code,MATCH(13,inv_Seq,0)),rt_Code,0)),"")</f>
        <v>Consultation or IEP meeting</v>
      </c>
      <c r="C25" s="71" t="str">
        <f aca="false">IFERROR(INDEX(st_Name,MATCH(INDEX(inv_StaffID,MATCH(13,inv_Seq,0)),st_ID,0))&amp;", "&amp;INDEX(st_Role,MATCH(INDEX(inv_StaffID,MATCH(13,inv_Seq,0)),st_ID,0)),"")</f>
        <v>Kevin Talbot, Occupational Therapist</v>
      </c>
      <c r="D25" s="72" t="n">
        <f aca="false">IFERROR(INDEX(inv_Hours,MATCH(13,inv_Seq,0)),"")</f>
        <v>7.75</v>
      </c>
      <c r="E25" s="25" t="n">
        <f aca="false">IFERROR(INDEX(inv_Amt,MATCH(13,inv_Seq,0))/INDEX(inv_Hours,MATCH(13,inv_Seq,0)),"")</f>
        <v>88</v>
      </c>
      <c r="F25" s="25" t="n">
        <f aca="false">IFERROR(INDEX(inv_Amt,MATCH(13,inv_Seq,0)),"")</f>
        <v>682</v>
      </c>
      <c r="M25" s="69" t="n">
        <v>14</v>
      </c>
      <c r="N25" s="69" t="str">
        <f aca="false">IF(INDEX(st_ID,3)="","",INDEX(st_ID,3))</f>
        <v>QP-03</v>
      </c>
      <c r="O25" s="69" t="s">
        <v>88</v>
      </c>
      <c r="P25" s="69" t="n">
        <f aca="false">IF(N25="",0,SUMIFS(tl_Hours,tl_StaffID,N25,tl_Code,O25,tl_ClientCode,InvCode,tl_Month,InvMonth))</f>
        <v>0</v>
      </c>
      <c r="Q25" s="69" t="n">
        <f aca="false">IF(N25="",0,SUMIFS(tl_Amount,tl_StaffID,N25,tl_Code,O25,tl_ClientCode,InvCode,tl_Month,InvMonth))</f>
        <v>0</v>
      </c>
      <c r="R25" s="69" t="n">
        <f aca="false">R24+IF(P25&gt;0,1,0)</f>
        <v>9</v>
      </c>
    </row>
    <row r="26" customFormat="false" ht="16.5" hidden="false" customHeight="true" outlineLevel="0" collapsed="false">
      <c r="B26" s="70" t="str">
        <f aca="false">IFERROR(INDEX(rt_Name,MATCH(INDEX(inv_Code,MATCH(14,inv_Seq,0)),rt_Code,0)),"")</f>
        <v>Evaluation and report</v>
      </c>
      <c r="C26" s="71" t="str">
        <f aca="false">IFERROR(INDEX(st_Name,MATCH(INDEX(inv_StaffID,MATCH(14,inv_Seq,0)),st_ID,0))&amp;", "&amp;INDEX(st_Role,MATCH(INDEX(inv_StaffID,MATCH(14,inv_Seq,0)),st_ID,0)),"")</f>
        <v>Rosa Quintero, Occupational Therapist</v>
      </c>
      <c r="D26" s="72" t="n">
        <f aca="false">IFERROR(INDEX(inv_Hours,MATCH(14,inv_Seq,0)),"")</f>
        <v>1.75</v>
      </c>
      <c r="E26" s="25" t="n">
        <f aca="false">IFERROR(INDEX(inv_Amt,MATCH(14,inv_Seq,0))/INDEX(inv_Hours,MATCH(14,inv_Seq,0)),"")</f>
        <v>140</v>
      </c>
      <c r="F26" s="25" t="n">
        <f aca="false">IFERROR(INDEX(inv_Amt,MATCH(14,inv_Seq,0)),"")</f>
        <v>245</v>
      </c>
      <c r="M26" s="69" t="n">
        <v>15</v>
      </c>
      <c r="N26" s="69" t="str">
        <f aca="false">IF(INDEX(st_ID,3)="","",INDEX(st_ID,3))</f>
        <v>QP-03</v>
      </c>
      <c r="O26" s="69" t="s">
        <v>104</v>
      </c>
      <c r="P26" s="69" t="n">
        <f aca="false">IF(N26="",0,SUMIFS(tl_Hours,tl_StaffID,N26,tl_Code,O26,tl_ClientCode,InvCode,tl_Month,InvMonth))</f>
        <v>0</v>
      </c>
      <c r="Q26" s="69" t="n">
        <f aca="false">IF(N26="",0,SUMIFS(tl_Amount,tl_StaffID,N26,tl_Code,O26,tl_ClientCode,InvCode,tl_Month,InvMonth))</f>
        <v>0</v>
      </c>
      <c r="R26" s="69" t="n">
        <f aca="false">R25+IF(P26&gt;0,1,0)</f>
        <v>9</v>
      </c>
    </row>
    <row r="27" customFormat="false" ht="16.5" hidden="false" customHeight="true" outlineLevel="0" collapsed="false">
      <c r="B27" s="70" t="str">
        <f aca="false">IFERROR(INDEX(rt_Name,MATCH(INDEX(inv_Code,MATCH(15,inv_Seq,0)),rt_Code,0)),"")</f>
        <v>Individual therapy</v>
      </c>
      <c r="C27" s="71" t="str">
        <f aca="false">IFERROR(INDEX(st_Name,MATCH(INDEX(inv_StaffID,MATCH(15,inv_Seq,0)),st_ID,0))&amp;", "&amp;INDEX(st_Role,MATCH(INDEX(inv_StaffID,MATCH(15,inv_Seq,0)),st_ID,0)),"")</f>
        <v>Rosa Quintero, Occupational Therapist</v>
      </c>
      <c r="D27" s="72" t="n">
        <f aca="false">IFERROR(INDEX(inv_Hours,MATCH(15,inv_Seq,0)),"")</f>
        <v>10.5</v>
      </c>
      <c r="E27" s="25" t="n">
        <f aca="false">IFERROR(INDEX(inv_Amt,MATCH(15,inv_Seq,0))/INDEX(inv_Hours,MATCH(15,inv_Seq,0)),"")</f>
        <v>98</v>
      </c>
      <c r="F27" s="25" t="n">
        <f aca="false">IFERROR(INDEX(inv_Amt,MATCH(15,inv_Seq,0)),"")</f>
        <v>1029</v>
      </c>
      <c r="M27" s="69" t="n">
        <v>16</v>
      </c>
      <c r="N27" s="69" t="str">
        <f aca="false">IF(INDEX(st_ID,3)="","",INDEX(st_ID,3))</f>
        <v>QP-03</v>
      </c>
      <c r="O27" s="69" t="s">
        <v>89</v>
      </c>
      <c r="P27" s="69" t="n">
        <f aca="false">IF(N27="",0,SUMIFS(tl_Hours,tl_StaffID,N27,tl_Code,O27,tl_ClientCode,InvCode,tl_Month,InvMonth))</f>
        <v>0</v>
      </c>
      <c r="Q27" s="69" t="n">
        <f aca="false">IF(N27="",0,SUMIFS(tl_Amount,tl_StaffID,N27,tl_Code,O27,tl_ClientCode,InvCode,tl_Month,InvMonth))</f>
        <v>0</v>
      </c>
      <c r="R27" s="69" t="n">
        <f aca="false">R26+IF(P27&gt;0,1,0)</f>
        <v>9</v>
      </c>
    </row>
    <row r="28" customFormat="false" ht="16.5" hidden="false" customHeight="true" outlineLevel="0" collapsed="false">
      <c r="B28" s="70" t="str">
        <f aca="false">IFERROR(INDEX(rt_Name,MATCH(INDEX(inv_Code,MATCH(16,inv_Seq,0)),rt_Code,0)),"")</f>
        <v>Group therapy</v>
      </c>
      <c r="C28" s="71" t="str">
        <f aca="false">IFERROR(INDEX(st_Name,MATCH(INDEX(inv_StaffID,MATCH(16,inv_Seq,0)),st_ID,0))&amp;", "&amp;INDEX(st_Role,MATCH(INDEX(inv_StaffID,MATCH(16,inv_Seq,0)),st_ID,0)),"")</f>
        <v>Rosa Quintero, Occupational Therapist</v>
      </c>
      <c r="D28" s="72" t="n">
        <f aca="false">IFERROR(INDEX(inv_Hours,MATCH(16,inv_Seq,0)),"")</f>
        <v>19</v>
      </c>
      <c r="E28" s="25" t="n">
        <f aca="false">IFERROR(INDEX(inv_Amt,MATCH(16,inv_Seq,0))/INDEX(inv_Hours,MATCH(16,inv_Seq,0)),"")</f>
        <v>62</v>
      </c>
      <c r="F28" s="25" t="n">
        <f aca="false">IFERROR(INDEX(inv_Amt,MATCH(16,inv_Seq,0)),"")</f>
        <v>1178</v>
      </c>
      <c r="M28" s="69" t="n">
        <v>17</v>
      </c>
      <c r="N28" s="69" t="str">
        <f aca="false">IF(INDEX(st_ID,3)="","",INDEX(st_ID,3))</f>
        <v>QP-03</v>
      </c>
      <c r="O28" s="69" t="s">
        <v>91</v>
      </c>
      <c r="P28" s="69" t="n">
        <f aca="false">IF(N28="",0,SUMIFS(tl_Hours,tl_StaffID,N28,tl_Code,O28,tl_ClientCode,InvCode,tl_Month,InvMonth))</f>
        <v>0</v>
      </c>
      <c r="Q28" s="69" t="n">
        <f aca="false">IF(N28="",0,SUMIFS(tl_Amount,tl_StaffID,N28,tl_Code,O28,tl_ClientCode,InvCode,tl_Month,InvMonth))</f>
        <v>0</v>
      </c>
      <c r="R28" s="69" t="n">
        <f aca="false">R27+IF(P28&gt;0,1,0)</f>
        <v>9</v>
      </c>
    </row>
    <row r="29" customFormat="false" ht="16.5" hidden="false" customHeight="true" outlineLevel="0" collapsed="false">
      <c r="B29" s="70" t="str">
        <f aca="false">IFERROR(INDEX(rt_Name,MATCH(INDEX(inv_Code,MATCH(17,inv_Seq,0)),rt_Code,0)),"")</f>
        <v>Consultation or IEP meeting</v>
      </c>
      <c r="C29" s="71" t="str">
        <f aca="false">IFERROR(INDEX(st_Name,MATCH(INDEX(inv_StaffID,MATCH(17,inv_Seq,0)),st_ID,0))&amp;", "&amp;INDEX(st_Role,MATCH(INDEX(inv_StaffID,MATCH(17,inv_Seq,0)),st_ID,0)),"")</f>
        <v>Rosa Quintero, Occupational Therapist</v>
      </c>
      <c r="D29" s="72" t="n">
        <f aca="false">IFERROR(INDEX(inv_Hours,MATCH(17,inv_Seq,0)),"")</f>
        <v>8.75</v>
      </c>
      <c r="E29" s="25" t="n">
        <f aca="false">IFERROR(INDEX(inv_Amt,MATCH(17,inv_Seq,0))/INDEX(inv_Hours,MATCH(17,inv_Seq,0)),"")</f>
        <v>88</v>
      </c>
      <c r="F29" s="25" t="n">
        <f aca="false">IFERROR(INDEX(inv_Amt,MATCH(17,inv_Seq,0)),"")</f>
        <v>770</v>
      </c>
      <c r="M29" s="69" t="n">
        <v>18</v>
      </c>
      <c r="N29" s="69" t="str">
        <f aca="false">IF(INDEX(st_ID,3)="","",INDEX(st_ID,3))</f>
        <v>QP-03</v>
      </c>
      <c r="O29" s="69" t="s">
        <v>113</v>
      </c>
      <c r="P29" s="69" t="n">
        <f aca="false">IF(N29="",0,SUMIFS(tl_Hours,tl_StaffID,N29,tl_Code,O29,tl_ClientCode,InvCode,tl_Month,InvMonth))</f>
        <v>0</v>
      </c>
      <c r="Q29" s="69" t="n">
        <f aca="false">IF(N29="",0,SUMIFS(tl_Amount,tl_StaffID,N29,tl_Code,O29,tl_ClientCode,InvCode,tl_Month,InvMonth))</f>
        <v>0</v>
      </c>
      <c r="R29" s="69" t="n">
        <f aca="false">R28+IF(P29&gt;0,1,0)</f>
        <v>9</v>
      </c>
    </row>
    <row r="30" customFormat="false" ht="16.5" hidden="false" customHeight="true" outlineLevel="0" collapsed="false">
      <c r="B30" s="70" t="str">
        <f aca="false">IFERROR(INDEX(rt_Name,MATCH(INDEX(inv_Code,MATCH(18,inv_Seq,0)),rt_Code,0)),"")</f>
        <v>Evaluation and report</v>
      </c>
      <c r="C30" s="71" t="str">
        <f aca="false">IFERROR(INDEX(st_Name,MATCH(INDEX(inv_StaffID,MATCH(18,inv_Seq,0)),st_ID,0))&amp;", "&amp;INDEX(st_Role,MATCH(INDEX(inv_StaffID,MATCH(18,inv_Seq,0)),st_ID,0)),"")</f>
        <v>Grant Holloway, Physical Therapist</v>
      </c>
      <c r="D30" s="72" t="n">
        <f aca="false">IFERROR(INDEX(inv_Hours,MATCH(18,inv_Seq,0)),"")</f>
        <v>1.25</v>
      </c>
      <c r="E30" s="25" t="n">
        <f aca="false">IFERROR(INDEX(inv_Amt,MATCH(18,inv_Seq,0))/INDEX(inv_Hours,MATCH(18,inv_Seq,0)),"")</f>
        <v>140</v>
      </c>
      <c r="F30" s="25" t="n">
        <f aca="false">IFERROR(INDEX(inv_Amt,MATCH(18,inv_Seq,0)),"")</f>
        <v>175</v>
      </c>
      <c r="M30" s="69" t="n">
        <v>19</v>
      </c>
      <c r="N30" s="69" t="str">
        <f aca="false">IF(INDEX(st_ID,4)="","",INDEX(st_ID,4))</f>
        <v>QP-04</v>
      </c>
      <c r="O30" s="69" t="s">
        <v>92</v>
      </c>
      <c r="P30" s="69" t="n">
        <f aca="false">IF(N30="",0,SUMIFS(tl_Hours,tl_StaffID,N30,tl_Code,O30,tl_ClientCode,InvCode,tl_Month,InvMonth))</f>
        <v>7.25</v>
      </c>
      <c r="Q30" s="69" t="n">
        <f aca="false">IF(N30="",0,SUMIFS(tl_Amount,tl_StaffID,N30,tl_Code,O30,tl_ClientCode,InvCode,tl_Month,InvMonth))</f>
        <v>1015</v>
      </c>
      <c r="R30" s="69" t="n">
        <f aca="false">R29+IF(P30&gt;0,1,0)</f>
        <v>10</v>
      </c>
    </row>
    <row r="31" customFormat="false" ht="16.5" hidden="false" customHeight="true" outlineLevel="0" collapsed="false">
      <c r="B31" s="70" t="str">
        <f aca="false">IFERROR(INDEX(rt_Name,MATCH(INDEX(inv_Code,MATCH(19,inv_Seq,0)),rt_Code,0)),"")</f>
        <v>Individual therapy</v>
      </c>
      <c r="C31" s="71" t="str">
        <f aca="false">IFERROR(INDEX(st_Name,MATCH(INDEX(inv_StaffID,MATCH(19,inv_Seq,0)),st_ID,0))&amp;", "&amp;INDEX(st_Role,MATCH(INDEX(inv_StaffID,MATCH(19,inv_Seq,0)),st_ID,0)),"")</f>
        <v>Grant Holloway, Physical Therapist</v>
      </c>
      <c r="D31" s="72" t="n">
        <f aca="false">IFERROR(INDEX(inv_Hours,MATCH(19,inv_Seq,0)),"")</f>
        <v>7.75</v>
      </c>
      <c r="E31" s="25" t="n">
        <f aca="false">IFERROR(INDEX(inv_Amt,MATCH(19,inv_Seq,0))/INDEX(inv_Hours,MATCH(19,inv_Seq,0)),"")</f>
        <v>98</v>
      </c>
      <c r="F31" s="25" t="n">
        <f aca="false">IFERROR(INDEX(inv_Amt,MATCH(19,inv_Seq,0)),"")</f>
        <v>759.5</v>
      </c>
      <c r="M31" s="69" t="n">
        <v>20</v>
      </c>
      <c r="N31" s="69" t="str">
        <f aca="false">IF(INDEX(st_ID,4)="","",INDEX(st_ID,4))</f>
        <v>QP-04</v>
      </c>
      <c r="O31" s="69" t="s">
        <v>88</v>
      </c>
      <c r="P31" s="69" t="n">
        <f aca="false">IF(N31="",0,SUMIFS(tl_Hours,tl_StaffID,N31,tl_Code,O31,tl_ClientCode,InvCode,tl_Month,InvMonth))</f>
        <v>16</v>
      </c>
      <c r="Q31" s="69" t="n">
        <f aca="false">IF(N31="",0,SUMIFS(tl_Amount,tl_StaffID,N31,tl_Code,O31,tl_ClientCode,InvCode,tl_Month,InvMonth))</f>
        <v>1568</v>
      </c>
      <c r="R31" s="69" t="n">
        <f aca="false">R30+IF(P31&gt;0,1,0)</f>
        <v>11</v>
      </c>
    </row>
    <row r="32" customFormat="false" ht="16.5" hidden="false" customHeight="true" outlineLevel="0" collapsed="false">
      <c r="B32" s="70" t="str">
        <f aca="false">IFERROR(INDEX(rt_Name,MATCH(INDEX(inv_Code,MATCH(20,inv_Seq,0)),rt_Code,0)),"")</f>
        <v>Group therapy</v>
      </c>
      <c r="C32" s="71" t="str">
        <f aca="false">IFERROR(INDEX(st_Name,MATCH(INDEX(inv_StaffID,MATCH(20,inv_Seq,0)),st_ID,0))&amp;", "&amp;INDEX(st_Role,MATCH(INDEX(inv_StaffID,MATCH(20,inv_Seq,0)),st_ID,0)),"")</f>
        <v>Grant Holloway, Physical Therapist</v>
      </c>
      <c r="D32" s="72" t="n">
        <f aca="false">IFERROR(INDEX(inv_Hours,MATCH(20,inv_Seq,0)),"")</f>
        <v>21.25</v>
      </c>
      <c r="E32" s="25" t="n">
        <f aca="false">IFERROR(INDEX(inv_Amt,MATCH(20,inv_Seq,0))/INDEX(inv_Hours,MATCH(20,inv_Seq,0)),"")</f>
        <v>62</v>
      </c>
      <c r="F32" s="25" t="n">
        <f aca="false">IFERROR(INDEX(inv_Amt,MATCH(20,inv_Seq,0)),"")</f>
        <v>1317.5</v>
      </c>
      <c r="M32" s="69" t="n">
        <v>21</v>
      </c>
      <c r="N32" s="69" t="str">
        <f aca="false">IF(INDEX(st_ID,4)="","",INDEX(st_ID,4))</f>
        <v>QP-04</v>
      </c>
      <c r="O32" s="69" t="s">
        <v>104</v>
      </c>
      <c r="P32" s="69" t="n">
        <f aca="false">IF(N32="",0,SUMIFS(tl_Hours,tl_StaffID,N32,tl_Code,O32,tl_ClientCode,InvCode,tl_Month,InvMonth))</f>
        <v>20.5</v>
      </c>
      <c r="Q32" s="69" t="n">
        <f aca="false">IF(N32="",0,SUMIFS(tl_Amount,tl_StaffID,N32,tl_Code,O32,tl_ClientCode,InvCode,tl_Month,InvMonth))</f>
        <v>1271</v>
      </c>
      <c r="R32" s="69" t="n">
        <f aca="false">R31+IF(P32&gt;0,1,0)</f>
        <v>12</v>
      </c>
    </row>
    <row r="33" customFormat="false" ht="16.5" hidden="false" customHeight="true" outlineLevel="0" collapsed="false">
      <c r="B33" s="70" t="str">
        <f aca="false">IFERROR(INDEX(rt_Name,MATCH(INDEX(inv_Code,MATCH(21,inv_Seq,0)),rt_Code,0)),"")</f>
        <v>Consultation or IEP meeting</v>
      </c>
      <c r="C33" s="71" t="str">
        <f aca="false">IFERROR(INDEX(st_Name,MATCH(INDEX(inv_StaffID,MATCH(21,inv_Seq,0)),st_ID,0))&amp;", "&amp;INDEX(st_Role,MATCH(INDEX(inv_StaffID,MATCH(21,inv_Seq,0)),st_ID,0)),"")</f>
        <v>Grant Holloway, Physical Therapist</v>
      </c>
      <c r="D33" s="72" t="n">
        <f aca="false">IFERROR(INDEX(inv_Hours,MATCH(21,inv_Seq,0)),"")</f>
        <v>8.5</v>
      </c>
      <c r="E33" s="25" t="n">
        <f aca="false">IFERROR(INDEX(inv_Amt,MATCH(21,inv_Seq,0))/INDEX(inv_Hours,MATCH(21,inv_Seq,0)),"")</f>
        <v>88</v>
      </c>
      <c r="F33" s="25" t="n">
        <f aca="false">IFERROR(INDEX(inv_Amt,MATCH(21,inv_Seq,0)),"")</f>
        <v>748</v>
      </c>
      <c r="M33" s="69" t="n">
        <v>22</v>
      </c>
      <c r="N33" s="69" t="str">
        <f aca="false">IF(INDEX(st_ID,4)="","",INDEX(st_ID,4))</f>
        <v>QP-04</v>
      </c>
      <c r="O33" s="69" t="s">
        <v>89</v>
      </c>
      <c r="P33" s="69" t="n">
        <f aca="false">IF(N33="",0,SUMIFS(tl_Hours,tl_StaffID,N33,tl_Code,O33,tl_ClientCode,InvCode,tl_Month,InvMonth))</f>
        <v>7.75</v>
      </c>
      <c r="Q33" s="69" t="n">
        <f aca="false">IF(N33="",0,SUMIFS(tl_Amount,tl_StaffID,N33,tl_Code,O33,tl_ClientCode,InvCode,tl_Month,InvMonth))</f>
        <v>682</v>
      </c>
      <c r="R33" s="69" t="n">
        <f aca="false">R32+IF(P33&gt;0,1,0)</f>
        <v>13</v>
      </c>
    </row>
    <row r="34" customFormat="false" ht="16.5" hidden="false" customHeight="true" outlineLevel="0" collapsed="false">
      <c r="B34" s="70" t="str">
        <f aca="false">IFERROR(INDEX(rt_Name,MATCH(INDEX(inv_Code,MATCH(22,inv_Seq,0)),rt_Code,0)),"")</f>
        <v>Screening</v>
      </c>
      <c r="C34" s="71" t="str">
        <f aca="false">IFERROR(INDEX(st_Name,MATCH(INDEX(inv_StaffID,MATCH(22,inv_Seq,0)),st_ID,0))&amp;", "&amp;INDEX(st_Role,MATCH(INDEX(inv_StaffID,MATCH(22,inv_Seq,0)),st_ID,0)),"")</f>
        <v>Grant Holloway, Physical Therapist</v>
      </c>
      <c r="D34" s="72" t="n">
        <f aca="false">IFERROR(INDEX(inv_Hours,MATCH(22,inv_Seq,0)),"")</f>
        <v>2</v>
      </c>
      <c r="E34" s="25" t="n">
        <f aca="false">IFERROR(INDEX(inv_Amt,MATCH(22,inv_Seq,0))/INDEX(inv_Hours,MATCH(22,inv_Seq,0)),"")</f>
        <v>85</v>
      </c>
      <c r="F34" s="25" t="n">
        <f aca="false">IFERROR(INDEX(inv_Amt,MATCH(22,inv_Seq,0)),"")</f>
        <v>170</v>
      </c>
      <c r="M34" s="69" t="n">
        <v>23</v>
      </c>
      <c r="N34" s="69" t="str">
        <f aca="false">IF(INDEX(st_ID,4)="","",INDEX(st_ID,4))</f>
        <v>QP-04</v>
      </c>
      <c r="O34" s="69" t="s">
        <v>91</v>
      </c>
      <c r="P34" s="69" t="n">
        <f aca="false">IF(N34="",0,SUMIFS(tl_Hours,tl_StaffID,N34,tl_Code,O34,tl_ClientCode,InvCode,tl_Month,InvMonth))</f>
        <v>0</v>
      </c>
      <c r="Q34" s="69" t="n">
        <f aca="false">IF(N34="",0,SUMIFS(tl_Amount,tl_StaffID,N34,tl_Code,O34,tl_ClientCode,InvCode,tl_Month,InvMonth))</f>
        <v>0</v>
      </c>
      <c r="R34" s="69" t="n">
        <f aca="false">R33+IF(P34&gt;0,1,0)</f>
        <v>13</v>
      </c>
    </row>
    <row r="35" customFormat="false" ht="16.5" hidden="false" customHeight="true" outlineLevel="0" collapsed="false">
      <c r="B35" s="70" t="str">
        <f aca="false">IFERROR(INDEX(rt_Name,MATCH(INDEX(inv_Code,MATCH(23,inv_Seq,0)),rt_Code,0)),"")</f>
        <v>Individual therapy</v>
      </c>
      <c r="C35" s="71" t="str">
        <f aca="false">IFERROR(INDEX(st_Name,MATCH(INDEX(inv_StaffID,MATCH(23,inv_Seq,0)),st_ID,0))&amp;", "&amp;INDEX(st_Role,MATCH(INDEX(inv_StaffID,MATCH(23,inv_Seq,0)),st_ID,0)),"")</f>
        <v>Tess Ingram, Speech-Language Pathology Assistant</v>
      </c>
      <c r="D35" s="72" t="n">
        <f aca="false">IFERROR(INDEX(inv_Hours,MATCH(23,inv_Seq,0)),"")</f>
        <v>10.25</v>
      </c>
      <c r="E35" s="25" t="n">
        <f aca="false">IFERROR(INDEX(inv_Amt,MATCH(23,inv_Seq,0))/INDEX(inv_Hours,MATCH(23,inv_Seq,0)),"")</f>
        <v>98</v>
      </c>
      <c r="F35" s="25" t="n">
        <f aca="false">IFERROR(INDEX(inv_Amt,MATCH(23,inv_Seq,0)),"")</f>
        <v>1004.5</v>
      </c>
      <c r="M35" s="69" t="n">
        <v>24</v>
      </c>
      <c r="N35" s="69" t="str">
        <f aca="false">IF(INDEX(st_ID,4)="","",INDEX(st_ID,4))</f>
        <v>QP-04</v>
      </c>
      <c r="O35" s="69" t="s">
        <v>113</v>
      </c>
      <c r="P35" s="69" t="n">
        <f aca="false">IF(N35="",0,SUMIFS(tl_Hours,tl_StaffID,N35,tl_Code,O35,tl_ClientCode,InvCode,tl_Month,InvMonth))</f>
        <v>0</v>
      </c>
      <c r="Q35" s="69" t="n">
        <f aca="false">IF(N35="",0,SUMIFS(tl_Amount,tl_StaffID,N35,tl_Code,O35,tl_ClientCode,InvCode,tl_Month,InvMonth))</f>
        <v>0</v>
      </c>
      <c r="R35" s="69" t="n">
        <f aca="false">R34+IF(P35&gt;0,1,0)</f>
        <v>13</v>
      </c>
    </row>
    <row r="36" customFormat="false" ht="16.5" hidden="false" customHeight="true" outlineLevel="0" collapsed="false">
      <c r="B36" s="70" t="str">
        <f aca="false">IFERROR(INDEX(rt_Name,MATCH(INDEX(inv_Code,MATCH(24,inv_Seq,0)),rt_Code,0)),"")</f>
        <v>Group therapy</v>
      </c>
      <c r="C36" s="71" t="str">
        <f aca="false">IFERROR(INDEX(st_Name,MATCH(INDEX(inv_StaffID,MATCH(24,inv_Seq,0)),st_ID,0))&amp;", "&amp;INDEX(st_Role,MATCH(INDEX(inv_StaffID,MATCH(24,inv_Seq,0)),st_ID,0)),"")</f>
        <v>Tess Ingram, Speech-Language Pathology Assistant</v>
      </c>
      <c r="D36" s="72" t="n">
        <f aca="false">IFERROR(INDEX(inv_Hours,MATCH(24,inv_Seq,0)),"")</f>
        <v>16.75</v>
      </c>
      <c r="E36" s="25" t="n">
        <f aca="false">IFERROR(INDEX(inv_Amt,MATCH(24,inv_Seq,0))/INDEX(inv_Hours,MATCH(24,inv_Seq,0)),"")</f>
        <v>62</v>
      </c>
      <c r="F36" s="25" t="n">
        <f aca="false">IFERROR(INDEX(inv_Amt,MATCH(24,inv_Seq,0)),"")</f>
        <v>1038.5</v>
      </c>
      <c r="M36" s="69" t="n">
        <v>25</v>
      </c>
      <c r="N36" s="69" t="str">
        <f aca="false">IF(INDEX(st_ID,5)="","",INDEX(st_ID,5))</f>
        <v>QP-05</v>
      </c>
      <c r="O36" s="69" t="s">
        <v>92</v>
      </c>
      <c r="P36" s="69" t="n">
        <f aca="false">IF(N36="",0,SUMIFS(tl_Hours,tl_StaffID,N36,tl_Code,O36,tl_ClientCode,InvCode,tl_Month,InvMonth))</f>
        <v>1.75</v>
      </c>
      <c r="Q36" s="69" t="n">
        <f aca="false">IF(N36="",0,SUMIFS(tl_Amount,tl_StaffID,N36,tl_Code,O36,tl_ClientCode,InvCode,tl_Month,InvMonth))</f>
        <v>245</v>
      </c>
      <c r="R36" s="69" t="n">
        <f aca="false">R35+IF(P36&gt;0,1,0)</f>
        <v>14</v>
      </c>
    </row>
    <row r="37" customFormat="false" ht="16.5" hidden="false" customHeight="true" outlineLevel="0" collapsed="false">
      <c r="B37" s="70" t="str">
        <f aca="false">IFERROR(INDEX(rt_Name,MATCH(INDEX(inv_Code,MATCH(25,inv_Seq,0)),rt_Code,0)),"")</f>
        <v>Consultation or IEP meeting</v>
      </c>
      <c r="C37" s="71" t="str">
        <f aca="false">IFERROR(INDEX(st_Name,MATCH(INDEX(inv_StaffID,MATCH(25,inv_Seq,0)),st_ID,0))&amp;", "&amp;INDEX(st_Role,MATCH(INDEX(inv_StaffID,MATCH(25,inv_Seq,0)),st_ID,0)),"")</f>
        <v>Tess Ingram, Speech-Language Pathology Assistant</v>
      </c>
      <c r="D37" s="72" t="n">
        <f aca="false">IFERROR(INDEX(inv_Hours,MATCH(25,inv_Seq,0)),"")</f>
        <v>1.25</v>
      </c>
      <c r="E37" s="25" t="n">
        <f aca="false">IFERROR(INDEX(inv_Amt,MATCH(25,inv_Seq,0))/INDEX(inv_Hours,MATCH(25,inv_Seq,0)),"")</f>
        <v>88</v>
      </c>
      <c r="F37" s="25" t="n">
        <f aca="false">IFERROR(INDEX(inv_Amt,MATCH(25,inv_Seq,0)),"")</f>
        <v>110</v>
      </c>
      <c r="M37" s="69" t="n">
        <v>26</v>
      </c>
      <c r="N37" s="69" t="str">
        <f aca="false">IF(INDEX(st_ID,5)="","",INDEX(st_ID,5))</f>
        <v>QP-05</v>
      </c>
      <c r="O37" s="69" t="s">
        <v>88</v>
      </c>
      <c r="P37" s="69" t="n">
        <f aca="false">IF(N37="",0,SUMIFS(tl_Hours,tl_StaffID,N37,tl_Code,O37,tl_ClientCode,InvCode,tl_Month,InvMonth))</f>
        <v>10.5</v>
      </c>
      <c r="Q37" s="69" t="n">
        <f aca="false">IF(N37="",0,SUMIFS(tl_Amount,tl_StaffID,N37,tl_Code,O37,tl_ClientCode,InvCode,tl_Month,InvMonth))</f>
        <v>1029</v>
      </c>
      <c r="R37" s="69" t="n">
        <f aca="false">R36+IF(P37&gt;0,1,0)</f>
        <v>15</v>
      </c>
    </row>
    <row r="38" customFormat="false" ht="16.5" hidden="false" customHeight="true" outlineLevel="0" collapsed="false">
      <c r="B38" s="70" t="str">
        <f aca="false">IFERROR(INDEX(rt_Name,MATCH(INDEX(inv_Code,MATCH(26,inv_Seq,0)),rt_Code,0)),"")</f>
        <v>Screening</v>
      </c>
      <c r="C38" s="71" t="str">
        <f aca="false">IFERROR(INDEX(st_Name,MATCH(INDEX(inv_StaffID,MATCH(26,inv_Seq,0)),st_ID,0))&amp;", "&amp;INDEX(st_Role,MATCH(INDEX(inv_StaffID,MATCH(26,inv_Seq,0)),st_ID,0)),"")</f>
        <v>Tess Ingram, Speech-Language Pathology Assistant</v>
      </c>
      <c r="D38" s="72" t="n">
        <f aca="false">IFERROR(INDEX(inv_Hours,MATCH(26,inv_Seq,0)),"")</f>
        <v>2.25</v>
      </c>
      <c r="E38" s="25" t="n">
        <f aca="false">IFERROR(INDEX(inv_Amt,MATCH(26,inv_Seq,0))/INDEX(inv_Hours,MATCH(26,inv_Seq,0)),"")</f>
        <v>85</v>
      </c>
      <c r="F38" s="25" t="n">
        <f aca="false">IFERROR(INDEX(inv_Amt,MATCH(26,inv_Seq,0)),"")</f>
        <v>191.25</v>
      </c>
      <c r="M38" s="69" t="n">
        <v>27</v>
      </c>
      <c r="N38" s="69" t="str">
        <f aca="false">IF(INDEX(st_ID,5)="","",INDEX(st_ID,5))</f>
        <v>QP-05</v>
      </c>
      <c r="O38" s="69" t="s">
        <v>104</v>
      </c>
      <c r="P38" s="69" t="n">
        <f aca="false">IF(N38="",0,SUMIFS(tl_Hours,tl_StaffID,N38,tl_Code,O38,tl_ClientCode,InvCode,tl_Month,InvMonth))</f>
        <v>19</v>
      </c>
      <c r="Q38" s="69" t="n">
        <f aca="false">IF(N38="",0,SUMIFS(tl_Amount,tl_StaffID,N38,tl_Code,O38,tl_ClientCode,InvCode,tl_Month,InvMonth))</f>
        <v>1178</v>
      </c>
      <c r="R38" s="69" t="n">
        <f aca="false">R37+IF(P38&gt;0,1,0)</f>
        <v>16</v>
      </c>
    </row>
    <row r="39" customFormat="false" ht="16.5" hidden="false" customHeight="true" outlineLevel="0" collapsed="false">
      <c r="B39" s="70" t="str">
        <f aca="false">IFERROR(INDEX(rt_Name,MATCH(INDEX(inv_Code,MATCH(27,inv_Seq,0)),rt_Code,0)),"")</f>
        <v/>
      </c>
      <c r="C39" s="71" t="str">
        <f aca="false">IFERROR(INDEX(st_Name,MATCH(INDEX(inv_StaffID,MATCH(27,inv_Seq,0)),st_ID,0))&amp;", "&amp;INDEX(st_Role,MATCH(INDEX(inv_StaffID,MATCH(27,inv_Seq,0)),st_ID,0)),"")</f>
        <v/>
      </c>
      <c r="D39" s="72" t="str">
        <f aca="false">IFERROR(INDEX(inv_Hours,MATCH(27,inv_Seq,0)),"")</f>
        <v/>
      </c>
      <c r="E39" s="25" t="str">
        <f aca="false">IFERROR(INDEX(inv_Amt,MATCH(27,inv_Seq,0))/INDEX(inv_Hours,MATCH(27,inv_Seq,0)),"")</f>
        <v/>
      </c>
      <c r="F39" s="25" t="str">
        <f aca="false">IFERROR(INDEX(inv_Amt,MATCH(27,inv_Seq,0)),"")</f>
        <v/>
      </c>
      <c r="M39" s="69" t="n">
        <v>28</v>
      </c>
      <c r="N39" s="69" t="str">
        <f aca="false">IF(INDEX(st_ID,5)="","",INDEX(st_ID,5))</f>
        <v>QP-05</v>
      </c>
      <c r="O39" s="69" t="s">
        <v>89</v>
      </c>
      <c r="P39" s="69" t="n">
        <f aca="false">IF(N39="",0,SUMIFS(tl_Hours,tl_StaffID,N39,tl_Code,O39,tl_ClientCode,InvCode,tl_Month,InvMonth))</f>
        <v>8.75</v>
      </c>
      <c r="Q39" s="69" t="n">
        <f aca="false">IF(N39="",0,SUMIFS(tl_Amount,tl_StaffID,N39,tl_Code,O39,tl_ClientCode,InvCode,tl_Month,InvMonth))</f>
        <v>770</v>
      </c>
      <c r="R39" s="69" t="n">
        <f aca="false">R38+IF(P39&gt;0,1,0)</f>
        <v>17</v>
      </c>
    </row>
    <row r="40" customFormat="false" ht="16.5" hidden="false" customHeight="true" outlineLevel="0" collapsed="false">
      <c r="B40" s="70" t="str">
        <f aca="false">IFERROR(INDEX(rt_Name,MATCH(INDEX(inv_Code,MATCH(28,inv_Seq,0)),rt_Code,0)),"")</f>
        <v/>
      </c>
      <c r="C40" s="71" t="str">
        <f aca="false">IFERROR(INDEX(st_Name,MATCH(INDEX(inv_StaffID,MATCH(28,inv_Seq,0)),st_ID,0))&amp;", "&amp;INDEX(st_Role,MATCH(INDEX(inv_StaffID,MATCH(28,inv_Seq,0)),st_ID,0)),"")</f>
        <v/>
      </c>
      <c r="D40" s="72" t="str">
        <f aca="false">IFERROR(INDEX(inv_Hours,MATCH(28,inv_Seq,0)),"")</f>
        <v/>
      </c>
      <c r="E40" s="25" t="str">
        <f aca="false">IFERROR(INDEX(inv_Amt,MATCH(28,inv_Seq,0))/INDEX(inv_Hours,MATCH(28,inv_Seq,0)),"")</f>
        <v/>
      </c>
      <c r="F40" s="25" t="str">
        <f aca="false">IFERROR(INDEX(inv_Amt,MATCH(28,inv_Seq,0)),"")</f>
        <v/>
      </c>
      <c r="M40" s="69" t="n">
        <v>29</v>
      </c>
      <c r="N40" s="69" t="str">
        <f aca="false">IF(INDEX(st_ID,5)="","",INDEX(st_ID,5))</f>
        <v>QP-05</v>
      </c>
      <c r="O40" s="69" t="s">
        <v>91</v>
      </c>
      <c r="P40" s="69" t="n">
        <f aca="false">IF(N40="",0,SUMIFS(tl_Hours,tl_StaffID,N40,tl_Code,O40,tl_ClientCode,InvCode,tl_Month,InvMonth))</f>
        <v>0</v>
      </c>
      <c r="Q40" s="69" t="n">
        <f aca="false">IF(N40="",0,SUMIFS(tl_Amount,tl_StaffID,N40,tl_Code,O40,tl_ClientCode,InvCode,tl_Month,InvMonth))</f>
        <v>0</v>
      </c>
      <c r="R40" s="69" t="n">
        <f aca="false">R39+IF(P40&gt;0,1,0)</f>
        <v>17</v>
      </c>
    </row>
    <row r="41" customFormat="false" ht="16.5" hidden="false" customHeight="true" outlineLevel="0" collapsed="false">
      <c r="B41" s="70" t="str">
        <f aca="false">IFERROR(INDEX(rt_Name,MATCH(INDEX(inv_Code,MATCH(29,inv_Seq,0)),rt_Code,0)),"")</f>
        <v/>
      </c>
      <c r="C41" s="71" t="str">
        <f aca="false">IFERROR(INDEX(st_Name,MATCH(INDEX(inv_StaffID,MATCH(29,inv_Seq,0)),st_ID,0))&amp;", "&amp;INDEX(st_Role,MATCH(INDEX(inv_StaffID,MATCH(29,inv_Seq,0)),st_ID,0)),"")</f>
        <v/>
      </c>
      <c r="D41" s="72" t="str">
        <f aca="false">IFERROR(INDEX(inv_Hours,MATCH(29,inv_Seq,0)),"")</f>
        <v/>
      </c>
      <c r="E41" s="25" t="str">
        <f aca="false">IFERROR(INDEX(inv_Amt,MATCH(29,inv_Seq,0))/INDEX(inv_Hours,MATCH(29,inv_Seq,0)),"")</f>
        <v/>
      </c>
      <c r="F41" s="25" t="str">
        <f aca="false">IFERROR(INDEX(inv_Amt,MATCH(29,inv_Seq,0)),"")</f>
        <v/>
      </c>
      <c r="M41" s="69" t="n">
        <v>30</v>
      </c>
      <c r="N41" s="69" t="str">
        <f aca="false">IF(INDEX(st_ID,5)="","",INDEX(st_ID,5))</f>
        <v>QP-05</v>
      </c>
      <c r="O41" s="69" t="s">
        <v>113</v>
      </c>
      <c r="P41" s="69" t="n">
        <f aca="false">IF(N41="",0,SUMIFS(tl_Hours,tl_StaffID,N41,tl_Code,O41,tl_ClientCode,InvCode,tl_Month,InvMonth))</f>
        <v>0</v>
      </c>
      <c r="Q41" s="69" t="n">
        <f aca="false">IF(N41="",0,SUMIFS(tl_Amount,tl_StaffID,N41,tl_Code,O41,tl_ClientCode,InvCode,tl_Month,InvMonth))</f>
        <v>0</v>
      </c>
      <c r="R41" s="69" t="n">
        <f aca="false">R40+IF(P41&gt;0,1,0)</f>
        <v>17</v>
      </c>
    </row>
    <row r="42" customFormat="false" ht="16.5" hidden="false" customHeight="true" outlineLevel="0" collapsed="false">
      <c r="B42" s="70" t="str">
        <f aca="false">IFERROR(INDEX(rt_Name,MATCH(INDEX(inv_Code,MATCH(30,inv_Seq,0)),rt_Code,0)),"")</f>
        <v/>
      </c>
      <c r="C42" s="71" t="str">
        <f aca="false">IFERROR(INDEX(st_Name,MATCH(INDEX(inv_StaffID,MATCH(30,inv_Seq,0)),st_ID,0))&amp;", "&amp;INDEX(st_Role,MATCH(INDEX(inv_StaffID,MATCH(30,inv_Seq,0)),st_ID,0)),"")</f>
        <v/>
      </c>
      <c r="D42" s="72" t="str">
        <f aca="false">IFERROR(INDEX(inv_Hours,MATCH(30,inv_Seq,0)),"")</f>
        <v/>
      </c>
      <c r="E42" s="25" t="str">
        <f aca="false">IFERROR(INDEX(inv_Amt,MATCH(30,inv_Seq,0))/INDEX(inv_Hours,MATCH(30,inv_Seq,0)),"")</f>
        <v/>
      </c>
      <c r="F42" s="25" t="str">
        <f aca="false">IFERROR(INDEX(inv_Amt,MATCH(30,inv_Seq,0)),"")</f>
        <v/>
      </c>
      <c r="M42" s="69" t="n">
        <v>31</v>
      </c>
      <c r="N42" s="69" t="str">
        <f aca="false">IF(INDEX(st_ID,6)="","",INDEX(st_ID,6))</f>
        <v>QP-06</v>
      </c>
      <c r="O42" s="69" t="s">
        <v>92</v>
      </c>
      <c r="P42" s="69" t="n">
        <f aca="false">IF(N42="",0,SUMIFS(tl_Hours,tl_StaffID,N42,tl_Code,O42,tl_ClientCode,InvCode,tl_Month,InvMonth))</f>
        <v>1.25</v>
      </c>
      <c r="Q42" s="69" t="n">
        <f aca="false">IF(N42="",0,SUMIFS(tl_Amount,tl_StaffID,N42,tl_Code,O42,tl_ClientCode,InvCode,tl_Month,InvMonth))</f>
        <v>175</v>
      </c>
      <c r="R42" s="69" t="n">
        <f aca="false">R41+IF(P42&gt;0,1,0)</f>
        <v>18</v>
      </c>
    </row>
    <row r="43" customFormat="false" ht="15" hidden="false" customHeight="false" outlineLevel="0" collapsed="false">
      <c r="M43" s="69" t="n">
        <v>32</v>
      </c>
      <c r="N43" s="69" t="str">
        <f aca="false">IF(INDEX(st_ID,6)="","",INDEX(st_ID,6))</f>
        <v>QP-06</v>
      </c>
      <c r="O43" s="69" t="s">
        <v>88</v>
      </c>
      <c r="P43" s="69" t="n">
        <f aca="false">IF(N43="",0,SUMIFS(tl_Hours,tl_StaffID,N43,tl_Code,O43,tl_ClientCode,InvCode,tl_Month,InvMonth))</f>
        <v>7.75</v>
      </c>
      <c r="Q43" s="69" t="n">
        <f aca="false">IF(N43="",0,SUMIFS(tl_Amount,tl_StaffID,N43,tl_Code,O43,tl_ClientCode,InvCode,tl_Month,InvMonth))</f>
        <v>759.5</v>
      </c>
      <c r="R43" s="69" t="n">
        <f aca="false">R42+IF(P43&gt;0,1,0)</f>
        <v>19</v>
      </c>
    </row>
    <row r="44" customFormat="false" ht="15" hidden="false" customHeight="false" outlineLevel="0" collapsed="false">
      <c r="B44" s="73" t="str">
        <f aca="false">IF(COUNT(D13:D42)=0,"No billable time for this client and month.","")</f>
        <v/>
      </c>
      <c r="C44" s="74" t="s">
        <v>122</v>
      </c>
      <c r="D44" s="75" t="n">
        <f aca="false">SUM(D13:D42)</f>
        <v>226.5</v>
      </c>
      <c r="E44" s="76" t="s">
        <v>148</v>
      </c>
      <c r="F44" s="77" t="n">
        <f aca="false">SUM(F13:F42)</f>
        <v>18307.5</v>
      </c>
      <c r="M44" s="69" t="n">
        <v>33</v>
      </c>
      <c r="N44" s="69" t="str">
        <f aca="false">IF(INDEX(st_ID,6)="","",INDEX(st_ID,6))</f>
        <v>QP-06</v>
      </c>
      <c r="O44" s="69" t="s">
        <v>104</v>
      </c>
      <c r="P44" s="69" t="n">
        <f aca="false">IF(N44="",0,SUMIFS(tl_Hours,tl_StaffID,N44,tl_Code,O44,tl_ClientCode,InvCode,tl_Month,InvMonth))</f>
        <v>21.25</v>
      </c>
      <c r="Q44" s="69" t="n">
        <f aca="false">IF(N44="",0,SUMIFS(tl_Amount,tl_StaffID,N44,tl_Code,O44,tl_ClientCode,InvCode,tl_Month,InvMonth))</f>
        <v>1317.5</v>
      </c>
      <c r="R44" s="69" t="n">
        <f aca="false">R43+IF(P44&gt;0,1,0)</f>
        <v>20</v>
      </c>
    </row>
    <row r="45" customFormat="false" ht="15" hidden="false" customHeight="false" outlineLevel="0" collapsed="false">
      <c r="E45" s="76" t="s">
        <v>143</v>
      </c>
      <c r="F45" s="78" t="n">
        <f aca="false">InvAdj</f>
        <v>0</v>
      </c>
      <c r="M45" s="69" t="n">
        <v>34</v>
      </c>
      <c r="N45" s="69" t="str">
        <f aca="false">IF(INDEX(st_ID,6)="","",INDEX(st_ID,6))</f>
        <v>QP-06</v>
      </c>
      <c r="O45" s="69" t="s">
        <v>89</v>
      </c>
      <c r="P45" s="69" t="n">
        <f aca="false">IF(N45="",0,SUMIFS(tl_Hours,tl_StaffID,N45,tl_Code,O45,tl_ClientCode,InvCode,tl_Month,InvMonth))</f>
        <v>8.5</v>
      </c>
      <c r="Q45" s="69" t="n">
        <f aca="false">IF(N45="",0,SUMIFS(tl_Amount,tl_StaffID,N45,tl_Code,O45,tl_ClientCode,InvCode,tl_Month,InvMonth))</f>
        <v>748</v>
      </c>
      <c r="R45" s="69" t="n">
        <f aca="false">R44+IF(P45&gt;0,1,0)</f>
        <v>21</v>
      </c>
    </row>
    <row r="46" customFormat="false" ht="21.75" hidden="false" customHeight="true" outlineLevel="0" collapsed="false">
      <c r="E46" s="79" t="s">
        <v>149</v>
      </c>
      <c r="F46" s="80" t="n">
        <f aca="false">F44+F45</f>
        <v>18307.5</v>
      </c>
      <c r="M46" s="69" t="n">
        <v>35</v>
      </c>
      <c r="N46" s="69" t="str">
        <f aca="false">IF(INDEX(st_ID,6)="","",INDEX(st_ID,6))</f>
        <v>QP-06</v>
      </c>
      <c r="O46" s="69" t="s">
        <v>91</v>
      </c>
      <c r="P46" s="69" t="n">
        <f aca="false">IF(N46="",0,SUMIFS(tl_Hours,tl_StaffID,N46,tl_Code,O46,tl_ClientCode,InvCode,tl_Month,InvMonth))</f>
        <v>0</v>
      </c>
      <c r="Q46" s="69" t="n">
        <f aca="false">IF(N46="",0,SUMIFS(tl_Amount,tl_StaffID,N46,tl_Code,O46,tl_ClientCode,InvCode,tl_Month,InvMonth))</f>
        <v>0</v>
      </c>
      <c r="R46" s="69" t="n">
        <f aca="false">R45+IF(P46&gt;0,1,0)</f>
        <v>21</v>
      </c>
    </row>
    <row r="47" customFormat="false" ht="15" hidden="false" customHeight="false" outlineLevel="0" collapsed="false">
      <c r="M47" s="69" t="n">
        <v>36</v>
      </c>
      <c r="N47" s="69" t="str">
        <f aca="false">IF(INDEX(st_ID,6)="","",INDEX(st_ID,6))</f>
        <v>QP-06</v>
      </c>
      <c r="O47" s="69" t="s">
        <v>113</v>
      </c>
      <c r="P47" s="69" t="n">
        <f aca="false">IF(N47="",0,SUMIFS(tl_Hours,tl_StaffID,N47,tl_Code,O47,tl_ClientCode,InvCode,tl_Month,InvMonth))</f>
        <v>2</v>
      </c>
      <c r="Q47" s="69" t="n">
        <f aca="false">IF(N47="",0,SUMIFS(tl_Amount,tl_StaffID,N47,tl_Code,O47,tl_ClientCode,InvCode,tl_Month,InvMonth))</f>
        <v>170</v>
      </c>
      <c r="R47" s="69" t="n">
        <f aca="false">R46+IF(P47&gt;0,1,0)</f>
        <v>22</v>
      </c>
    </row>
    <row r="48" customFormat="false" ht="15" hidden="false" customHeight="false" outlineLevel="0" collapsed="false">
      <c r="B48" s="2" t="str">
        <f aca="false">"Payment terms: net "&amp;IFERROR(INDEX(cl_Terms,MATCH(InvClient,cl_Name,0)),30)&amp;" days. "&amp;PayNote</f>
        <v>Payment terms: net 30 days. Please include the invoice number with your payment.</v>
      </c>
      <c r="M48" s="69" t="n">
        <v>37</v>
      </c>
      <c r="N48" s="69" t="str">
        <f aca="false">IF(INDEX(st_ID,7)="","",INDEX(st_ID,7))</f>
        <v>QP-07</v>
      </c>
      <c r="O48" s="69" t="s">
        <v>92</v>
      </c>
      <c r="P48" s="69" t="n">
        <f aca="false">IF(N48="",0,SUMIFS(tl_Hours,tl_StaffID,N48,tl_Code,O48,tl_ClientCode,InvCode,tl_Month,InvMonth))</f>
        <v>0</v>
      </c>
      <c r="Q48" s="69" t="n">
        <f aca="false">IF(N48="",0,SUMIFS(tl_Amount,tl_StaffID,N48,tl_Code,O48,tl_ClientCode,InvCode,tl_Month,InvMonth))</f>
        <v>0</v>
      </c>
      <c r="R48" s="69" t="n">
        <f aca="false">R47+IF(P48&gt;0,1,0)</f>
        <v>22</v>
      </c>
    </row>
    <row r="49" customFormat="false" ht="15" hidden="false" customHeight="false" outlineLevel="0" collapsed="false">
      <c r="B49" s="2" t="s">
        <v>150</v>
      </c>
      <c r="M49" s="69" t="n">
        <v>38</v>
      </c>
      <c r="N49" s="69" t="str">
        <f aca="false">IF(INDEX(st_ID,7)="","",INDEX(st_ID,7))</f>
        <v>QP-07</v>
      </c>
      <c r="O49" s="69" t="s">
        <v>88</v>
      </c>
      <c r="P49" s="69" t="n">
        <f aca="false">IF(N49="",0,SUMIFS(tl_Hours,tl_StaffID,N49,tl_Code,O49,tl_ClientCode,InvCode,tl_Month,InvMonth))</f>
        <v>10.25</v>
      </c>
      <c r="Q49" s="69" t="n">
        <f aca="false">IF(N49="",0,SUMIFS(tl_Amount,tl_StaffID,N49,tl_Code,O49,tl_ClientCode,InvCode,tl_Month,InvMonth))</f>
        <v>1004.5</v>
      </c>
      <c r="R49" s="69" t="n">
        <f aca="false">R48+IF(P49&gt;0,1,0)</f>
        <v>23</v>
      </c>
    </row>
    <row r="50" customFormat="false" ht="15" hidden="false" customHeight="false" outlineLevel="0" collapsed="false">
      <c r="M50" s="69" t="n">
        <v>39</v>
      </c>
      <c r="N50" s="69" t="str">
        <f aca="false">IF(INDEX(st_ID,7)="","",INDEX(st_ID,7))</f>
        <v>QP-07</v>
      </c>
      <c r="O50" s="69" t="s">
        <v>104</v>
      </c>
      <c r="P50" s="69" t="n">
        <f aca="false">IF(N50="",0,SUMIFS(tl_Hours,tl_StaffID,N50,tl_Code,O50,tl_ClientCode,InvCode,tl_Month,InvMonth))</f>
        <v>16.75</v>
      </c>
      <c r="Q50" s="69" t="n">
        <f aca="false">IF(N50="",0,SUMIFS(tl_Amount,tl_StaffID,N50,tl_Code,O50,tl_ClientCode,InvCode,tl_Month,InvMonth))</f>
        <v>1038.5</v>
      </c>
      <c r="R50" s="69" t="n">
        <f aca="false">R49+IF(P50&gt;0,1,0)</f>
        <v>24</v>
      </c>
    </row>
    <row r="51" customFormat="false" ht="15" hidden="false" customHeight="false" outlineLevel="0" collapsed="false">
      <c r="B51" s="81" t="s">
        <v>49</v>
      </c>
      <c r="M51" s="69" t="n">
        <v>40</v>
      </c>
      <c r="N51" s="69" t="str">
        <f aca="false">IF(INDEX(st_ID,7)="","",INDEX(st_ID,7))</f>
        <v>QP-07</v>
      </c>
      <c r="O51" s="69" t="s">
        <v>89</v>
      </c>
      <c r="P51" s="69" t="n">
        <f aca="false">IF(N51="",0,SUMIFS(tl_Hours,tl_StaffID,N51,tl_Code,O51,tl_ClientCode,InvCode,tl_Month,InvMonth))</f>
        <v>1.25</v>
      </c>
      <c r="Q51" s="69" t="n">
        <f aca="false">IF(N51="",0,SUMIFS(tl_Amount,tl_StaffID,N51,tl_Code,O51,tl_ClientCode,InvCode,tl_Month,InvMonth))</f>
        <v>110</v>
      </c>
      <c r="R51" s="69" t="n">
        <f aca="false">R50+IF(P51&gt;0,1,0)</f>
        <v>25</v>
      </c>
    </row>
    <row r="52" customFormat="false" ht="15" hidden="false" customHeight="false" outlineLevel="0" collapsed="false">
      <c r="M52" s="69" t="n">
        <v>41</v>
      </c>
      <c r="N52" s="69" t="str">
        <f aca="false">IF(INDEX(st_ID,7)="","",INDEX(st_ID,7))</f>
        <v>QP-07</v>
      </c>
      <c r="O52" s="69" t="s">
        <v>91</v>
      </c>
      <c r="P52" s="69" t="n">
        <f aca="false">IF(N52="",0,SUMIFS(tl_Hours,tl_StaffID,N52,tl_Code,O52,tl_ClientCode,InvCode,tl_Month,InvMonth))</f>
        <v>0</v>
      </c>
      <c r="Q52" s="69" t="n">
        <f aca="false">IF(N52="",0,SUMIFS(tl_Amount,tl_StaffID,N52,tl_Code,O52,tl_ClientCode,InvCode,tl_Month,InvMonth))</f>
        <v>0</v>
      </c>
      <c r="R52" s="69" t="n">
        <f aca="false">R51+IF(P52&gt;0,1,0)</f>
        <v>25</v>
      </c>
    </row>
    <row r="53" customFormat="false" ht="15" hidden="false" customHeight="false" outlineLevel="0" collapsed="false">
      <c r="M53" s="69" t="n">
        <v>42</v>
      </c>
      <c r="N53" s="69" t="str">
        <f aca="false">IF(INDEX(st_ID,7)="","",INDEX(st_ID,7))</f>
        <v>QP-07</v>
      </c>
      <c r="O53" s="69" t="s">
        <v>113</v>
      </c>
      <c r="P53" s="69" t="n">
        <f aca="false">IF(N53="",0,SUMIFS(tl_Hours,tl_StaffID,N53,tl_Code,O53,tl_ClientCode,InvCode,tl_Month,InvMonth))</f>
        <v>2.25</v>
      </c>
      <c r="Q53" s="69" t="n">
        <f aca="false">IF(N53="",0,SUMIFS(tl_Amount,tl_StaffID,N53,tl_Code,O53,tl_ClientCode,InvCode,tl_Month,InvMonth))</f>
        <v>191.25</v>
      </c>
      <c r="R53" s="69" t="n">
        <f aca="false">R52+IF(P53&gt;0,1,0)</f>
        <v>26</v>
      </c>
    </row>
    <row r="54" customFormat="false" ht="15" hidden="false" customHeight="false" outlineLevel="0" collapsed="false">
      <c r="M54" s="69" t="n">
        <v>43</v>
      </c>
      <c r="N54" s="69" t="str">
        <f aca="false">IF(INDEX(st_ID,8)="","",INDEX(st_ID,8))</f>
        <v>QP-08</v>
      </c>
      <c r="O54" s="69" t="s">
        <v>92</v>
      </c>
      <c r="P54" s="69" t="n">
        <f aca="false">IF(N54="",0,SUMIFS(tl_Hours,tl_StaffID,N54,tl_Code,O54,tl_ClientCode,InvCode,tl_Month,InvMonth))</f>
        <v>0</v>
      </c>
      <c r="Q54" s="69" t="n">
        <f aca="false">IF(N54="",0,SUMIFS(tl_Amount,tl_StaffID,N54,tl_Code,O54,tl_ClientCode,InvCode,tl_Month,InvMonth))</f>
        <v>0</v>
      </c>
      <c r="R54" s="69" t="n">
        <f aca="false">R53+IF(P54&gt;0,1,0)</f>
        <v>26</v>
      </c>
    </row>
    <row r="55" customFormat="false" ht="15" hidden="false" customHeight="false" outlineLevel="0" collapsed="false">
      <c r="M55" s="69" t="n">
        <v>44</v>
      </c>
      <c r="N55" s="69" t="str">
        <f aca="false">IF(INDEX(st_ID,8)="","",INDEX(st_ID,8))</f>
        <v>QP-08</v>
      </c>
      <c r="O55" s="69" t="s">
        <v>88</v>
      </c>
      <c r="P55" s="69" t="n">
        <f aca="false">IF(N55="",0,SUMIFS(tl_Hours,tl_StaffID,N55,tl_Code,O55,tl_ClientCode,InvCode,tl_Month,InvMonth))</f>
        <v>0</v>
      </c>
      <c r="Q55" s="69" t="n">
        <f aca="false">IF(N55="",0,SUMIFS(tl_Amount,tl_StaffID,N55,tl_Code,O55,tl_ClientCode,InvCode,tl_Month,InvMonth))</f>
        <v>0</v>
      </c>
      <c r="R55" s="69" t="n">
        <f aca="false">R54+IF(P55&gt;0,1,0)</f>
        <v>26</v>
      </c>
    </row>
    <row r="56" customFormat="false" ht="15" hidden="false" customHeight="false" outlineLevel="0" collapsed="false">
      <c r="M56" s="69" t="n">
        <v>45</v>
      </c>
      <c r="N56" s="69" t="str">
        <f aca="false">IF(INDEX(st_ID,8)="","",INDEX(st_ID,8))</f>
        <v>QP-08</v>
      </c>
      <c r="O56" s="69" t="s">
        <v>104</v>
      </c>
      <c r="P56" s="69" t="n">
        <f aca="false">IF(N56="",0,SUMIFS(tl_Hours,tl_StaffID,N56,tl_Code,O56,tl_ClientCode,InvCode,tl_Month,InvMonth))</f>
        <v>0</v>
      </c>
      <c r="Q56" s="69" t="n">
        <f aca="false">IF(N56="",0,SUMIFS(tl_Amount,tl_StaffID,N56,tl_Code,O56,tl_ClientCode,InvCode,tl_Month,InvMonth))</f>
        <v>0</v>
      </c>
      <c r="R56" s="69" t="n">
        <f aca="false">R55+IF(P56&gt;0,1,0)</f>
        <v>26</v>
      </c>
    </row>
    <row r="57" customFormat="false" ht="15" hidden="false" customHeight="false" outlineLevel="0" collapsed="false">
      <c r="M57" s="69" t="n">
        <v>46</v>
      </c>
      <c r="N57" s="69" t="str">
        <f aca="false">IF(INDEX(st_ID,8)="","",INDEX(st_ID,8))</f>
        <v>QP-08</v>
      </c>
      <c r="O57" s="69" t="s">
        <v>89</v>
      </c>
      <c r="P57" s="69" t="n">
        <f aca="false">IF(N57="",0,SUMIFS(tl_Hours,tl_StaffID,N57,tl_Code,O57,tl_ClientCode,InvCode,tl_Month,InvMonth))</f>
        <v>0</v>
      </c>
      <c r="Q57" s="69" t="n">
        <f aca="false">IF(N57="",0,SUMIFS(tl_Amount,tl_StaffID,N57,tl_Code,O57,tl_ClientCode,InvCode,tl_Month,InvMonth))</f>
        <v>0</v>
      </c>
      <c r="R57" s="69" t="n">
        <f aca="false">R56+IF(P57&gt;0,1,0)</f>
        <v>26</v>
      </c>
    </row>
    <row r="58" customFormat="false" ht="15" hidden="false" customHeight="false" outlineLevel="0" collapsed="false">
      <c r="M58" s="69" t="n">
        <v>47</v>
      </c>
      <c r="N58" s="69" t="str">
        <f aca="false">IF(INDEX(st_ID,8)="","",INDEX(st_ID,8))</f>
        <v>QP-08</v>
      </c>
      <c r="O58" s="69" t="s">
        <v>91</v>
      </c>
      <c r="P58" s="69" t="n">
        <f aca="false">IF(N58="",0,SUMIFS(tl_Hours,tl_StaffID,N58,tl_Code,O58,tl_ClientCode,InvCode,tl_Month,InvMonth))</f>
        <v>0</v>
      </c>
      <c r="Q58" s="69" t="n">
        <f aca="false">IF(N58="",0,SUMIFS(tl_Amount,tl_StaffID,N58,tl_Code,O58,tl_ClientCode,InvCode,tl_Month,InvMonth))</f>
        <v>0</v>
      </c>
      <c r="R58" s="69" t="n">
        <f aca="false">R57+IF(P58&gt;0,1,0)</f>
        <v>26</v>
      </c>
    </row>
    <row r="59" customFormat="false" ht="15" hidden="false" customHeight="false" outlineLevel="0" collapsed="false">
      <c r="M59" s="69" t="n">
        <v>48</v>
      </c>
      <c r="N59" s="69" t="str">
        <f aca="false">IF(INDEX(st_ID,8)="","",INDEX(st_ID,8))</f>
        <v>QP-08</v>
      </c>
      <c r="O59" s="69" t="s">
        <v>113</v>
      </c>
      <c r="P59" s="69" t="n">
        <f aca="false">IF(N59="",0,SUMIFS(tl_Hours,tl_StaffID,N59,tl_Code,O59,tl_ClientCode,InvCode,tl_Month,InvMonth))</f>
        <v>0</v>
      </c>
      <c r="Q59" s="69" t="n">
        <f aca="false">IF(N59="",0,SUMIFS(tl_Amount,tl_StaffID,N59,tl_Code,O59,tl_ClientCode,InvCode,tl_Month,InvMonth))</f>
        <v>0</v>
      </c>
      <c r="R59" s="69" t="n">
        <f aca="false">R58+IF(P59&gt;0,1,0)</f>
        <v>26</v>
      </c>
    </row>
    <row r="60" customFormat="false" ht="15" hidden="false" customHeight="false" outlineLevel="0" collapsed="false">
      <c r="M60" s="69" t="n">
        <v>49</v>
      </c>
      <c r="N60" s="69" t="str">
        <f aca="false">IF(INDEX(st_ID,9)="","",INDEX(st_ID,9))</f>
        <v/>
      </c>
      <c r="O60" s="69" t="s">
        <v>92</v>
      </c>
      <c r="P60" s="69" t="n">
        <f aca="false">IF(N60="",0,SUMIFS(tl_Hours,tl_StaffID,N60,tl_Code,O60,tl_ClientCode,InvCode,tl_Month,InvMonth))</f>
        <v>0</v>
      </c>
      <c r="Q60" s="69" t="n">
        <f aca="false">IF(N60="",0,SUMIFS(tl_Amount,tl_StaffID,N60,tl_Code,O60,tl_ClientCode,InvCode,tl_Month,InvMonth))</f>
        <v>0</v>
      </c>
      <c r="R60" s="69" t="n">
        <f aca="false">R59+IF(P60&gt;0,1,0)</f>
        <v>26</v>
      </c>
    </row>
    <row r="61" customFormat="false" ht="15" hidden="false" customHeight="false" outlineLevel="0" collapsed="false">
      <c r="M61" s="69" t="n">
        <v>50</v>
      </c>
      <c r="N61" s="69" t="str">
        <f aca="false">IF(INDEX(st_ID,9)="","",INDEX(st_ID,9))</f>
        <v/>
      </c>
      <c r="O61" s="69" t="s">
        <v>88</v>
      </c>
      <c r="P61" s="69" t="n">
        <f aca="false">IF(N61="",0,SUMIFS(tl_Hours,tl_StaffID,N61,tl_Code,O61,tl_ClientCode,InvCode,tl_Month,InvMonth))</f>
        <v>0</v>
      </c>
      <c r="Q61" s="69" t="n">
        <f aca="false">IF(N61="",0,SUMIFS(tl_Amount,tl_StaffID,N61,tl_Code,O61,tl_ClientCode,InvCode,tl_Month,InvMonth))</f>
        <v>0</v>
      </c>
      <c r="R61" s="69" t="n">
        <f aca="false">R60+IF(P61&gt;0,1,0)</f>
        <v>26</v>
      </c>
    </row>
    <row r="62" customFormat="false" ht="15" hidden="false" customHeight="false" outlineLevel="0" collapsed="false">
      <c r="M62" s="69" t="n">
        <v>51</v>
      </c>
      <c r="N62" s="69" t="str">
        <f aca="false">IF(INDEX(st_ID,9)="","",INDEX(st_ID,9))</f>
        <v/>
      </c>
      <c r="O62" s="69" t="s">
        <v>104</v>
      </c>
      <c r="P62" s="69" t="n">
        <f aca="false">IF(N62="",0,SUMIFS(tl_Hours,tl_StaffID,N62,tl_Code,O62,tl_ClientCode,InvCode,tl_Month,InvMonth))</f>
        <v>0</v>
      </c>
      <c r="Q62" s="69" t="n">
        <f aca="false">IF(N62="",0,SUMIFS(tl_Amount,tl_StaffID,N62,tl_Code,O62,tl_ClientCode,InvCode,tl_Month,InvMonth))</f>
        <v>0</v>
      </c>
      <c r="R62" s="69" t="n">
        <f aca="false">R61+IF(P62&gt;0,1,0)</f>
        <v>26</v>
      </c>
    </row>
    <row r="63" customFormat="false" ht="15" hidden="false" customHeight="false" outlineLevel="0" collapsed="false">
      <c r="M63" s="69" t="n">
        <v>52</v>
      </c>
      <c r="N63" s="69" t="str">
        <f aca="false">IF(INDEX(st_ID,9)="","",INDEX(st_ID,9))</f>
        <v/>
      </c>
      <c r="O63" s="69" t="s">
        <v>89</v>
      </c>
      <c r="P63" s="69" t="n">
        <f aca="false">IF(N63="",0,SUMIFS(tl_Hours,tl_StaffID,N63,tl_Code,O63,tl_ClientCode,InvCode,tl_Month,InvMonth))</f>
        <v>0</v>
      </c>
      <c r="Q63" s="69" t="n">
        <f aca="false">IF(N63="",0,SUMIFS(tl_Amount,tl_StaffID,N63,tl_Code,O63,tl_ClientCode,InvCode,tl_Month,InvMonth))</f>
        <v>0</v>
      </c>
      <c r="R63" s="69" t="n">
        <f aca="false">R62+IF(P63&gt;0,1,0)</f>
        <v>26</v>
      </c>
    </row>
    <row r="64" customFormat="false" ht="15" hidden="false" customHeight="false" outlineLevel="0" collapsed="false">
      <c r="M64" s="69" t="n">
        <v>53</v>
      </c>
      <c r="N64" s="69" t="str">
        <f aca="false">IF(INDEX(st_ID,9)="","",INDEX(st_ID,9))</f>
        <v/>
      </c>
      <c r="O64" s="69" t="s">
        <v>91</v>
      </c>
      <c r="P64" s="69" t="n">
        <f aca="false">IF(N64="",0,SUMIFS(tl_Hours,tl_StaffID,N64,tl_Code,O64,tl_ClientCode,InvCode,tl_Month,InvMonth))</f>
        <v>0</v>
      </c>
      <c r="Q64" s="69" t="n">
        <f aca="false">IF(N64="",0,SUMIFS(tl_Amount,tl_StaffID,N64,tl_Code,O64,tl_ClientCode,InvCode,tl_Month,InvMonth))</f>
        <v>0</v>
      </c>
      <c r="R64" s="69" t="n">
        <f aca="false">R63+IF(P64&gt;0,1,0)</f>
        <v>26</v>
      </c>
    </row>
    <row r="65" customFormat="false" ht="15" hidden="false" customHeight="false" outlineLevel="0" collapsed="false">
      <c r="M65" s="69" t="n">
        <v>54</v>
      </c>
      <c r="N65" s="69" t="str">
        <f aca="false">IF(INDEX(st_ID,9)="","",INDEX(st_ID,9))</f>
        <v/>
      </c>
      <c r="O65" s="69" t="s">
        <v>113</v>
      </c>
      <c r="P65" s="69" t="n">
        <f aca="false">IF(N65="",0,SUMIFS(tl_Hours,tl_StaffID,N65,tl_Code,O65,tl_ClientCode,InvCode,tl_Month,InvMonth))</f>
        <v>0</v>
      </c>
      <c r="Q65" s="69" t="n">
        <f aca="false">IF(N65="",0,SUMIFS(tl_Amount,tl_StaffID,N65,tl_Code,O65,tl_ClientCode,InvCode,tl_Month,InvMonth))</f>
        <v>0</v>
      </c>
      <c r="R65" s="69" t="n">
        <f aca="false">R64+IF(P65&gt;0,1,0)</f>
        <v>26</v>
      </c>
    </row>
    <row r="66" customFormat="false" ht="15" hidden="false" customHeight="false" outlineLevel="0" collapsed="false">
      <c r="M66" s="69" t="n">
        <v>55</v>
      </c>
      <c r="N66" s="69" t="str">
        <f aca="false">IF(INDEX(st_ID,10)="","",INDEX(st_ID,10))</f>
        <v/>
      </c>
      <c r="O66" s="69" t="s">
        <v>92</v>
      </c>
      <c r="P66" s="69" t="n">
        <f aca="false">IF(N66="",0,SUMIFS(tl_Hours,tl_StaffID,N66,tl_Code,O66,tl_ClientCode,InvCode,tl_Month,InvMonth))</f>
        <v>0</v>
      </c>
      <c r="Q66" s="69" t="n">
        <f aca="false">IF(N66="",0,SUMIFS(tl_Amount,tl_StaffID,N66,tl_Code,O66,tl_ClientCode,InvCode,tl_Month,InvMonth))</f>
        <v>0</v>
      </c>
      <c r="R66" s="69" t="n">
        <f aca="false">R65+IF(P66&gt;0,1,0)</f>
        <v>26</v>
      </c>
    </row>
    <row r="67" customFormat="false" ht="15" hidden="false" customHeight="false" outlineLevel="0" collapsed="false">
      <c r="M67" s="69" t="n">
        <v>56</v>
      </c>
      <c r="N67" s="69" t="str">
        <f aca="false">IF(INDEX(st_ID,10)="","",INDEX(st_ID,10))</f>
        <v/>
      </c>
      <c r="O67" s="69" t="s">
        <v>88</v>
      </c>
      <c r="P67" s="69" t="n">
        <f aca="false">IF(N67="",0,SUMIFS(tl_Hours,tl_StaffID,N67,tl_Code,O67,tl_ClientCode,InvCode,tl_Month,InvMonth))</f>
        <v>0</v>
      </c>
      <c r="Q67" s="69" t="n">
        <f aca="false">IF(N67="",0,SUMIFS(tl_Amount,tl_StaffID,N67,tl_Code,O67,tl_ClientCode,InvCode,tl_Month,InvMonth))</f>
        <v>0</v>
      </c>
      <c r="R67" s="69" t="n">
        <f aca="false">R66+IF(P67&gt;0,1,0)</f>
        <v>26</v>
      </c>
    </row>
    <row r="68" customFormat="false" ht="15" hidden="false" customHeight="false" outlineLevel="0" collapsed="false">
      <c r="M68" s="69" t="n">
        <v>57</v>
      </c>
      <c r="N68" s="69" t="str">
        <f aca="false">IF(INDEX(st_ID,10)="","",INDEX(st_ID,10))</f>
        <v/>
      </c>
      <c r="O68" s="69" t="s">
        <v>104</v>
      </c>
      <c r="P68" s="69" t="n">
        <f aca="false">IF(N68="",0,SUMIFS(tl_Hours,tl_StaffID,N68,tl_Code,O68,tl_ClientCode,InvCode,tl_Month,InvMonth))</f>
        <v>0</v>
      </c>
      <c r="Q68" s="69" t="n">
        <f aca="false">IF(N68="",0,SUMIFS(tl_Amount,tl_StaffID,N68,tl_Code,O68,tl_ClientCode,InvCode,tl_Month,InvMonth))</f>
        <v>0</v>
      </c>
      <c r="R68" s="69" t="n">
        <f aca="false">R67+IF(P68&gt;0,1,0)</f>
        <v>26</v>
      </c>
    </row>
    <row r="69" customFormat="false" ht="15" hidden="false" customHeight="false" outlineLevel="0" collapsed="false">
      <c r="M69" s="69" t="n">
        <v>58</v>
      </c>
      <c r="N69" s="69" t="str">
        <f aca="false">IF(INDEX(st_ID,10)="","",INDEX(st_ID,10))</f>
        <v/>
      </c>
      <c r="O69" s="69" t="s">
        <v>89</v>
      </c>
      <c r="P69" s="69" t="n">
        <f aca="false">IF(N69="",0,SUMIFS(tl_Hours,tl_StaffID,N69,tl_Code,O69,tl_ClientCode,InvCode,tl_Month,InvMonth))</f>
        <v>0</v>
      </c>
      <c r="Q69" s="69" t="n">
        <f aca="false">IF(N69="",0,SUMIFS(tl_Amount,tl_StaffID,N69,tl_Code,O69,tl_ClientCode,InvCode,tl_Month,InvMonth))</f>
        <v>0</v>
      </c>
      <c r="R69" s="69" t="n">
        <f aca="false">R68+IF(P69&gt;0,1,0)</f>
        <v>26</v>
      </c>
    </row>
    <row r="70" customFormat="false" ht="15" hidden="false" customHeight="false" outlineLevel="0" collapsed="false">
      <c r="M70" s="69" t="n">
        <v>59</v>
      </c>
      <c r="N70" s="69" t="str">
        <f aca="false">IF(INDEX(st_ID,10)="","",INDEX(st_ID,10))</f>
        <v/>
      </c>
      <c r="O70" s="69" t="s">
        <v>91</v>
      </c>
      <c r="P70" s="69" t="n">
        <f aca="false">IF(N70="",0,SUMIFS(tl_Hours,tl_StaffID,N70,tl_Code,O70,tl_ClientCode,InvCode,tl_Month,InvMonth))</f>
        <v>0</v>
      </c>
      <c r="Q70" s="69" t="n">
        <f aca="false">IF(N70="",0,SUMIFS(tl_Amount,tl_StaffID,N70,tl_Code,O70,tl_ClientCode,InvCode,tl_Month,InvMonth))</f>
        <v>0</v>
      </c>
      <c r="R70" s="69" t="n">
        <f aca="false">R69+IF(P70&gt;0,1,0)</f>
        <v>26</v>
      </c>
    </row>
    <row r="71" customFormat="false" ht="15" hidden="false" customHeight="false" outlineLevel="0" collapsed="false">
      <c r="M71" s="69" t="n">
        <v>60</v>
      </c>
      <c r="N71" s="69" t="str">
        <f aca="false">IF(INDEX(st_ID,10)="","",INDEX(st_ID,10))</f>
        <v/>
      </c>
      <c r="O71" s="69" t="s">
        <v>113</v>
      </c>
      <c r="P71" s="69" t="n">
        <f aca="false">IF(N71="",0,SUMIFS(tl_Hours,tl_StaffID,N71,tl_Code,O71,tl_ClientCode,InvCode,tl_Month,InvMonth))</f>
        <v>0</v>
      </c>
      <c r="Q71" s="69" t="n">
        <f aca="false">IF(N71="",0,SUMIFS(tl_Amount,tl_StaffID,N71,tl_Code,O71,tl_ClientCode,InvCode,tl_Month,InvMonth))</f>
        <v>0</v>
      </c>
      <c r="R71" s="69" t="n">
        <f aca="false">R70+IF(P71&gt;0,1,0)</f>
        <v>26</v>
      </c>
    </row>
    <row r="72" customFormat="false" ht="15" hidden="false" customHeight="false" outlineLevel="0" collapsed="false">
      <c r="M72" s="69" t="n">
        <v>61</v>
      </c>
      <c r="N72" s="69" t="str">
        <f aca="false">IF(INDEX(st_ID,11)="","",INDEX(st_ID,11))</f>
        <v/>
      </c>
      <c r="O72" s="69" t="s">
        <v>92</v>
      </c>
      <c r="P72" s="69" t="n">
        <f aca="false">IF(N72="",0,SUMIFS(tl_Hours,tl_StaffID,N72,tl_Code,O72,tl_ClientCode,InvCode,tl_Month,InvMonth))</f>
        <v>0</v>
      </c>
      <c r="Q72" s="69" t="n">
        <f aca="false">IF(N72="",0,SUMIFS(tl_Amount,tl_StaffID,N72,tl_Code,O72,tl_ClientCode,InvCode,tl_Month,InvMonth))</f>
        <v>0</v>
      </c>
      <c r="R72" s="69" t="n">
        <f aca="false">R71+IF(P72&gt;0,1,0)</f>
        <v>26</v>
      </c>
    </row>
    <row r="73" customFormat="false" ht="15" hidden="false" customHeight="false" outlineLevel="0" collapsed="false">
      <c r="M73" s="69" t="n">
        <v>62</v>
      </c>
      <c r="N73" s="69" t="str">
        <f aca="false">IF(INDEX(st_ID,11)="","",INDEX(st_ID,11))</f>
        <v/>
      </c>
      <c r="O73" s="69" t="s">
        <v>88</v>
      </c>
      <c r="P73" s="69" t="n">
        <f aca="false">IF(N73="",0,SUMIFS(tl_Hours,tl_StaffID,N73,tl_Code,O73,tl_ClientCode,InvCode,tl_Month,InvMonth))</f>
        <v>0</v>
      </c>
      <c r="Q73" s="69" t="n">
        <f aca="false">IF(N73="",0,SUMIFS(tl_Amount,tl_StaffID,N73,tl_Code,O73,tl_ClientCode,InvCode,tl_Month,InvMonth))</f>
        <v>0</v>
      </c>
      <c r="R73" s="69" t="n">
        <f aca="false">R72+IF(P73&gt;0,1,0)</f>
        <v>26</v>
      </c>
    </row>
    <row r="74" customFormat="false" ht="15" hidden="false" customHeight="false" outlineLevel="0" collapsed="false">
      <c r="M74" s="69" t="n">
        <v>63</v>
      </c>
      <c r="N74" s="69" t="str">
        <f aca="false">IF(INDEX(st_ID,11)="","",INDEX(st_ID,11))</f>
        <v/>
      </c>
      <c r="O74" s="69" t="s">
        <v>104</v>
      </c>
      <c r="P74" s="69" t="n">
        <f aca="false">IF(N74="",0,SUMIFS(tl_Hours,tl_StaffID,N74,tl_Code,O74,tl_ClientCode,InvCode,tl_Month,InvMonth))</f>
        <v>0</v>
      </c>
      <c r="Q74" s="69" t="n">
        <f aca="false">IF(N74="",0,SUMIFS(tl_Amount,tl_StaffID,N74,tl_Code,O74,tl_ClientCode,InvCode,tl_Month,InvMonth))</f>
        <v>0</v>
      </c>
      <c r="R74" s="69" t="n">
        <f aca="false">R73+IF(P74&gt;0,1,0)</f>
        <v>26</v>
      </c>
    </row>
    <row r="75" customFormat="false" ht="15" hidden="false" customHeight="false" outlineLevel="0" collapsed="false">
      <c r="M75" s="69" t="n">
        <v>64</v>
      </c>
      <c r="N75" s="69" t="str">
        <f aca="false">IF(INDEX(st_ID,11)="","",INDEX(st_ID,11))</f>
        <v/>
      </c>
      <c r="O75" s="69" t="s">
        <v>89</v>
      </c>
      <c r="P75" s="69" t="n">
        <f aca="false">IF(N75="",0,SUMIFS(tl_Hours,tl_StaffID,N75,tl_Code,O75,tl_ClientCode,InvCode,tl_Month,InvMonth))</f>
        <v>0</v>
      </c>
      <c r="Q75" s="69" t="n">
        <f aca="false">IF(N75="",0,SUMIFS(tl_Amount,tl_StaffID,N75,tl_Code,O75,tl_ClientCode,InvCode,tl_Month,InvMonth))</f>
        <v>0</v>
      </c>
      <c r="R75" s="69" t="n">
        <f aca="false">R74+IF(P75&gt;0,1,0)</f>
        <v>26</v>
      </c>
    </row>
    <row r="76" customFormat="false" ht="15" hidden="false" customHeight="false" outlineLevel="0" collapsed="false">
      <c r="M76" s="69" t="n">
        <v>65</v>
      </c>
      <c r="N76" s="69" t="str">
        <f aca="false">IF(INDEX(st_ID,11)="","",INDEX(st_ID,11))</f>
        <v/>
      </c>
      <c r="O76" s="69" t="s">
        <v>91</v>
      </c>
      <c r="P76" s="69" t="n">
        <f aca="false">IF(N76="",0,SUMIFS(tl_Hours,tl_StaffID,N76,tl_Code,O76,tl_ClientCode,InvCode,tl_Month,InvMonth))</f>
        <v>0</v>
      </c>
      <c r="Q76" s="69" t="n">
        <f aca="false">IF(N76="",0,SUMIFS(tl_Amount,tl_StaffID,N76,tl_Code,O76,tl_ClientCode,InvCode,tl_Month,InvMonth))</f>
        <v>0</v>
      </c>
      <c r="R76" s="69" t="n">
        <f aca="false">R75+IF(P76&gt;0,1,0)</f>
        <v>26</v>
      </c>
    </row>
    <row r="77" customFormat="false" ht="15" hidden="false" customHeight="false" outlineLevel="0" collapsed="false">
      <c r="M77" s="69" t="n">
        <v>66</v>
      </c>
      <c r="N77" s="69" t="str">
        <f aca="false">IF(INDEX(st_ID,11)="","",INDEX(st_ID,11))</f>
        <v/>
      </c>
      <c r="O77" s="69" t="s">
        <v>113</v>
      </c>
      <c r="P77" s="69" t="n">
        <f aca="false">IF(N77="",0,SUMIFS(tl_Hours,tl_StaffID,N77,tl_Code,O77,tl_ClientCode,InvCode,tl_Month,InvMonth))</f>
        <v>0</v>
      </c>
      <c r="Q77" s="69" t="n">
        <f aca="false">IF(N77="",0,SUMIFS(tl_Amount,tl_StaffID,N77,tl_Code,O77,tl_ClientCode,InvCode,tl_Month,InvMonth))</f>
        <v>0</v>
      </c>
      <c r="R77" s="69" t="n">
        <f aca="false">R76+IF(P77&gt;0,1,0)</f>
        <v>26</v>
      </c>
    </row>
    <row r="78" customFormat="false" ht="15" hidden="false" customHeight="false" outlineLevel="0" collapsed="false">
      <c r="M78" s="69" t="n">
        <v>67</v>
      </c>
      <c r="N78" s="69" t="str">
        <f aca="false">IF(INDEX(st_ID,12)="","",INDEX(st_ID,12))</f>
        <v/>
      </c>
      <c r="O78" s="69" t="s">
        <v>92</v>
      </c>
      <c r="P78" s="69" t="n">
        <f aca="false">IF(N78="",0,SUMIFS(tl_Hours,tl_StaffID,N78,tl_Code,O78,tl_ClientCode,InvCode,tl_Month,InvMonth))</f>
        <v>0</v>
      </c>
      <c r="Q78" s="69" t="n">
        <f aca="false">IF(N78="",0,SUMIFS(tl_Amount,tl_StaffID,N78,tl_Code,O78,tl_ClientCode,InvCode,tl_Month,InvMonth))</f>
        <v>0</v>
      </c>
      <c r="R78" s="69" t="n">
        <f aca="false">R77+IF(P78&gt;0,1,0)</f>
        <v>26</v>
      </c>
    </row>
    <row r="79" customFormat="false" ht="15" hidden="false" customHeight="false" outlineLevel="0" collapsed="false">
      <c r="M79" s="69" t="n">
        <v>68</v>
      </c>
      <c r="N79" s="69" t="str">
        <f aca="false">IF(INDEX(st_ID,12)="","",INDEX(st_ID,12))</f>
        <v/>
      </c>
      <c r="O79" s="69" t="s">
        <v>88</v>
      </c>
      <c r="P79" s="69" t="n">
        <f aca="false">IF(N79="",0,SUMIFS(tl_Hours,tl_StaffID,N79,tl_Code,O79,tl_ClientCode,InvCode,tl_Month,InvMonth))</f>
        <v>0</v>
      </c>
      <c r="Q79" s="69" t="n">
        <f aca="false">IF(N79="",0,SUMIFS(tl_Amount,tl_StaffID,N79,tl_Code,O79,tl_ClientCode,InvCode,tl_Month,InvMonth))</f>
        <v>0</v>
      </c>
      <c r="R79" s="69" t="n">
        <f aca="false">R78+IF(P79&gt;0,1,0)</f>
        <v>26</v>
      </c>
    </row>
    <row r="80" customFormat="false" ht="15" hidden="false" customHeight="false" outlineLevel="0" collapsed="false">
      <c r="M80" s="69" t="n">
        <v>69</v>
      </c>
      <c r="N80" s="69" t="str">
        <f aca="false">IF(INDEX(st_ID,12)="","",INDEX(st_ID,12))</f>
        <v/>
      </c>
      <c r="O80" s="69" t="s">
        <v>104</v>
      </c>
      <c r="P80" s="69" t="n">
        <f aca="false">IF(N80="",0,SUMIFS(tl_Hours,tl_StaffID,N80,tl_Code,O80,tl_ClientCode,InvCode,tl_Month,InvMonth))</f>
        <v>0</v>
      </c>
      <c r="Q80" s="69" t="n">
        <f aca="false">IF(N80="",0,SUMIFS(tl_Amount,tl_StaffID,N80,tl_Code,O80,tl_ClientCode,InvCode,tl_Month,InvMonth))</f>
        <v>0</v>
      </c>
      <c r="R80" s="69" t="n">
        <f aca="false">R79+IF(P80&gt;0,1,0)</f>
        <v>26</v>
      </c>
    </row>
    <row r="81" customFormat="false" ht="15" hidden="false" customHeight="false" outlineLevel="0" collapsed="false">
      <c r="M81" s="69" t="n">
        <v>70</v>
      </c>
      <c r="N81" s="69" t="str">
        <f aca="false">IF(INDEX(st_ID,12)="","",INDEX(st_ID,12))</f>
        <v/>
      </c>
      <c r="O81" s="69" t="s">
        <v>89</v>
      </c>
      <c r="P81" s="69" t="n">
        <f aca="false">IF(N81="",0,SUMIFS(tl_Hours,tl_StaffID,N81,tl_Code,O81,tl_ClientCode,InvCode,tl_Month,InvMonth))</f>
        <v>0</v>
      </c>
      <c r="Q81" s="69" t="n">
        <f aca="false">IF(N81="",0,SUMIFS(tl_Amount,tl_StaffID,N81,tl_Code,O81,tl_ClientCode,InvCode,tl_Month,InvMonth))</f>
        <v>0</v>
      </c>
      <c r="R81" s="69" t="n">
        <f aca="false">R80+IF(P81&gt;0,1,0)</f>
        <v>26</v>
      </c>
    </row>
    <row r="82" customFormat="false" ht="15" hidden="false" customHeight="false" outlineLevel="0" collapsed="false">
      <c r="M82" s="69" t="n">
        <v>71</v>
      </c>
      <c r="N82" s="69" t="str">
        <f aca="false">IF(INDEX(st_ID,12)="","",INDEX(st_ID,12))</f>
        <v/>
      </c>
      <c r="O82" s="69" t="s">
        <v>91</v>
      </c>
      <c r="P82" s="69" t="n">
        <f aca="false">IF(N82="",0,SUMIFS(tl_Hours,tl_StaffID,N82,tl_Code,O82,tl_ClientCode,InvCode,tl_Month,InvMonth))</f>
        <v>0</v>
      </c>
      <c r="Q82" s="69" t="n">
        <f aca="false">IF(N82="",0,SUMIFS(tl_Amount,tl_StaffID,N82,tl_Code,O82,tl_ClientCode,InvCode,tl_Month,InvMonth))</f>
        <v>0</v>
      </c>
      <c r="R82" s="69" t="n">
        <f aca="false">R81+IF(P82&gt;0,1,0)</f>
        <v>26</v>
      </c>
    </row>
    <row r="83" customFormat="false" ht="15" hidden="false" customHeight="false" outlineLevel="0" collapsed="false">
      <c r="M83" s="69" t="n">
        <v>72</v>
      </c>
      <c r="N83" s="69" t="str">
        <f aca="false">IF(INDEX(st_ID,12)="","",INDEX(st_ID,12))</f>
        <v/>
      </c>
      <c r="O83" s="69" t="s">
        <v>113</v>
      </c>
      <c r="P83" s="69" t="n">
        <f aca="false">IF(N83="",0,SUMIFS(tl_Hours,tl_StaffID,N83,tl_Code,O83,tl_ClientCode,InvCode,tl_Month,InvMonth))</f>
        <v>0</v>
      </c>
      <c r="Q83" s="69" t="n">
        <f aca="false">IF(N83="",0,SUMIFS(tl_Amount,tl_StaffID,N83,tl_Code,O83,tl_ClientCode,InvCode,tl_Month,InvMonth))</f>
        <v>0</v>
      </c>
      <c r="R83" s="69" t="n">
        <f aca="false">R82+IF(P83&gt;0,1,0)</f>
        <v>26</v>
      </c>
    </row>
  </sheetData>
  <sheetProtection sheet="true" formatColumns="false" formatRows="false" sort="false" autoFilter="false"/>
  <mergeCells count="7">
    <mergeCell ref="E5:F5"/>
    <mergeCell ref="E6:F6"/>
    <mergeCell ref="E7:F7"/>
    <mergeCell ref="I7:J9"/>
    <mergeCell ref="E8:F8"/>
    <mergeCell ref="E9:F9"/>
    <mergeCell ref="I11:J12"/>
  </mergeCells>
  <dataValidations count="2">
    <dataValidation allowBlank="true" error="Pick a value from the list." errorStyle="stop" errorTitle="Not on the list" operator="between" showDropDown="false" showErrorMessage="true" showInputMessage="false" sqref="J3" type="list">
      <formula1>ClientNames</formula1>
      <formula2>0</formula2>
    </dataValidation>
    <dataValidation allowBlank="true" error="Pick a value from the list." errorStyle="stop" errorTitle="Not on the list" operator="between" showDropDown="false" showErrorMessage="true" showInputMessage="false" sqref="J4" type="list">
      <formula1>MonthList</formula1>
      <formula2>0</formula2>
    </dataValidation>
  </dataValidations>
  <printOptions headings="false" gridLines="false" gridLinesSet="true" horizontalCentered="true" verticalCentered="false"/>
  <pageMargins left="0.5" right="0.5" top="0.55" bottom="0.5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B4FA8"/>
    <pageSetUpPr fitToPage="true"/>
  </sheetPr>
  <dimension ref="B1:I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27"/>
    <col collapsed="false" customWidth="true" hidden="false" outlineLevel="0" max="4" min="4" style="0" width="11"/>
    <col collapsed="false" customWidth="true" hidden="false" outlineLevel="0" max="5" min="5" style="0" width="12"/>
    <col collapsed="false" customWidth="true" hidden="false" outlineLevel="0" max="7" min="6" style="0" width="11"/>
    <col collapsed="false" customWidth="true" hidden="false" outlineLevel="0" max="8" min="8" style="0" width="10"/>
    <col collapsed="false" customWidth="true" hidden="false" outlineLevel="0" max="9" min="9" style="0" width="13"/>
    <col collapsed="false" customWidth="true" hidden="false" outlineLevel="0" max="10" min="10" style="0" width="3"/>
  </cols>
  <sheetData>
    <row r="1" customFormat="false" ht="33.75" hidden="false" customHeight="true" outlineLevel="0" collapsed="false">
      <c r="B1" s="1" t="s">
        <v>151</v>
      </c>
    </row>
    <row r="2" customFormat="false" ht="18" hidden="false" customHeight="true" outlineLevel="0" collapsed="false">
      <c r="B2" s="28" t="s">
        <v>152</v>
      </c>
    </row>
    <row r="4" customFormat="false" ht="19.5" hidden="false" customHeight="true" outlineLevel="0" collapsed="false">
      <c r="B4" s="41" t="s">
        <v>135</v>
      </c>
      <c r="C4" s="60" t="n">
        <v>46266</v>
      </c>
    </row>
    <row r="6" customFormat="false" ht="31.5" hidden="false" customHeight="true" outlineLevel="0" collapsed="false">
      <c r="B6" s="29" t="s">
        <v>72</v>
      </c>
      <c r="C6" s="29" t="s">
        <v>153</v>
      </c>
      <c r="D6" s="29" t="s">
        <v>120</v>
      </c>
      <c r="E6" s="29" t="s">
        <v>121</v>
      </c>
      <c r="F6" s="29" t="s">
        <v>122</v>
      </c>
      <c r="G6" s="29" t="s">
        <v>123</v>
      </c>
      <c r="H6" s="29" t="s">
        <v>154</v>
      </c>
      <c r="I6" s="29" t="s">
        <v>155</v>
      </c>
    </row>
    <row r="7" customFormat="false" ht="18" hidden="false" customHeight="true" outlineLevel="0" collapsed="false">
      <c r="B7" s="40" t="str">
        <f aca="false">INDEX(st_Name,1)</f>
        <v>Ellen Marquez</v>
      </c>
      <c r="C7" s="82" t="str">
        <f aca="false">INDEX(st_Role,1)</f>
        <v>Speech-Language Pathologist</v>
      </c>
      <c r="D7" s="23" t="n">
        <f aca="false">SUMIFS(tl_Hours,tl_StaffID,INDEX(st_ID,1),tl_Month,SumMonth,tl_Billable,"Yes")</f>
        <v>118.25</v>
      </c>
      <c r="E7" s="23" t="n">
        <f aca="false">SUMIFS(tl_Hours,tl_StaffID,INDEX(st_ID,1),tl_Month,SumMonth,tl_Billable,"No")</f>
        <v>58.25</v>
      </c>
      <c r="F7" s="23" t="n">
        <f aca="false">D7+E7</f>
        <v>176.5</v>
      </c>
      <c r="G7" s="83" t="n">
        <f aca="false">IF(F7=0,0,D7/F7)</f>
        <v>0.669971671388102</v>
      </c>
      <c r="H7" s="84" t="n">
        <f aca="false">IF(INDEX(st_Weekly,1)=0,0,INDEX(st_Target,1)/INDEX(st_Weekly,1))</f>
        <v>0.65</v>
      </c>
      <c r="I7" s="38" t="n">
        <f aca="false">SUMIFS(tl_Amount,tl_StaffID,INDEX(st_ID,1),tl_Month,SumMonth)</f>
        <v>11556.5</v>
      </c>
    </row>
    <row r="8" customFormat="false" ht="18" hidden="false" customHeight="true" outlineLevel="0" collapsed="false">
      <c r="B8" s="40" t="str">
        <f aca="false">INDEX(st_Name,2)</f>
        <v>Jordan Fairley</v>
      </c>
      <c r="C8" s="82" t="str">
        <f aca="false">INDEX(st_Role,2)</f>
        <v>Speech-Language Pathologist</v>
      </c>
      <c r="D8" s="23" t="n">
        <f aca="false">SUMIFS(tl_Hours,tl_StaffID,INDEX(st_ID,2),tl_Month,SumMonth,tl_Billable,"Yes")</f>
        <v>123.5</v>
      </c>
      <c r="E8" s="23" t="n">
        <f aca="false">SUMIFS(tl_Hours,tl_StaffID,INDEX(st_ID,2),tl_Month,SumMonth,tl_Billable,"No")</f>
        <v>52.5</v>
      </c>
      <c r="F8" s="23" t="n">
        <f aca="false">D8+E8</f>
        <v>176</v>
      </c>
      <c r="G8" s="83" t="n">
        <f aca="false">IF(F8=0,0,D8/F8)</f>
        <v>0.701704545454545</v>
      </c>
      <c r="H8" s="84" t="n">
        <f aca="false">IF(INDEX(st_Weekly,2)=0,0,INDEX(st_Target,2)/INDEX(st_Weekly,2))</f>
        <v>0.65</v>
      </c>
      <c r="I8" s="38" t="n">
        <f aca="false">SUMIFS(tl_Amount,tl_StaffID,INDEX(st_ID,2),tl_Month,SumMonth)</f>
        <v>11286</v>
      </c>
    </row>
    <row r="9" customFormat="false" ht="18" hidden="false" customHeight="true" outlineLevel="0" collapsed="false">
      <c r="B9" s="40" t="str">
        <f aca="false">INDEX(st_Name,3)</f>
        <v>Naomi Okafor</v>
      </c>
      <c r="C9" s="82" t="str">
        <f aca="false">INDEX(st_Role,3)</f>
        <v>Speech-Language Pathologist</v>
      </c>
      <c r="D9" s="23" t="n">
        <f aca="false">SUMIFS(tl_Hours,tl_StaffID,INDEX(st_ID,3),tl_Month,SumMonth,tl_Billable,"Yes")</f>
        <v>72.25</v>
      </c>
      <c r="E9" s="23" t="n">
        <f aca="false">SUMIFS(tl_Hours,tl_StaffID,INDEX(st_ID,3),tl_Month,SumMonth,tl_Billable,"No")</f>
        <v>39.75</v>
      </c>
      <c r="F9" s="23" t="n">
        <f aca="false">D9+E9</f>
        <v>112</v>
      </c>
      <c r="G9" s="83" t="n">
        <f aca="false">IF(F9=0,0,D9/F9)</f>
        <v>0.645089285714286</v>
      </c>
      <c r="H9" s="84" t="n">
        <f aca="false">IF(INDEX(st_Weekly,3)=0,0,INDEX(st_Target,3)/INDEX(st_Weekly,3))</f>
        <v>0.625</v>
      </c>
      <c r="I9" s="38" t="n">
        <f aca="false">SUMIFS(tl_Amount,tl_StaffID,INDEX(st_ID,3),tl_Month,SumMonth)</f>
        <v>7131.25</v>
      </c>
    </row>
    <row r="10" customFormat="false" ht="18" hidden="false" customHeight="true" outlineLevel="0" collapsed="false">
      <c r="B10" s="40" t="str">
        <f aca="false">INDEX(st_Name,4)</f>
        <v>Kevin Talbot</v>
      </c>
      <c r="C10" s="82" t="str">
        <f aca="false">INDEX(st_Role,4)</f>
        <v>Occupational Therapist</v>
      </c>
      <c r="D10" s="23" t="n">
        <f aca="false">SUMIFS(tl_Hours,tl_StaffID,INDEX(st_ID,4),tl_Month,SumMonth,tl_Billable,"Yes")</f>
        <v>119.25</v>
      </c>
      <c r="E10" s="23" t="n">
        <f aca="false">SUMIFS(tl_Hours,tl_StaffID,INDEX(st_ID,4),tl_Month,SumMonth,tl_Billable,"No")</f>
        <v>57.5</v>
      </c>
      <c r="F10" s="23" t="n">
        <f aca="false">D10+E10</f>
        <v>176.75</v>
      </c>
      <c r="G10" s="83" t="n">
        <f aca="false">IF(F10=0,0,D10/F10)</f>
        <v>0.674681753889675</v>
      </c>
      <c r="H10" s="84" t="n">
        <f aca="false">IF(INDEX(st_Weekly,4)=0,0,INDEX(st_Target,4)/INDEX(st_Weekly,4))</f>
        <v>0.65</v>
      </c>
      <c r="I10" s="38" t="n">
        <f aca="false">SUMIFS(tl_Amount,tl_StaffID,INDEX(st_ID,4),tl_Month,SumMonth)</f>
        <v>10693.5</v>
      </c>
    </row>
    <row r="11" customFormat="false" ht="18" hidden="false" customHeight="true" outlineLevel="0" collapsed="false">
      <c r="B11" s="40" t="str">
        <f aca="false">INDEX(st_Name,5)</f>
        <v>Rosa Quintero</v>
      </c>
      <c r="C11" s="82" t="str">
        <f aca="false">INDEX(st_Role,5)</f>
        <v>Occupational Therapist</v>
      </c>
      <c r="D11" s="23" t="n">
        <f aca="false">SUMIFS(tl_Hours,tl_StaffID,INDEX(st_ID,5),tl_Month,SumMonth,tl_Billable,"Yes")</f>
        <v>112.75</v>
      </c>
      <c r="E11" s="23" t="n">
        <f aca="false">SUMIFS(tl_Hours,tl_StaffID,INDEX(st_ID,5),tl_Month,SumMonth,tl_Billable,"No")</f>
        <v>63.25</v>
      </c>
      <c r="F11" s="23" t="n">
        <f aca="false">D11+E11</f>
        <v>176</v>
      </c>
      <c r="G11" s="83" t="n">
        <f aca="false">IF(F11=0,0,D11/F11)</f>
        <v>0.640625</v>
      </c>
      <c r="H11" s="84" t="n">
        <f aca="false">IF(INDEX(st_Weekly,5)=0,0,INDEX(st_Target,5)/INDEX(st_Weekly,5))</f>
        <v>0.65</v>
      </c>
      <c r="I11" s="38" t="n">
        <f aca="false">SUMIFS(tl_Amount,tl_StaffID,INDEX(st_ID,5),tl_Month,SumMonth)</f>
        <v>10330.75</v>
      </c>
    </row>
    <row r="12" customFormat="false" ht="18" hidden="false" customHeight="true" outlineLevel="0" collapsed="false">
      <c r="B12" s="40" t="str">
        <f aca="false">INDEX(st_Name,6)</f>
        <v>Grant Holloway</v>
      </c>
      <c r="C12" s="82" t="str">
        <f aca="false">INDEX(st_Role,6)</f>
        <v>Physical Therapist</v>
      </c>
      <c r="D12" s="23" t="n">
        <f aca="false">SUMIFS(tl_Hours,tl_StaffID,INDEX(st_ID,6),tl_Month,SumMonth,tl_Billable,"Yes")</f>
        <v>111.5</v>
      </c>
      <c r="E12" s="23" t="n">
        <f aca="false">SUMIFS(tl_Hours,tl_StaffID,INDEX(st_ID,6),tl_Month,SumMonth,tl_Billable,"No")</f>
        <v>64.5</v>
      </c>
      <c r="F12" s="23" t="n">
        <f aca="false">D12+E12</f>
        <v>176</v>
      </c>
      <c r="G12" s="83" t="n">
        <f aca="false">IF(F12=0,0,D12/F12)</f>
        <v>0.633522727272727</v>
      </c>
      <c r="H12" s="84" t="n">
        <f aca="false">IF(INDEX(st_Weekly,6)=0,0,INDEX(st_Target,6)/INDEX(st_Weekly,6))</f>
        <v>0.625</v>
      </c>
      <c r="I12" s="38" t="n">
        <f aca="false">SUMIFS(tl_Amount,tl_StaffID,INDEX(st_ID,6),tl_Month,SumMonth)</f>
        <v>10517.25</v>
      </c>
    </row>
    <row r="13" customFormat="false" ht="18" hidden="false" customHeight="true" outlineLevel="0" collapsed="false">
      <c r="B13" s="40" t="str">
        <f aca="false">INDEX(st_Name,7)</f>
        <v>Tess Ingram</v>
      </c>
      <c r="C13" s="82" t="str">
        <f aca="false">INDEX(st_Role,7)</f>
        <v>Speech-Language Pathology Assistant</v>
      </c>
      <c r="D13" s="23" t="n">
        <f aca="false">SUMIFS(tl_Hours,tl_StaffID,INDEX(st_ID,7),tl_Month,SumMonth,tl_Billable,"Yes")</f>
        <v>124.25</v>
      </c>
      <c r="E13" s="23" t="n">
        <f aca="false">SUMIFS(tl_Hours,tl_StaffID,INDEX(st_ID,7),tl_Month,SumMonth,tl_Billable,"No")</f>
        <v>64.5</v>
      </c>
      <c r="F13" s="23" t="n">
        <f aca="false">D13+E13</f>
        <v>188.75</v>
      </c>
      <c r="G13" s="83" t="n">
        <f aca="false">IF(F13=0,0,D13/F13)</f>
        <v>0.658278145695364</v>
      </c>
      <c r="H13" s="84" t="n">
        <f aca="false">IF(INDEX(st_Weekly,7)=0,0,INDEX(st_Target,7)/INDEX(st_Weekly,7))</f>
        <v>0.7</v>
      </c>
      <c r="I13" s="38" t="n">
        <f aca="false">SUMIFS(tl_Amount,tl_StaffID,INDEX(st_ID,7),tl_Month,SumMonth)</f>
        <v>11385.5</v>
      </c>
    </row>
    <row r="14" customFormat="false" ht="18" hidden="false" customHeight="true" outlineLevel="0" collapsed="false">
      <c r="B14" s="40" t="str">
        <f aca="false">INDEX(st_Name,8)</f>
        <v>Mia Corbett</v>
      </c>
      <c r="C14" s="82" t="str">
        <f aca="false">INDEX(st_Role,8)</f>
        <v>Practice Manager</v>
      </c>
      <c r="D14" s="23" t="n">
        <f aca="false">SUMIFS(tl_Hours,tl_StaffID,INDEX(st_ID,8),tl_Month,SumMonth,tl_Billable,"Yes")</f>
        <v>0</v>
      </c>
      <c r="E14" s="23" t="n">
        <f aca="false">SUMIFS(tl_Hours,tl_StaffID,INDEX(st_ID,8),tl_Month,SumMonth,tl_Billable,"No")</f>
        <v>176</v>
      </c>
      <c r="F14" s="23" t="n">
        <f aca="false">D14+E14</f>
        <v>176</v>
      </c>
      <c r="G14" s="83" t="n">
        <f aca="false">IF(F14=0,0,D14/F14)</f>
        <v>0</v>
      </c>
      <c r="H14" s="84" t="n">
        <f aca="false">IF(INDEX(st_Weekly,8)=0,0,INDEX(st_Target,8)/INDEX(st_Weekly,8))</f>
        <v>0</v>
      </c>
      <c r="I14" s="38" t="n">
        <f aca="false">SUMIFS(tl_Amount,tl_StaffID,INDEX(st_ID,8),tl_Month,SumMonth)</f>
        <v>0</v>
      </c>
    </row>
    <row r="15" customFormat="false" ht="15" hidden="false" customHeight="false" outlineLevel="0" collapsed="false">
      <c r="B15" s="50" t="s">
        <v>119</v>
      </c>
      <c r="C15" s="50"/>
      <c r="D15" s="85" t="n">
        <f aca="false">SUM(D7:D14)</f>
        <v>781.75</v>
      </c>
      <c r="E15" s="85" t="n">
        <f aca="false">SUM(E7:E14)</f>
        <v>576.25</v>
      </c>
      <c r="F15" s="85" t="n">
        <f aca="false">SUM(F7:F14)</f>
        <v>1358</v>
      </c>
      <c r="G15" s="86" t="n">
        <f aca="false">IF(F15=0,0,D15/F15)</f>
        <v>0.575662739322533</v>
      </c>
      <c r="H15" s="50"/>
      <c r="I15" s="87" t="n">
        <f aca="false">SUM(I7:I14)</f>
        <v>72900.75</v>
      </c>
    </row>
    <row r="18" customFormat="false" ht="15" hidden="false" customHeight="false" outlineLevel="0" collapsed="false">
      <c r="B18" s="3" t="s">
        <v>156</v>
      </c>
    </row>
    <row r="19" customFormat="false" ht="25.5" hidden="false" customHeight="true" outlineLevel="0" collapsed="false">
      <c r="B19" s="29" t="s">
        <v>73</v>
      </c>
      <c r="C19" s="29" t="s">
        <v>157</v>
      </c>
      <c r="D19" s="88" t="n">
        <f aca="false">INDEX(MonthList,1)</f>
        <v>46204</v>
      </c>
      <c r="E19" s="88" t="n">
        <f aca="false">INDEX(MonthList,2)</f>
        <v>46235</v>
      </c>
      <c r="F19" s="88" t="n">
        <f aca="false">INDEX(MonthList,3)</f>
        <v>46266</v>
      </c>
      <c r="G19" s="29" t="s">
        <v>158</v>
      </c>
    </row>
    <row r="20" customFormat="false" ht="18" hidden="false" customHeight="true" outlineLevel="0" collapsed="false">
      <c r="B20" s="40" t="str">
        <f aca="false">INDEX(cl_Name,1)</f>
        <v>Harlow County Schools</v>
      </c>
      <c r="C20" s="82" t="str">
        <f aca="false">INDEX(CLIENTS!$D$5:$D$14,1)</f>
        <v>School district</v>
      </c>
      <c r="D20" s="38" t="n">
        <f aca="false">SUMIFS(tl_Amount,tl_ClientCode,INDEX(cl_Code,1),tl_Month,D$19)</f>
        <v>7093</v>
      </c>
      <c r="E20" s="38" t="n">
        <f aca="false">SUMIFS(tl_Amount,tl_ClientCode,INDEX(cl_Code,1),tl_Month,E$19)</f>
        <v>19783</v>
      </c>
      <c r="F20" s="38" t="n">
        <f aca="false">SUMIFS(tl_Amount,tl_ClientCode,INDEX(cl_Code,1),tl_Month,F$19)</f>
        <v>18307.5</v>
      </c>
      <c r="G20" s="38" t="n">
        <f aca="false">SUM(D20:F20)</f>
        <v>45183.5</v>
      </c>
    </row>
    <row r="21" customFormat="false" ht="18" hidden="false" customHeight="true" outlineLevel="0" collapsed="false">
      <c r="B21" s="40" t="str">
        <f aca="false">INDEX(cl_Name,2)</f>
        <v>Pinecrest Academy</v>
      </c>
      <c r="C21" s="82" t="str">
        <f aca="false">INDEX(CLIENTS!$D$5:$D$14,2)</f>
        <v>Charter school</v>
      </c>
      <c r="D21" s="38" t="n">
        <f aca="false">SUMIFS(tl_Amount,tl_ClientCode,INDEX(cl_Code,2),tl_Month,D$19)</f>
        <v>1548.75</v>
      </c>
      <c r="E21" s="38" t="n">
        <f aca="false">SUMIFS(tl_Amount,tl_ClientCode,INDEX(cl_Code,2),tl_Month,E$19)</f>
        <v>9222.5</v>
      </c>
      <c r="F21" s="38" t="n">
        <f aca="false">SUMIFS(tl_Amount,tl_ClientCode,INDEX(cl_Code,2),tl_Month,F$19)</f>
        <v>11688.75</v>
      </c>
      <c r="G21" s="38" t="n">
        <f aca="false">SUM(D21:F21)</f>
        <v>22460</v>
      </c>
    </row>
    <row r="22" customFormat="false" ht="18" hidden="false" customHeight="true" outlineLevel="0" collapsed="false">
      <c r="B22" s="40" t="str">
        <f aca="false">INDEX(cl_Name,3)</f>
        <v>Bright Start Early Intervention</v>
      </c>
      <c r="C22" s="82" t="str">
        <f aca="false">INDEX(CLIENTS!$D$5:$D$14,3)</f>
        <v>Early intervention program</v>
      </c>
      <c r="D22" s="38" t="n">
        <f aca="false">SUMIFS(tl_Amount,tl_ClientCode,INDEX(cl_Code,3),tl_Month,D$19)</f>
        <v>33269.5</v>
      </c>
      <c r="E22" s="38" t="n">
        <f aca="false">SUMIFS(tl_Amount,tl_ClientCode,INDEX(cl_Code,3),tl_Month,E$19)</f>
        <v>22569</v>
      </c>
      <c r="F22" s="38" t="n">
        <f aca="false">SUMIFS(tl_Amount,tl_ClientCode,INDEX(cl_Code,3),tl_Month,F$19)</f>
        <v>23395.75</v>
      </c>
      <c r="G22" s="38" t="n">
        <f aca="false">SUM(D22:F22)</f>
        <v>79234.25</v>
      </c>
    </row>
    <row r="23" customFormat="false" ht="18" hidden="false" customHeight="true" outlineLevel="0" collapsed="false">
      <c r="B23" s="40" t="str">
        <f aca="false">INDEX(cl_Name,4)</f>
        <v>Westbury Montessori School</v>
      </c>
      <c r="C23" s="82" t="str">
        <f aca="false">INDEX(CLIENTS!$D$5:$D$14,4)</f>
        <v>Private school</v>
      </c>
      <c r="D23" s="38" t="n">
        <f aca="false">SUMIFS(tl_Amount,tl_ClientCode,INDEX(cl_Code,4),tl_Month,D$19)</f>
        <v>1201.25</v>
      </c>
      <c r="E23" s="38" t="n">
        <f aca="false">SUMIFS(tl_Amount,tl_ClientCode,INDEX(cl_Code,4),tl_Month,E$19)</f>
        <v>4503.75</v>
      </c>
      <c r="F23" s="38" t="n">
        <f aca="false">SUMIFS(tl_Amount,tl_ClientCode,INDEX(cl_Code,4),tl_Month,F$19)</f>
        <v>9058.75</v>
      </c>
      <c r="G23" s="38" t="n">
        <f aca="false">SUM(D23:F23)</f>
        <v>14763.75</v>
      </c>
    </row>
    <row r="24" customFormat="false" ht="18" hidden="false" customHeight="true" outlineLevel="0" collapsed="false">
      <c r="B24" s="40" t="str">
        <f aca="false">INDEX(cl_Name,5)</f>
        <v>Cedar Lane Head Start</v>
      </c>
      <c r="C24" s="82" t="str">
        <f aca="false">INDEX(CLIENTS!$D$5:$D$14,5)</f>
        <v>Head Start program</v>
      </c>
      <c r="D24" s="38" t="n">
        <f aca="false">SUMIFS(tl_Amount,tl_ClientCode,INDEX(cl_Code,5),tl_Month,D$19)</f>
        <v>13991.25</v>
      </c>
      <c r="E24" s="38" t="n">
        <f aca="false">SUMIFS(tl_Amount,tl_ClientCode,INDEX(cl_Code,5),tl_Month,E$19)</f>
        <v>10318.75</v>
      </c>
      <c r="F24" s="38" t="n">
        <f aca="false">SUMIFS(tl_Amount,tl_ClientCode,INDEX(cl_Code,5),tl_Month,F$19)</f>
        <v>10065</v>
      </c>
      <c r="G24" s="38" t="n">
        <f aca="false">SUM(D24:F24)</f>
        <v>34375</v>
      </c>
    </row>
    <row r="25" customFormat="false" ht="15" hidden="false" customHeight="false" outlineLevel="0" collapsed="false">
      <c r="B25" s="50" t="s">
        <v>119</v>
      </c>
      <c r="C25" s="50"/>
      <c r="D25" s="87" t="n">
        <f aca="false">SUM(D20:D24)</f>
        <v>57103.75</v>
      </c>
      <c r="E25" s="87" t="n">
        <f aca="false">SUM(E20:E24)</f>
        <v>66397</v>
      </c>
      <c r="F25" s="87" t="n">
        <f aca="false">SUM(F20:F24)</f>
        <v>72515.75</v>
      </c>
      <c r="G25" s="87" t="n">
        <f aca="false">SUM(G20:G24)</f>
        <v>196016.5</v>
      </c>
    </row>
    <row r="26" customFormat="false" ht="15" hidden="false" customHeight="false" outlineLevel="0" collapsed="false">
      <c r="B26" s="27" t="s">
        <v>159</v>
      </c>
    </row>
  </sheetData>
  <sheetProtection sheet="true" formatColumns="false" formatRows="false" sort="false" autoFilter="false"/>
  <conditionalFormatting sqref="G7:G14">
    <cfRule type="expression" priority="2" aboveAverage="0" equalAverage="0" bottom="0" percent="0" rank="0" text="" dxfId="1">
      <formula>AND($H7&gt;0,$G7&lt;$H7*UtilWarn)</formula>
    </cfRule>
    <cfRule type="expression" priority="3" aboveAverage="0" equalAverage="0" bottom="0" percent="0" rank="0" text="" dxfId="17">
      <formula>AND($H7&gt;0,$G7&gt;=$H7*UtilWarn,$G7&lt;$H7)</formula>
    </cfRule>
    <cfRule type="expression" priority="4" aboveAverage="0" equalAverage="0" bottom="0" percent="0" rank="0" text="" dxfId="18">
      <formula>AND($H7&gt;0,$G7&gt;=$H7)</formula>
    </cfRule>
  </conditionalFormatting>
  <dataValidations count="1">
    <dataValidation allowBlank="true" error="Pick a value from the list." errorStyle="stop" errorTitle="Not on the list" operator="between" showDropDown="false" showErrorMessage="true" showInputMessage="false" sqref="C4" type="list">
      <formula1>MonthList</formula1>
      <formula2>0</formula2>
    </dataValidation>
  </dataValidations>
  <printOptions headings="false" gridLines="false" gridLinesSet="true" horizontalCentered="true" verticalCentered="false"/>
  <pageMargins left="0.5" right="0.5" top="0.55" bottom="0.5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8A2E"/>
    <pageSetUpPr fitToPage="true"/>
  </sheetPr>
  <dimension ref="B1:K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9"/>
    <col collapsed="false" customWidth="true" hidden="false" outlineLevel="0" max="3" min="3" style="0" width="28"/>
    <col collapsed="false" customWidth="true" hidden="false" outlineLevel="0" max="4" min="4" style="0" width="10"/>
    <col collapsed="false" customWidth="true" hidden="false" outlineLevel="0" max="5" min="5" style="0" width="13"/>
    <col collapsed="false" customWidth="true" hidden="false" outlineLevel="0" max="6" min="6" style="0" width="38"/>
    <col collapsed="false" customWidth="true" hidden="false" outlineLevel="0" max="7" min="7" style="0" width="3"/>
    <col collapsed="false" customWidth="true" hidden="false" outlineLevel="0" max="8" min="8" style="0" width="11"/>
    <col collapsed="false" customWidth="true" hidden="false" outlineLevel="0" max="9" min="9" style="0" width="10"/>
    <col collapsed="false" customWidth="true" hidden="false" outlineLevel="0" max="10" min="10" style="0" width="13"/>
    <col collapsed="false" customWidth="true" hidden="false" outlineLevel="0" max="11" min="11" style="0" width="14"/>
  </cols>
  <sheetData>
    <row r="1" customFormat="false" ht="33.75" hidden="false" customHeight="true" outlineLevel="0" collapsed="false">
      <c r="B1" s="1" t="s">
        <v>160</v>
      </c>
    </row>
    <row r="2" customFormat="false" ht="18" hidden="false" customHeight="true" outlineLevel="0" collapsed="false">
      <c r="B2" s="28" t="s">
        <v>161</v>
      </c>
    </row>
    <row r="4" customFormat="false" ht="31.5" hidden="false" customHeight="true" outlineLevel="0" collapsed="false">
      <c r="B4" s="29" t="s">
        <v>117</v>
      </c>
      <c r="C4" s="29" t="s">
        <v>118</v>
      </c>
      <c r="D4" s="29" t="s">
        <v>81</v>
      </c>
      <c r="E4" s="29" t="s">
        <v>162</v>
      </c>
      <c r="F4" s="29" t="s">
        <v>163</v>
      </c>
      <c r="H4" s="29" t="s">
        <v>80</v>
      </c>
      <c r="I4" s="29" t="s">
        <v>74</v>
      </c>
      <c r="J4" s="29" t="s">
        <v>164</v>
      </c>
      <c r="K4" s="89" t="s">
        <v>165</v>
      </c>
    </row>
    <row r="5" customFormat="false" ht="15" hidden="false" customHeight="false" outlineLevel="0" collapsed="false">
      <c r="B5" s="33" t="s">
        <v>92</v>
      </c>
      <c r="C5" s="32" t="s">
        <v>166</v>
      </c>
      <c r="D5" s="33" t="s">
        <v>167</v>
      </c>
      <c r="E5" s="90" t="n">
        <v>150</v>
      </c>
      <c r="F5" s="32" t="s">
        <v>168</v>
      </c>
      <c r="H5" s="33" t="s">
        <v>169</v>
      </c>
      <c r="I5" s="33" t="s">
        <v>88</v>
      </c>
      <c r="J5" s="90" t="n">
        <v>98</v>
      </c>
      <c r="K5" s="21" t="str">
        <f aca="false">IF(H5="","",H5&amp;"|"&amp;I5)</f>
        <v>HCS|IND</v>
      </c>
    </row>
    <row r="6" customFormat="false" ht="15" hidden="false" customHeight="false" outlineLevel="0" collapsed="false">
      <c r="B6" s="33" t="s">
        <v>88</v>
      </c>
      <c r="C6" s="32" t="s">
        <v>170</v>
      </c>
      <c r="D6" s="33" t="s">
        <v>167</v>
      </c>
      <c r="E6" s="90" t="n">
        <v>110</v>
      </c>
      <c r="F6" s="32" t="s">
        <v>171</v>
      </c>
      <c r="H6" s="33" t="s">
        <v>169</v>
      </c>
      <c r="I6" s="33" t="s">
        <v>104</v>
      </c>
      <c r="J6" s="90" t="n">
        <v>62</v>
      </c>
      <c r="K6" s="21" t="str">
        <f aca="false">IF(H6="","",H6&amp;"|"&amp;I6)</f>
        <v>HCS|GRP</v>
      </c>
    </row>
    <row r="7" customFormat="false" ht="15" hidden="false" customHeight="false" outlineLevel="0" collapsed="false">
      <c r="B7" s="33" t="s">
        <v>104</v>
      </c>
      <c r="C7" s="32" t="s">
        <v>172</v>
      </c>
      <c r="D7" s="33" t="s">
        <v>167</v>
      </c>
      <c r="E7" s="90" t="n">
        <v>70</v>
      </c>
      <c r="F7" s="32" t="s">
        <v>173</v>
      </c>
      <c r="H7" s="33" t="s">
        <v>169</v>
      </c>
      <c r="I7" s="33" t="s">
        <v>92</v>
      </c>
      <c r="J7" s="90" t="n">
        <v>140</v>
      </c>
      <c r="K7" s="21" t="str">
        <f aca="false">IF(H7="","",H7&amp;"|"&amp;I7)</f>
        <v>HCS|EVAL</v>
      </c>
    </row>
    <row r="8" customFormat="false" ht="15" hidden="false" customHeight="false" outlineLevel="0" collapsed="false">
      <c r="B8" s="33" t="s">
        <v>89</v>
      </c>
      <c r="C8" s="32" t="s">
        <v>174</v>
      </c>
      <c r="D8" s="33" t="s">
        <v>167</v>
      </c>
      <c r="E8" s="90" t="n">
        <v>95</v>
      </c>
      <c r="F8" s="32" t="s">
        <v>175</v>
      </c>
      <c r="H8" s="33" t="s">
        <v>169</v>
      </c>
      <c r="I8" s="33" t="s">
        <v>89</v>
      </c>
      <c r="J8" s="90" t="n">
        <v>88</v>
      </c>
      <c r="K8" s="21" t="str">
        <f aca="false">IF(H8="","",H8&amp;"|"&amp;I8)</f>
        <v>HCS|CONS</v>
      </c>
    </row>
    <row r="9" customFormat="false" ht="15" hidden="false" customHeight="false" outlineLevel="0" collapsed="false">
      <c r="B9" s="33" t="s">
        <v>91</v>
      </c>
      <c r="C9" s="32" t="s">
        <v>176</v>
      </c>
      <c r="D9" s="33" t="s">
        <v>167</v>
      </c>
      <c r="E9" s="90" t="n">
        <v>105</v>
      </c>
      <c r="F9" s="32" t="s">
        <v>177</v>
      </c>
      <c r="H9" s="33" t="s">
        <v>178</v>
      </c>
      <c r="I9" s="33" t="s">
        <v>88</v>
      </c>
      <c r="J9" s="90" t="n">
        <v>104</v>
      </c>
      <c r="K9" s="21" t="str">
        <f aca="false">IF(H9="","",H9&amp;"|"&amp;I9)</f>
        <v>BSE|IND</v>
      </c>
    </row>
    <row r="10" customFormat="false" ht="15" hidden="false" customHeight="false" outlineLevel="0" collapsed="false">
      <c r="B10" s="33" t="s">
        <v>113</v>
      </c>
      <c r="C10" s="32" t="s">
        <v>179</v>
      </c>
      <c r="D10" s="33" t="s">
        <v>167</v>
      </c>
      <c r="E10" s="90" t="n">
        <v>85</v>
      </c>
      <c r="F10" s="32" t="s">
        <v>180</v>
      </c>
      <c r="H10" s="33" t="s">
        <v>178</v>
      </c>
      <c r="I10" s="33" t="s">
        <v>92</v>
      </c>
      <c r="J10" s="90" t="n">
        <v>145</v>
      </c>
      <c r="K10" s="21" t="str">
        <f aca="false">IF(H10="","",H10&amp;"|"&amp;I10)</f>
        <v>BSE|EVAL</v>
      </c>
    </row>
    <row r="11" customFormat="false" ht="15" hidden="false" customHeight="false" outlineLevel="0" collapsed="false">
      <c r="B11" s="33" t="s">
        <v>96</v>
      </c>
      <c r="C11" s="32" t="s">
        <v>181</v>
      </c>
      <c r="D11" s="33" t="s">
        <v>182</v>
      </c>
      <c r="E11" s="90" t="n">
        <v>0</v>
      </c>
      <c r="F11" s="32" t="s">
        <v>183</v>
      </c>
      <c r="H11" s="33" t="s">
        <v>178</v>
      </c>
      <c r="I11" s="33" t="s">
        <v>91</v>
      </c>
      <c r="J11" s="90" t="n">
        <v>100</v>
      </c>
      <c r="K11" s="21" t="str">
        <f aca="false">IF(H11="","",H11&amp;"|"&amp;I11)</f>
        <v>BSE|TELE</v>
      </c>
    </row>
    <row r="12" customFormat="false" ht="15" hidden="false" customHeight="false" outlineLevel="0" collapsed="false">
      <c r="B12" s="33" t="s">
        <v>98</v>
      </c>
      <c r="C12" s="32" t="s">
        <v>184</v>
      </c>
      <c r="D12" s="33" t="s">
        <v>182</v>
      </c>
      <c r="E12" s="90" t="n">
        <v>0</v>
      </c>
      <c r="F12" s="32" t="s">
        <v>185</v>
      </c>
      <c r="H12" s="33" t="s">
        <v>186</v>
      </c>
      <c r="I12" s="33" t="s">
        <v>113</v>
      </c>
      <c r="J12" s="90" t="n">
        <v>75</v>
      </c>
      <c r="K12" s="21" t="str">
        <f aca="false">IF(H12="","",H12&amp;"|"&amp;I12)</f>
        <v>CLH|SCRN</v>
      </c>
    </row>
    <row r="13" customFormat="false" ht="15" hidden="false" customHeight="false" outlineLevel="0" collapsed="false">
      <c r="B13" s="33" t="s">
        <v>93</v>
      </c>
      <c r="C13" s="32" t="s">
        <v>187</v>
      </c>
      <c r="D13" s="33" t="s">
        <v>182</v>
      </c>
      <c r="E13" s="90" t="n">
        <v>0</v>
      </c>
      <c r="F13" s="32" t="s">
        <v>188</v>
      </c>
      <c r="H13" s="33" t="s">
        <v>186</v>
      </c>
      <c r="I13" s="33" t="s">
        <v>104</v>
      </c>
      <c r="J13" s="90" t="n">
        <v>65</v>
      </c>
      <c r="K13" s="21" t="str">
        <f aca="false">IF(H13="","",H13&amp;"|"&amp;I13)</f>
        <v>CLH|GRP</v>
      </c>
    </row>
    <row r="14" customFormat="false" ht="15" hidden="false" customHeight="false" outlineLevel="0" collapsed="false">
      <c r="B14" s="33" t="s">
        <v>94</v>
      </c>
      <c r="C14" s="32" t="s">
        <v>189</v>
      </c>
      <c r="D14" s="33" t="s">
        <v>182</v>
      </c>
      <c r="E14" s="90" t="n">
        <v>0</v>
      </c>
      <c r="F14" s="32" t="s">
        <v>190</v>
      </c>
      <c r="H14" s="33"/>
      <c r="I14" s="33"/>
      <c r="J14" s="90"/>
      <c r="K14" s="21" t="str">
        <f aca="false">IF(H14="","",H14&amp;"|"&amp;I14)</f>
        <v/>
      </c>
    </row>
    <row r="15" customFormat="false" ht="15" hidden="false" customHeight="false" outlineLevel="0" collapsed="false">
      <c r="B15" s="33" t="s">
        <v>108</v>
      </c>
      <c r="C15" s="32" t="s">
        <v>191</v>
      </c>
      <c r="D15" s="33" t="s">
        <v>182</v>
      </c>
      <c r="E15" s="90" t="n">
        <v>0</v>
      </c>
      <c r="F15" s="32" t="s">
        <v>192</v>
      </c>
      <c r="H15" s="33"/>
      <c r="I15" s="33"/>
      <c r="J15" s="90"/>
      <c r="K15" s="21" t="str">
        <f aca="false">IF(H15="","",H15&amp;"|"&amp;I15)</f>
        <v/>
      </c>
    </row>
    <row r="16" customFormat="false" ht="15" hidden="false" customHeight="false" outlineLevel="0" collapsed="false">
      <c r="B16" s="33" t="s">
        <v>109</v>
      </c>
      <c r="C16" s="32" t="s">
        <v>193</v>
      </c>
      <c r="D16" s="33" t="s">
        <v>182</v>
      </c>
      <c r="E16" s="90" t="n">
        <v>0</v>
      </c>
      <c r="F16" s="32" t="s">
        <v>194</v>
      </c>
      <c r="H16" s="33"/>
      <c r="I16" s="33"/>
      <c r="J16" s="90"/>
      <c r="K16" s="21" t="str">
        <f aca="false">IF(H16="","",H16&amp;"|"&amp;I16)</f>
        <v/>
      </c>
    </row>
    <row r="17" customFormat="false" ht="15" hidden="false" customHeight="false" outlineLevel="0" collapsed="false">
      <c r="B17" s="33"/>
      <c r="C17" s="32"/>
      <c r="D17" s="33"/>
      <c r="E17" s="90"/>
      <c r="F17" s="32"/>
      <c r="H17" s="33"/>
      <c r="I17" s="33"/>
      <c r="J17" s="90"/>
      <c r="K17" s="21" t="str">
        <f aca="false">IF(H17="","",H17&amp;"|"&amp;I17)</f>
        <v/>
      </c>
    </row>
    <row r="18" customFormat="false" ht="15" hidden="false" customHeight="false" outlineLevel="0" collapsed="false">
      <c r="B18" s="33"/>
      <c r="C18" s="32"/>
      <c r="D18" s="33"/>
      <c r="E18" s="90"/>
      <c r="F18" s="32"/>
      <c r="H18" s="33"/>
      <c r="I18" s="33"/>
      <c r="J18" s="90"/>
      <c r="K18" s="21" t="str">
        <f aca="false">IF(H18="","",H18&amp;"|"&amp;I18)</f>
        <v/>
      </c>
    </row>
    <row r="19" customFormat="false" ht="15" hidden="false" customHeight="false" outlineLevel="0" collapsed="false">
      <c r="B19" s="33"/>
      <c r="C19" s="32"/>
      <c r="D19" s="33"/>
      <c r="E19" s="90"/>
      <c r="F19" s="32"/>
      <c r="H19" s="33"/>
      <c r="I19" s="33"/>
      <c r="J19" s="90"/>
      <c r="K19" s="21" t="str">
        <f aca="false">IF(H19="","",H19&amp;"|"&amp;I19)</f>
        <v/>
      </c>
    </row>
    <row r="20" customFormat="false" ht="15" hidden="false" customHeight="false" outlineLevel="0" collapsed="false">
      <c r="B20" s="33"/>
      <c r="C20" s="32"/>
      <c r="D20" s="33"/>
      <c r="E20" s="90"/>
      <c r="F20" s="32"/>
      <c r="H20" s="33"/>
      <c r="I20" s="33"/>
      <c r="J20" s="90"/>
      <c r="K20" s="21" t="str">
        <f aca="false">IF(H20="","",H20&amp;"|"&amp;I20)</f>
        <v/>
      </c>
    </row>
    <row r="21" customFormat="false" ht="15" hidden="false" customHeight="false" outlineLevel="0" collapsed="false">
      <c r="H21" s="33"/>
      <c r="I21" s="33"/>
      <c r="J21" s="90"/>
      <c r="K21" s="21" t="str">
        <f aca="false">IF(H21="","",H21&amp;"|"&amp;I21)</f>
        <v/>
      </c>
    </row>
    <row r="22" customFormat="false" ht="15" hidden="false" customHeight="false" outlineLevel="0" collapsed="false">
      <c r="B22" s="27" t="s">
        <v>195</v>
      </c>
      <c r="H22" s="33"/>
      <c r="I22" s="33"/>
      <c r="J22" s="90"/>
      <c r="K22" s="21" t="str">
        <f aca="false">IF(H22="","",H22&amp;"|"&amp;I22)</f>
        <v/>
      </c>
    </row>
    <row r="23" customFormat="false" ht="15" hidden="false" customHeight="false" outlineLevel="0" collapsed="false">
      <c r="B23" s="27" t="s">
        <v>196</v>
      </c>
      <c r="H23" s="33"/>
      <c r="I23" s="33"/>
      <c r="J23" s="90"/>
      <c r="K23" s="21" t="str">
        <f aca="false">IF(H23="","",H23&amp;"|"&amp;I23)</f>
        <v/>
      </c>
    </row>
    <row r="24" customFormat="false" ht="15" hidden="false" customHeight="false" outlineLevel="0" collapsed="false">
      <c r="H24" s="33"/>
      <c r="I24" s="33"/>
      <c r="J24" s="90"/>
      <c r="K24" s="21" t="str">
        <f aca="false">IF(H24="","",H24&amp;"|"&amp;I24)</f>
        <v/>
      </c>
    </row>
  </sheetData>
  <sheetProtection sheet="true" formatColumns="false" formatRows="false" sort="false" autoFilter="false"/>
  <dataValidations count="2">
    <dataValidation allowBlank="true" error="Pick a value from the list." errorStyle="stop" errorTitle="Not on the list" operator="between" showDropDown="false" showErrorMessage="true" showInputMessage="false" sqref="D5:D20" type="list">
      <formula1>YesNo</formula1>
      <formula2>0</formula2>
    </dataValidation>
    <dataValidation allowBlank="true" error="Pick a value from the list." errorStyle="stop" errorTitle="Not on the list" operator="between" showDropDown="false" showErrorMessage="true" showInputMessage="false" sqref="I5:I24" type="list">
      <formula1>rt_Code</formula1>
      <formula2>0</formula2>
    </dataValidation>
  </dataValidations>
  <printOptions headings="false" gridLines="false" gridLinesSet="true" horizontalCentered="true" verticalCentered="false"/>
  <pageMargins left="0.5" right="0.5" top="0.55" bottom="0.5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8A2E"/>
    <pageSetUpPr fitToPage="true"/>
  </sheetPr>
  <dimension ref="B1:H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9"/>
    <col collapsed="false" customWidth="true" hidden="false" outlineLevel="0" max="3" min="3" style="0" width="20"/>
    <col collapsed="false" customWidth="true" hidden="false" outlineLevel="0" max="4" min="4" style="0" width="34"/>
    <col collapsed="false" customWidth="true" hidden="false" outlineLevel="0" max="5" min="5" style="0" width="15"/>
    <col collapsed="false" customWidth="true" hidden="false" outlineLevel="0" max="6" min="6" style="0" width="12"/>
    <col collapsed="false" customWidth="true" hidden="false" outlineLevel="0" max="7" min="7" style="0" width="14"/>
    <col collapsed="false" customWidth="true" hidden="false" outlineLevel="0" max="8" min="8" style="0" width="13"/>
  </cols>
  <sheetData>
    <row r="1" customFormat="false" ht="33.75" hidden="false" customHeight="true" outlineLevel="0" collapsed="false">
      <c r="B1" s="1" t="s">
        <v>72</v>
      </c>
    </row>
    <row r="2" customFormat="false" ht="18" hidden="false" customHeight="true" outlineLevel="0" collapsed="false">
      <c r="B2" s="28" t="s">
        <v>197</v>
      </c>
    </row>
    <row r="4" customFormat="false" ht="31.5" hidden="false" customHeight="true" outlineLevel="0" collapsed="false">
      <c r="B4" s="29" t="s">
        <v>79</v>
      </c>
      <c r="C4" s="29" t="s">
        <v>131</v>
      </c>
      <c r="D4" s="29" t="s">
        <v>153</v>
      </c>
      <c r="E4" s="29" t="s">
        <v>198</v>
      </c>
      <c r="F4" s="29" t="s">
        <v>199</v>
      </c>
      <c r="G4" s="29" t="s">
        <v>200</v>
      </c>
      <c r="H4" s="29" t="s">
        <v>154</v>
      </c>
    </row>
    <row r="5" customFormat="false" ht="15" hidden="false" customHeight="false" outlineLevel="0" collapsed="false">
      <c r="B5" s="33" t="s">
        <v>201</v>
      </c>
      <c r="C5" s="32" t="s">
        <v>86</v>
      </c>
      <c r="D5" s="32" t="s">
        <v>202</v>
      </c>
      <c r="E5" s="32" t="s">
        <v>203</v>
      </c>
      <c r="F5" s="91" t="n">
        <v>40</v>
      </c>
      <c r="G5" s="91" t="n">
        <v>26</v>
      </c>
      <c r="H5" s="83" t="n">
        <f aca="false">IF(OR(C5="",N(F5)=0),"",G5/F5)</f>
        <v>0.65</v>
      </c>
    </row>
    <row r="6" customFormat="false" ht="15" hidden="false" customHeight="false" outlineLevel="0" collapsed="false">
      <c r="B6" s="33" t="s">
        <v>204</v>
      </c>
      <c r="C6" s="32" t="s">
        <v>97</v>
      </c>
      <c r="D6" s="32" t="s">
        <v>202</v>
      </c>
      <c r="E6" s="32" t="s">
        <v>203</v>
      </c>
      <c r="F6" s="91" t="n">
        <v>40</v>
      </c>
      <c r="G6" s="91" t="n">
        <v>26</v>
      </c>
      <c r="H6" s="83" t="n">
        <f aca="false">IF(OR(C6="",N(F6)=0),"",G6/F6)</f>
        <v>0.65</v>
      </c>
    </row>
    <row r="7" customFormat="false" ht="15" hidden="false" customHeight="false" outlineLevel="0" collapsed="false">
      <c r="B7" s="33" t="s">
        <v>205</v>
      </c>
      <c r="C7" s="32" t="s">
        <v>100</v>
      </c>
      <c r="D7" s="32" t="s">
        <v>202</v>
      </c>
      <c r="E7" s="32" t="s">
        <v>203</v>
      </c>
      <c r="F7" s="91" t="n">
        <v>24</v>
      </c>
      <c r="G7" s="91" t="n">
        <v>15</v>
      </c>
      <c r="H7" s="83" t="n">
        <f aca="false">IF(OR(C7="",N(F7)=0),"",G7/F7)</f>
        <v>0.625</v>
      </c>
    </row>
    <row r="8" customFormat="false" ht="15" hidden="false" customHeight="false" outlineLevel="0" collapsed="false">
      <c r="B8" s="33" t="s">
        <v>206</v>
      </c>
      <c r="C8" s="32" t="s">
        <v>101</v>
      </c>
      <c r="D8" s="32" t="s">
        <v>207</v>
      </c>
      <c r="E8" s="32" t="s">
        <v>208</v>
      </c>
      <c r="F8" s="91" t="n">
        <v>40</v>
      </c>
      <c r="G8" s="91" t="n">
        <v>26</v>
      </c>
      <c r="H8" s="83" t="n">
        <f aca="false">IF(OR(C8="",N(F8)=0),"",G8/F8)</f>
        <v>0.65</v>
      </c>
    </row>
    <row r="9" customFormat="false" ht="15" hidden="false" customHeight="false" outlineLevel="0" collapsed="false">
      <c r="B9" s="33" t="s">
        <v>209</v>
      </c>
      <c r="C9" s="32" t="s">
        <v>103</v>
      </c>
      <c r="D9" s="32" t="s">
        <v>207</v>
      </c>
      <c r="E9" s="32" t="s">
        <v>208</v>
      </c>
      <c r="F9" s="91" t="n">
        <v>40</v>
      </c>
      <c r="G9" s="91" t="n">
        <v>26</v>
      </c>
      <c r="H9" s="83" t="n">
        <f aca="false">IF(OR(C9="",N(F9)=0),"",G9/F9)</f>
        <v>0.65</v>
      </c>
    </row>
    <row r="10" customFormat="false" ht="15" hidden="false" customHeight="false" outlineLevel="0" collapsed="false">
      <c r="B10" s="33" t="s">
        <v>210</v>
      </c>
      <c r="C10" s="32" t="s">
        <v>105</v>
      </c>
      <c r="D10" s="32" t="s">
        <v>211</v>
      </c>
      <c r="E10" s="32" t="s">
        <v>212</v>
      </c>
      <c r="F10" s="91" t="n">
        <v>40</v>
      </c>
      <c r="G10" s="91" t="n">
        <v>25</v>
      </c>
      <c r="H10" s="83" t="n">
        <f aca="false">IF(OR(C10="",N(F10)=0),"",G10/F10)</f>
        <v>0.625</v>
      </c>
    </row>
    <row r="11" customFormat="false" ht="15" hidden="false" customHeight="false" outlineLevel="0" collapsed="false">
      <c r="B11" s="33" t="s">
        <v>213</v>
      </c>
      <c r="C11" s="32" t="s">
        <v>106</v>
      </c>
      <c r="D11" s="32" t="s">
        <v>214</v>
      </c>
      <c r="E11" s="32" t="s">
        <v>203</v>
      </c>
      <c r="F11" s="91" t="n">
        <v>40</v>
      </c>
      <c r="G11" s="91" t="n">
        <v>28</v>
      </c>
      <c r="H11" s="83" t="n">
        <f aca="false">IF(OR(C11="",N(F11)=0),"",G11/F11)</f>
        <v>0.7</v>
      </c>
    </row>
    <row r="12" customFormat="false" ht="15" hidden="false" customHeight="false" outlineLevel="0" collapsed="false">
      <c r="B12" s="33" t="s">
        <v>215</v>
      </c>
      <c r="C12" s="32" t="s">
        <v>107</v>
      </c>
      <c r="D12" s="32" t="s">
        <v>216</v>
      </c>
      <c r="E12" s="32" t="s">
        <v>191</v>
      </c>
      <c r="F12" s="91" t="n">
        <v>40</v>
      </c>
      <c r="G12" s="91" t="n">
        <v>0</v>
      </c>
      <c r="H12" s="83" t="n">
        <f aca="false">IF(OR(C12="",N(F12)=0),"",G12/F12)</f>
        <v>0</v>
      </c>
    </row>
    <row r="13" customFormat="false" ht="15" hidden="false" customHeight="false" outlineLevel="0" collapsed="false">
      <c r="B13" s="33"/>
      <c r="C13" s="32"/>
      <c r="D13" s="32"/>
      <c r="E13" s="32"/>
      <c r="F13" s="91"/>
      <c r="G13" s="91"/>
      <c r="H13" s="83" t="str">
        <f aca="false">IF(OR(C13="",N(F13)=0),"",G13/F13)</f>
        <v/>
      </c>
    </row>
    <row r="14" customFormat="false" ht="15" hidden="false" customHeight="false" outlineLevel="0" collapsed="false">
      <c r="B14" s="33"/>
      <c r="C14" s="32"/>
      <c r="D14" s="32"/>
      <c r="E14" s="32"/>
      <c r="F14" s="91"/>
      <c r="G14" s="91"/>
      <c r="H14" s="83" t="str">
        <f aca="false">IF(OR(C14="",N(F14)=0),"",G14/F14)</f>
        <v/>
      </c>
    </row>
    <row r="15" customFormat="false" ht="15" hidden="false" customHeight="false" outlineLevel="0" collapsed="false">
      <c r="B15" s="33"/>
      <c r="C15" s="32"/>
      <c r="D15" s="32"/>
      <c r="E15" s="32"/>
      <c r="F15" s="91"/>
      <c r="G15" s="91"/>
      <c r="H15" s="83" t="str">
        <f aca="false">IF(OR(C15="",N(F15)=0),"",G15/F15)</f>
        <v/>
      </c>
    </row>
    <row r="16" customFormat="false" ht="15" hidden="false" customHeight="false" outlineLevel="0" collapsed="false">
      <c r="B16" s="33"/>
      <c r="C16" s="32"/>
      <c r="D16" s="32"/>
      <c r="E16" s="32"/>
      <c r="F16" s="91"/>
      <c r="G16" s="91"/>
      <c r="H16" s="83" t="str">
        <f aca="false">IF(OR(C16="",N(F16)=0),"",G16/F16)</f>
        <v/>
      </c>
    </row>
  </sheetData>
  <sheetProtection sheet="true" formatColumns="false" formatRows="false" sort="false" autoFilter="false"/>
  <printOptions headings="false" gridLines="false" gridLinesSet="true" horizontalCentered="true" verticalCentered="false"/>
  <pageMargins left="0.5" right="0.5" top="0.55" bottom="0.5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8A2E"/>
    <pageSetUpPr fitToPage="true"/>
  </sheetPr>
  <dimension ref="B1:G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9"/>
    <col collapsed="false" customWidth="true" hidden="false" outlineLevel="0" max="3" min="3" style="0" width="32"/>
    <col collapsed="false" customWidth="true" hidden="false" outlineLevel="0" max="4" min="4" style="0" width="26"/>
    <col collapsed="false" customWidth="true" hidden="false" outlineLevel="0" max="5" min="5" style="0" width="34"/>
    <col collapsed="false" customWidth="true" hidden="false" outlineLevel="0" max="6" min="6" style="0" width="12"/>
    <col collapsed="false" customWidth="true" hidden="false" outlineLevel="0" max="7" min="7" style="0" width="18"/>
  </cols>
  <sheetData>
    <row r="1" customFormat="false" ht="33.75" hidden="false" customHeight="true" outlineLevel="0" collapsed="false">
      <c r="B1" s="1" t="s">
        <v>217</v>
      </c>
    </row>
    <row r="2" customFormat="false" ht="18" hidden="false" customHeight="true" outlineLevel="0" collapsed="false">
      <c r="B2" s="28" t="s">
        <v>218</v>
      </c>
    </row>
    <row r="4" customFormat="false" ht="31.5" hidden="false" customHeight="true" outlineLevel="0" collapsed="false">
      <c r="B4" s="29" t="s">
        <v>117</v>
      </c>
      <c r="C4" s="29" t="s">
        <v>219</v>
      </c>
      <c r="D4" s="29" t="s">
        <v>157</v>
      </c>
      <c r="E4" s="29" t="s">
        <v>220</v>
      </c>
      <c r="F4" s="29" t="s">
        <v>221</v>
      </c>
      <c r="G4" s="29" t="s">
        <v>142</v>
      </c>
    </row>
    <row r="5" customFormat="false" ht="15" hidden="false" customHeight="false" outlineLevel="0" collapsed="false">
      <c r="B5" s="33" t="s">
        <v>169</v>
      </c>
      <c r="C5" s="32" t="s">
        <v>87</v>
      </c>
      <c r="D5" s="32" t="s">
        <v>222</v>
      </c>
      <c r="E5" s="32" t="s">
        <v>223</v>
      </c>
      <c r="F5" s="91" t="n">
        <v>30</v>
      </c>
      <c r="G5" s="32" t="s">
        <v>224</v>
      </c>
    </row>
    <row r="6" customFormat="false" ht="15" hidden="false" customHeight="false" outlineLevel="0" collapsed="false">
      <c r="B6" s="33" t="s">
        <v>225</v>
      </c>
      <c r="C6" s="32" t="s">
        <v>112</v>
      </c>
      <c r="D6" s="32" t="s">
        <v>226</v>
      </c>
      <c r="E6" s="32" t="s">
        <v>227</v>
      </c>
      <c r="F6" s="91" t="n">
        <v>30</v>
      </c>
      <c r="G6" s="32" t="s">
        <v>228</v>
      </c>
    </row>
    <row r="7" customFormat="false" ht="15" hidden="false" customHeight="false" outlineLevel="0" collapsed="false">
      <c r="B7" s="33" t="s">
        <v>178</v>
      </c>
      <c r="C7" s="32" t="s">
        <v>90</v>
      </c>
      <c r="D7" s="32" t="s">
        <v>229</v>
      </c>
      <c r="E7" s="32" t="s">
        <v>230</v>
      </c>
      <c r="F7" s="91" t="n">
        <v>45</v>
      </c>
      <c r="G7" s="32" t="s">
        <v>231</v>
      </c>
    </row>
    <row r="8" customFormat="false" ht="15" hidden="false" customHeight="false" outlineLevel="0" collapsed="false">
      <c r="B8" s="33" t="s">
        <v>232</v>
      </c>
      <c r="C8" s="32" t="s">
        <v>111</v>
      </c>
      <c r="D8" s="32" t="s">
        <v>233</v>
      </c>
      <c r="E8" s="32" t="s">
        <v>234</v>
      </c>
      <c r="F8" s="91" t="n">
        <v>15</v>
      </c>
      <c r="G8" s="32"/>
    </row>
    <row r="9" customFormat="false" ht="15" hidden="false" customHeight="false" outlineLevel="0" collapsed="false">
      <c r="B9" s="33" t="s">
        <v>186</v>
      </c>
      <c r="C9" s="32" t="s">
        <v>102</v>
      </c>
      <c r="D9" s="32" t="s">
        <v>235</v>
      </c>
      <c r="E9" s="32" t="s">
        <v>236</v>
      </c>
      <c r="F9" s="91" t="n">
        <v>30</v>
      </c>
      <c r="G9" s="32" t="s">
        <v>237</v>
      </c>
    </row>
    <row r="10" customFormat="false" ht="15" hidden="false" customHeight="false" outlineLevel="0" collapsed="false">
      <c r="B10" s="33"/>
      <c r="C10" s="32"/>
      <c r="D10" s="32"/>
      <c r="E10" s="32"/>
      <c r="F10" s="91"/>
      <c r="G10" s="32"/>
    </row>
    <row r="11" customFormat="false" ht="15" hidden="false" customHeight="false" outlineLevel="0" collapsed="false">
      <c r="B11" s="33"/>
      <c r="C11" s="32"/>
      <c r="D11" s="32"/>
      <c r="E11" s="32"/>
      <c r="F11" s="91"/>
      <c r="G11" s="32"/>
    </row>
    <row r="12" customFormat="false" ht="15" hidden="false" customHeight="false" outlineLevel="0" collapsed="false">
      <c r="B12" s="33"/>
      <c r="C12" s="32"/>
      <c r="D12" s="32"/>
      <c r="E12" s="32"/>
      <c r="F12" s="91"/>
      <c r="G12" s="32"/>
    </row>
    <row r="13" customFormat="false" ht="15" hidden="false" customHeight="false" outlineLevel="0" collapsed="false">
      <c r="B13" s="33"/>
      <c r="C13" s="32"/>
      <c r="D13" s="32"/>
      <c r="E13" s="32"/>
      <c r="F13" s="91"/>
      <c r="G13" s="32"/>
    </row>
    <row r="14" customFormat="false" ht="15" hidden="false" customHeight="false" outlineLevel="0" collapsed="false">
      <c r="B14" s="33"/>
      <c r="C14" s="32"/>
      <c r="D14" s="32"/>
      <c r="E14" s="32"/>
      <c r="F14" s="91"/>
      <c r="G14" s="32"/>
    </row>
  </sheetData>
  <sheetProtection sheet="true" formatColumns="false" formatRows="false" sort="false" autoFilter="false"/>
  <printOptions headings="false" gridLines="false" gridLinesSet="true" horizontalCentered="true" verticalCentered="false"/>
  <pageMargins left="0.5" right="0.5" top="0.55" bottom="0.5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A8F96"/>
    <pageSetUpPr fitToPage="true"/>
  </sheetPr>
  <dimension ref="B1:H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3" min="3" style="0" width="36"/>
    <col collapsed="false" customWidth="true" hidden="false" outlineLevel="0" max="4" min="4" style="0" width="52"/>
    <col collapsed="false" customWidth="true" hidden="false" outlineLevel="0" max="5" min="5" style="0" width="3"/>
    <col collapsed="false" customWidth="true" hidden="false" outlineLevel="0" max="7" min="6" style="0" width="16"/>
    <col collapsed="false" customWidth="true" hidden="false" outlineLevel="0" max="8" min="8" style="0" width="12"/>
  </cols>
  <sheetData>
    <row r="1" customFormat="false" ht="33.75" hidden="false" customHeight="true" outlineLevel="0" collapsed="false">
      <c r="B1" s="1" t="s">
        <v>238</v>
      </c>
    </row>
    <row r="2" customFormat="false" ht="18" hidden="false" customHeight="true" outlineLevel="0" collapsed="false">
      <c r="B2" s="28" t="s">
        <v>239</v>
      </c>
    </row>
    <row r="4" customFormat="false" ht="25.5" hidden="false" customHeight="true" outlineLevel="0" collapsed="false">
      <c r="B4" s="68" t="s">
        <v>240</v>
      </c>
      <c r="C4" s="68" t="s">
        <v>241</v>
      </c>
      <c r="D4" s="68" t="s">
        <v>242</v>
      </c>
      <c r="F4" s="68" t="s">
        <v>243</v>
      </c>
      <c r="G4" s="68" t="s">
        <v>244</v>
      </c>
      <c r="H4" s="68" t="s">
        <v>245</v>
      </c>
    </row>
    <row r="5" customFormat="false" ht="18.75" hidden="false" customHeight="true" outlineLevel="0" collapsed="false">
      <c r="B5" s="92" t="s">
        <v>246</v>
      </c>
      <c r="C5" s="42" t="s">
        <v>247</v>
      </c>
      <c r="D5" s="93" t="s">
        <v>248</v>
      </c>
      <c r="F5" s="94" t="n">
        <v>46204</v>
      </c>
      <c r="G5" s="95" t="n">
        <v>46207</v>
      </c>
      <c r="H5" s="32" t="s">
        <v>167</v>
      </c>
    </row>
    <row r="6" customFormat="false" ht="18.75" hidden="false" customHeight="true" outlineLevel="0" collapsed="false">
      <c r="B6" s="92" t="s">
        <v>249</v>
      </c>
      <c r="C6" s="42" t="s">
        <v>250</v>
      </c>
      <c r="D6" s="93" t="s">
        <v>251</v>
      </c>
      <c r="F6" s="94" t="n">
        <v>46235</v>
      </c>
      <c r="G6" s="95" t="n">
        <v>46214</v>
      </c>
      <c r="H6" s="32" t="s">
        <v>182</v>
      </c>
    </row>
    <row r="7" customFormat="false" ht="18.75" hidden="false" customHeight="true" outlineLevel="0" collapsed="false">
      <c r="B7" s="92" t="s">
        <v>252</v>
      </c>
      <c r="C7" s="96" t="n">
        <v>10</v>
      </c>
      <c r="D7" s="93" t="s">
        <v>253</v>
      </c>
      <c r="F7" s="94" t="n">
        <v>46266</v>
      </c>
      <c r="G7" s="95" t="n">
        <v>46221</v>
      </c>
    </row>
    <row r="8" customFormat="false" ht="18.75" hidden="false" customHeight="true" outlineLevel="0" collapsed="false">
      <c r="B8" s="92" t="s">
        <v>254</v>
      </c>
      <c r="C8" s="97" t="n">
        <v>0.9</v>
      </c>
      <c r="D8" s="93" t="s">
        <v>255</v>
      </c>
      <c r="G8" s="95" t="n">
        <v>46228</v>
      </c>
    </row>
    <row r="9" customFormat="false" ht="18.75" hidden="false" customHeight="true" outlineLevel="0" collapsed="false">
      <c r="B9" s="92" t="s">
        <v>256</v>
      </c>
      <c r="C9" s="42" t="s">
        <v>257</v>
      </c>
      <c r="D9" s="93" t="s">
        <v>258</v>
      </c>
      <c r="G9" s="95" t="n">
        <v>46235</v>
      </c>
    </row>
    <row r="10" customFormat="false" ht="15" hidden="false" customHeight="false" outlineLevel="0" collapsed="false">
      <c r="G10" s="95" t="n">
        <v>46242</v>
      </c>
    </row>
    <row r="11" customFormat="false" ht="15" hidden="false" customHeight="false" outlineLevel="0" collapsed="false">
      <c r="G11" s="95" t="n">
        <v>46249</v>
      </c>
    </row>
    <row r="12" customFormat="false" ht="15" hidden="false" customHeight="false" outlineLevel="0" collapsed="false">
      <c r="B12" s="27" t="s">
        <v>259</v>
      </c>
      <c r="G12" s="95" t="n">
        <v>46256</v>
      </c>
    </row>
    <row r="13" customFormat="false" ht="15" hidden="false" customHeight="false" outlineLevel="0" collapsed="false">
      <c r="B13" s="27" t="s">
        <v>49</v>
      </c>
      <c r="G13" s="95" t="n">
        <v>46263</v>
      </c>
    </row>
    <row r="14" customFormat="false" ht="15" hidden="false" customHeight="false" outlineLevel="0" collapsed="false">
      <c r="G14" s="95" t="n">
        <v>46270</v>
      </c>
    </row>
    <row r="15" customFormat="false" ht="15" hidden="false" customHeight="false" outlineLevel="0" collapsed="false">
      <c r="G15" s="95" t="n">
        <v>46277</v>
      </c>
    </row>
    <row r="16" customFormat="false" ht="15" hidden="false" customHeight="false" outlineLevel="0" collapsed="false">
      <c r="G16" s="95" t="n">
        <v>46284</v>
      </c>
    </row>
    <row r="17" customFormat="false" ht="15" hidden="false" customHeight="false" outlineLevel="0" collapsed="false">
      <c r="G17" s="95" t="n">
        <v>46291</v>
      </c>
    </row>
    <row r="18" customFormat="false" ht="15" hidden="false" customHeight="false" outlineLevel="0" collapsed="false">
      <c r="G18" s="95" t="n">
        <v>46298</v>
      </c>
    </row>
  </sheetData>
  <sheetProtection sheet="true" formatColumns="false" formatRows="false" sort="false" autoFilter="false"/>
  <printOptions headings="false" gridLines="false" gridLinesSet="true" horizontalCentered="true" verticalCentered="false"/>
  <pageMargins left="0.5" right="0.5" top="0.55" bottom="0.5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2026-10-12T08:22:29Z</dcterms:created>
  <dc:creator>Brad Leake</dc:creator>
  <dc:description/>
  <dc:language>en-US</dc:language>
  <cp:lastModifiedBy>Brad Leake</cp:lastModifiedBy>
  <dcterms:modified xsi:type="dcterms:W3CDTF">2026-10-12T04:22:39Z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